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6608" windowHeight="9432" tabRatio="877"/>
  </bookViews>
  <sheets>
    <sheet name="стр.1" sheetId="34" r:id="rId1"/>
    <sheet name="стр. 2_8" sheetId="4" r:id="rId2"/>
    <sheet name="стр. 9_10 " sheetId="43" r:id="rId3"/>
    <sheet name="стр. 11-14" sheetId="9" r:id="rId4"/>
    <sheet name="стр. 15" sheetId="6" r:id="rId5"/>
    <sheet name="Доходы 130 бюджет" sheetId="18" r:id="rId6"/>
    <sheet name="Доходы 130 внебюджет" sheetId="19" r:id="rId7"/>
    <sheet name="Доходы 150 иные цели" sheetId="20" r:id="rId8"/>
    <sheet name="Расч 1ц" sheetId="37" r:id="rId9"/>
    <sheet name="Расч 2ц" sheetId="38" r:id="rId10"/>
    <sheet name="Расч 3 " sheetId="39" r:id="rId11"/>
    <sheet name="Расч 4" sheetId="40" r:id="rId12"/>
    <sheet name="Расч 5" sheetId="41" r:id="rId13"/>
    <sheet name="Свед ИЦ" sheetId="42" r:id="rId14"/>
  </sheets>
  <externalReferences>
    <externalReference r:id="rId15"/>
    <externalReference r:id="rId16"/>
  </externalReferences>
  <definedNames>
    <definedName name="TABLE" localSheetId="1">'стр. 2_8'!#REF!</definedName>
    <definedName name="TABLE" localSheetId="2">'стр. 9_10 '!#REF!</definedName>
    <definedName name="TABLE_2" localSheetId="1">'стр. 2_8'!#REF!</definedName>
    <definedName name="TABLE_2" localSheetId="2">'стр. 9_10 '!#REF!</definedName>
    <definedName name="_xlnm.Print_Titles" localSheetId="13">'Свед ИЦ'!$38:$40</definedName>
    <definedName name="_xlnm.Print_Titles" localSheetId="3">'стр. 11-14'!$3:$4</definedName>
    <definedName name="_xlnm.Print_Titles" localSheetId="1">'стр. 2_8'!$3:$6</definedName>
    <definedName name="_xlnm.Print_Titles" localSheetId="2">'стр. 9_10 '!$3:$6</definedName>
    <definedName name="_xlnm.Print_Area" localSheetId="5">'Доходы 130 бюджет'!$A$1:$W$24</definedName>
    <definedName name="_xlnm.Print_Area" localSheetId="7">'Доходы 150 иные цели'!$A$1:$E$25</definedName>
    <definedName name="_xlnm.Print_Area" localSheetId="8">'Расч 1ц'!$A$1:$DT$39</definedName>
    <definedName name="_xlnm.Print_Area" localSheetId="9">'Расч 2ц'!$A$1:$CE$60</definedName>
    <definedName name="_xlnm.Print_Area" localSheetId="10">'Расч 3 '!$A$1:$CB$69</definedName>
    <definedName name="_xlnm.Print_Area" localSheetId="11">'Расч 4'!$A$1:$CD$63</definedName>
    <definedName name="_xlnm.Print_Area" localSheetId="12">'Расч 5'!$A$1:$CB$266</definedName>
    <definedName name="_xlnm.Print_Area" localSheetId="13">'Свед ИЦ'!$A$1:$J$82</definedName>
    <definedName name="_xlnm.Print_Area" localSheetId="4">'стр. 15'!$A$1:$D$30</definedName>
    <definedName name="_xlnm.Print_Area" localSheetId="1">'стр. 2_8'!$A$1:$FN$453</definedName>
    <definedName name="_xlnm.Print_Area" localSheetId="2">'стр. 9_10 '!$A$1:$HC$38</definedName>
  </definedNames>
  <calcPr calcId="125725" refMode="R1C1"/>
</workbook>
</file>

<file path=xl/calcChain.xml><?xml version="1.0" encoding="utf-8"?>
<calcChain xmlns="http://schemas.openxmlformats.org/spreadsheetml/2006/main">
  <c r="DR365" i="4"/>
  <c r="BN20" i="39"/>
  <c r="BJ29" i="40"/>
  <c r="FC7" i="43" l="1"/>
  <c r="EP18"/>
  <c r="DR44" i="4"/>
  <c r="DR45"/>
  <c r="DR49" s="1"/>
  <c r="DR302"/>
  <c r="DR300" s="1"/>
  <c r="DR141" l="1"/>
  <c r="DR262"/>
  <c r="DR322"/>
  <c r="DR418"/>
  <c r="DR419"/>
  <c r="FC10" i="43" l="1"/>
  <c r="EP10"/>
  <c r="EP11"/>
  <c r="DR423" i="4"/>
  <c r="FQ423" s="1"/>
  <c r="FQ424"/>
  <c r="FQ166"/>
  <c r="FQ165"/>
  <c r="FQ164"/>
  <c r="FQ59"/>
  <c r="DE54"/>
  <c r="FQ54"/>
  <c r="DE55"/>
  <c r="FQ55"/>
  <c r="FQ56"/>
  <c r="FQ57"/>
  <c r="FQ60"/>
  <c r="FQ48"/>
  <c r="DE58" l="1"/>
  <c r="FQ58"/>
  <c r="DR415" l="1"/>
  <c r="FQ415" s="1"/>
  <c r="FQ322"/>
  <c r="DR329"/>
  <c r="DR320"/>
  <c r="FQ320" s="1"/>
  <c r="DR318"/>
  <c r="FQ318" s="1"/>
  <c r="FO229"/>
  <c r="FO219"/>
  <c r="FQ419"/>
  <c r="DR370"/>
  <c r="FQ370" s="1"/>
  <c r="DR214"/>
  <c r="FQ214" s="1"/>
  <c r="FO416"/>
  <c r="FO404"/>
  <c r="FO366"/>
  <c r="DR404"/>
  <c r="DR366"/>
  <c r="FO201"/>
  <c r="DR416"/>
  <c r="DR259"/>
  <c r="FQ259" s="1"/>
  <c r="DR349"/>
  <c r="FQ349" s="1"/>
  <c r="DR230"/>
  <c r="FQ230" s="1"/>
  <c r="DR379"/>
  <c r="FQ379" s="1"/>
  <c r="DR378"/>
  <c r="FQ378" s="1"/>
  <c r="DR290"/>
  <c r="DR278"/>
  <c r="FQ278" s="1"/>
  <c r="FQ438"/>
  <c r="FQ437"/>
  <c r="FQ435"/>
  <c r="FQ434"/>
  <c r="FQ433"/>
  <c r="FQ431"/>
  <c r="FQ430"/>
  <c r="FQ429"/>
  <c r="FQ422"/>
  <c r="FQ421"/>
  <c r="FQ420"/>
  <c r="FQ418"/>
  <c r="FQ417"/>
  <c r="FQ414"/>
  <c r="FQ413"/>
  <c r="FQ412"/>
  <c r="FQ411"/>
  <c r="FQ410"/>
  <c r="FQ409"/>
  <c r="FQ407"/>
  <c r="FQ406"/>
  <c r="FQ405"/>
  <c r="FQ403"/>
  <c r="FQ402"/>
  <c r="FQ401"/>
  <c r="FQ400"/>
  <c r="FQ399"/>
  <c r="FQ398"/>
  <c r="FQ397"/>
  <c r="FQ395"/>
  <c r="FQ394"/>
  <c r="FQ393"/>
  <c r="FQ392"/>
  <c r="FQ391"/>
  <c r="FQ390"/>
  <c r="FQ389"/>
  <c r="FQ386"/>
  <c r="FQ385"/>
  <c r="FQ384"/>
  <c r="FQ383"/>
  <c r="FQ382"/>
  <c r="FQ381"/>
  <c r="FQ380"/>
  <c r="FQ374"/>
  <c r="FQ373"/>
  <c r="FQ372"/>
  <c r="FQ371"/>
  <c r="FQ369"/>
  <c r="FQ367"/>
  <c r="FQ365"/>
  <c r="FQ364"/>
  <c r="FQ363"/>
  <c r="FQ362"/>
  <c r="FQ360"/>
  <c r="FQ359"/>
  <c r="FQ358"/>
  <c r="FQ357"/>
  <c r="FQ356"/>
  <c r="FQ355"/>
  <c r="FQ354"/>
  <c r="FQ351"/>
  <c r="FQ350"/>
  <c r="FQ348"/>
  <c r="FQ347"/>
  <c r="FQ344"/>
  <c r="FQ343"/>
  <c r="FQ341"/>
  <c r="FQ340"/>
  <c r="FQ339"/>
  <c r="FQ338"/>
  <c r="FQ337"/>
  <c r="FQ336"/>
  <c r="FQ335"/>
  <c r="FQ334"/>
  <c r="FQ333"/>
  <c r="FQ332"/>
  <c r="FQ331"/>
  <c r="FQ330"/>
  <c r="FQ329"/>
  <c r="FQ328"/>
  <c r="FQ327"/>
  <c r="FQ326"/>
  <c r="FQ325"/>
  <c r="FQ324"/>
  <c r="FQ323"/>
  <c r="FQ321"/>
  <c r="FQ319"/>
  <c r="FQ316"/>
  <c r="FQ315"/>
  <c r="FQ314"/>
  <c r="FQ313"/>
  <c r="FQ312"/>
  <c r="FQ311"/>
  <c r="FQ310"/>
  <c r="FQ309"/>
  <c r="FQ308"/>
  <c r="FQ305"/>
  <c r="FQ304"/>
  <c r="FQ303"/>
  <c r="FQ302"/>
  <c r="FQ301"/>
  <c r="FQ298"/>
  <c r="FQ297"/>
  <c r="FQ296"/>
  <c r="FQ295"/>
  <c r="FQ294"/>
  <c r="FQ293"/>
  <c r="FQ292"/>
  <c r="FQ291"/>
  <c r="FQ290"/>
  <c r="FQ289"/>
  <c r="FQ288"/>
  <c r="FQ287"/>
  <c r="FQ286"/>
  <c r="FQ285"/>
  <c r="FQ284"/>
  <c r="FQ283"/>
  <c r="FQ282"/>
  <c r="FQ281"/>
  <c r="FQ280"/>
  <c r="FQ277"/>
  <c r="FQ276"/>
  <c r="FQ275"/>
  <c r="FQ274"/>
  <c r="FQ271"/>
  <c r="FQ270"/>
  <c r="FQ269"/>
  <c r="FQ268"/>
  <c r="FQ267"/>
  <c r="FQ266"/>
  <c r="FQ265"/>
  <c r="FQ264"/>
  <c r="FQ263"/>
  <c r="FQ262"/>
  <c r="FQ261"/>
  <c r="FQ260"/>
  <c r="FQ258"/>
  <c r="FQ256"/>
  <c r="FQ255"/>
  <c r="FQ254"/>
  <c r="FQ253"/>
  <c r="FQ252"/>
  <c r="FQ251"/>
  <c r="FQ250"/>
  <c r="FQ248"/>
  <c r="FQ247"/>
  <c r="FQ246"/>
  <c r="FQ245"/>
  <c r="FQ242"/>
  <c r="FQ241"/>
  <c r="FQ240"/>
  <c r="FQ239"/>
  <c r="FQ238"/>
  <c r="FQ237"/>
  <c r="FQ236"/>
  <c r="FQ235"/>
  <c r="FQ234"/>
  <c r="FQ233"/>
  <c r="FQ232"/>
  <c r="FQ231"/>
  <c r="FQ228"/>
  <c r="FQ227"/>
  <c r="FQ226"/>
  <c r="FQ225"/>
  <c r="FQ224"/>
  <c r="FQ223"/>
  <c r="FQ222"/>
  <c r="FQ221"/>
  <c r="FQ220"/>
  <c r="FQ218"/>
  <c r="FQ217"/>
  <c r="FQ212"/>
  <c r="FQ209"/>
  <c r="FQ208"/>
  <c r="FQ206"/>
  <c r="FQ204"/>
  <c r="FQ202"/>
  <c r="FQ200"/>
  <c r="FQ194"/>
  <c r="FQ192"/>
  <c r="FQ191"/>
  <c r="FQ190"/>
  <c r="FQ188"/>
  <c r="FQ186"/>
  <c r="FQ185"/>
  <c r="FQ181"/>
  <c r="FQ179"/>
  <c r="FQ178"/>
  <c r="FQ177"/>
  <c r="FQ176"/>
  <c r="FQ175"/>
  <c r="FQ174"/>
  <c r="FQ173"/>
  <c r="FQ172"/>
  <c r="FQ171"/>
  <c r="FQ170"/>
  <c r="FQ168"/>
  <c r="FQ163"/>
  <c r="FQ162"/>
  <c r="FQ161"/>
  <c r="FQ160"/>
  <c r="FQ159"/>
  <c r="FQ158"/>
  <c r="FQ157"/>
  <c r="FQ155"/>
  <c r="FQ154"/>
  <c r="FQ152"/>
  <c r="FQ151"/>
  <c r="FQ149"/>
  <c r="FQ145"/>
  <c r="FQ144"/>
  <c r="FQ142"/>
  <c r="FQ141"/>
  <c r="FQ140"/>
  <c r="FQ139"/>
  <c r="FQ138"/>
  <c r="FQ135"/>
  <c r="FQ132"/>
  <c r="FQ130"/>
  <c r="FQ129"/>
  <c r="FQ127"/>
  <c r="FQ126"/>
  <c r="FQ124"/>
  <c r="FQ120"/>
  <c r="FQ118"/>
  <c r="FQ117"/>
  <c r="FQ116"/>
  <c r="FQ115"/>
  <c r="FQ114"/>
  <c r="FQ113"/>
  <c r="FQ112"/>
  <c r="FQ110"/>
  <c r="FQ109"/>
  <c r="FQ108"/>
  <c r="FQ107"/>
  <c r="FQ106"/>
  <c r="FQ105"/>
  <c r="FQ104"/>
  <c r="FQ99"/>
  <c r="FQ98"/>
  <c r="FQ94"/>
  <c r="FQ92"/>
  <c r="FQ89"/>
  <c r="FQ87"/>
  <c r="FQ86"/>
  <c r="FQ76"/>
  <c r="FQ71"/>
  <c r="FQ70"/>
  <c r="FQ68"/>
  <c r="FQ67"/>
  <c r="FQ66"/>
  <c r="FQ65"/>
  <c r="FQ64"/>
  <c r="FQ63"/>
  <c r="FQ61"/>
  <c r="FQ53"/>
  <c r="FQ51"/>
  <c r="FQ50"/>
  <c r="FQ47"/>
  <c r="FQ45"/>
  <c r="FQ44"/>
  <c r="FQ43"/>
  <c r="FQ41"/>
  <c r="FQ40"/>
  <c r="FQ39"/>
  <c r="FQ37"/>
  <c r="FQ36"/>
  <c r="FQ32"/>
  <c r="FQ29"/>
  <c r="FQ28"/>
  <c r="FQ25"/>
  <c r="FQ23"/>
  <c r="FQ22"/>
  <c r="FQ21"/>
  <c r="FQ19"/>
  <c r="FQ10"/>
  <c r="FQ9"/>
  <c r="FQ8"/>
  <c r="FP279"/>
  <c r="FO197"/>
  <c r="FO279"/>
  <c r="CG14" i="40"/>
  <c r="FQ404" i="4" l="1"/>
  <c r="FQ416"/>
  <c r="FQ366"/>
  <c r="EP30" i="43" l="1"/>
  <c r="EP21"/>
  <c r="EP17"/>
  <c r="EC30"/>
  <c r="EC21"/>
  <c r="EC18"/>
  <c r="EC17" s="1"/>
  <c r="BN237" i="41"/>
  <c r="BN236"/>
  <c r="BN235"/>
  <c r="BN234"/>
  <c r="BN233"/>
  <c r="BN232"/>
  <c r="BN231"/>
  <c r="BN230"/>
  <c r="BN229"/>
  <c r="BN228"/>
  <c r="BN227"/>
  <c r="BN226"/>
  <c r="BN225"/>
  <c r="BN224"/>
  <c r="BN222"/>
  <c r="BN221"/>
  <c r="BN220"/>
  <c r="BN219"/>
  <c r="BN218"/>
  <c r="BN217"/>
  <c r="BN216"/>
  <c r="BN215"/>
  <c r="BN214"/>
  <c r="BN213"/>
  <c r="BN212"/>
  <c r="BN210"/>
  <c r="BN209"/>
  <c r="BN208"/>
  <c r="BN207"/>
  <c r="BN206"/>
  <c r="BN205"/>
  <c r="BN204"/>
  <c r="BN201"/>
  <c r="BN200"/>
  <c r="BN199"/>
  <c r="BN198"/>
  <c r="BN197"/>
  <c r="BN196"/>
  <c r="BN195"/>
  <c r="BN194"/>
  <c r="BN193"/>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BN181"/>
  <c r="BN180"/>
  <c r="BN179"/>
  <c r="BN178"/>
  <c r="BN177"/>
  <c r="BN176"/>
  <c r="BN174"/>
  <c r="BN173"/>
  <c r="BN172"/>
  <c r="BN171"/>
  <c r="BN170"/>
  <c r="BN168"/>
  <c r="BN167"/>
  <c r="BN166"/>
  <c r="BN165"/>
  <c r="BN164"/>
  <c r="BN163"/>
  <c r="BN162"/>
  <c r="BN159"/>
  <c r="BN158"/>
  <c r="BN157"/>
  <c r="BN156"/>
  <c r="BN155"/>
  <c r="E181"/>
  <c r="E180"/>
  <c r="E179"/>
  <c r="E178"/>
  <c r="E177"/>
  <c r="E176"/>
  <c r="E175"/>
  <c r="E174"/>
  <c r="E173"/>
  <c r="E172"/>
  <c r="E171"/>
  <c r="E170"/>
  <c r="E169"/>
  <c r="E168"/>
  <c r="E167"/>
  <c r="E166"/>
  <c r="E165"/>
  <c r="E164"/>
  <c r="E163"/>
  <c r="E162"/>
  <c r="E161"/>
  <c r="E160"/>
  <c r="E159"/>
  <c r="E158"/>
  <c r="E157"/>
  <c r="E156"/>
  <c r="E155"/>
  <c r="E154"/>
  <c r="BN146"/>
  <c r="BN145"/>
  <c r="E146"/>
  <c r="E145"/>
  <c r="BN144"/>
  <c r="E144"/>
  <c r="BN136"/>
  <c r="BN135"/>
  <c r="BN134"/>
  <c r="BN133"/>
  <c r="BN132"/>
  <c r="BN131"/>
  <c r="BN130"/>
  <c r="BN129"/>
  <c r="BN128"/>
  <c r="BN127"/>
  <c r="BN126"/>
  <c r="BN125"/>
  <c r="BN124"/>
  <c r="BN123"/>
  <c r="BN122"/>
  <c r="BN121"/>
  <c r="BN120"/>
  <c r="BN119"/>
  <c r="BN118"/>
  <c r="BN117"/>
  <c r="BN116"/>
  <c r="BN114"/>
  <c r="BN113"/>
  <c r="BN112"/>
  <c r="BN111"/>
  <c r="BN110"/>
  <c r="BN109"/>
  <c r="BN108"/>
  <c r="BN107"/>
  <c r="BN106"/>
  <c r="BN103"/>
  <c r="BN102"/>
  <c r="BN101"/>
  <c r="BN100"/>
  <c r="BN99"/>
  <c r="BN96"/>
  <c r="BN95"/>
  <c r="BN94"/>
  <c r="BN93"/>
  <c r="BN92"/>
  <c r="BN91"/>
  <c r="BN90"/>
  <c r="BN89"/>
  <c r="BN88"/>
  <c r="BN87"/>
  <c r="BN86"/>
  <c r="BN85"/>
  <c r="BN84"/>
  <c r="BN83"/>
  <c r="BN82"/>
  <c r="BN81"/>
  <c r="BN80"/>
  <c r="BN79"/>
  <c r="BN78"/>
  <c r="BN76"/>
  <c r="BN75"/>
  <c r="BN74"/>
  <c r="BN73"/>
  <c r="BN72"/>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BN62"/>
  <c r="BN61"/>
  <c r="BN60"/>
  <c r="BN59"/>
  <c r="BN58"/>
  <c r="BN57"/>
  <c r="BN56"/>
  <c r="BN55"/>
  <c r="BN54"/>
  <c r="BN53"/>
  <c r="BN52"/>
  <c r="BN51"/>
  <c r="BN50"/>
  <c r="BN49"/>
  <c r="BN47"/>
  <c r="BN46"/>
  <c r="BN45"/>
  <c r="BN44"/>
  <c r="BN43"/>
  <c r="BN42"/>
  <c r="BN41"/>
  <c r="BN39"/>
  <c r="BN38"/>
  <c r="BN37"/>
  <c r="BN36"/>
  <c r="BN33"/>
  <c r="BN32"/>
  <c r="BN31"/>
  <c r="BN30"/>
  <c r="BN29"/>
  <c r="BN28"/>
  <c r="BN27"/>
  <c r="BN26"/>
  <c r="BN25"/>
  <c r="BN24"/>
  <c r="BN23"/>
  <c r="BN22"/>
  <c r="BN21"/>
  <c r="BN19"/>
  <c r="BN18"/>
  <c r="BN17"/>
  <c r="BN16"/>
  <c r="BN15"/>
  <c r="BN14"/>
  <c r="BN13"/>
  <c r="BN12"/>
  <c r="BN11"/>
  <c r="BN9"/>
  <c r="BN8"/>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37" i="9"/>
  <c r="E36"/>
  <c r="E32"/>
  <c r="E31" s="1"/>
  <c r="E10"/>
  <c r="E9"/>
  <c r="E7"/>
  <c r="E12" s="1"/>
  <c r="D37"/>
  <c r="D36"/>
  <c r="D32"/>
  <c r="D31"/>
  <c r="D24"/>
  <c r="D22"/>
  <c r="D21"/>
  <c r="D25" s="1"/>
  <c r="D10"/>
  <c r="D9"/>
  <c r="DR436" i="4"/>
  <c r="FQ436" s="1"/>
  <c r="DR432"/>
  <c r="FQ432" s="1"/>
  <c r="DR428"/>
  <c r="FQ428" s="1"/>
  <c r="DR427"/>
  <c r="FQ427" s="1"/>
  <c r="DR426"/>
  <c r="FQ426" s="1"/>
  <c r="DR408"/>
  <c r="FQ408" s="1"/>
  <c r="DR396"/>
  <c r="BN211" i="41" s="1"/>
  <c r="DR388" i="4"/>
  <c r="FQ388" s="1"/>
  <c r="DR377"/>
  <c r="FQ377" s="1"/>
  <c r="DR368"/>
  <c r="FQ368" s="1"/>
  <c r="DR361"/>
  <c r="FQ361" s="1"/>
  <c r="DR353"/>
  <c r="BN161" i="41" s="1"/>
  <c r="DR346" i="4"/>
  <c r="FQ346" s="1"/>
  <c r="DR342"/>
  <c r="FQ342" s="1"/>
  <c r="DR317"/>
  <c r="FQ317" s="1"/>
  <c r="DR307"/>
  <c r="FQ300"/>
  <c r="DR279"/>
  <c r="DR257"/>
  <c r="FQ257" s="1"/>
  <c r="DR249"/>
  <c r="FQ249" s="1"/>
  <c r="DR244"/>
  <c r="FQ244" s="1"/>
  <c r="DR229"/>
  <c r="FQ229" s="1"/>
  <c r="DR219"/>
  <c r="DR213"/>
  <c r="FQ213" s="1"/>
  <c r="DR211"/>
  <c r="DR207"/>
  <c r="DR203"/>
  <c r="FQ203" s="1"/>
  <c r="DR201"/>
  <c r="FQ201" s="1"/>
  <c r="DR198"/>
  <c r="FQ198" s="1"/>
  <c r="DR197"/>
  <c r="DR189"/>
  <c r="DR169"/>
  <c r="DR156"/>
  <c r="FQ156" s="1"/>
  <c r="DR153"/>
  <c r="FQ153" s="1"/>
  <c r="DR150"/>
  <c r="FQ150" s="1"/>
  <c r="DR148"/>
  <c r="FQ148" s="1"/>
  <c r="DR147"/>
  <c r="FQ147" s="1"/>
  <c r="DR146"/>
  <c r="FQ146" s="1"/>
  <c r="DR137"/>
  <c r="DR134"/>
  <c r="FQ134" s="1"/>
  <c r="DR133"/>
  <c r="DR128"/>
  <c r="DR122" s="1"/>
  <c r="FQ122" s="1"/>
  <c r="DR123"/>
  <c r="FQ123" s="1"/>
  <c r="DR121"/>
  <c r="DR111"/>
  <c r="FQ111" s="1"/>
  <c r="DR103"/>
  <c r="FQ103" s="1"/>
  <c r="DR102"/>
  <c r="FQ102" s="1"/>
  <c r="DR101"/>
  <c r="FQ101" s="1"/>
  <c r="DR95"/>
  <c r="FQ95" s="1"/>
  <c r="DR91"/>
  <c r="FQ91" s="1"/>
  <c r="DR90"/>
  <c r="FQ90" s="1"/>
  <c r="DR88"/>
  <c r="FQ88" s="1"/>
  <c r="DR81"/>
  <c r="FQ81" s="1"/>
  <c r="DR69"/>
  <c r="DR62"/>
  <c r="FQ62" s="1"/>
  <c r="DR38"/>
  <c r="DR31"/>
  <c r="DR30"/>
  <c r="DR26"/>
  <c r="DR7"/>
  <c r="FQ7" s="1"/>
  <c r="DE436"/>
  <c r="DE433"/>
  <c r="DE432" s="1"/>
  <c r="DE416" s="1"/>
  <c r="DE425"/>
  <c r="DE423" s="1"/>
  <c r="DE419"/>
  <c r="DE418"/>
  <c r="DE417"/>
  <c r="DE414"/>
  <c r="DE413"/>
  <c r="DE412"/>
  <c r="DE411"/>
  <c r="DE410"/>
  <c r="DE409"/>
  <c r="DE400"/>
  <c r="DE397"/>
  <c r="DE388"/>
  <c r="DE380"/>
  <c r="DE379"/>
  <c r="DE378"/>
  <c r="DE377"/>
  <c r="DE370"/>
  <c r="DE369"/>
  <c r="DE361"/>
  <c r="DE354"/>
  <c r="DE353" s="1"/>
  <c r="DE348"/>
  <c r="DE347"/>
  <c r="DE342"/>
  <c r="DE328"/>
  <c r="DE326"/>
  <c r="DE325"/>
  <c r="DE324"/>
  <c r="DE319"/>
  <c r="DE318"/>
  <c r="DE312"/>
  <c r="DE311"/>
  <c r="DE310"/>
  <c r="DE309"/>
  <c r="DE301"/>
  <c r="DE300" s="1"/>
  <c r="DE291"/>
  <c r="DE290"/>
  <c r="DE289"/>
  <c r="DE288"/>
  <c r="DE287"/>
  <c r="DE285"/>
  <c r="DE284"/>
  <c r="DE283"/>
  <c r="DE282"/>
  <c r="DE281"/>
  <c r="DE280"/>
  <c r="DE279"/>
  <c r="DE267"/>
  <c r="DE266"/>
  <c r="DE265"/>
  <c r="DE262"/>
  <c r="DE260"/>
  <c r="DE258"/>
  <c r="DE251"/>
  <c r="DE250"/>
  <c r="DE244"/>
  <c r="DE238"/>
  <c r="DE237"/>
  <c r="DE235"/>
  <c r="DE232"/>
  <c r="DE230"/>
  <c r="DE229"/>
  <c r="DE224"/>
  <c r="DE223"/>
  <c r="DE222"/>
  <c r="DE221"/>
  <c r="DE220"/>
  <c r="DE219"/>
  <c r="DE218"/>
  <c r="DE217"/>
  <c r="DE213"/>
  <c r="DE211"/>
  <c r="DE208"/>
  <c r="DE205" s="1"/>
  <c r="DE207"/>
  <c r="DE206"/>
  <c r="DE203"/>
  <c r="DE201"/>
  <c r="DE199" s="1"/>
  <c r="DE200"/>
  <c r="DE198"/>
  <c r="DE197"/>
  <c r="DE189"/>
  <c r="DE187" s="1"/>
  <c r="DE169"/>
  <c r="DE167" s="1"/>
  <c r="DE156"/>
  <c r="DE155"/>
  <c r="DE153" s="1"/>
  <c r="DE150"/>
  <c r="DE149"/>
  <c r="DE148" s="1"/>
  <c r="DE137"/>
  <c r="DE136" s="1"/>
  <c r="DE134"/>
  <c r="DE133"/>
  <c r="DE129"/>
  <c r="DE123" s="1"/>
  <c r="DE128"/>
  <c r="DE127"/>
  <c r="DE121"/>
  <c r="DE111"/>
  <c r="DE108"/>
  <c r="DE106"/>
  <c r="DE105"/>
  <c r="DE104"/>
  <c r="DE102"/>
  <c r="DE100" s="1"/>
  <c r="DE95"/>
  <c r="DE91"/>
  <c r="DE85" s="1"/>
  <c r="DE90"/>
  <c r="DE84" s="1"/>
  <c r="DE83"/>
  <c r="DE81"/>
  <c r="DE69"/>
  <c r="DE62"/>
  <c r="DE46"/>
  <c r="DE38"/>
  <c r="DE35" s="1"/>
  <c r="DE31"/>
  <c r="DE34" s="1"/>
  <c r="DE30"/>
  <c r="DE29"/>
  <c r="DE26"/>
  <c r="DE24" s="1"/>
  <c r="DE20" s="1"/>
  <c r="DE7"/>
  <c r="C10" i="20"/>
  <c r="DE273" i="4" l="1"/>
  <c r="DE306"/>
  <c r="DE299" s="1"/>
  <c r="DE272" s="1"/>
  <c r="DE147"/>
  <c r="DE376"/>
  <c r="FQ69"/>
  <c r="DR16"/>
  <c r="FQ16" s="1"/>
  <c r="DR33"/>
  <c r="FQ33" s="1"/>
  <c r="DR17"/>
  <c r="FQ17" s="1"/>
  <c r="DE103"/>
  <c r="DE97" s="1"/>
  <c r="DE80" s="1"/>
  <c r="DE249"/>
  <c r="DE243" s="1"/>
  <c r="DE346"/>
  <c r="DR199"/>
  <c r="FQ199" s="1"/>
  <c r="DR376"/>
  <c r="FQ376" s="1"/>
  <c r="DE33"/>
  <c r="DR97"/>
  <c r="FQ97" s="1"/>
  <c r="DE368"/>
  <c r="DE396"/>
  <c r="DE387" s="1"/>
  <c r="DR85"/>
  <c r="DR80" s="1"/>
  <c r="DE42"/>
  <c r="DE49"/>
  <c r="FQ46"/>
  <c r="FQ49"/>
  <c r="DE122"/>
  <c r="DE196"/>
  <c r="DE408"/>
  <c r="DR83"/>
  <c r="DR82" s="1"/>
  <c r="DR100"/>
  <c r="DE131"/>
  <c r="DR306"/>
  <c r="FQ306" s="1"/>
  <c r="FQ307"/>
  <c r="DE52"/>
  <c r="DE16"/>
  <c r="DE17"/>
  <c r="DE96"/>
  <c r="DE125"/>
  <c r="DE210"/>
  <c r="DE216"/>
  <c r="DR425"/>
  <c r="FQ425" s="1"/>
  <c r="BN203" i="41"/>
  <c r="DR34" i="4"/>
  <c r="FQ34" s="1"/>
  <c r="FQ31"/>
  <c r="BN20" i="41"/>
  <c r="BN105"/>
  <c r="DR27" i="4"/>
  <c r="FQ27" s="1"/>
  <c r="FQ30"/>
  <c r="DR205"/>
  <c r="FQ205" s="1"/>
  <c r="FQ207"/>
  <c r="DR273"/>
  <c r="FQ273" s="1"/>
  <c r="FQ279"/>
  <c r="DE146"/>
  <c r="DE143" s="1"/>
  <c r="DE317"/>
  <c r="DR42"/>
  <c r="FQ42" s="1"/>
  <c r="DR84"/>
  <c r="FQ84" s="1"/>
  <c r="BN77" i="41"/>
  <c r="BN192"/>
  <c r="DR24" i="4"/>
  <c r="FQ26"/>
  <c r="DR125"/>
  <c r="FQ125" s="1"/>
  <c r="FQ128"/>
  <c r="DR196"/>
  <c r="FQ197"/>
  <c r="DR216"/>
  <c r="BN7" i="41" s="1"/>
  <c r="FQ219" i="4"/>
  <c r="DE257"/>
  <c r="BN10" i="41"/>
  <c r="BN40"/>
  <c r="BN115"/>
  <c r="BN223"/>
  <c r="DR184" i="4"/>
  <c r="BN48" i="41"/>
  <c r="BN98"/>
  <c r="BN175"/>
  <c r="DR131" i="4"/>
  <c r="FQ131" s="1"/>
  <c r="FQ133"/>
  <c r="DR136"/>
  <c r="FQ136" s="1"/>
  <c r="FQ137"/>
  <c r="DR167"/>
  <c r="FQ167" s="1"/>
  <c r="FQ169"/>
  <c r="DE352"/>
  <c r="BN35" i="41"/>
  <c r="DE79" i="4"/>
  <c r="DR119"/>
  <c r="FQ119" s="1"/>
  <c r="FQ121"/>
  <c r="DR187"/>
  <c r="FQ187" s="1"/>
  <c r="FQ189"/>
  <c r="DR35"/>
  <c r="FQ35" s="1"/>
  <c r="FQ38"/>
  <c r="FQ83"/>
  <c r="DR96"/>
  <c r="FQ100"/>
  <c r="DR210"/>
  <c r="FQ210" s="1"/>
  <c r="FQ211"/>
  <c r="DR387"/>
  <c r="FQ396"/>
  <c r="FQ85"/>
  <c r="DE119"/>
  <c r="DR143"/>
  <c r="FQ143" s="1"/>
  <c r="DR243"/>
  <c r="DR215" s="1"/>
  <c r="FQ215" s="1"/>
  <c r="DE78"/>
  <c r="BN169" i="41"/>
  <c r="DR352" i="4"/>
  <c r="DR345" s="1"/>
  <c r="FQ345" s="1"/>
  <c r="FQ353"/>
  <c r="BN154" i="41"/>
  <c r="DR195" i="4"/>
  <c r="FQ195" s="1"/>
  <c r="DR52"/>
  <c r="FQ52" s="1"/>
  <c r="DR182"/>
  <c r="FQ182" s="1"/>
  <c r="DR78"/>
  <c r="FQ78" s="1"/>
  <c r="DE195"/>
  <c r="DE93"/>
  <c r="DE182"/>
  <c r="DE82"/>
  <c r="D6" i="9" s="1"/>
  <c r="D15" s="1"/>
  <c r="D13" s="1"/>
  <c r="DE18" i="4"/>
  <c r="DE27"/>
  <c r="AJ9" i="38"/>
  <c r="BW36" i="37"/>
  <c r="BW35"/>
  <c r="BW20"/>
  <c r="BW19"/>
  <c r="EG26"/>
  <c r="EE10"/>
  <c r="EE15"/>
  <c r="EE13"/>
  <c r="EE14" s="1"/>
  <c r="ED23"/>
  <c r="EE16"/>
  <c r="EE17" s="1"/>
  <c r="EE18" s="1"/>
  <c r="EG13"/>
  <c r="EF32"/>
  <c r="EE32"/>
  <c r="Y12" i="18"/>
  <c r="F10" i="6"/>
  <c r="F6"/>
  <c r="J65" i="42"/>
  <c r="I64"/>
  <c r="BO62" i="40"/>
  <c r="BO63" s="1"/>
  <c r="CF147" i="41"/>
  <c r="CE147"/>
  <c r="CD147"/>
  <c r="CG146"/>
  <c r="CG145"/>
  <c r="A146"/>
  <c r="CG144"/>
  <c r="DE15" i="4" l="1"/>
  <c r="DE184"/>
  <c r="BN191" i="41"/>
  <c r="DE345" i="4"/>
  <c r="EC15" i="43"/>
  <c r="EC14" s="1"/>
  <c r="BN104" i="41"/>
  <c r="BN71"/>
  <c r="FQ184" i="4"/>
  <c r="DR75"/>
  <c r="FQ75" s="1"/>
  <c r="DE183"/>
  <c r="DE74" s="1"/>
  <c r="DE13" s="1"/>
  <c r="DE215"/>
  <c r="DR299"/>
  <c r="FQ299" s="1"/>
  <c r="FQ24"/>
  <c r="DR18"/>
  <c r="DR15" s="1"/>
  <c r="FQ15" s="1"/>
  <c r="DR79"/>
  <c r="FQ79" s="1"/>
  <c r="DE375"/>
  <c r="DE75"/>
  <c r="DE14" s="1"/>
  <c r="FQ216"/>
  <c r="EC25" i="43"/>
  <c r="DR20" i="4"/>
  <c r="FQ20" s="1"/>
  <c r="FQ196"/>
  <c r="DR183"/>
  <c r="FQ183" s="1"/>
  <c r="D7" i="9"/>
  <c r="D12" s="1"/>
  <c r="EP25" i="43"/>
  <c r="EP24" s="1"/>
  <c r="FQ387" i="4"/>
  <c r="BN202" i="41"/>
  <c r="DE77" i="4"/>
  <c r="D11" i="9"/>
  <c r="D35" s="1"/>
  <c r="FQ18" i="4"/>
  <c r="FQ80"/>
  <c r="FQ82"/>
  <c r="E6" i="9"/>
  <c r="FQ243" i="4"/>
  <c r="BN34" i="41"/>
  <c r="BN63" s="1"/>
  <c r="DR93" i="4"/>
  <c r="FQ93" s="1"/>
  <c r="FQ96"/>
  <c r="DR375"/>
  <c r="FQ375" s="1"/>
  <c r="FQ352"/>
  <c r="BN160" i="41"/>
  <c r="DR77" i="4"/>
  <c r="FQ77" s="1"/>
  <c r="DR73"/>
  <c r="FQ73" s="1"/>
  <c r="DE73"/>
  <c r="ED32" i="37"/>
  <c r="EG11" s="1"/>
  <c r="BN147" i="41"/>
  <c r="CP147" s="1"/>
  <c r="CG147"/>
  <c r="CG32"/>
  <c r="CG33"/>
  <c r="CG34"/>
  <c r="FC17" i="43"/>
  <c r="BN67" i="39"/>
  <c r="EC28" i="43" l="1"/>
  <c r="EC27" s="1"/>
  <c r="DE180" i="4"/>
  <c r="DE193" s="1"/>
  <c r="BN97" i="41"/>
  <c r="DR272" i="4"/>
  <c r="FQ272" s="1"/>
  <c r="EC24" i="43"/>
  <c r="EC13" s="1"/>
  <c r="EC7" s="1"/>
  <c r="DR74" i="4"/>
  <c r="FQ74" s="1"/>
  <c r="DR180"/>
  <c r="DR14"/>
  <c r="FQ14" s="1"/>
  <c r="E15" i="9"/>
  <c r="E13" s="1"/>
  <c r="E11"/>
  <c r="E35" s="1"/>
  <c r="DR12" i="4"/>
  <c r="FQ12" s="1"/>
  <c r="DE72"/>
  <c r="DE11" s="1"/>
  <c r="DE12"/>
  <c r="BJ36" i="39"/>
  <c r="BN65"/>
  <c r="BN68"/>
  <c r="BN66" s="1"/>
  <c r="BN69" s="1"/>
  <c r="BP14" i="40"/>
  <c r="CH14" s="1"/>
  <c r="BP18"/>
  <c r="BE15"/>
  <c r="BP43"/>
  <c r="BP51"/>
  <c r="BP53"/>
  <c r="BP52"/>
  <c r="BP49"/>
  <c r="CQ49" s="1"/>
  <c r="BP48"/>
  <c r="BP47"/>
  <c r="BP39"/>
  <c r="CQ53"/>
  <c r="CQ44"/>
  <c r="BP40"/>
  <c r="CF40" s="1"/>
  <c r="DR193" i="4" l="1"/>
  <c r="FQ193" s="1"/>
  <c r="EP7" i="43"/>
  <c r="EP13" s="1"/>
  <c r="EP15" s="1"/>
  <c r="FQ180" i="4"/>
  <c r="DR13"/>
  <c r="FQ13" s="1"/>
  <c r="DR72"/>
  <c r="FQ72" s="1"/>
  <c r="CF43" i="40"/>
  <c r="BP38"/>
  <c r="BP50"/>
  <c r="CF49"/>
  <c r="CQ40"/>
  <c r="HE7" i="43" l="1"/>
  <c r="EP14"/>
  <c r="EP28"/>
  <c r="EP27" s="1"/>
  <c r="DR11" i="4"/>
  <c r="FQ11" s="1"/>
  <c r="BP9" i="38"/>
  <c r="DF54" i="37"/>
  <c r="FC14" i="43" l="1"/>
  <c r="BN238" i="41" l="1"/>
  <c r="BN182"/>
  <c r="BN137"/>
  <c r="FC24" i="43"/>
  <c r="FC13" s="1"/>
  <c r="FC28"/>
  <c r="FC27" s="1"/>
  <c r="BN21" i="39" l="1"/>
  <c r="BN19"/>
  <c r="CP237" i="41" l="1"/>
  <c r="CP236"/>
  <c r="CP223"/>
  <c r="CP222"/>
  <c r="CP220"/>
  <c r="CP218"/>
  <c r="CP217"/>
  <c r="CP216"/>
  <c r="CP215"/>
  <c r="CP214"/>
  <c r="CP213"/>
  <c r="CP207"/>
  <c r="CP206"/>
  <c r="CP205"/>
  <c r="CP204"/>
  <c r="CP201"/>
  <c r="CP200"/>
  <c r="CP199"/>
  <c r="CP198"/>
  <c r="CP196"/>
  <c r="CP195"/>
  <c r="CP194"/>
  <c r="CP193"/>
  <c r="CP192"/>
  <c r="CG237"/>
  <c r="CG236"/>
  <c r="CG224"/>
  <c r="CG223"/>
  <c r="CG222"/>
  <c r="CG221"/>
  <c r="CG220"/>
  <c r="CG219"/>
  <c r="CG218"/>
  <c r="CG217"/>
  <c r="CG216"/>
  <c r="CG215"/>
  <c r="CG214"/>
  <c r="CG213"/>
  <c r="CG212"/>
  <c r="CG207"/>
  <c r="CG206"/>
  <c r="CG205"/>
  <c r="CG204"/>
  <c r="CG203"/>
  <c r="CG202"/>
  <c r="CG201"/>
  <c r="CG200"/>
  <c r="CG199"/>
  <c r="CG198"/>
  <c r="CP197"/>
  <c r="CG197"/>
  <c r="CG196"/>
  <c r="CG195"/>
  <c r="CG194"/>
  <c r="CG193"/>
  <c r="CG192"/>
  <c r="CG191"/>
  <c r="CG178"/>
  <c r="CG177"/>
  <c r="CG176"/>
  <c r="CE175"/>
  <c r="CG175" s="1"/>
  <c r="CG174"/>
  <c r="CG173"/>
  <c r="CG172"/>
  <c r="CG171"/>
  <c r="CE170"/>
  <c r="CG170" s="1"/>
  <c r="CG169"/>
  <c r="CG181"/>
  <c r="CE180"/>
  <c r="CG180" s="1"/>
  <c r="CG179"/>
  <c r="CG163"/>
  <c r="CG162"/>
  <c r="CG161"/>
  <c r="CE160"/>
  <c r="CG160" s="1"/>
  <c r="CG159"/>
  <c r="CG158"/>
  <c r="CG157"/>
  <c r="CG156"/>
  <c r="CE155"/>
  <c r="CG155" s="1"/>
  <c r="CG154"/>
  <c r="CG168"/>
  <c r="CG167"/>
  <c r="CG166"/>
  <c r="CE165"/>
  <c r="CG165" s="1"/>
  <c r="CG164"/>
  <c r="CG131"/>
  <c r="CG130"/>
  <c r="CG129"/>
  <c r="CG128"/>
  <c r="CG127"/>
  <c r="CG126"/>
  <c r="CG125"/>
  <c r="CG124"/>
  <c r="CG123"/>
  <c r="CG122"/>
  <c r="CG136"/>
  <c r="CG135"/>
  <c r="CG134"/>
  <c r="CG133"/>
  <c r="CG132"/>
  <c r="CG98"/>
  <c r="CG97"/>
  <c r="CG96"/>
  <c r="CG95"/>
  <c r="CG94"/>
  <c r="CG93"/>
  <c r="CG92"/>
  <c r="CG91"/>
  <c r="CG90"/>
  <c r="CG89"/>
  <c r="CG88"/>
  <c r="CG87"/>
  <c r="CG86"/>
  <c r="CG85"/>
  <c r="CG84"/>
  <c r="CG83"/>
  <c r="CG82"/>
  <c r="CG81"/>
  <c r="CG80"/>
  <c r="CG79"/>
  <c r="CG78"/>
  <c r="CG77"/>
  <c r="CG76"/>
  <c r="CG75"/>
  <c r="CG74"/>
  <c r="CG73"/>
  <c r="CG72"/>
  <c r="A72"/>
  <c r="A73" s="1"/>
  <c r="A76" s="1"/>
  <c r="A91" s="1"/>
  <c r="A92" s="1"/>
  <c r="A93" s="1"/>
  <c r="A94" s="1"/>
  <c r="A95" s="1"/>
  <c r="A96" s="1"/>
  <c r="CG71"/>
  <c r="CF137"/>
  <c r="CE137"/>
  <c r="CD137"/>
  <c r="CG121"/>
  <c r="CG120"/>
  <c r="CG119"/>
  <c r="CG118"/>
  <c r="CG117"/>
  <c r="CG116"/>
  <c r="CG115"/>
  <c r="CG114"/>
  <c r="CG113"/>
  <c r="CG112"/>
  <c r="CG111"/>
  <c r="CG110"/>
  <c r="CG109"/>
  <c r="CG108"/>
  <c r="CG107"/>
  <c r="CG106"/>
  <c r="CG105"/>
  <c r="CG104"/>
  <c r="CG103"/>
  <c r="CG102"/>
  <c r="CG101"/>
  <c r="CG100"/>
  <c r="A101"/>
  <c r="A102" s="1"/>
  <c r="A103" s="1"/>
  <c r="CG99"/>
  <c r="CG62"/>
  <c r="CG61"/>
  <c r="CG60"/>
  <c r="CG31"/>
  <c r="CG30"/>
  <c r="CG29"/>
  <c r="CG28"/>
  <c r="CG27"/>
  <c r="CG26"/>
  <c r="CG25"/>
  <c r="CG24"/>
  <c r="CG23"/>
  <c r="CG22"/>
  <c r="CG21"/>
  <c r="CG20"/>
  <c r="CG19"/>
  <c r="CG18"/>
  <c r="CG17"/>
  <c r="CG16"/>
  <c r="CG15"/>
  <c r="CG14"/>
  <c r="CG13"/>
  <c r="CG12"/>
  <c r="CG11"/>
  <c r="CG10"/>
  <c r="CG9"/>
  <c r="CG8"/>
  <c r="A29"/>
  <c r="A30" s="1"/>
  <c r="CG7"/>
  <c r="FC30" i="43"/>
  <c r="DP30"/>
  <c r="DP27"/>
  <c r="DP24"/>
  <c r="FC21"/>
  <c r="DP21"/>
  <c r="DP17"/>
  <c r="DP14"/>
  <c r="A33" i="41" l="1"/>
  <c r="DP13" i="43"/>
  <c r="DP7" s="1"/>
  <c r="A128" i="41"/>
  <c r="A129" s="1"/>
  <c r="A130" s="1"/>
  <c r="A131" s="1"/>
  <c r="A125"/>
  <c r="A126" s="1"/>
  <c r="A132"/>
  <c r="A133" s="1"/>
  <c r="A134" s="1"/>
  <c r="A135" s="1"/>
  <c r="A136" s="1"/>
  <c r="CG137"/>
  <c r="CP224" l="1"/>
  <c r="CP221" l="1"/>
  <c r="CP203"/>
  <c r="CP212"/>
  <c r="CP202" l="1"/>
  <c r="CP235" l="1"/>
  <c r="CP230"/>
  <c r="CP229"/>
  <c r="CP228"/>
  <c r="CP226"/>
  <c r="CP225"/>
  <c r="A38"/>
  <c r="A39" s="1"/>
  <c r="A44" s="1"/>
  <c r="A45" s="1"/>
  <c r="A46" s="1"/>
  <c r="A47" s="1"/>
  <c r="A52" s="1"/>
  <c r="A54" s="1"/>
  <c r="A55" s="1"/>
  <c r="A60" s="1"/>
  <c r="A61" s="1"/>
  <c r="A62" s="1"/>
  <c r="J66" i="42"/>
  <c r="I66"/>
  <c r="CG230" i="41" l="1"/>
  <c r="CG229"/>
  <c r="CG228"/>
  <c r="CG227"/>
  <c r="CG226"/>
  <c r="CG225"/>
  <c r="CP211"/>
  <c r="CG211"/>
  <c r="CG210"/>
  <c r="CG209"/>
  <c r="CF263"/>
  <c r="CE263"/>
  <c r="CD263"/>
  <c r="CF262"/>
  <c r="CD262"/>
  <c r="CF261"/>
  <c r="CE261"/>
  <c r="CD261"/>
  <c r="CF260"/>
  <c r="CE260"/>
  <c r="CD260"/>
  <c r="CF256"/>
  <c r="CE256"/>
  <c r="CD256"/>
  <c r="CG255"/>
  <c r="CF254"/>
  <c r="CE254"/>
  <c r="CD254"/>
  <c r="CF253"/>
  <c r="CE253"/>
  <c r="CD253"/>
  <c r="BN252"/>
  <c r="CF249"/>
  <c r="CE249"/>
  <c r="CD249"/>
  <c r="CG248"/>
  <c r="CF247"/>
  <c r="CE247"/>
  <c r="CD247"/>
  <c r="CF246"/>
  <c r="CE246"/>
  <c r="CD246"/>
  <c r="CF242"/>
  <c r="CE242"/>
  <c r="CD242"/>
  <c r="CG241"/>
  <c r="CF240"/>
  <c r="CE240"/>
  <c r="CD240"/>
  <c r="CF238"/>
  <c r="CE238"/>
  <c r="CD238"/>
  <c r="CG235"/>
  <c r="CG234"/>
  <c r="CG233"/>
  <c r="CP233"/>
  <c r="CG232"/>
  <c r="CP232"/>
  <c r="CG231"/>
  <c r="CP231"/>
  <c r="CG208"/>
  <c r="CF182"/>
  <c r="CD182"/>
  <c r="CE182"/>
  <c r="CF63"/>
  <c r="CE63"/>
  <c r="CD63"/>
  <c r="CG59"/>
  <c r="CG58"/>
  <c r="CG57"/>
  <c r="CG56"/>
  <c r="CG55"/>
  <c r="CG54"/>
  <c r="CG53"/>
  <c r="CG52"/>
  <c r="CG51"/>
  <c r="CG50"/>
  <c r="CG49"/>
  <c r="CG48"/>
  <c r="CG47"/>
  <c r="CG46"/>
  <c r="CG45"/>
  <c r="CG44"/>
  <c r="CG43"/>
  <c r="CG42"/>
  <c r="CG41"/>
  <c r="CG40"/>
  <c r="CG39"/>
  <c r="CG38"/>
  <c r="CG37"/>
  <c r="CG36"/>
  <c r="CG35"/>
  <c r="BP46" i="40"/>
  <c r="AJ46"/>
  <c r="CQ45"/>
  <c r="AJ42"/>
  <c r="CQ41"/>
  <c r="AJ38"/>
  <c r="CQ37"/>
  <c r="BP19"/>
  <c r="CQ19" s="1"/>
  <c r="CQ20" s="1"/>
  <c r="BP17"/>
  <c r="BP15"/>
  <c r="BP13" s="1"/>
  <c r="CQ69" i="39"/>
  <c r="CQ42"/>
  <c r="BJ38"/>
  <c r="CQ40" s="1"/>
  <c r="CQ22"/>
  <c r="BN15"/>
  <c r="BN14"/>
  <c r="BN13"/>
  <c r="BN12"/>
  <c r="BN11"/>
  <c r="BP21" i="38"/>
  <c r="BP20"/>
  <c r="BP19"/>
  <c r="BP8"/>
  <c r="AG55" i="37"/>
  <c r="DF55" s="1"/>
  <c r="U35"/>
  <c r="AG19"/>
  <c r="U19"/>
  <c r="BP22" i="38" l="1"/>
  <c r="DF19" i="37"/>
  <c r="AG36"/>
  <c r="DF36" s="1"/>
  <c r="BP42" i="40"/>
  <c r="CQ42" s="1"/>
  <c r="BP16"/>
  <c r="BP21" s="1"/>
  <c r="CQ39"/>
  <c r="BP10" i="38"/>
  <c r="AG35" i="37"/>
  <c r="DF35" s="1"/>
  <c r="CQ38" i="40"/>
  <c r="BN22" i="39"/>
  <c r="CQ23" s="1"/>
  <c r="CP210" i="41"/>
  <c r="CP209"/>
  <c r="CG254"/>
  <c r="CF257"/>
  <c r="CG247"/>
  <c r="CE257"/>
  <c r="CG242"/>
  <c r="CE243"/>
  <c r="CG256"/>
  <c r="CG238"/>
  <c r="CG240"/>
  <c r="CD250"/>
  <c r="CG249"/>
  <c r="CF264"/>
  <c r="CG182"/>
  <c r="CG261"/>
  <c r="CF250"/>
  <c r="CG263"/>
  <c r="CP182"/>
  <c r="CG63"/>
  <c r="CG253"/>
  <c r="CF243"/>
  <c r="CE250"/>
  <c r="CG246"/>
  <c r="CG260"/>
  <c r="CD257"/>
  <c r="CD264"/>
  <c r="CP208"/>
  <c r="CD243"/>
  <c r="CE262"/>
  <c r="CG262" s="1"/>
  <c r="CQ43" i="40"/>
  <c r="DF56" i="37"/>
  <c r="AG56"/>
  <c r="AG20"/>
  <c r="DF20" s="1"/>
  <c r="D10" i="6"/>
  <c r="BP54" i="40" l="1"/>
  <c r="AG37" i="37"/>
  <c r="CG257" i="41"/>
  <c r="CG250"/>
  <c r="CG243"/>
  <c r="CG264"/>
  <c r="CE264"/>
  <c r="AG21" i="37"/>
  <c r="DF37" l="1"/>
  <c r="DF21"/>
  <c r="BE34" i="38" l="1"/>
  <c r="BE41" l="1"/>
  <c r="BQ41" s="1"/>
  <c r="BQ34"/>
  <c r="BQ33" s="1"/>
  <c r="BE52"/>
  <c r="BQ52" s="1"/>
  <c r="BE46"/>
  <c r="BQ46" s="1"/>
  <c r="CR38"/>
  <c r="CP191" i="41"/>
  <c r="BQ39" i="38" l="1"/>
  <c r="BQ54" s="1"/>
  <c r="CR54" s="1"/>
  <c r="CP137" i="41"/>
  <c r="CP234" l="1"/>
  <c r="CP63"/>
  <c r="E18" i="20" l="1"/>
  <c r="D18"/>
  <c r="C18"/>
  <c r="O11" i="19"/>
  <c r="N11"/>
  <c r="M11"/>
  <c r="O10"/>
  <c r="N10"/>
  <c r="M10"/>
  <c r="O9"/>
  <c r="N9"/>
  <c r="M9"/>
  <c r="O8"/>
  <c r="N8"/>
  <c r="M8"/>
  <c r="O7"/>
  <c r="N7"/>
  <c r="M7"/>
  <c r="O6"/>
  <c r="O12" s="1"/>
  <c r="N6"/>
  <c r="M6"/>
  <c r="U6" i="18"/>
  <c r="V6"/>
  <c r="W6"/>
  <c r="U7"/>
  <c r="V7"/>
  <c r="W7"/>
  <c r="U8"/>
  <c r="V8"/>
  <c r="W8"/>
  <c r="U9"/>
  <c r="V9"/>
  <c r="W9"/>
  <c r="U10"/>
  <c r="V10"/>
  <c r="W10"/>
  <c r="U11"/>
  <c r="V11"/>
  <c r="W11"/>
  <c r="U12"/>
  <c r="V12"/>
  <c r="W12"/>
  <c r="U13"/>
  <c r="V13"/>
  <c r="W13"/>
  <c r="U14"/>
  <c r="V14"/>
  <c r="W14"/>
  <c r="N12" i="19" l="1"/>
  <c r="CP227" i="41"/>
  <c r="M12" i="19"/>
  <c r="W15" i="18"/>
  <c r="V15"/>
  <c r="U15"/>
  <c r="CP219" i="41" l="1"/>
  <c r="CP238"/>
</calcChain>
</file>

<file path=xl/comments1.xml><?xml version="1.0" encoding="utf-8"?>
<comments xmlns="http://schemas.openxmlformats.org/spreadsheetml/2006/main">
  <authors>
    <author>Бухгалтер</author>
  </authors>
  <commentList>
    <comment ref="EC10" authorId="0">
      <text>
        <r>
          <rPr>
            <b/>
            <sz val="9"/>
            <color indexed="81"/>
            <rFont val="Tahoma"/>
            <family val="2"/>
            <charset val="204"/>
          </rPr>
          <t>Бухгалтер:</t>
        </r>
        <r>
          <rPr>
            <sz val="9"/>
            <color indexed="81"/>
            <rFont val="Tahoma"/>
            <family val="2"/>
            <charset val="204"/>
          </rPr>
          <t xml:space="preserve">
в т.ч. Мз 319653,34   в/б-т 182,00</t>
        </r>
      </text>
    </comment>
    <comment ref="EP10" authorId="0">
      <text>
        <r>
          <rPr>
            <b/>
            <sz val="9"/>
            <color indexed="81"/>
            <rFont val="Tahoma"/>
            <family val="2"/>
            <charset val="204"/>
          </rPr>
          <t>Бухгалтер:</t>
        </r>
        <r>
          <rPr>
            <sz val="9"/>
            <color indexed="81"/>
            <rFont val="Tahoma"/>
            <family val="2"/>
            <charset val="204"/>
          </rPr>
          <t xml:space="preserve">
в т.ч. Мз 360770,28 в/б-т 367,37
</t>
        </r>
      </text>
    </comment>
    <comment ref="EC11" authorId="0">
      <text>
        <r>
          <rPr>
            <b/>
            <sz val="9"/>
            <color indexed="81"/>
            <rFont val="Tahoma"/>
            <family val="2"/>
            <charset val="204"/>
          </rPr>
          <t>Бухгалтер:</t>
        </r>
        <r>
          <rPr>
            <sz val="9"/>
            <color indexed="81"/>
            <rFont val="Tahoma"/>
            <family val="2"/>
            <charset val="204"/>
          </rPr>
          <t xml:space="preserve">
в т.ч. Мз 319653,34   в/б-т 182,00</t>
        </r>
      </text>
    </comment>
    <comment ref="EC12" authorId="0">
      <text>
        <r>
          <rPr>
            <b/>
            <sz val="9"/>
            <color indexed="81"/>
            <rFont val="Tahoma"/>
            <family val="2"/>
            <charset val="204"/>
          </rPr>
          <t>Бухгалтер:</t>
        </r>
        <r>
          <rPr>
            <sz val="9"/>
            <color indexed="81"/>
            <rFont val="Tahoma"/>
            <family val="2"/>
            <charset val="204"/>
          </rPr>
          <t xml:space="preserve">
в т.ч. Мз 319653,34   в/б-т 182,00</t>
        </r>
      </text>
    </comment>
  </commentList>
</comments>
</file>

<file path=xl/comments2.xml><?xml version="1.0" encoding="utf-8"?>
<comments xmlns="http://schemas.openxmlformats.org/spreadsheetml/2006/main">
  <authors>
    <author>Бухгалтер</author>
  </authors>
  <commentList>
    <comment ref="O6" authorId="0">
      <text>
        <r>
          <rPr>
            <b/>
            <sz val="9"/>
            <color indexed="81"/>
            <rFont val="Tahoma"/>
            <family val="2"/>
            <charset val="204"/>
          </rPr>
          <t>Бухгалтер:</t>
        </r>
        <r>
          <rPr>
            <sz val="9"/>
            <color indexed="81"/>
            <rFont val="Tahoma"/>
            <family val="2"/>
            <charset val="204"/>
          </rPr>
          <t xml:space="preserve">
примерно из норматива АН</t>
        </r>
      </text>
    </comment>
  </commentList>
</comments>
</file>

<file path=xl/comments3.xml><?xml version="1.0" encoding="utf-8"?>
<comments xmlns="http://schemas.openxmlformats.org/spreadsheetml/2006/main">
  <authors>
    <author>Автор</author>
  </authors>
  <commentList>
    <comment ref="EE30" authorId="0">
      <text>
        <r>
          <rPr>
            <b/>
            <sz val="8"/>
            <color indexed="81"/>
            <rFont val="Tahoma"/>
            <family val="2"/>
            <charset val="204"/>
          </rPr>
          <t>Автор:</t>
        </r>
        <r>
          <rPr>
            <sz val="8"/>
            <color indexed="81"/>
            <rFont val="Tahoma"/>
            <family val="2"/>
            <charset val="204"/>
          </rPr>
          <t xml:space="preserve">
-817957,93 (выходное пособие) МБ ВР 321 соц</t>
        </r>
      </text>
    </comment>
  </commentList>
</comments>
</file>

<file path=xl/sharedStrings.xml><?xml version="1.0" encoding="utf-8"?>
<sst xmlns="http://schemas.openxmlformats.org/spreadsheetml/2006/main" count="2424" uniqueCount="1147">
  <si>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</si>
  <si>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</si>
  <si>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</si>
  <si>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</si>
  <si>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</si>
  <si>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</si>
  <si>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</si>
  <si>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</si>
  <si>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</si>
  <si>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</si>
  <si>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</si>
  <si>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</si>
  <si>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</si>
  <si>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</si>
  <si>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</si>
  <si>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</si>
  <si>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</si>
  <si>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</si>
  <si>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</si>
  <si>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Раздел 1. Поступления и выплаты</t>
  </si>
  <si>
    <t>0001</t>
  </si>
  <si>
    <t>х</t>
  </si>
  <si>
    <t>0002</t>
  </si>
  <si>
    <t>Доходы, всего:</t>
  </si>
  <si>
    <t>1000</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</si>
  <si>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</si>
  <si>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</si>
  <si>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</si>
  <si>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</si>
  <si>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</si>
  <si>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</si>
  <si>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</si>
  <si>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</si>
  <si>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</si>
  <si>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</si>
  <si>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</si>
  <si>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</si>
  <si>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</si>
  <si>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</si>
  <si>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</si>
  <si>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</si>
  <si>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</si>
  <si>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</si>
  <si>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</si>
  <si>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</si>
  <si>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</si>
  <si>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</si>
  <si>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</si>
  <si>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</si>
  <si>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</si>
  <si>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</si>
  <si>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</si>
  <si>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</si>
  <si>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</si>
  <si>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2100</t>
  </si>
  <si>
    <t>в том числе:
оплата труда</t>
  </si>
  <si>
    <t>2110</t>
  </si>
  <si>
    <t>111</t>
  </si>
  <si>
    <t>2120</t>
  </si>
  <si>
    <t>112</t>
  </si>
  <si>
    <t>2130</t>
  </si>
  <si>
    <t>113</t>
  </si>
  <si>
    <t>2140</t>
  </si>
  <si>
    <t>119</t>
  </si>
  <si>
    <t>в том числе:
на выплаты по оплате труда</t>
  </si>
  <si>
    <t>2141</t>
  </si>
  <si>
    <t>131</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</si>
  <si>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</si>
  <si>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</si>
  <si>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</si>
  <si>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</si>
  <si>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</si>
  <si>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</si>
  <si>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</si>
  <si>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</si>
  <si>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</si>
  <si>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</si>
  <si>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</si>
  <si>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</si>
  <si>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</si>
  <si>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</si>
  <si>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</si>
  <si>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</si>
  <si>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</si>
  <si>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</si>
  <si>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</si>
  <si>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</si>
  <si>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</si>
  <si>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</si>
  <si>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</si>
  <si>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</si>
  <si>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</si>
  <si>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2410</t>
  </si>
  <si>
    <t>810</t>
  </si>
  <si>
    <t>2420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</si>
  <si>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</si>
  <si>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</si>
  <si>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</si>
  <si>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</si>
  <si>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</si>
  <si>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</si>
  <si>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</si>
  <si>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</si>
  <si>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</si>
  <si>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</si>
  <si>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</si>
  <si>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</si>
  <si>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</si>
  <si>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</si>
  <si>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</si>
  <si>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</si>
  <si>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</si>
  <si>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</si>
  <si>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</si>
  <si>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</si>
  <si>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</si>
  <si>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</si>
  <si>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</si>
  <si>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</si>
  <si>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</si>
  <si>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</si>
  <si>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</si>
  <si>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</si>
  <si>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</si>
  <si>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</si>
  <si>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</si>
  <si>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</si>
  <si>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</si>
  <si>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</si>
  <si>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</si>
  <si>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</si>
  <si>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</si>
  <si>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</si>
  <si>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</si>
  <si>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</si>
  <si>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</si>
  <si>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</si>
  <si>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</si>
  <si>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</si>
  <si>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</si>
  <si>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</si>
  <si>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</si>
  <si>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</si>
  <si>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</si>
  <si>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</si>
  <si>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</si>
  <si>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</si>
  <si>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</si>
  <si>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</si>
  <si>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</si>
  <si>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</si>
  <si>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</si>
  <si>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</si>
  <si>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</si>
  <si>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</si>
  <si>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</si>
  <si>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</si>
  <si>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</si>
  <si>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</si>
  <si>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</si>
  <si>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</si>
  <si>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</si>
  <si>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</si>
  <si>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</si>
  <si>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</si>
  <si>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</si>
  <si>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</si>
  <si>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</si>
  <si>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</si>
  <si>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</si>
  <si>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</si>
  <si>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</si>
  <si>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</si>
  <si>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</si>
  <si>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</si>
  <si>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</si>
  <si>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</si>
  <si>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</si>
  <si>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</si>
  <si>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</si>
  <si>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</si>
  <si>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</si>
  <si>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</si>
  <si>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</si>
  <si>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</si>
  <si>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</si>
  <si>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</si>
  <si>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</si>
  <si>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</si>
  <si>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</si>
  <si>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20</t>
  </si>
  <si>
    <t>21</t>
  </si>
  <si>
    <t>22</t>
  </si>
  <si>
    <t>211</t>
  </si>
  <si>
    <t>внебюджетные источники</t>
  </si>
  <si>
    <t>1410</t>
  </si>
  <si>
    <t>226</t>
  </si>
  <si>
    <t>213</t>
  </si>
  <si>
    <t>1910</t>
  </si>
  <si>
    <t>1920</t>
  </si>
  <si>
    <t>безвозмездные денежные поступления</t>
  </si>
  <si>
    <t>безвозмездные денежные средства</t>
  </si>
  <si>
    <r>
      <t xml:space="preserve">в том числе:
</t>
    </r>
    <r>
      <rPr>
        <b/>
        <sz val="8"/>
        <rFont val="Times New Roman"/>
        <family val="1"/>
        <charset val="204"/>
      </rPr>
      <t>на выплаты персоналу, всего</t>
    </r>
  </si>
  <si>
    <r>
      <t xml:space="preserve">прочие поступления, всего </t>
    </r>
    <r>
      <rPr>
        <b/>
        <vertAlign val="superscript"/>
        <sz val="8"/>
        <rFont val="Times New Roman"/>
        <family val="1"/>
        <charset val="204"/>
      </rPr>
      <t>6</t>
    </r>
  </si>
  <si>
    <r>
      <t xml:space="preserve">в том числе:
</t>
    </r>
    <r>
      <rPr>
        <b/>
        <sz val="8"/>
        <rFont val="Times New Roman"/>
        <family val="1"/>
        <charset val="204"/>
      </rPr>
      <t>за счет субсидий, предоставляемых на финансовое обеспечение выполнения государственного (муниципального) задания</t>
    </r>
  </si>
  <si>
    <t>услуги связи</t>
  </si>
  <si>
    <t>221</t>
  </si>
  <si>
    <t>транспортные услуги</t>
  </si>
  <si>
    <t>222</t>
  </si>
  <si>
    <t>расходы на комунальные услуги</t>
  </si>
  <si>
    <t>223</t>
  </si>
  <si>
    <t>225</t>
  </si>
  <si>
    <t>работы, услуги по содержанию имущества</t>
  </si>
  <si>
    <t>прочие работы, услуги</t>
  </si>
  <si>
    <t>310</t>
  </si>
  <si>
    <t>264</t>
  </si>
  <si>
    <t>увеличение стоимости прочих оборотных запасов (материалов)</t>
  </si>
  <si>
    <t>увеличение стоимости основных средств</t>
  </si>
  <si>
    <t>3. Сведения и показатели об использовании ресурсов учреждения (подразделения)</t>
  </si>
  <si>
    <t>Единица измерения</t>
  </si>
  <si>
    <t>1. Сведения об уровне оплаты труда работников учреждения (подразделения)</t>
  </si>
  <si>
    <t>1.1. Фонд оплаты труда, всего</t>
  </si>
  <si>
    <t>тыс. руб.</t>
  </si>
  <si>
    <t>из них: выплаты стимулирующего характера</t>
  </si>
  <si>
    <t>1.1.1.Фонд оплаты труда руководителей учреждения  (подразделения) и их заместителей</t>
  </si>
  <si>
    <t>1.1.2. Фонд оплаты труда прочих работников учреждения (подразделения)</t>
  </si>
  <si>
    <t>1.2. Фонд оплаты труда отдельных категорий работников бюджетной сферы, повышение оплаты труда которых предусмотрено указами Президента РФ, всего</t>
  </si>
  <si>
    <t>в том числе по категориям работников:</t>
  </si>
  <si>
    <t>1.3. Среднесписочная численность работников учреждения (подразделения)</t>
  </si>
  <si>
    <t>чел.</t>
  </si>
  <si>
    <t>1.3.1. Среднесписочная численность руководителей учреждения  (подразделения) и их заместителей</t>
  </si>
  <si>
    <t>1.3.2. Среднесписочная численность прочих работников учреждения (подразделения)</t>
  </si>
  <si>
    <t>1.4. Среднесписочная численность работников учреждения (подразделения),  с которыми заключены эффективные контракты</t>
  </si>
  <si>
    <t>1.4.1. Среднесписочная численность руководителей учреждения  (подразделения) и их заместителей, с которыми заключены эффективные контракты</t>
  </si>
  <si>
    <t>1.4.2. Среднесписочная численность прочих работников учреждения (подразделения), с которыми заключены эффективные контракты</t>
  </si>
  <si>
    <t>1.5. Среднесписочная численность отдельных категорий работников бюджетной сферы, повышение оплаты труда которых предусмотрено указами Президента РФ, всего</t>
  </si>
  <si>
    <t>1.6. Средняя заработная плата, необходимая для реализации указов Президента РФ, предусматривающих повышение оплаты труда отдельных категорий работников бюджетной сферы</t>
  </si>
  <si>
    <t>руб.</t>
  </si>
  <si>
    <t xml:space="preserve"> 1.7. Средняя заработная плата, сложившаяся/прогнозируемая в отчетном периоде</t>
  </si>
  <si>
    <t>в том числе по категориям работников, повышение оплаты труда которых предусмотрено указами Президента РФ</t>
  </si>
  <si>
    <t>1.8. Отношение средней заработной платы руководителей учреждения (подразделения) и их заместителей к средней заработной плате работников учреждения (подразделения)</t>
  </si>
  <si>
    <t>%</t>
  </si>
  <si>
    <t>1.9. Отношение средней заработной платы, сложившейся/прогнозируемой в отчетном периоде, к средней заработной плате, необходимой для реализации указов Президента РФ</t>
  </si>
  <si>
    <t>2. Сведения об использовании имущества учреждения (подразделения)</t>
  </si>
  <si>
    <t>2.1. Общая площадь объектов недвижимого имущества, закрепленная за  учреждением (подразделением)</t>
  </si>
  <si>
    <t>м²</t>
  </si>
  <si>
    <t>2.1.1. Площадь недвижимого имущества в безвозмездном пользовании, всего</t>
  </si>
  <si>
    <t>2.1.2. Площадь недвижимого имущества в безвозмездном пользовании, не используемая для выполнения муниципального задания</t>
  </si>
  <si>
    <t>2.1.3. Площадь недвижимого имущества, переданная в аренду</t>
  </si>
  <si>
    <t>2.2. Затраты на содержание имущества учреждения (подразделения)</t>
  </si>
  <si>
    <t>2.2.1. Затраты на содержание имущества учреждения (подразделения), не используемого для выполнения муниципального задания</t>
  </si>
  <si>
    <t>2.3. Коэффициент износа основных средств (отношение величины износа основных средств на конец отчетного периода к  стоимости основных средств учреждения на конец отчетного периода)</t>
  </si>
  <si>
    <t>ед.</t>
  </si>
  <si>
    <t>2.4. Коэффициент обновления основных средств (отношение стоимости основных средств, поступивших за отчетный период, к общей стоимости основных средств учреждения на конец отчетного периода)</t>
  </si>
  <si>
    <t>2.5. Коэффициенты ремонта зданий, характеризующие величину фактических расходов на капитальный ремонт зданий, приходящуюся на один рубль балансовой стоимости основных средств (в том числе за счет бюджетных средств)</t>
  </si>
  <si>
    <t>Наименование мероприятия</t>
  </si>
  <si>
    <t>Сроки проведения</t>
  </si>
  <si>
    <t>Ожидаемый результат реализации</t>
  </si>
  <si>
    <t>Затраты, необходимые на проведение мероприятия, тыс. руб</t>
  </si>
  <si>
    <t>2. Повышение эффективности управления муниципальной собственностью</t>
  </si>
  <si>
    <t>3. Повышение качества предоставления муниципальных услуг</t>
  </si>
  <si>
    <t>4. Направления оптимизации расходов учреждения (подразделения)</t>
  </si>
  <si>
    <t>Итого:</t>
  </si>
  <si>
    <t>СОГЛАСОВАНО:</t>
  </si>
  <si>
    <t>189</t>
  </si>
  <si>
    <t>200</t>
  </si>
  <si>
    <t>210</t>
  </si>
  <si>
    <t>260</t>
  </si>
  <si>
    <t>290</t>
  </si>
  <si>
    <t>Сумма, руб.</t>
  </si>
  <si>
    <t>КОДЫ</t>
  </si>
  <si>
    <t>КПП</t>
  </si>
  <si>
    <t xml:space="preserve"> </t>
  </si>
  <si>
    <t>Дата</t>
  </si>
  <si>
    <t>по Сводному реестру</t>
  </si>
  <si>
    <t>глава по БК</t>
  </si>
  <si>
    <t>ПЛАН</t>
  </si>
  <si>
    <t xml:space="preserve">в том числе :                                                                                                                                                          средства  федерального и областного бюджета </t>
  </si>
  <si>
    <t>средства местного бюджета района (поселения)</t>
  </si>
  <si>
    <t>19</t>
  </si>
  <si>
    <t>отчетный финансовый год</t>
  </si>
  <si>
    <t>второй год планового периода</t>
  </si>
  <si>
    <t xml:space="preserve">         средства местного бюджета района (поселения)</t>
  </si>
  <si>
    <t>в том числе:
     средства федерального и областного бюджета</t>
  </si>
  <si>
    <t xml:space="preserve">     средства федерального и областного бюджета</t>
  </si>
  <si>
    <r>
      <t xml:space="preserve">в том числе :                                                                                                                                                          </t>
    </r>
    <r>
      <rPr>
        <b/>
        <sz val="8"/>
        <rFont val="Times New Roman"/>
        <family val="1"/>
        <charset val="204"/>
      </rPr>
      <t>доходы от собственности, всего</t>
    </r>
  </si>
  <si>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(федеральный и обласной бюджет)</t>
  </si>
  <si>
    <t>1310</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</si>
  <si>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</si>
  <si>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законодательства для выполнения отдельных полномочий</t>
  </si>
  <si>
    <t>взносы по обязательному социальному страхованию на выплаты по оплате труда труда работников и иные выплаты работникам учреждений, всего:</t>
  </si>
  <si>
    <t>социальное обеспечение и иные выплаты населению, всего</t>
  </si>
  <si>
    <t>премии и гранты</t>
  </si>
  <si>
    <t>иные выплаты населению</t>
  </si>
  <si>
    <t>в том числе:
налог на имущество организаций и земельный налог</t>
  </si>
  <si>
    <t>уплата прочих налогов и сборов</t>
  </si>
  <si>
    <t>уплата иных штрафов</t>
  </si>
  <si>
    <t>второй год планового период</t>
  </si>
  <si>
    <t xml:space="preserve">Раздел 2. Сведения по выплатам на закупки товаров, работ, услуг </t>
  </si>
  <si>
    <r>
      <t xml:space="preserve">Выплаты на закупку товаров, работ, услуг, всего </t>
    </r>
    <r>
      <rPr>
        <b/>
        <vertAlign val="superscript"/>
        <sz val="8"/>
        <rFont val="Times New Roman"/>
        <family val="1"/>
        <charset val="204"/>
      </rPr>
      <t>10</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</si>
  <si>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 xml:space="preserve"> 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</si>
  <si>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</si>
  <si>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</si>
  <si>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11</t>
    </r>
  </si>
  <si>
    <r>
      <t xml:space="preserve">в соответствии с Федеральным законом № 223-ФЗ </t>
    </r>
    <r>
      <rPr>
        <vertAlign val="superscript"/>
        <sz val="8"/>
        <rFont val="Times New Roman"/>
        <family val="1"/>
        <charset val="204"/>
      </rPr>
      <t>13</t>
    </r>
  </si>
  <si>
    <r>
      <t xml:space="preserve">в соответствии с Федеральным законом № 223-ФЗ </t>
    </r>
    <r>
      <rPr>
        <vertAlign val="superscript"/>
        <sz val="8"/>
        <rFont val="Times New Roman"/>
        <family val="1"/>
        <charset val="204"/>
      </rPr>
      <t>12</t>
    </r>
  </si>
  <si>
    <r>
      <t xml:space="preserve">за счет субсидий, предоставляемых на осуществление капитальных вложений </t>
    </r>
    <r>
      <rPr>
        <b/>
        <vertAlign val="superscript"/>
        <sz val="8"/>
        <rFont val="Times New Roman"/>
        <family val="1"/>
        <charset val="204"/>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</si>
  <si>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charset val="204"/>
      </rPr>
      <t>15</t>
    </r>
  </si>
  <si>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</si>
  <si>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В графе 3 отражаются:</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</si>
  <si>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</si>
  <si>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</si>
  <si>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</si>
  <si>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(микрозайов), а также за счет возврата средств, размещенных на банковских депозитах</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</si>
  <si>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контрактоа (договорам), заключенным (планируемым к заключению) в соответствии с гражданским законодательством Российской Федерации (строки 26100 и 26200), а такжепо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</si>
  <si>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         </t>
    </r>
    <r>
      <rPr>
        <vertAlign val="superscript"/>
        <sz val="7"/>
        <rFont val="Times New Roman"/>
        <family val="1"/>
        <charset val="204"/>
      </rPr>
      <t>11</t>
    </r>
    <r>
      <rPr>
        <sz val="7"/>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</si>
  <si>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 xml:space="preserve">         </t>
    </r>
    <r>
      <rPr>
        <vertAlign val="superscript"/>
        <sz val="7"/>
        <rFont val="Times New Roman"/>
        <family val="1"/>
        <charset val="204"/>
      </rPr>
      <t>12</t>
    </r>
    <r>
      <rPr>
        <sz val="7"/>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</si>
  <si>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 xml:space="preserve">         </t>
    </r>
    <r>
      <rPr>
        <vertAlign val="superscript"/>
        <sz val="7"/>
        <rFont val="Times New Roman"/>
        <family val="1"/>
        <charset val="204"/>
      </rPr>
      <t>13</t>
    </r>
    <r>
      <rPr>
        <sz val="7"/>
        <rFont val="Times New Roman"/>
        <family val="1"/>
        <charset val="204"/>
      </rPr>
      <t xml:space="preserve">  Муниципальным бюджетным учреждением показатель не формируется</t>
    </r>
  </si>
  <si>
    <r>
      <t xml:space="preserve">         </t>
    </r>
    <r>
      <rPr>
        <vertAlign val="superscript"/>
        <sz val="7"/>
        <rFont val="Times New Roman"/>
        <family val="1"/>
        <charset val="204"/>
      </rPr>
      <t>14</t>
    </r>
    <r>
      <rPr>
        <sz val="7"/>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</si>
  <si>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7"/>
        <rFont val="Times New Roman"/>
        <family val="1"/>
        <charset val="204"/>
      </rPr>
      <t>15</t>
    </r>
    <r>
      <rPr>
        <sz val="7"/>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</si>
  <si>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 xml:space="preserve">4. Перечень мероприятий по повышению эффективности деятельности учреждения </t>
  </si>
  <si>
    <t>1. Повышение эффективности управления и кадрового потенциала учреждения</t>
  </si>
  <si>
    <t>(наименование должности уполномоченного лица структурного продразделения администрации, осуществляющего фнкции и полномочия учредителя)</t>
  </si>
  <si>
    <t xml:space="preserve">         ________________________</t>
  </si>
  <si>
    <t>наименование</t>
  </si>
  <si>
    <t>номер</t>
  </si>
  <si>
    <t>вид</t>
  </si>
  <si>
    <t>Итого</t>
  </si>
  <si>
    <t>0009</t>
  </si>
  <si>
    <t>0008</t>
  </si>
  <si>
    <t>0007</t>
  </si>
  <si>
    <t>0006</t>
  </si>
  <si>
    <t>0005</t>
  </si>
  <si>
    <t>0004</t>
  </si>
  <si>
    <t>0003</t>
  </si>
  <si>
    <t>Общий объем планируемых поступлений</t>
  </si>
  <si>
    <t>Планируемый объем оказания услуг 
(выполнения работ)</t>
  </si>
  <si>
    <t>Плата (тариф) за единицу услуги (работы)</t>
  </si>
  <si>
    <t>Наименование услуги (работы)</t>
  </si>
  <si>
    <t>1. Расчет плановых поступлений от оказания услуг (выполнения работ) в рамках установленного государственного (муниципального)  задания</t>
  </si>
  <si>
    <t>1.1 Справочно: сведения о нормативных правовых (правовых) актах, устанавливающих размер платы (тарифа) и (или) порядок ее (его) расчета</t>
  </si>
  <si>
    <t>1. Расчет плановых поступлений от оказания услуг, выполнения работ, реализации готовой продукции иной приносящей доход деятельности</t>
  </si>
  <si>
    <t>Наименование субсидии на иные цели текущего характера</t>
  </si>
  <si>
    <t>Код 
строки</t>
  </si>
  <si>
    <t>Сумма, руб</t>
  </si>
  <si>
    <t>0101</t>
  </si>
  <si>
    <t>0102</t>
  </si>
  <si>
    <t>0103</t>
  </si>
  <si>
    <t>0104</t>
  </si>
  <si>
    <t>0105</t>
  </si>
  <si>
    <t>0106</t>
  </si>
  <si>
    <t>0107</t>
  </si>
  <si>
    <t>0108</t>
  </si>
  <si>
    <t>0109</t>
  </si>
  <si>
    <t>0110</t>
  </si>
  <si>
    <t>9000</t>
  </si>
  <si>
    <t>Документ</t>
  </si>
  <si>
    <r>
      <t xml:space="preserve">Анали-тический         код </t>
    </r>
    <r>
      <rPr>
        <vertAlign val="superscript"/>
        <sz val="8"/>
        <rFont val="Times New Roman"/>
        <family val="1"/>
        <charset val="204"/>
      </rPr>
      <t>4</t>
    </r>
  </si>
  <si>
    <t>Начисления на выплаты по оплате труда (КФО 4 ОБ)</t>
  </si>
  <si>
    <t>Начисления на выплаты по оплате труда (КФО 4 МБ)</t>
  </si>
  <si>
    <t>Заработная плата прочих работников (КФО 4 ОБ)</t>
  </si>
  <si>
    <t>Заработная плата прочих работников (КФО 4 МБ)</t>
  </si>
  <si>
    <t>Медицинский осмотр (КФО 4 МБ)</t>
  </si>
  <si>
    <t>Льготный проезд в отпуск (КФО 5 МБ)</t>
  </si>
  <si>
    <t>Выплаты компенсации ЕЖКВ специалистам (КФО 5 ОБ)</t>
  </si>
  <si>
    <t>Прочие расходы (налоги) (КФО 4 МБ)</t>
  </si>
  <si>
    <t>Прочие расходы (пошлины) (КФО 4 МБ)</t>
  </si>
  <si>
    <t>2510</t>
  </si>
  <si>
    <t>банковские расходы при компенсации расходов ЕЖКВ (КФО 5 ОБ)</t>
  </si>
  <si>
    <r>
      <t xml:space="preserve">Расходы на закупку товаров, работ, услуг, всего </t>
    </r>
    <r>
      <rPr>
        <b/>
        <vertAlign val="superscript"/>
        <sz val="8"/>
        <rFont val="Times New Roman"/>
        <family val="1"/>
        <charset val="204"/>
      </rPr>
      <t>7</t>
    </r>
  </si>
  <si>
    <t xml:space="preserve">Арендная плата за пользование имуществом </t>
  </si>
  <si>
    <t>224</t>
  </si>
  <si>
    <t>Отопление (КФО 4 МБ)</t>
  </si>
  <si>
    <t>Водоснабжение и водоотведение (КФО 4 МБ)</t>
  </si>
  <si>
    <t>Дезинсекция, дератизация (КФО 4 МБ)</t>
  </si>
  <si>
    <t>страхование</t>
  </si>
  <si>
    <t>227</t>
  </si>
  <si>
    <t>2653</t>
  </si>
  <si>
    <r>
      <t xml:space="preserve">Остаток средств на начало текущего финансового года </t>
    </r>
    <r>
      <rPr>
        <b/>
        <vertAlign val="superscript"/>
        <sz val="10"/>
        <rFont val="Times New Roman"/>
        <family val="1"/>
        <charset val="204"/>
      </rPr>
      <t>4</t>
    </r>
  </si>
  <si>
    <r>
      <t xml:space="preserve">Остаток средств на конец текущего финансового года </t>
    </r>
    <r>
      <rPr>
        <b/>
        <vertAlign val="superscript"/>
        <sz val="10"/>
        <rFont val="Times New Roman"/>
        <family val="1"/>
        <charset val="204"/>
      </rPr>
      <t>4</t>
    </r>
  </si>
  <si>
    <t>тел. (8-815-38) 41-364</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</si>
  <si>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</si>
  <si>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</si>
  <si>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</si>
  <si>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111, 112, 119</t>
  </si>
  <si>
    <t>Источник финансового обеспечения</t>
  </si>
  <si>
    <t>Региональный бюджет</t>
  </si>
  <si>
    <t>1.1. Расчеты (обоснования) расходов на оплату труда</t>
  </si>
  <si>
    <t>№</t>
  </si>
  <si>
    <t>Должность,</t>
  </si>
  <si>
    <t>Установленная</t>
  </si>
  <si>
    <t>Среднемесячный размер оплаты труда на одного работника, руб.</t>
  </si>
  <si>
    <t>Ежемесячная</t>
  </si>
  <si>
    <t>Районный</t>
  </si>
  <si>
    <t>Фонд оплаты</t>
  </si>
  <si>
    <t>п/п</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</si>
  <si>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</si>
  <si>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</si>
  <si>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</si>
  <si>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</si>
  <si>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</si>
  <si>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</si>
  <si>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</si>
  <si>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</si>
  <si>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</si>
  <si>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</si>
  <si>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</si>
  <si>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 xml:space="preserve">полярная </t>
  </si>
  <si>
    <t>(гр. 3×гр. 4×</t>
  </si>
  <si>
    <t>компенсационного</t>
  </si>
  <si>
    <t>стимулирующего</t>
  </si>
  <si>
    <t>окладу, %</t>
  </si>
  <si>
    <t>надбавка</t>
  </si>
  <si>
    <t>(1+гр. 8/100)×</t>
  </si>
  <si>
    <t>окладу</t>
  </si>
  <si>
    <t>характера</t>
  </si>
  <si>
    <t>гр. 9×12)</t>
  </si>
  <si>
    <t>Прочий персонал</t>
  </si>
  <si>
    <t>Муниципальный бюджет</t>
  </si>
  <si>
    <t>коэффициент</t>
  </si>
  <si>
    <t>Основной персонал</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</si>
  <si>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</si>
  <si>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</si>
  <si>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</si>
  <si>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</si>
  <si>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выплаты на одного</t>
  </si>
  <si>
    <t>работников,</t>
  </si>
  <si>
    <t>дней</t>
  </si>
  <si>
    <t>(гр. 3×гр. 4×гр.5)</t>
  </si>
  <si>
    <t>суточные</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</si>
  <si>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</si>
  <si>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</si>
  <si>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</si>
  <si>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</si>
  <si>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</si>
  <si>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</si>
  <si>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</si>
  <si>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</si>
  <si>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</si>
  <si>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</si>
  <si>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</si>
  <si>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пособие по уходу за ребенком до 3-х лет</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</si>
  <si>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</si>
  <si>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</si>
  <si>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</si>
  <si>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</si>
  <si>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</si>
  <si>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</si>
  <si>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</si>
  <si>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</si>
  <si>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</si>
  <si>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</si>
  <si>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1.1.</t>
  </si>
  <si>
    <t>по ставке 22,0 %</t>
  </si>
  <si>
    <t>1.2.</t>
  </si>
  <si>
    <t>по ставке 10,0 %</t>
  </si>
  <si>
    <t>1.3.</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</si>
  <si>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</si>
  <si>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</si>
  <si>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</si>
  <si>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</si>
  <si>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</si>
  <si>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</si>
  <si>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</si>
  <si>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</si>
  <si>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</si>
  <si>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</si>
  <si>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</si>
  <si>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</si>
  <si>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</si>
  <si>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</si>
  <si>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</si>
  <si>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</si>
  <si>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</si>
  <si>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</si>
  <si>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</si>
  <si>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</si>
  <si>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муниципальный бюджет</t>
  </si>
  <si>
    <t>Размер одной</t>
  </si>
  <si>
    <t>Общая сумма</t>
  </si>
  <si>
    <t>выплаты, руб.</t>
  </si>
  <si>
    <t>выплат, руб.</t>
  </si>
  <si>
    <t>(гр. 3×гр. 4)</t>
  </si>
  <si>
    <t>оплата ЖКУ специалистам (педагоги)</t>
  </si>
  <si>
    <t>оплата ЖКУ специалистам (медики)</t>
  </si>
  <si>
    <t>оплата ЖКУ специалистам (прочие)</t>
  </si>
  <si>
    <t>пенсионеры</t>
  </si>
  <si>
    <t>льготный проезд в отпуск</t>
  </si>
  <si>
    <t>3. Расчет (обоснование) расходов на уплату налогов, сборов и иных платежей</t>
  </si>
  <si>
    <t>Налоговая</t>
  </si>
  <si>
    <t xml:space="preserve">Ставка </t>
  </si>
  <si>
    <t>Сумма исчисленного</t>
  </si>
  <si>
    <t>база, руб.</t>
  </si>
  <si>
    <t>налога, %</t>
  </si>
  <si>
    <t>налога, подлежащего</t>
  </si>
  <si>
    <t>уплате, руб.</t>
  </si>
  <si>
    <t>(гр. 3×гр. 4/100)</t>
  </si>
  <si>
    <t xml:space="preserve">уплата налогов, сборов и других платежей(земельный налог) </t>
  </si>
  <si>
    <t>уплата налогов, сборов и других платежей (налог на имущество)</t>
  </si>
  <si>
    <t>4. Расчет (обоснование) расходов на безвозмездные перечисления организациям</t>
  </si>
  <si>
    <t>6. Расчет (обоснование) расходов на закупку товаров, работ, услуг</t>
  </si>
  <si>
    <t>6.1. Расчет (обоснование) расходов на оплату услуг связи</t>
  </si>
  <si>
    <t>Стоимость</t>
  </si>
  <si>
    <t>номеров</t>
  </si>
  <si>
    <t>платежей</t>
  </si>
  <si>
    <t>в год</t>
  </si>
  <si>
    <t>Интернет</t>
  </si>
  <si>
    <t>6.2. Расчет (обоснование) расходов на оплату транспортных услуг</t>
  </si>
  <si>
    <t>Цена услуги</t>
  </si>
  <si>
    <t>услуг</t>
  </si>
  <si>
    <t>перевозки,</t>
  </si>
  <si>
    <t>перевозки</t>
  </si>
  <si>
    <t>код 222</t>
  </si>
  <si>
    <t>6.3. Расчет (обоснование) расходов на оплату коммунальных услуг</t>
  </si>
  <si>
    <t>Тариф</t>
  </si>
  <si>
    <t>Индексация,</t>
  </si>
  <si>
    <t>потребления</t>
  </si>
  <si>
    <t>(с учетом</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</si>
  <si>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</si>
  <si>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</si>
  <si>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</si>
  <si>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</si>
  <si>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</si>
  <si>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</si>
  <si>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</si>
  <si>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</si>
  <si>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t>
  </si>
  <si>
    <t>6.5. Расчет (обоснование) расходов на оплату работ, услуг по содержанию имущества</t>
  </si>
  <si>
    <t>Объект</t>
  </si>
  <si>
    <t>6.6. Расчет (обоснование) расходов на оплату прочих работ, услуг</t>
  </si>
  <si>
    <t>материальных запасов</t>
  </si>
  <si>
    <t>Средняя</t>
  </si>
  <si>
    <t>стоимость,</t>
  </si>
  <si>
    <t>(гр. 2×гр. 3)</t>
  </si>
  <si>
    <t>6.7.3. Расчет (обоснование) расходов на приобретение основных средств,</t>
  </si>
  <si>
    <t>УТВЕРЖДАЮ</t>
  </si>
  <si>
    <t>(наименование должности лица, утверждающего документ)</t>
  </si>
  <si>
    <t>СВЕДЕНИЯ</t>
  </si>
  <si>
    <t>ОБ ОПЕРАЦИЯХ С ЦЕЛЕВЫМИ СУБСИДИЯМИ, ПРЕДОСТАВЛЕННЫМИ</t>
  </si>
  <si>
    <t>Форма по ОКУД</t>
  </si>
  <si>
    <t>0501016</t>
  </si>
  <si>
    <t>Муниципальное бюджетное (автономное) учреждение</t>
  </si>
  <si>
    <t>Дата представления предыдущих сведений</t>
  </si>
  <si>
    <t xml:space="preserve">ИНН/КПП  </t>
  </si>
  <si>
    <t>По сводному реестру</t>
  </si>
  <si>
    <r>
      <t xml:space="preserve">Наименование бюджета    </t>
    </r>
    <r>
      <rPr>
        <u/>
        <sz val="10"/>
        <color indexed="8"/>
        <rFont val="Times New Roman"/>
        <family val="1"/>
        <charset val="204"/>
      </rPr>
      <t>муниципальный бюджет</t>
    </r>
  </si>
  <si>
    <t>по ОКТМО</t>
  </si>
  <si>
    <t xml:space="preserve">Наименование органа, осуществляющего функции и полномочия учредителя </t>
  </si>
  <si>
    <t>Глава по БК</t>
  </si>
  <si>
    <t>по ОКПО</t>
  </si>
  <si>
    <t xml:space="preserve">Наименование органа, осуществляющего ведение лицевого счета </t>
  </si>
  <si>
    <t>по ОКЕИ</t>
  </si>
  <si>
    <t>Управление Федерального казначейства по Мурманской области</t>
  </si>
  <si>
    <t>Единица измерения: руб. (с точностью до второго десятичного знака)</t>
  </si>
  <si>
    <t>Остаток средств на начало года</t>
  </si>
  <si>
    <t>Номер страницы</t>
  </si>
  <si>
    <t>Всего страниц</t>
  </si>
  <si>
    <t>Наименование субсидии</t>
  </si>
  <si>
    <t>Код субсидии</t>
  </si>
  <si>
    <t>Код по бюджетной классификации Российской Федерации</t>
  </si>
  <si>
    <t>Код объекта ФАИП</t>
  </si>
  <si>
    <t>Суммы возврата дебиторской задолженности прошлых лет</t>
  </si>
  <si>
    <t>Планируемые</t>
  </si>
  <si>
    <t>код</t>
  </si>
  <si>
    <t>сумма</t>
  </si>
  <si>
    <t>поступления</t>
  </si>
  <si>
    <t>Всего</t>
  </si>
  <si>
    <t xml:space="preserve"> ОТМЕТКА ОРГАНА, ОСУЩЕСТВЛЯЮЩЕГО ВЕДЕНИЕ ЛИЦЕВОГО СЧЕТА, О ПРИНЯТИИ НАСТОЯЩИХ СВЕДЕНИЙ </t>
  </si>
  <si>
    <t xml:space="preserve">(должность)                   (подпись)          (расшифровка подписи) </t>
  </si>
  <si>
    <t xml:space="preserve">Ответственный   </t>
  </si>
  <si>
    <t xml:space="preserve">Руководитель финансово-           </t>
  </si>
  <si>
    <t xml:space="preserve"> исполнитель  ___________________________________________________</t>
  </si>
  <si>
    <t xml:space="preserve">Ответственный    </t>
  </si>
  <si>
    <t>Начисления на выплаты по оплате труда (КФО 2)</t>
  </si>
  <si>
    <t>111,  112, 119</t>
  </si>
  <si>
    <t>Собственные средства</t>
  </si>
  <si>
    <t>работника,</t>
  </si>
  <si>
    <t>(поездок)</t>
  </si>
  <si>
    <t>муниципальный бюджет, собственные средства</t>
  </si>
  <si>
    <t>5. Расчет (обоснование) расходов на оплату услуг связи</t>
  </si>
  <si>
    <t>Почтовые расходы</t>
  </si>
  <si>
    <t>Телефон</t>
  </si>
  <si>
    <t>3.1.</t>
  </si>
  <si>
    <t>№ п/п</t>
  </si>
  <si>
    <t>Количество работ (услуг)</t>
  </si>
  <si>
    <t>Стоимость работ (услуг), руб.</t>
  </si>
  <si>
    <t>МЦП</t>
  </si>
  <si>
    <t>ВСЕГО</t>
  </si>
  <si>
    <t>Количество договоров</t>
  </si>
  <si>
    <t>Средняя стоимость, руб.</t>
  </si>
  <si>
    <t>1.226</t>
  </si>
  <si>
    <t>1.310</t>
  </si>
  <si>
    <t>1.340</t>
  </si>
  <si>
    <t>2.225</t>
  </si>
  <si>
    <t>2.226</t>
  </si>
  <si>
    <t>2.310</t>
  </si>
  <si>
    <t>2.340</t>
  </si>
  <si>
    <t>3.225</t>
  </si>
  <si>
    <t>3.226</t>
  </si>
  <si>
    <t>3.310</t>
  </si>
  <si>
    <t>3.340</t>
  </si>
  <si>
    <t xml:space="preserve">Руководитель финансово-  </t>
  </si>
  <si>
    <t>4.225</t>
  </si>
  <si>
    <t>4.226</t>
  </si>
  <si>
    <t>4.310</t>
  </si>
  <si>
    <t>4.340</t>
  </si>
  <si>
    <t xml:space="preserve">     наименование органа, осуществляющего функции и полномочия учредителя (учреждения))</t>
  </si>
  <si>
    <t>подпись                           (расшифровка подписи)</t>
  </si>
  <si>
    <t>031</t>
  </si>
  <si>
    <t>Прочие расходы (штрафы, пени, взносы, гарантийное обеспечение) (КФО 4 МБ)</t>
  </si>
  <si>
    <t>0801 0000000000 000 000 00000 244</t>
  </si>
  <si>
    <t>Програмное обеспечение (КФО 4 МБ)</t>
  </si>
  <si>
    <t>Демеркуризация (КФО 4 МБ)</t>
  </si>
  <si>
    <t>выплаты при сокращении сотрудников (КФО 4 МБ)</t>
  </si>
  <si>
    <t>работники культуры</t>
  </si>
  <si>
    <t>подпись                (расшифровка подписи)</t>
  </si>
  <si>
    <t>Наименование муниципального учреждения:</t>
  </si>
  <si>
    <t xml:space="preserve">Муниципальное бюджетное  учреждение "Ловозерский Центр развития досуга и культуры" </t>
  </si>
  <si>
    <t>ИНН</t>
  </si>
  <si>
    <t xml:space="preserve">Единица измерения: руб. (с точностью до второго десятичного знака)  </t>
  </si>
  <si>
    <t>Юридический адрес муниципального учреждения:</t>
  </si>
  <si>
    <t>184592, Мурманская область, Ловозерский район, с.Ловозеро, ул.Советская, д. 30</t>
  </si>
  <si>
    <t>Фактический адрес муниципального учреждения:</t>
  </si>
  <si>
    <t>1. Сведения о деятельности муниципального учреждения</t>
  </si>
  <si>
    <t xml:space="preserve">1.1. Цели деятельности муниципального учреждения: </t>
  </si>
  <si>
    <t xml:space="preserve">1.1. Основными принципами деятельности муниципального бюджетного учре-ждения являются:
– равный доступ к участию в культурной жизни и пользованию услугами, предос-тавляемые муниципальным бюджетным учреждением;
- гуманистический характер деятельности муниципального бюджетного учрежде-ния, приоритет общечеловеческих ценностей жизни и здоровья человека, свободного развития личности;
- содействие в сохранности единства культурного пространства страны, в под-держки и развитии самобытных национальных культур, региональных и местных куль-турных традиций и особенностей в условиях многонационального государства.
1.2. Муниципальное бюджетное учреждение создано в целях:
- обеспечения конституционного права граждан Российской Федерации на свободу творчества;
- удовлетворения общественных потребностей в сохранении и развитии народной традиционного культуры, занятиях физической культурой и спортом;
- поддержки любительского художественного творчества, другой самодеятельной творческой инициативы и социально-культурной активности населения;
- организации досуга и отдыха.
1.3. Задачами муниципального бюджетного учреждения являются:
- создание благоприятных условий для сохранения и развития традиционного на-родного художественного творчества, любительского искусства, другой самодеятельной творческой инициативы и социально-культурной активности населения;
- предоставление услуг социально-культурного, просветительского, общественно-значимого, спортивного, физкультурно-оздоровительного и развлекательного характера, доступных для широких слоёв населения;
- поддержка и развитие самобытных национальных культур, народных промыслов и ремёсел;
- вовлечение в культурную, просветительскую, воспитательную, спортивно-оздоровительную и досуговую деятельность максимально возможного числа жителей сельского поселения Ловозеро Ловозерского района Мурманской области;
- развитие современных форм организации культурного досуга с учётом потребностей различных социально-возрастных групп населения.
</t>
  </si>
  <si>
    <t>1.2. Виды деятельности муниципального учреждения:</t>
  </si>
  <si>
    <t xml:space="preserve">Основной 90.04.3 Деятельность учреждений клубного типа: клу-бов, дворцов и домов культуры, домов народ-ного творчества
Дополнительный 18.20 Копирование записанных наустителей инфор-мации
Дополнительный 47.9 Торговля розничная вне магазинов, палаток, рынков
Тип сведений Код ОКВЭД Наименование ОКВЭД
Дополнительный 55.20 Деятельность по предоставлению мест кратко-срочного проживания
Дополнительный 56.29 Деятельность предприятий общественного пи-тания по прочим видам организации питания
Дополнительный 59.14 Деятельность в области демонстрации кино-фильмов
Дополнительный 59.20 Деятельность в области звукозаписи и издания музыкальных произведений
Дополнительный 68.20.2 Аренда и управление собственным или арендованным нежилым недвижимым имуществом
Дополнительный 73.11 Деятельность рекламных агентств
Дополнительный 74.20 Деятельность в области фотографии
Дополнительный 77.21 Прокат и аренда товаров для отдыха и спортив-ных товаров
Дополнительный 77.29.3 Прокат музыкальных инструментов
Дополнительный 79.90.1 Деятельность по предоставлению туристических информационных услуг
Дополнительный 79.90.2 Деятельность по предоставлению экскурсион-ных туристических услуг
Дополнительный 82.99 Деятельность по предоставлению прочих вспо-могательных услуг для бизнеса, не включённая в другие группировки
Дополнительный 93.11 Деятельность спортивных объектов
Дополнительный 93.29 Деятельность зрелищно-развлекательная про-чая
Дополнительный 93.29.9. Деятельность зрелищно-развлекательная про-чая, не включённая в другие группировки 
Дополнительный 96.04 Деятельность физкультурно-оздоровительная
Учреждение вправе осуществлять некоторые виды деятельности, в том числе при-носящие доход, не относящиеся к основным видам деятельности муниципального бюд-жетного учреждения, лишь поскольку, поскольку это служит достижению целей, ради ко-торых оно создано, а именно:
- организация и проведение вечеров отдыха, танцевальных и других вечеров, праздников, встреч, гражданских и семейных обрядов, литературно-музыкальных гости-ных, балов, дискотек, концертов, спектаклей и других культурно-досуговых мероприятий, в том числе по заявкам организаций, предприятий и отдельных граждан;
- предоставление оркестров, ансамблей, самодеятельных художественных кол-лективов и отдельных исполнителей для семейных и гражданских праздников и торжеств;
- организация занятий  в платных клубных формированиях;
- оказание консультативной, методической и организационно-творческой помо-щи в подготовке и проведении культурно-досуговых мероприятий; 
- предоставление услуг по прокату сценических костюмов, культурного и другого инвентаря, аудио- и видеокассет с записями отечественных и зарубежных музыкальных и художественных произведений, звукоусиливающей, осветительной аппаратуры и другого профильного оборудования, изготовление сценических костюмов, обуви, реквизита;
- предоставление игровых комнат для детей (с воспитателем на время проведе-ния, мероприятий для взрослых);
</t>
  </si>
  <si>
    <t xml:space="preserve">организация в установленном порядке работы спортивных и физкультурно-оздоровительных клубов и секций, групп туризма и здоровья, компьютерных клубов, игровых и тренажерных залов и других подобных игровых и развлекательных досуговых объектов;
- организация и проведение ярмарок, лотерей, аукционов, выставок-продаж;
- предоставление помещений в аренду;
- предоставление услуг по организации питания и отдыха посетителей; 
  - услуги по изготовлению копий, фотокопированию, микрокопированию, репродуцированию, ксерокопированию, микрокопированию с печатной продукции, музейных экспонатов;
- услуги по звукозаписи и видеозаписи;
- услуги по изготовлению копий звукозаписей из фонотеки;
- озвучивание семейных праздников и юбилейных торжеств, а также иных меро-приятий, проведение рекламных и PR-акций;
-  осуществление деятельности  гостиниц;
- организация комплексного туристического обслуживания: предоставление туристических информационных услуг, туристических экскурсионных услуг и прочее;
-  услуги по организации фотосъемки;
-  услуги по изготовлению фотографий: фото на документы, портретное фото, школьные, свадебные,  фотографии для рекламы, и др.;
- иные виды приносящей доход деятельности, содействующие достижению целей создания Учреждения.
</t>
  </si>
  <si>
    <t xml:space="preserve">1.3. Перечень услуг (работ), осуществляемых на платной основе: </t>
  </si>
  <si>
    <t>Виды услуг</t>
  </si>
  <si>
    <t>Место проведения</t>
  </si>
  <si>
    <t>ЦРДК</t>
  </si>
  <si>
    <t>Прочие</t>
  </si>
  <si>
    <t>(руб.)</t>
  </si>
  <si>
    <t>I. Входные билеты</t>
  </si>
  <si>
    <t>Культурно-досуговое мероприятие</t>
  </si>
  <si>
    <t>Билет на 1 чел.</t>
  </si>
  <si>
    <t>Краснощельский ЭКЦ, обособленное подразделение с. Каневка, обособленное подразделение с. Сосновка</t>
  </si>
  <si>
    <t>Культурно-массовое мероприятие</t>
  </si>
  <si>
    <t xml:space="preserve">Краснощельский ЭКЦ, обособленное подразделение с. Каневка, обособленное подразделение с. Сосновка, на выезде (на площадке заказчика) </t>
  </si>
  <si>
    <t>II. Платные занятия</t>
  </si>
  <si>
    <t>Занятия по оздоровительной гимнастике</t>
  </si>
  <si>
    <t>абонемент на месяц</t>
  </si>
  <si>
    <t>Танцевальный класс</t>
  </si>
  <si>
    <t>Занятие по хореографии</t>
  </si>
  <si>
    <t>1 занятие</t>
  </si>
  <si>
    <t>III. Проведение мероприятий</t>
  </si>
  <si>
    <t>Разработка сценария торжественного мероприятия</t>
  </si>
  <si>
    <t>1 сценарий</t>
  </si>
  <si>
    <t>3.2.</t>
  </si>
  <si>
    <t>Разработка сценария, подготовка  и проведение  мероприятия (выпускной, корпоративный вечер и пр.)</t>
  </si>
  <si>
    <t>1 мероприятие</t>
  </si>
  <si>
    <t>3.3.</t>
  </si>
  <si>
    <t>Концертная программа народных коллективов (для организованной группы более 50 человек)</t>
  </si>
  <si>
    <t>1 час концерта</t>
  </si>
  <si>
    <t xml:space="preserve">Зрительный зал </t>
  </si>
  <si>
    <t>на выезде (на площадке закзчика)</t>
  </si>
  <si>
    <t>3.4.</t>
  </si>
  <si>
    <t>Концертная программа  (по предварительной заявке) для группы  не более 20 человек</t>
  </si>
  <si>
    <t>1 концерт для 1 группы</t>
  </si>
  <si>
    <t>Краснощельский ЭКЦ</t>
  </si>
  <si>
    <t>3.5.</t>
  </si>
  <si>
    <t>Подготовка и проведение праздничной программы для детей (по предварительной заявке) для группы не более 15 человек</t>
  </si>
  <si>
    <t>Малый зал</t>
  </si>
  <si>
    <t>Фойе ЦРДК</t>
  </si>
  <si>
    <t xml:space="preserve">IV. Услуги </t>
  </si>
  <si>
    <t>4.1.</t>
  </si>
  <si>
    <t xml:space="preserve">Видеосъемка мероприятия в помещении </t>
  </si>
  <si>
    <t>1 час</t>
  </si>
  <si>
    <t>4.2.</t>
  </si>
  <si>
    <t>Экспресс-фото</t>
  </si>
  <si>
    <t xml:space="preserve">4 шт. </t>
  </si>
  <si>
    <t>формат 3х4</t>
  </si>
  <si>
    <t>4.3.</t>
  </si>
  <si>
    <t>Звукозапись и обработка</t>
  </si>
  <si>
    <t>1 фонограмма</t>
  </si>
  <si>
    <t>Кабинет звукорежиссера</t>
  </si>
  <si>
    <t>4.4.</t>
  </si>
  <si>
    <t>Звуковое оформление</t>
  </si>
  <si>
    <t>фойе ЦРДК</t>
  </si>
  <si>
    <t>Улица</t>
  </si>
  <si>
    <t>В помещении заказчика</t>
  </si>
  <si>
    <t>4.5.</t>
  </si>
  <si>
    <t>Печать фотографий:</t>
  </si>
  <si>
    <t>1 шт.</t>
  </si>
  <si>
    <t>кабинет художника-постановщика</t>
  </si>
  <si>
    <t>- формат 10х15</t>
  </si>
  <si>
    <t>- формат 13х18</t>
  </si>
  <si>
    <t>- формат 15х20</t>
  </si>
  <si>
    <t>- формат 20х30</t>
  </si>
  <si>
    <t>- формат А3</t>
  </si>
  <si>
    <t>4.6.</t>
  </si>
  <si>
    <t>Ламинирование:</t>
  </si>
  <si>
    <t>- формат А6</t>
  </si>
  <si>
    <t>- формат А5</t>
  </si>
  <si>
    <t>- формат А4</t>
  </si>
  <si>
    <t>4.7.</t>
  </si>
  <si>
    <t>Аренда гаража</t>
  </si>
  <si>
    <t>1 месяц</t>
  </si>
  <si>
    <t xml:space="preserve">ул. Лесная </t>
  </si>
  <si>
    <t>4.8.</t>
  </si>
  <si>
    <t>Аренда танцевального класса</t>
  </si>
  <si>
    <t>танцевальный класс</t>
  </si>
  <si>
    <t>4.9.</t>
  </si>
  <si>
    <t>Аренда спортивного зала (для организаций)</t>
  </si>
  <si>
    <t>спортивный зал</t>
  </si>
  <si>
    <t>4.10.</t>
  </si>
  <si>
    <t>Аренда помещения:</t>
  </si>
  <si>
    <t>- в период с 9.00 до 21.00</t>
  </si>
  <si>
    <t>- в период с 21.00 до 09.00</t>
  </si>
  <si>
    <t>1 чел.</t>
  </si>
  <si>
    <t>4.11.</t>
  </si>
  <si>
    <t>Аренда сценического костюма</t>
  </si>
  <si>
    <t>4.12.</t>
  </si>
  <si>
    <t>Запись DVD диска</t>
  </si>
  <si>
    <t>1 диск</t>
  </si>
  <si>
    <t>4.13.</t>
  </si>
  <si>
    <t>Запись CD диска</t>
  </si>
  <si>
    <t>1 диск</t>
  </si>
  <si>
    <t>4.14.</t>
  </si>
  <si>
    <t xml:space="preserve">Прокат коньков </t>
  </si>
  <si>
    <t>Стадион</t>
  </si>
  <si>
    <t>4.15.</t>
  </si>
  <si>
    <t>Прокат велосипеда</t>
  </si>
  <si>
    <t>1 час / 1 месяц</t>
  </si>
  <si>
    <t>150/1500</t>
  </si>
  <si>
    <t>4.16.</t>
  </si>
  <si>
    <t>Прокат лыж</t>
  </si>
  <si>
    <t>4.17.</t>
  </si>
  <si>
    <t>Услуга по наполнению шаров гелием:</t>
  </si>
  <si>
    <t>- фольгированный</t>
  </si>
  <si>
    <t>- обычный</t>
  </si>
  <si>
    <t>4.18.</t>
  </si>
  <si>
    <t>Проведение рекламных акций</t>
  </si>
  <si>
    <t>V. Художественное оформление</t>
  </si>
  <si>
    <t>5.1.</t>
  </si>
  <si>
    <t>Оформление афиши (написание щита) </t>
  </si>
  <si>
    <t>5.2.</t>
  </si>
  <si>
    <t>Разработка макета объявления, афиши  (без печати)</t>
  </si>
  <si>
    <t>5.3.</t>
  </si>
  <si>
    <t>Печать объявлений (афиш) по макету заказчика (черно-белая)</t>
  </si>
  <si>
    <t>формат А4</t>
  </si>
  <si>
    <t>формат А3</t>
  </si>
  <si>
    <t>1шт.</t>
  </si>
  <si>
    <t>5.4.</t>
  </si>
  <si>
    <t>Печать объявлений (афиш) по макету заказчика (цветная)</t>
  </si>
  <si>
    <t>473Ч3498</t>
  </si>
  <si>
    <r>
      <t xml:space="preserve">Структурное подразделение администрации, осуществляющего функции и полномочия учредителя: </t>
    </r>
    <r>
      <rPr>
        <u/>
        <sz val="10"/>
        <color theme="1"/>
        <rFont val="Times New Roman"/>
        <family val="1"/>
        <charset val="204"/>
      </rPr>
      <t>Администрация Ловозерского района</t>
    </r>
  </si>
  <si>
    <t xml:space="preserve">47330001 </t>
  </si>
  <si>
    <t xml:space="preserve">по ОКЕИ </t>
  </si>
  <si>
    <t>по контрактам (договорам), планируемым к заключению в соответствующем финансовом году с учетом требований Федерального закона № 44-ФЗ</t>
  </si>
  <si>
    <t>по контрактам (договорам), планируемым к заключению в соответствующем финансовом году с учетом требований Федерального закона № 223-ФЗ</t>
  </si>
  <si>
    <t>0801 0000000000 000 000 00000 119</t>
  </si>
  <si>
    <t>0801 0710171100 611 241 24106 111</t>
  </si>
  <si>
    <t>0801 07101S1100 611 241 24106 111</t>
  </si>
  <si>
    <t>0801 07101Р1100 611 241 24106 111</t>
  </si>
  <si>
    <t>0801 0710171100 611 241 24106 119</t>
  </si>
  <si>
    <t>0801 07101S1100 611 241 24106 119</t>
  </si>
  <si>
    <t>0801 07101Р1100 611 241 24106 119</t>
  </si>
  <si>
    <t>Заработная плата прочих работников (КФО 2)</t>
  </si>
  <si>
    <t>0801 0000000000 000 000 00000 111</t>
  </si>
  <si>
    <t>Командировочные расходы, в т.ч.: (КФО 4  МБ)</t>
  </si>
  <si>
    <t>проезд , проживание</t>
  </si>
  <si>
    <t>Первичный медосмотр (КФО 4  МБ)</t>
  </si>
  <si>
    <t>0801 0710120090 611 241 24101 112</t>
  </si>
  <si>
    <t>21101</t>
  </si>
  <si>
    <t>121</t>
  </si>
  <si>
    <t>доходы от сдачи имущества в аренду</t>
  </si>
  <si>
    <t>0801 0000000000 000 000 00000 112</t>
  </si>
  <si>
    <t>21201</t>
  </si>
  <si>
    <t>22604</t>
  </si>
  <si>
    <t>22699</t>
  </si>
  <si>
    <t>21499</t>
  </si>
  <si>
    <t>0801 07101 Р1100 611 241 24106 321</t>
  </si>
  <si>
    <t>26402</t>
  </si>
  <si>
    <t>0801 0710120090 611 241 24101 851</t>
  </si>
  <si>
    <t>0801 0000000000 000 000 00000 853</t>
  </si>
  <si>
    <t>0801 0000000000 000 000 00000 852</t>
  </si>
  <si>
    <t>0801 0710120090 611 241 24101 852</t>
  </si>
  <si>
    <t>Прочие расходы (пошлины) (КФО 2)</t>
  </si>
  <si>
    <t>Прочие расходы (штрафы, пени, взносы, гарантийное обеспечение) (КФО 2)</t>
  </si>
  <si>
    <t>Командировочные расходы, в т.ч.: (КФО 2)</t>
  </si>
  <si>
    <t xml:space="preserve">Услуги связи, в т.ч.: (КФО 4 МБ) </t>
  </si>
  <si>
    <t>0801 0710120090 611 241 24101 244</t>
  </si>
  <si>
    <t>Услуги телефонной связи</t>
  </si>
  <si>
    <t>Услуги сети Интернет</t>
  </si>
  <si>
    <t>22100</t>
  </si>
  <si>
    <t xml:space="preserve">Услуги связи, в т.ч.: (КФО 2) </t>
  </si>
  <si>
    <t>Почтовые услуги</t>
  </si>
  <si>
    <t>22301</t>
  </si>
  <si>
    <t>22302</t>
  </si>
  <si>
    <t>Электроэнергия Ловозеро (КФО 4 МБ)</t>
  </si>
  <si>
    <t>Электроэнергия Краснощелье, Каневка, Сосновка (КФО 4 МБ)</t>
  </si>
  <si>
    <t>22303</t>
  </si>
  <si>
    <t>Услуги по обращению с ТКО (КФО 4 МБ)</t>
  </si>
  <si>
    <t>Оплата услуг по договору ГПХ (уборка) в с.Краснощелье (КФО 4 МБ)</t>
  </si>
  <si>
    <t>Огнезащитная обработка деревянных конструкций в с. Краснощелье (КФО 4 МБ)</t>
  </si>
  <si>
    <t>Проверка и заправка огнетушителей  (КФО 4 МБ)</t>
  </si>
  <si>
    <t>Техническое обслуживание установок автоматического пожаротушения (ППР АПС, испытание внутреннего пожарного водопровода)  (КФО 4 МБ)</t>
  </si>
  <si>
    <t>Техническое обслуживание АПС  (КФО 4 МБ)</t>
  </si>
  <si>
    <t>Техническое обслуживание установок охранной сигнализации  (КФО 4 МБ)</t>
  </si>
  <si>
    <t>Оплата услуг по договору ГПХ (рабочий) в с.Краснощелье (КФО 4 МБ)</t>
  </si>
  <si>
    <t>Обслуживание электросетей и электрооборудования  (КФО 4 МБ)</t>
  </si>
  <si>
    <t>Техническое обслуживание приборов учёта тепла (КФО 4 МБ)</t>
  </si>
  <si>
    <t>Промывка (опресовка) отопительной системы  (КФО 4 МБ)</t>
  </si>
  <si>
    <t>Заливка катка (Ловозеро) (КФО 4 МБ)</t>
  </si>
  <si>
    <t>Заливка катка (Краснощелье)(КФО 4 МБ)</t>
  </si>
  <si>
    <t>22501</t>
  </si>
  <si>
    <t>22503</t>
  </si>
  <si>
    <t>22504</t>
  </si>
  <si>
    <t>22505</t>
  </si>
  <si>
    <t>22599</t>
  </si>
  <si>
    <t>Вывоз крупногабаритного мусора (КФО 2)</t>
  </si>
  <si>
    <t>Замена радиаторов в кабинетах коллективов клубных формирований (МЦП 4) (КФО 2)</t>
  </si>
  <si>
    <t>Услуги по техническому обслуживанию КТС  (КФО 4 МБ)</t>
  </si>
  <si>
    <t>Техническое обслуживание системы видеонаблюдения (КФО 4 МБ)</t>
  </si>
  <si>
    <t>Оплата услуг по договору ГПХ (ремонт фасада СДК в с.Каневка) (МЦП 4) (КФО 5 МБ)</t>
  </si>
  <si>
    <t>Оказание метрологичеких работ и услуг(поверка манометров и расходомеров)  (КФО 2)</t>
  </si>
  <si>
    <t>0801 0740120090 611 241 24101 244</t>
  </si>
  <si>
    <t>2631</t>
  </si>
  <si>
    <t>0801 0730120090 612 241 0730120090 244</t>
  </si>
  <si>
    <t>0801 0710120360 612 241 0710120360 112</t>
  </si>
  <si>
    <t>услуги, работы для целей капитальных вложений</t>
  </si>
  <si>
    <t>0801 0720120090 612 241 0720120090 244</t>
  </si>
  <si>
    <t>22601</t>
  </si>
  <si>
    <t>22603</t>
  </si>
  <si>
    <t>22605</t>
  </si>
  <si>
    <t>Монтаж системы оповещения и управления эвакуацией при пожаре и ЧС (МЦП 2) (КФО 5 МБ)</t>
  </si>
  <si>
    <t xml:space="preserve">Услуги по охране помещений (охран.пож.сигнализации) (КФО 4 МБ)  </t>
  </si>
  <si>
    <t xml:space="preserve">Услуги по охране помещений (охрана с применением КТС) (КФО 4 МБ) </t>
  </si>
  <si>
    <t>Приобретение неисключительных прав на программное обеспечение (КФО 2)</t>
  </si>
  <si>
    <t>Оплата авторского вознаграждения по лицензионному договору (КФО 2)</t>
  </si>
  <si>
    <t>Продление лицензии на ОФД (КФО 2)</t>
  </si>
  <si>
    <t>Оплата услуг по договору ГПХ (организация досуга в с.Каневка) (КФО 2)</t>
  </si>
  <si>
    <t>Обучение ответственных лиц (МЦП 3) (КФО 2)</t>
  </si>
  <si>
    <t>Разработка ПСД на ремонт фасада СДК с.Каневка (МЦП 3) (КФО 2)</t>
  </si>
  <si>
    <t>Разработка ПСД на ремонт подвала с.Ловозеро (МЦП 3) (КФО 2)</t>
  </si>
  <si>
    <t>Подписка на электронный журнал "Справочник руководителя учреждений культуры" (КФО 2)</t>
  </si>
  <si>
    <t>Проведение мероприятий (КФО 2)</t>
  </si>
  <si>
    <t>Перерегистрация ККТ с заменой фискального накопителя (КФО 2)</t>
  </si>
  <si>
    <t>Производственно-лабораторный контроль (КФО 4 МБ)</t>
  </si>
  <si>
    <t>Оплата услуг по договору ГПХ (организация досуга в с.Каневка) (КФО 4 МБ)</t>
  </si>
  <si>
    <t>Оплата услуг по договору ГПХ (организация досуга в с.Сосновка) (КФО 4 МБ)</t>
  </si>
  <si>
    <t xml:space="preserve">Оплата услуг по укатке и обслуживанию лыжной трассы с. Ловозеро (КФО 4 МБ) </t>
  </si>
  <si>
    <t>Оплата услуг по договору ГПХ (заготовка дров) в с.Краснощелье (КФО 4 МБ)</t>
  </si>
  <si>
    <t>Специальная оценка условий труда (КФО 4 МБ)</t>
  </si>
  <si>
    <t>Разработка энергетического паспорта здания ЦРДК (МЦП 3) (КФО 5 МБ)</t>
  </si>
  <si>
    <t>Приобретение основных средств (МЦП 4) (КФО 2)</t>
  </si>
  <si>
    <t>0801 07405L4670 612 241  07405L4670 244</t>
  </si>
  <si>
    <t>Приобретение светового оборудования  за счет средств федерального бюджета (МЦП 4) (КФО 5 ФБ)</t>
  </si>
  <si>
    <t>Приобретение светового оборудования  за счет средств областного бюджета (МЦП 4) (КФО 5 ОБ)</t>
  </si>
  <si>
    <t>Приобретение светового оборудования  за счет средств местного бюджета (МЦП 4) (КФО 5 МБ)</t>
  </si>
  <si>
    <t xml:space="preserve"> Строительные материалы (ремонт фасада СДК в с.Каневка) (МЦП 4) (КФО 5)</t>
  </si>
  <si>
    <t>0801 0740120090 612 241 0740120090 244</t>
  </si>
  <si>
    <t>Приобретение радиаторов отопления (КФО 2)</t>
  </si>
  <si>
    <t>34400</t>
  </si>
  <si>
    <t>34600</t>
  </si>
  <si>
    <t>Медикаменты (КФО 2)</t>
  </si>
  <si>
    <t>34100</t>
  </si>
  <si>
    <t>Приобретение ГСМ (КФО 2)</t>
  </si>
  <si>
    <t>34300</t>
  </si>
  <si>
    <t>Ткань для изготовления костюмов и декораций (КФО 2)</t>
  </si>
  <si>
    <t>34700</t>
  </si>
  <si>
    <t>Приобретение основных средств  (устранение нарушений, выявленных в окт.2019 г.  при проверке по соблюдению требований законодательства при использовании лесного участка в с.Ловозеро) (МЦП 2) (КФО 2)</t>
  </si>
  <si>
    <t>Канцелярские товары (КФО 2)</t>
  </si>
  <si>
    <t>Приобретение фискального накопителя(КФО 2)</t>
  </si>
  <si>
    <t>Хозяйственные товары(КФО 2)</t>
  </si>
  <si>
    <t>Наградная, подарочная продукция (КФО 2)</t>
  </si>
  <si>
    <t>34900</t>
  </si>
  <si>
    <t>31099</t>
  </si>
  <si>
    <t>Запасные части и комплектующие (КФО 4)</t>
  </si>
  <si>
    <t>Устройство освещения лыжной трассы протяженностью 900 м, находящейся в границах муниципального образования сельское поселение Ловозеро Ловозерского района за счет средств областного бюджета (МЦП 4) (КФО 5 МБ)</t>
  </si>
  <si>
    <t>0801 0740671090 612 241 0740671090 244</t>
  </si>
  <si>
    <t>Устройство освещения лыжной трассы протяженностью 900 м, находящейся в границах муниципального образования сельское поселение Ловозеро Ловозерского района за счет средств областного бюджета (МЦП 4) (КФО 5 ОБ)</t>
  </si>
  <si>
    <t>Напольное покрытие (оборудование сцены) за счет средств областного бюджета (МЦП 4) (КФО 5 ОБ)</t>
  </si>
  <si>
    <t>Напольное покрытие (оборудование сцены) за счет средств местного бюджета (МЦП 4) (КФО 5 МБ)</t>
  </si>
  <si>
    <t>0801 07406S1090 612 241 07406S1090 244</t>
  </si>
  <si>
    <t>0801 0740771090 612 241 0740671090 244</t>
  </si>
  <si>
    <t>0801 07407S1090 612 241 07406S1090 244</t>
  </si>
  <si>
    <t>Гигиеническая аттестация декретированного персонала (КФО 4)</t>
  </si>
  <si>
    <t>Обучение ответственных лиц  (КФО 4)</t>
  </si>
  <si>
    <t>Вывоз крупногабаритного мусора (КФО 4)</t>
  </si>
  <si>
    <t>21301</t>
  </si>
  <si>
    <t>повыш квалиф</t>
  </si>
  <si>
    <t>повышение квалификации сотрудников, улучшение условий труда</t>
  </si>
  <si>
    <t xml:space="preserve">Об утверждении тарифа на платную услугу  «Проведение культурно-массового мероприятия», оказываемую  МБУ «Ловозерский центр развития досуга и культуры» </t>
  </si>
  <si>
    <t>Постановление администрации Ловозерского района от 31.01.2020 г. № 54-ПГ</t>
  </si>
  <si>
    <t>Доходы от оказания платных работ (услуг)</t>
  </si>
  <si>
    <t>Доходы от сдачи имущества в аренду</t>
  </si>
  <si>
    <t>1.1 Справочно: сведения о соглашениях о предоставлении субсидии на иные цели текущего характера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</si>
  <si>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</si>
  <si>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Обеспечение деятельности культурно-досуговых учреждений (обеспечение антитеррористической защищённости и пожарной безопасности учреждения культуры)</t>
  </si>
  <si>
    <t>Обеспечение деятельности культурно-досуговых учреждений (энергосбережение и повышение энергетической эффективности)</t>
  </si>
  <si>
    <t>Соглашение</t>
  </si>
  <si>
    <t>1. Детализированные расчеты поступлений от доходов, получаемых государственными (муниципальными) учреждениями из соответствующих бюджетов, от субсидии на иные цели текущего характера</t>
  </si>
  <si>
    <t>проезд, проживание</t>
  </si>
  <si>
    <t>бюджет</t>
  </si>
  <si>
    <t>уплата налогов, сборов и других платежей (штрафы, пени, гарантийное обеспечение и др.)</t>
  </si>
  <si>
    <t>вбс</t>
  </si>
  <si>
    <t>в месяц,</t>
  </si>
  <si>
    <t>в том числе: оплата по договорам текущего периода</t>
  </si>
  <si>
    <t>в том числе: оплата по договорам прошлого периода</t>
  </si>
  <si>
    <t>2.2</t>
  </si>
  <si>
    <t>отопление и технические нужды всего, в т.ч.:</t>
  </si>
  <si>
    <t>оплата по договорам текущего периода</t>
  </si>
  <si>
    <t>оплата по договорам прошлого периода</t>
  </si>
  <si>
    <t>водоснабжение и водоотведение всего, в т.ч.:</t>
  </si>
  <si>
    <t xml:space="preserve"> оплата по договорам текущего периода</t>
  </si>
  <si>
    <t xml:space="preserve"> оплата по договорам прошлого периода</t>
  </si>
  <si>
    <t>электрическая энергия (Ловозеро) всего, в т.ч.</t>
  </si>
  <si>
    <t>3.2</t>
  </si>
  <si>
    <t>Ловозерского района</t>
  </si>
  <si>
    <t xml:space="preserve">Муниципальное бюджетное учреждение «Ловозерский Центр развития досуга и культуры» </t>
  </si>
  <si>
    <t>5106050113 / 510601001</t>
  </si>
  <si>
    <t>Администрация Ловозерского района</t>
  </si>
  <si>
    <t>Разрешенный к использованию остаток субсидии прошлых лет на начало 2019г.</t>
  </si>
  <si>
    <t>0710213060</t>
  </si>
  <si>
    <t>Обеспечение деятельности культурно-досуговых учреждений (обеспечение антитеррористической защищённости и пожарной безопасности учреждения культуры )</t>
  </si>
  <si>
    <t>0720120090</t>
  </si>
  <si>
    <t>0730120090</t>
  </si>
  <si>
    <t>Обеспечение деятельности культурно-досуговых учреждений (модернизация учреждений культуры)</t>
  </si>
  <si>
    <t>0740120090</t>
  </si>
  <si>
    <t>Замена оборудования в авт.установке пожаротушения  (КФО 4 МБ)</t>
  </si>
  <si>
    <t>Приобретение расходных материалов (устранение нарушений, выявленных в окт.2019 г.  при проверке по соблюдению требований законодательства при использовании лесного участка в с.Ловозеро) (МЦП 2) (КФО 2)</t>
  </si>
  <si>
    <t>Софинансирование к субсидии на на реализацию проектов по поддержке местных инициатив (устройство освещения лыжной трассы)</t>
  </si>
  <si>
    <t>07406S1090</t>
  </si>
  <si>
    <t>исполнитель начальник отдела  __________ Н.Е. Темникова</t>
  </si>
  <si>
    <t>Работы, услуги по содержанию имущества, в т.ч.: (КФО 4 МБ)</t>
  </si>
  <si>
    <t>Работы, услуги по содержанию имущества, в т.ч.: (КФО 5 всего)</t>
  </si>
  <si>
    <t>Работы, услуги по содержанию имущества, в т.ч.: (КФО 5 ОБ)</t>
  </si>
  <si>
    <t>Работы, услуги по содержанию имущества, в т.ч.: (КФО 5 МБ)</t>
  </si>
  <si>
    <t>Работы, услуги по содержанию имущества, в т.ч.: (КФО 2)</t>
  </si>
  <si>
    <t>Оплата услуг по обслуживанию стадиона по договору ГПХ  (каток) (КФО 2 МБ)</t>
  </si>
  <si>
    <t>Прочие работы, услуги, в т.ч.: (КФО 4 МБ)</t>
  </si>
  <si>
    <t>Прочие работы, услуги в т.ч.: (КФО 5 всего)</t>
  </si>
  <si>
    <t>Прочие работы, услуги, в т.ч.: (КФО 5 ОБ)</t>
  </si>
  <si>
    <t>Прочие работы, услуги в т.ч.: (КФО 5 МБ)</t>
  </si>
  <si>
    <t>0801 0730120090 612 241 0730120090 243</t>
  </si>
  <si>
    <t>Увеличение стоимости основных средств, в т.ч.: (КФО 4 МБ)</t>
  </si>
  <si>
    <t>Увеличение стоимости основных средств в т.ч.: (КФО 5 всего)</t>
  </si>
  <si>
    <t>Увеличение стоимости основных средств в т.ч.: (КФО 5 ФБ,ОБ)</t>
  </si>
  <si>
    <t>Увеличение стоимости основных средств в т.ч.: (КФО 5 МБ)</t>
  </si>
  <si>
    <t>Увеличение стоимости основных средств, в т.ч.: (КФО 2)</t>
  </si>
  <si>
    <t>Увеличение стоимости прочих оборотных запасов (материалов), в т.ч.: (КФО 4 МБ)</t>
  </si>
  <si>
    <t>Увеличение стоимости прочих оборотных запасов (материалов) в т.ч.: (КФО 5 всего)</t>
  </si>
  <si>
    <t>Увеличение стоимости прочих оборотных запасов (материалов) в т.ч.: (КФО 5 ФБ,ОБ)</t>
  </si>
  <si>
    <t>Увеличение стоимости прочих оборотных запасов (материалов) в т.ч.: (КФО 5 МБ)</t>
  </si>
  <si>
    <t>Увеличение стоимости прочих оборотных запасов (материалов), в т.ч.: (КФО 2)</t>
  </si>
  <si>
    <t>Разработка ПСД на капитальный ремонт кровли с.Ловозеро с экспертизой (МЦП 3) (КФО 5 МБ)</t>
  </si>
  <si>
    <t>Прочие работы, услуги, в т.ч.: (КФО 2)</t>
  </si>
  <si>
    <t>Строительные товары(КФО 2)</t>
  </si>
  <si>
    <t>Замена прибора учета (КФО 2)</t>
  </si>
  <si>
    <t>34500</t>
  </si>
  <si>
    <t>проверка</t>
  </si>
  <si>
    <t>0801 0710120090 611 241 24101 853</t>
  </si>
  <si>
    <t>Замена дверей на эвакуационных выходах (КФО 4)</t>
  </si>
  <si>
    <t>Приобретение манометров (КФО 4 МБ)</t>
  </si>
  <si>
    <t>Приобретение  рециркуляторов и термометров инфракрасных (КФО 4 МБ)</t>
  </si>
  <si>
    <t>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</si>
  <si>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Проведение работ по расчистке и подготовке земельного участка для устройства освещения лыжной трассы, находящейся в границах МО СП Ловозеро Ловозерского района (КФО 5 МБ)</t>
  </si>
  <si>
    <t>Разработка ПСД на ремонт фасада СДК с.Каневка (МЦП 3) (КФО 5 МБ)</t>
  </si>
  <si>
    <t>Разработка ПСД на ремонт подвала с.Ловозеро (МЦП 3) (КФО 5 МБ)</t>
  </si>
  <si>
    <t>0801 0740820090 612 241 0740820090 244</t>
  </si>
  <si>
    <t>Приобретение материалов для устройства освещения лыжной трассы, находящейся в границах МО СП Ловозеро Ловозерского района (КФО 5 МБ)</t>
  </si>
  <si>
    <t>Выполнение работ по определению категорий помещений по предписанию  (КФО 4)</t>
  </si>
  <si>
    <t>Глава Администрации</t>
  </si>
  <si>
    <t>Н.И. Курзенев</t>
  </si>
  <si>
    <t>Проведение работ по расчистке и подготовке земельного участка для устройства освещения лыжной трассы, находящейся в границах МО СП Ловозеро Ловозерского района, приобретение материалов</t>
  </si>
  <si>
    <t>0740820090</t>
  </si>
  <si>
    <t>Глава Администрации Ловозерского района</t>
  </si>
  <si>
    <t>Приобретение светодиодных ламп и уличных светильников  (КФО 4 МБ)</t>
  </si>
  <si>
    <t>136</t>
  </si>
  <si>
    <t>29100</t>
  </si>
  <si>
    <t>Восстановление металлического ограждения (КФО 4)</t>
  </si>
  <si>
    <t>Приобретение ГСМ (КФО 4)</t>
  </si>
  <si>
    <t>Приобретение снегоуборочной машины для Краснощельского ЭКЦ (МЦП 4) (КФО 5 МБ)</t>
  </si>
  <si>
    <t>Приобретение звукового оборудования для Краснощельского ЭКЦ (МЦП 4) (КФО 5 МБ)</t>
  </si>
  <si>
    <t>0801 0740520090 612 241 0740520090 244</t>
  </si>
  <si>
    <t>парус</t>
  </si>
  <si>
    <t>0111</t>
  </si>
  <si>
    <t>первичный медицинский осмотр</t>
  </si>
  <si>
    <t>Директор МБУ "Ловозерский ЦРДК"</t>
  </si>
  <si>
    <t>О.А. Барудкина</t>
  </si>
  <si>
    <t>Руководитель  _________________________    О.А. Барудкина</t>
  </si>
  <si>
    <t xml:space="preserve">" ___ " _______ 2021 г. </t>
  </si>
  <si>
    <t>ФИНАНСОВО-ХОЗЯЙСТВЕННОЙ ДЕЯТЕЛЬНОСТИ НА 2021 ГОД</t>
  </si>
  <si>
    <t>(И ПЛАНОВЫЙ ПЕРИОД 2022 И 2023 ГОДОВ)</t>
  </si>
  <si>
    <t>22899</t>
  </si>
  <si>
    <t>ост</t>
  </si>
  <si>
    <t>2.3</t>
  </si>
  <si>
    <t>3.3</t>
  </si>
  <si>
    <t>электрическая энергия (Краснощелье, Каневка,Сосновка) всего, в т.ч.</t>
  </si>
  <si>
    <t>экономия 2020 года</t>
  </si>
  <si>
    <t>85800+4817,32с ост</t>
  </si>
  <si>
    <t>22 584 097,02</t>
  </si>
  <si>
    <t>496850+43819 с ост</t>
  </si>
  <si>
    <t>247</t>
  </si>
  <si>
    <t>закупка энергетических ресурсов</t>
  </si>
  <si>
    <t>Разработка программы в области энергосбережения (МЦП 3) (КФО 5 МБ)</t>
  </si>
  <si>
    <t>Капитальный ремонт кровли с.Ловозеро  (МЦП 3) (КФО 5 МБ)</t>
  </si>
  <si>
    <t>Капитальный ремонт кровли с.Ловозеро (МЦП 3) (КФО 5 ОБ)</t>
  </si>
  <si>
    <t>Арендная плата за пользование имуществом, в т.ч.: (КФО 4 МБ)</t>
  </si>
  <si>
    <t>Арендная плата за пользование имуществом, в т.ч.: (КФО 5 МБ)</t>
  </si>
  <si>
    <t>Аренда снегоходов для выезда в с.Краснощелье (организация и проведение праздничных мероприятий к 100-летию с.Краснощелье) (МЦП 4) (КФО 5 МБ)</t>
  </si>
  <si>
    <t>Приобретение спортивной формы (организация и проведение праздничных мероприятий к 100-летию с.Краснощелье) (МЦП 4) (КФО 5 МБ)</t>
  </si>
  <si>
    <t>0801 0710130090 612 241 0710320090 244</t>
  </si>
  <si>
    <t>22400</t>
  </si>
  <si>
    <t>Наградная продукция (организация и проведение праздничных мероприятий к 100-летию с.Краснощелье) (МЦП 4) (КФО 5 МБ)</t>
  </si>
  <si>
    <t>0801 997К090020 612 241  997К090020 244</t>
  </si>
  <si>
    <t>Расходы, связанные с профилактикой и устранением последствий распространения коронавирусной инфекции   (КФО 5 МБ)</t>
  </si>
  <si>
    <t>Техническое обслуживание наружного освещения лыжной трассы (КФО 4 МБ)</t>
  </si>
  <si>
    <t>Заправка картриджей, замена барабанов (КФО 4)</t>
  </si>
  <si>
    <t>Заправка картриджей, замена барабанов (КФО 2)</t>
  </si>
  <si>
    <t>Ремонт оборудования  (КФО 2)</t>
  </si>
  <si>
    <t>22502</t>
  </si>
  <si>
    <t>Оказание метрологичеких работ и услуг (поверка манометров и расходомеров)  (КФО 4)</t>
  </si>
  <si>
    <t>Оказание метрологичеких работ и услуг (поверка приборов учета тепла)  (КФО 4)</t>
  </si>
  <si>
    <t>Замеры сопротивления изоляции (КФО 4 МБ)</t>
  </si>
  <si>
    <t>Внедрение и обслуживание модуля "Кадры и штатное расписание" (Парус-Бюджет) (КФО 4 МБ)</t>
  </si>
  <si>
    <t>Обслуживание интернет-сайта (КФО 2)</t>
  </si>
  <si>
    <t>Приобретение модуля "Малые закупки" (КФО 4 МБ)</t>
  </si>
  <si>
    <t>Подписка на электронный ресурс "Справочная система Культура"  (КФО 2)</t>
  </si>
  <si>
    <t>Услуги оператора торговой площадки  (КФО 4)</t>
  </si>
  <si>
    <t>Медикаменты (КФО 4)</t>
  </si>
  <si>
    <t>2021 год</t>
  </si>
  <si>
    <t>Приобретение галогеновых ламп для светового оборудования (КФО 4)</t>
  </si>
  <si>
    <t>Мягкий инвентарь (КФО 2)</t>
  </si>
  <si>
    <t>6.7. Расчет (обоснование) расходов на оплату услуг, работ для целей капитальных вложений</t>
  </si>
  <si>
    <t>6.8 Расчет (обоснование) расходов на приобретение основных средств</t>
  </si>
  <si>
    <t>6.9 Расчет (обоснование) расходов на приобретение материальных запасов</t>
  </si>
  <si>
    <t>Канцелярские товары (КФО 4)</t>
  </si>
  <si>
    <t xml:space="preserve">(должность)                        (подпись) (расшифровка подписи) </t>
  </si>
  <si>
    <t>Директор                             __________   О.А. Барудкина</t>
  </si>
  <si>
    <r>
      <t xml:space="preserve">Начальник БПЭСО            _________    </t>
    </r>
    <r>
      <rPr>
        <sz val="9"/>
        <color indexed="8"/>
        <rFont val="Times New Roman"/>
        <family val="1"/>
        <charset val="204"/>
      </rPr>
      <t>Н.Е. Темникова     41364</t>
    </r>
  </si>
  <si>
    <t xml:space="preserve">(должность)                          (подпись) (расшифровка подписи) </t>
  </si>
  <si>
    <t>243, 244, 247</t>
  </si>
  <si>
    <t>код 221</t>
  </si>
  <si>
    <t>код 223</t>
  </si>
  <si>
    <t>код 224</t>
  </si>
  <si>
    <t>851,852,853</t>
  </si>
  <si>
    <t xml:space="preserve">(должность)                          (подпись) (расшифровка подписи) (телефон))  </t>
  </si>
  <si>
    <t>Обеспечение деятельности культурно-досуговых учреждений (проведение мероприятий)</t>
  </si>
  <si>
    <t>0710320090</t>
  </si>
  <si>
    <t>Расходы, связанные с профилактикой и устранением последствий распространения коронавирусной инфекции</t>
  </si>
  <si>
    <t>997К090020</t>
  </si>
  <si>
    <t>Примечание: в т.ч. остаток субсидии 2020 года, разрешенной к использованию на оплату труда в 2021 году - 600 700,00 руб.</t>
  </si>
  <si>
    <t>ресурс Культура</t>
  </si>
  <si>
    <t>малые закупки</t>
  </si>
  <si>
    <t>О предоставлении из бюджета муниципального образования сельское поселение Ловозеро Ловозерского района  муниципальному бюджетному учреждению субсидии в соответствии с абзацем вторым пункта 1 статьи 78.1 Бюджетного кодекса Российской Федерации</t>
  </si>
  <si>
    <t>0112</t>
  </si>
  <si>
    <t>0113</t>
  </si>
  <si>
    <t xml:space="preserve"> от 29.01.2021 г. №21Ч34980/21</t>
  </si>
  <si>
    <t>оп</t>
  </si>
  <si>
    <t>субс</t>
  </si>
  <si>
    <t>об</t>
  </si>
  <si>
    <t>на1</t>
  </si>
  <si>
    <t>пп</t>
  </si>
  <si>
    <t>Работники учреждений культуры - 56500 руб.</t>
  </si>
  <si>
    <t>Текущий ремонт Краснощельского ЭКЦ (МЦП 4) (КФО 5 МБ)</t>
  </si>
  <si>
    <t>на  2022 год
(на первый год планового периода)</t>
  </si>
  <si>
    <t>на  2023 год
(на второй год планового периода)</t>
  </si>
  <si>
    <t>23</t>
  </si>
  <si>
    <t xml:space="preserve">2019 год (отчетный финансовый год) </t>
  </si>
  <si>
    <t xml:space="preserve">2020 год (текущий финансовый год) </t>
  </si>
  <si>
    <t xml:space="preserve">2022 год (на первый год планового периода) </t>
  </si>
  <si>
    <t xml:space="preserve">2023 год (на второй год планового периода) </t>
  </si>
  <si>
    <t xml:space="preserve"> от 19.01.2021 г. №20Ч34980/21</t>
  </si>
  <si>
    <t>МУНИЦИПАЛЬНОМУ БЮДЖЕТНОМУ  УЧРЕЖДЕНИЮ НА 2021 г.</t>
  </si>
  <si>
    <t>Примечание: в т.ч. остаток субсидии 2020 года, разрешенной к использованию  на оплату страховых взносов, начисленных на оплату труда в 2021 году - 181 398,10 руб.</t>
  </si>
  <si>
    <t>ДОГОВОР</t>
  </si>
  <si>
    <t>ОПЛАТА В НОЯБРЕ</t>
  </si>
  <si>
    <t>ЗА 2020 ГОД</t>
  </si>
  <si>
    <t>Приобретение компьютерной техники и оргтехники (КФО 4 МБ)</t>
  </si>
  <si>
    <t>31004</t>
  </si>
  <si>
    <t>ОСТАТКИ ПЛАНА</t>
  </si>
  <si>
    <t>Настройка музыкальных инструментов (КФО 2)</t>
  </si>
  <si>
    <t>Оказание транспортных услуг по доставке снегоходами участников в с.Краснощелье (организация и проведение праздничных мероприятий к 100-летию с.Краснощелье) (МЦП 4) (КФО 5 МБ)</t>
  </si>
  <si>
    <t>"29"  марта  2021 г.</t>
  </si>
  <si>
    <t>Приложение</t>
  </si>
  <si>
    <t>к постановлению администрации</t>
  </si>
  <si>
    <t>от"16" февраля 2021 года № 91-ПГ</t>
  </si>
  <si>
    <t>От « 29 » марта 2021 года</t>
  </si>
  <si>
    <t xml:space="preserve">                                (первичный- «0», уточненный- «1», «2», «3», «…») </t>
  </si>
  <si>
    <t>Вид документа _____________1_____________________</t>
  </si>
  <si>
    <t>на иные выплаты работникам</t>
  </si>
  <si>
    <t>2142</t>
  </si>
  <si>
    <t>гранты, передаваемые бюджетным учреждениям</t>
  </si>
  <si>
    <t>613</t>
  </si>
  <si>
    <t>гранты, передаваемые автономным учреждениям</t>
  </si>
  <si>
    <t>623</t>
  </si>
  <si>
    <t>гранты, передаваемые иным некоммерческим организациям (за исключением бюджетных и автономных учреждений)</t>
  </si>
  <si>
    <t>2430</t>
  </si>
  <si>
    <t>634</t>
  </si>
  <si>
    <t>гранты, передаваемые другим организациям и физическим лицам</t>
  </si>
  <si>
    <t>2440</t>
  </si>
  <si>
    <t>2620</t>
  </si>
  <si>
    <t>2621</t>
  </si>
  <si>
    <t>2632</t>
  </si>
  <si>
    <t>2633</t>
  </si>
  <si>
    <t>2634</t>
  </si>
  <si>
    <t>2635</t>
  </si>
  <si>
    <t>2636</t>
  </si>
  <si>
    <t>2637</t>
  </si>
  <si>
    <t>2638</t>
  </si>
  <si>
    <t>2639</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</si>
  <si>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</si>
  <si>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</si>
  <si>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2650</t>
  </si>
  <si>
    <t>4.1</t>
  </si>
  <si>
    <t xml:space="preserve">Код по БК РФ </t>
  </si>
  <si>
    <t>26310</t>
  </si>
  <si>
    <t>26320</t>
  </si>
  <si>
    <t>1.3.1</t>
  </si>
  <si>
    <t>1.3.2</t>
  </si>
  <si>
    <t xml:space="preserve">2021 год (текущий финансовый год) </t>
  </si>
  <si>
    <t>Заместитель главного бухгалтера</t>
  </si>
  <si>
    <t>Е.А. Баркова</t>
  </si>
  <si>
    <t>Н.Е. Темникова</t>
  </si>
  <si>
    <t xml:space="preserve"> на "29" марта 2021 г.</t>
  </si>
  <si>
    <t>296</t>
  </si>
  <si>
    <t>0801 0000000000 000 000 00000 350</t>
  </si>
  <si>
    <t>Инициативный проект "Обустройство места отдыха на территории МБУ «Ловозерский ЦРДК» по адресу: ул.Советская д. 30 с.Ловозеро")</t>
  </si>
  <si>
    <t>0801 07402S1092 612 241 07402S1092 244</t>
  </si>
  <si>
    <t>0801 0740271092 612 241 0740271092 244</t>
  </si>
  <si>
    <t>1003 0710275110 612 241 75100-21 244</t>
  </si>
  <si>
    <t>Организация и проведение мероприятий</t>
  </si>
  <si>
    <t>Организация деятельности клубных формирований и формирований самодеятельного народного творчества</t>
  </si>
  <si>
    <t>Затараты на уплату налогов, в качестве объекта налогообложения</t>
  </si>
  <si>
    <t>на  2021 год
(на текущий финансовый год)</t>
  </si>
  <si>
    <t xml:space="preserve">Субсидия муниципальным образованиям на реализацию проектов по поддержке местных инициатив </t>
  </si>
  <si>
    <t xml:space="preserve">Софинансирование местного бюджета к субсидии муниципальным образованиям на реализацию проектов по поддержке местных инициатив </t>
  </si>
  <si>
    <t>112, 321, 350</t>
  </si>
  <si>
    <t>выплата денежных призов участникам мероприятия</t>
  </si>
  <si>
    <t>экономической  службы   _________   Е.А. Баркова</t>
  </si>
  <si>
    <t xml:space="preserve">" 29 " марта 2021 г. </t>
  </si>
  <si>
    <t>"29"   марта 2021 г.</t>
  </si>
  <si>
    <t>"29"   марта  2021 г.</t>
  </si>
  <si>
    <t>от "29"  марта 2021 г.</t>
  </si>
  <si>
    <t>Субсидия на реализацию проектов по поддержке местных инициатив (Инициативный проект "Обустройство места отдыха на территории МБУ «Ловозерский ЦРДК» по адресу: ул.Советская д. 30 с.Ловозеро"))</t>
  </si>
  <si>
    <t>0740271092</t>
  </si>
  <si>
    <t>07402S1092</t>
  </si>
  <si>
    <t>Софинансирование к субсидии на на реализацию проектов по поддержке местных инициатив  (Инициативный проект "Обустройство места отдыха на территории МБУ «Ловозерский ЦРДК» по адресу: ул.Советская д. 30 с.Ловозеро")</t>
  </si>
  <si>
    <t>Субсидия на реализацию проектов по поддержке местных инициатив (Инициативный проект "Обустройство места отдыха на территории МБУ «Ловозерский ЦРДК» по адресу: ул.Советская д. 30 с.Ловозеро")</t>
  </si>
  <si>
    <t>экономической  службы   _________________   Е.А. Баркова</t>
  </si>
  <si>
    <t>152</t>
  </si>
  <si>
    <t>Приобретение баннера и стартовых манишек (организация и проведение праздничных мероприятий к 100-летию с.Краснощелье) (МЦП 4) (КФО 5 МБ)</t>
  </si>
</sst>
</file>

<file path=xl/styles.xml><?xml version="1.0" encoding="utf-8"?>
<styleSheet xmlns="http://schemas.openxmlformats.org/spreadsheetml/2006/main">
  <numFmts count="6">
    <numFmt numFmtId="41" formatCode="_-* #,##0_р_._-;\-* #,##0_р_._-;_-* &quot;-&quot;_р_._-;_-@_-"/>
    <numFmt numFmtId="43" formatCode="_-* #,##0.00_р_._-;\-* #,##0.00_р_._-;_-* &quot;-&quot;??_р_._-;_-@_-"/>
    <numFmt numFmtId="164" formatCode="_-* #,##0.0_р_._-;\-* #,##0.0_р_._-;_-* &quot;-&quot;??_р_._-;_-@_-"/>
    <numFmt numFmtId="165" formatCode="_-* #,##0_р_._-;\-* #,##0_р_._-;_-* &quot;-&quot;??_р_._-;_-@_-"/>
    <numFmt numFmtId="166" formatCode="_(* #,##0.00_);_(* \(#,##0.00\);_(* &quot;-&quot;??_);_(@_)"/>
    <numFmt numFmtId="167" formatCode="0.0"/>
  </numFmts>
  <fonts count="59">
    <font>
      <sz val="10"/>
      <name val="Arial Cyr"/>
      <charset val="204"/>
    </font>
    <font>
      <sz val="11"/>
      <color theme="1"/>
      <name val="Calibri"/>
      <family val="2"/>
      <charset val="204"/>
      <scheme val="minor"/>
    </font>
    <font>
      <sz val="11"/>
      <color theme="1"/>
      <name val="Calibri"/>
      <family val="2"/>
      <charset val="204"/>
      <scheme val="minor"/>
    </font>
    <font>
      <sz val="8"/>
      <name val="Times New Roman"/>
      <family val="1"/>
      <charset val="204"/>
    </font>
    <font>
      <vertAlign val="superscript"/>
      <sz val="8"/>
      <name val="Times New Roman"/>
      <family val="1"/>
      <charset val="204"/>
    </font>
    <font>
      <sz val="7"/>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Arial Cyr"/>
      <charset val="204"/>
    </font>
    <font>
      <b/>
      <sz val="10"/>
      <name val="Times New Roman"/>
      <family val="1"/>
      <charset val="204"/>
    </font>
    <font>
      <sz val="10"/>
      <color indexed="8"/>
      <name val="Times New Roman"/>
      <family val="1"/>
      <charset val="204"/>
    </font>
    <font>
      <b/>
      <sz val="10"/>
      <color indexed="8"/>
      <name val="Times New Roman"/>
      <family val="1"/>
      <charset val="204"/>
    </font>
    <font>
      <sz val="10"/>
      <name val="Times New Roman"/>
      <family val="1"/>
      <charset val="204"/>
    </font>
    <font>
      <sz val="8"/>
      <name val="Arial Cyr"/>
      <charset val="204"/>
    </font>
    <font>
      <sz val="11"/>
      <name val="Times New Roman"/>
      <family val="1"/>
      <charset val="204"/>
    </font>
    <font>
      <sz val="9"/>
      <name val="Times New Roman"/>
      <family val="1"/>
      <charset val="204"/>
    </font>
    <font>
      <sz val="10"/>
      <name val="Arial"/>
      <family val="2"/>
      <charset val="204"/>
    </font>
    <font>
      <b/>
      <sz val="11"/>
      <name val="Times New Roman"/>
      <family val="1"/>
      <charset val="204"/>
    </font>
    <font>
      <sz val="12"/>
      <name val="Times New Roman"/>
      <family val="1"/>
      <charset val="204"/>
    </font>
    <font>
      <b/>
      <sz val="12"/>
      <name val="Times New Roman"/>
      <family val="1"/>
      <charset val="204"/>
    </font>
    <font>
      <sz val="11"/>
      <name val="Times New Roman"/>
      <family val="2"/>
      <charset val="204"/>
    </font>
    <font>
      <i/>
      <sz val="8"/>
      <name val="Times New Roman"/>
      <family val="1"/>
      <charset val="204"/>
    </font>
    <font>
      <b/>
      <sz val="10"/>
      <name val="Arial Cyr"/>
      <charset val="204"/>
    </font>
    <font>
      <sz val="11"/>
      <color theme="1"/>
      <name val="Calibri"/>
      <family val="2"/>
      <charset val="204"/>
      <scheme val="minor"/>
    </font>
    <font>
      <sz val="12"/>
      <color theme="1"/>
      <name val="Calibri"/>
      <family val="2"/>
      <charset val="204"/>
      <scheme val="minor"/>
    </font>
    <font>
      <sz val="8"/>
      <color theme="1"/>
      <name val="Times New Roman"/>
      <family val="1"/>
      <charset val="204"/>
    </font>
    <font>
      <sz val="11"/>
      <color theme="1"/>
      <name val="Times New Roman"/>
      <family val="1"/>
      <charset val="204"/>
    </font>
    <font>
      <u/>
      <sz val="11"/>
      <color theme="1"/>
      <name val="Times New Roman"/>
      <family val="1"/>
      <charset val="204"/>
    </font>
    <font>
      <sz val="10"/>
      <color theme="1"/>
      <name val="Times New Roman"/>
      <family val="1"/>
      <charset val="204"/>
    </font>
    <font>
      <b/>
      <sz val="11"/>
      <color theme="1"/>
      <name val="Times New Roman"/>
      <family val="1"/>
      <charset val="204"/>
    </font>
    <font>
      <sz val="10"/>
      <color rgb="FFFF0000"/>
      <name val="Times New Roman"/>
      <family val="1"/>
      <charset val="204"/>
    </font>
    <font>
      <u/>
      <sz val="10"/>
      <color theme="1"/>
      <name val="Times New Roman"/>
      <family val="1"/>
      <charset val="204"/>
    </font>
    <font>
      <b/>
      <vertAlign val="superscript"/>
      <sz val="10"/>
      <name val="Times New Roman"/>
      <family val="1"/>
      <charset val="204"/>
    </font>
    <font>
      <i/>
      <sz val="12"/>
      <name val="Times New Roman"/>
      <family val="1"/>
      <charset val="204"/>
    </font>
    <font>
      <b/>
      <sz val="6"/>
      <name val="Times New Roman"/>
      <family val="1"/>
      <charset val="204"/>
    </font>
    <font>
      <sz val="6"/>
      <name val="Times New Roman"/>
      <family val="1"/>
      <charset val="204"/>
    </font>
    <font>
      <vertAlign val="superscript"/>
      <sz val="10"/>
      <name val="Times New Roman"/>
      <family val="1"/>
      <charset val="204"/>
    </font>
    <font>
      <u/>
      <sz val="11"/>
      <name val="Times New Roman"/>
      <family val="1"/>
      <charset val="204"/>
    </font>
    <font>
      <b/>
      <sz val="10"/>
      <color theme="1"/>
      <name val="Times New Roman"/>
      <family val="1"/>
      <charset val="204"/>
    </font>
    <font>
      <u/>
      <sz val="10"/>
      <color indexed="8"/>
      <name val="Times New Roman"/>
      <family val="1"/>
      <charset val="204"/>
    </font>
    <font>
      <sz val="12"/>
      <color theme="1"/>
      <name val="Times New Roman"/>
      <family val="1"/>
      <charset val="204"/>
    </font>
    <font>
      <u/>
      <sz val="10"/>
      <name val="Times New Roman"/>
      <family val="1"/>
      <charset val="204"/>
    </font>
    <font>
      <i/>
      <sz val="10"/>
      <name val="Times New Roman"/>
      <family val="1"/>
      <charset val="204"/>
    </font>
    <font>
      <sz val="10"/>
      <color theme="1"/>
      <name val="Courier New"/>
      <family val="3"/>
      <charset val="204"/>
    </font>
    <font>
      <sz val="10"/>
      <color theme="1"/>
      <name val="Calibri"/>
      <family val="2"/>
      <charset val="204"/>
      <scheme val="minor"/>
    </font>
    <font>
      <sz val="9"/>
      <color theme="1"/>
      <name val="Times New Roman"/>
      <family val="1"/>
      <charset val="204"/>
    </font>
    <font>
      <sz val="11"/>
      <color theme="1"/>
      <name val="Courier New"/>
      <family val="3"/>
      <charset val="204"/>
    </font>
    <font>
      <sz val="10"/>
      <color rgb="FF000000"/>
      <name val="Times New Roman"/>
      <family val="1"/>
      <charset val="204"/>
    </font>
    <font>
      <b/>
      <sz val="12"/>
      <color rgb="FF000000"/>
      <name val="Times New Roman"/>
      <family val="1"/>
      <charset val="204"/>
    </font>
    <font>
      <sz val="10"/>
      <color rgb="FF333333"/>
      <name val="Times New Roman"/>
      <family val="1"/>
      <charset val="204"/>
    </font>
    <font>
      <i/>
      <sz val="10"/>
      <name val="Arial Cyr"/>
      <charset val="204"/>
    </font>
    <font>
      <sz val="9"/>
      <color rgb="FF000000"/>
      <name val="Times New Roman"/>
      <family val="1"/>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sz val="9"/>
      <color indexed="8"/>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8"/>
        <bgColor indexed="64"/>
      </patternFill>
    </fill>
    <fill>
      <patternFill patternType="solid">
        <fgColor rgb="FFFFFFCC"/>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0" fontId="10" fillId="0" borderId="0"/>
    <xf numFmtId="0" fontId="18" fillId="0" borderId="0"/>
    <xf numFmtId="0" fontId="25" fillId="0" borderId="0"/>
    <xf numFmtId="0" fontId="10" fillId="0" borderId="0"/>
    <xf numFmtId="0" fontId="18" fillId="0" borderId="0"/>
    <xf numFmtId="0" fontId="26" fillId="0" borderId="0"/>
    <xf numFmtId="0" fontId="26" fillId="0" borderId="0"/>
    <xf numFmtId="0" fontId="26" fillId="0" borderId="0"/>
    <xf numFmtId="0" fontId="26" fillId="0" borderId="0"/>
    <xf numFmtId="0" fontId="26" fillId="0" borderId="0"/>
    <xf numFmtId="41" fontId="10" fillId="0" borderId="0" applyFont="0" applyFill="0" applyBorder="0" applyAlignment="0" applyProtection="0"/>
    <xf numFmtId="43" fontId="10" fillId="0" borderId="0" applyFont="0" applyFill="0" applyBorder="0" applyAlignment="0" applyProtection="0"/>
    <xf numFmtId="166" fontId="18" fillId="0" borderId="0" applyFont="0" applyFill="0" applyBorder="0" applyAlignment="0" applyProtection="0"/>
    <xf numFmtId="0" fontId="26" fillId="0" borderId="0"/>
    <xf numFmtId="0" fontId="46" fillId="0" borderId="0"/>
  </cellStyleXfs>
  <cellXfs count="1151">
    <xf numFmtId="0" fontId="0" fillId="0" borderId="0" xfId="0"/>
    <xf numFmtId="0" fontId="3"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3"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indent="2"/>
    </xf>
    <xf numFmtId="43"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right" vertical="center" wrapText="1"/>
    </xf>
    <xf numFmtId="0" fontId="12" fillId="0" borderId="1" xfId="0" applyFont="1" applyFill="1" applyBorder="1" applyAlignment="1">
      <alignment horizontal="right" vertical="center" wrapText="1"/>
    </xf>
    <xf numFmtId="0" fontId="13" fillId="0" borderId="1" xfId="0" applyFont="1" applyFill="1" applyBorder="1" applyAlignment="1">
      <alignment horizontal="right" vertical="center" wrapText="1"/>
    </xf>
    <xf numFmtId="2" fontId="12" fillId="2" borderId="1" xfId="0" applyNumberFormat="1" applyFont="1" applyFill="1" applyBorder="1" applyAlignment="1">
      <alignment horizontal="right" vertical="center" wrapText="1"/>
    </xf>
    <xf numFmtId="164" fontId="12" fillId="2"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0" xfId="0" applyFont="1"/>
    <xf numFmtId="0" fontId="14" fillId="0" borderId="1" xfId="0" applyFont="1" applyBorder="1" applyAlignment="1">
      <alignment horizontal="center" vertical="center" wrapText="1"/>
    </xf>
    <xf numFmtId="0" fontId="11" fillId="0" borderId="1" xfId="0" applyFont="1" applyBorder="1" applyAlignment="1">
      <alignment horizontal="left" vertical="top" wrapText="1"/>
    </xf>
    <xf numFmtId="0" fontId="14" fillId="0" borderId="0" xfId="0" applyFont="1"/>
    <xf numFmtId="0" fontId="11" fillId="0" borderId="1" xfId="0" applyFont="1" applyBorder="1" applyAlignment="1">
      <alignment horizontal="center" vertical="top"/>
    </xf>
    <xf numFmtId="0" fontId="14" fillId="0" borderId="1" xfId="0" applyFont="1" applyBorder="1" applyAlignment="1">
      <alignment horizontal="center"/>
    </xf>
    <xf numFmtId="0" fontId="14" fillId="0" borderId="3" xfId="0" applyFont="1" applyBorder="1"/>
    <xf numFmtId="0" fontId="14" fillId="0" borderId="0" xfId="0" applyFont="1" applyBorder="1"/>
    <xf numFmtId="0" fontId="0" fillId="0" borderId="0" xfId="0" applyAlignment="1">
      <alignment horizontal="center"/>
    </xf>
    <xf numFmtId="0" fontId="14" fillId="0" borderId="4" xfId="0" applyFont="1" applyBorder="1"/>
    <xf numFmtId="0" fontId="14" fillId="0" borderId="5" xfId="0" applyFont="1" applyBorder="1"/>
    <xf numFmtId="0" fontId="14" fillId="0" borderId="6" xfId="0" applyFont="1" applyBorder="1"/>
    <xf numFmtId="0" fontId="3"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4" fillId="0" borderId="7" xfId="0" applyFont="1" applyBorder="1"/>
    <xf numFmtId="0" fontId="14" fillId="0" borderId="8" xfId="0" applyFont="1" applyBorder="1"/>
    <xf numFmtId="0" fontId="14" fillId="0" borderId="9" xfId="0" applyFont="1" applyBorder="1"/>
    <xf numFmtId="14" fontId="14" fillId="0" borderId="10" xfId="0" applyNumberFormat="1" applyFont="1" applyBorder="1" applyAlignment="1">
      <alignment horizontal="left"/>
    </xf>
    <xf numFmtId="0" fontId="11" fillId="0" borderId="3" xfId="0" applyFont="1" applyBorder="1" applyAlignment="1">
      <alignment horizontal="center" vertical="center" wrapText="1"/>
    </xf>
    <xf numFmtId="0" fontId="28" fillId="0" borderId="16" xfId="0" applyFont="1" applyBorder="1" applyAlignment="1">
      <alignment horizontal="center" vertical="center" wrapText="1"/>
    </xf>
    <xf numFmtId="0" fontId="8" fillId="0" borderId="0" xfId="0" applyNumberFormat="1" applyFont="1" applyBorder="1" applyAlignment="1">
      <alignment horizontal="left" vertical="center"/>
    </xf>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6" fillId="0" borderId="0" xfId="0" applyFont="1"/>
    <xf numFmtId="0" fontId="16" fillId="0" borderId="3" xfId="0" applyFont="1" applyBorder="1"/>
    <xf numFmtId="0" fontId="16" fillId="0" borderId="0" xfId="0" applyFont="1" applyBorder="1"/>
    <xf numFmtId="0" fontId="16" fillId="0" borderId="3" xfId="0" applyFont="1" applyBorder="1" applyAlignment="1">
      <alignment horizontal="center"/>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14" fillId="0" borderId="0" xfId="0" applyFont="1" applyBorder="1" applyAlignment="1"/>
    <xf numFmtId="0" fontId="3" fillId="0" borderId="7" xfId="0" applyFont="1" applyBorder="1" applyAlignment="1">
      <alignment horizontal="center"/>
    </xf>
    <xf numFmtId="0" fontId="16" fillId="3" borderId="0" xfId="0" applyNumberFormat="1" applyFont="1" applyFill="1" applyBorder="1" applyAlignment="1">
      <alignment wrapText="1"/>
    </xf>
    <xf numFmtId="0" fontId="19" fillId="3" borderId="0" xfId="0" applyNumberFormat="1" applyFont="1" applyFill="1" applyBorder="1" applyAlignment="1"/>
    <xf numFmtId="0" fontId="19" fillId="3" borderId="0" xfId="0" applyNumberFormat="1" applyFont="1" applyFill="1" applyBorder="1" applyAlignment="1">
      <alignment vertical="center"/>
    </xf>
    <xf numFmtId="0" fontId="16" fillId="3" borderId="0" xfId="0" applyNumberFormat="1" applyFont="1" applyFill="1" applyBorder="1" applyAlignment="1">
      <alignment horizontal="left"/>
    </xf>
    <xf numFmtId="0" fontId="16" fillId="3" borderId="1" xfId="0" applyFont="1" applyFill="1" applyBorder="1" applyAlignment="1">
      <alignment horizontal="center" wrapText="1"/>
    </xf>
    <xf numFmtId="4" fontId="16" fillId="3" borderId="1" xfId="0" applyNumberFormat="1" applyFont="1" applyFill="1" applyBorder="1" applyAlignment="1">
      <alignment horizontal="center" wrapText="1"/>
    </xf>
    <xf numFmtId="0" fontId="16" fillId="3" borderId="5"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4" fontId="19" fillId="3" borderId="1" xfId="0" applyNumberFormat="1" applyFont="1" applyFill="1" applyBorder="1" applyAlignment="1">
      <alignment horizontal="center" wrapText="1"/>
    </xf>
    <xf numFmtId="0" fontId="19" fillId="3" borderId="17" xfId="0" applyFont="1" applyFill="1" applyBorder="1" applyAlignment="1">
      <alignment horizontal="center"/>
    </xf>
    <xf numFmtId="0" fontId="19" fillId="3" borderId="18" xfId="0" applyFont="1" applyFill="1" applyBorder="1" applyAlignment="1">
      <alignment horizontal="center" wrapText="1"/>
    </xf>
    <xf numFmtId="4" fontId="19" fillId="3" borderId="18" xfId="0" applyNumberFormat="1" applyFont="1" applyFill="1" applyBorder="1" applyAlignment="1">
      <alignment horizontal="center" wrapText="1"/>
    </xf>
    <xf numFmtId="0" fontId="19" fillId="3" borderId="0" xfId="0" applyFont="1" applyFill="1" applyBorder="1" applyAlignment="1">
      <alignment horizontal="left" vertical="center" wrapText="1"/>
    </xf>
    <xf numFmtId="0" fontId="19" fillId="3" borderId="0" xfId="0" applyFont="1" applyFill="1" applyAlignment="1">
      <alignment horizontal="left" vertical="center"/>
    </xf>
    <xf numFmtId="0" fontId="22" fillId="3" borderId="0" xfId="0" applyFont="1" applyFill="1" applyAlignment="1">
      <alignment horizontal="left" vertical="center"/>
    </xf>
    <xf numFmtId="0" fontId="0" fillId="3" borderId="0" xfId="0" applyFill="1"/>
    <xf numFmtId="49" fontId="19" fillId="3" borderId="5" xfId="0" applyNumberFormat="1" applyFont="1" applyFill="1" applyBorder="1" applyAlignment="1">
      <alignment horizontal="right" vertical="center"/>
    </xf>
    <xf numFmtId="0" fontId="3" fillId="0" borderId="23" xfId="0" applyNumberFormat="1" applyFont="1" applyBorder="1" applyAlignment="1">
      <alignment horizontal="left"/>
    </xf>
    <xf numFmtId="0" fontId="35" fillId="0" borderId="0" xfId="4" applyFont="1" applyAlignment="1">
      <alignment horizontal="center" vertical="center"/>
    </xf>
    <xf numFmtId="0" fontId="20" fillId="0" borderId="0" xfId="4" applyFont="1" applyAlignment="1">
      <alignment horizontal="right" vertical="center"/>
    </xf>
    <xf numFmtId="0" fontId="21" fillId="0" borderId="0" xfId="4" applyFont="1" applyAlignment="1">
      <alignment horizontal="left"/>
    </xf>
    <xf numFmtId="0" fontId="36" fillId="0" borderId="0" xfId="4" applyFont="1" applyAlignment="1">
      <alignment horizontal="center"/>
    </xf>
    <xf numFmtId="0" fontId="36" fillId="0" borderId="0" xfId="4" applyFont="1" applyAlignment="1">
      <alignment horizontal="left"/>
    </xf>
    <xf numFmtId="0" fontId="20" fillId="0" borderId="0" xfId="4" applyFont="1" applyAlignment="1">
      <alignment horizontal="left"/>
    </xf>
    <xf numFmtId="0" fontId="37" fillId="0" borderId="0" xfId="4" applyFont="1" applyAlignment="1">
      <alignment horizontal="left"/>
    </xf>
    <xf numFmtId="0" fontId="37" fillId="0" borderId="0" xfId="4" applyFont="1" applyBorder="1" applyAlignment="1">
      <alignment horizontal="center"/>
    </xf>
    <xf numFmtId="4" fontId="14" fillId="0" borderId="0" xfId="4" applyNumberFormat="1" applyFont="1" applyAlignment="1">
      <alignment horizontal="left"/>
    </xf>
    <xf numFmtId="0" fontId="3" fillId="0" borderId="0" xfId="4" applyFont="1" applyAlignment="1">
      <alignment horizontal="left"/>
    </xf>
    <xf numFmtId="4" fontId="20" fillId="0" borderId="0" xfId="4" applyNumberFormat="1" applyFont="1" applyAlignment="1">
      <alignment horizontal="left"/>
    </xf>
    <xf numFmtId="0" fontId="21" fillId="0" borderId="0" xfId="4" applyFont="1" applyBorder="1" applyAlignment="1">
      <alignment horizontal="center"/>
    </xf>
    <xf numFmtId="0" fontId="28" fillId="0" borderId="0" xfId="10" applyFont="1" applyAlignment="1">
      <alignment horizontal="right" vertical="center"/>
    </xf>
    <xf numFmtId="0" fontId="30" fillId="0" borderId="39" xfId="10" applyFont="1" applyBorder="1" applyAlignment="1">
      <alignment horizontal="center" vertical="center" wrapText="1"/>
    </xf>
    <xf numFmtId="49" fontId="30" fillId="0" borderId="40" xfId="10" applyNumberFormat="1" applyFont="1" applyBorder="1" applyAlignment="1">
      <alignment horizontal="center" vertical="center" wrapText="1"/>
    </xf>
    <xf numFmtId="14" fontId="30" fillId="0" borderId="41" xfId="10" applyNumberFormat="1" applyFont="1" applyBorder="1" applyAlignment="1">
      <alignment horizontal="center" vertical="center" wrapText="1"/>
    </xf>
    <xf numFmtId="0" fontId="33" fillId="0" borderId="0" xfId="10" applyFont="1" applyAlignment="1">
      <alignment vertical="center" wrapText="1"/>
    </xf>
    <xf numFmtId="0" fontId="30" fillId="0" borderId="0" xfId="10" applyFont="1" applyBorder="1" applyAlignment="1">
      <alignment vertical="center" wrapText="1"/>
    </xf>
    <xf numFmtId="0" fontId="30" fillId="0" borderId="41" xfId="10" applyFont="1" applyBorder="1" applyAlignment="1">
      <alignment horizontal="center" vertical="center" wrapText="1"/>
    </xf>
    <xf numFmtId="0" fontId="27" fillId="0" borderId="0" xfId="10" applyFont="1" applyAlignment="1">
      <alignment horizontal="justify" vertical="center" wrapText="1"/>
    </xf>
    <xf numFmtId="0" fontId="42" fillId="0" borderId="0" xfId="10" applyFont="1" applyAlignment="1">
      <alignment horizontal="right"/>
    </xf>
    <xf numFmtId="49" fontId="30" fillId="0" borderId="41" xfId="10" applyNumberFormat="1" applyFont="1" applyBorder="1" applyAlignment="1">
      <alignment horizontal="center" vertical="center" wrapText="1"/>
    </xf>
    <xf numFmtId="0" fontId="30" fillId="0" borderId="0" xfId="10" applyFont="1" applyAlignment="1">
      <alignment vertical="center" wrapText="1"/>
    </xf>
    <xf numFmtId="0" fontId="30" fillId="0" borderId="45" xfId="10" applyFont="1" applyBorder="1" applyAlignment="1">
      <alignment horizontal="center" vertical="center" wrapText="1"/>
    </xf>
    <xf numFmtId="0" fontId="30" fillId="0" borderId="0" xfId="10" applyFont="1" applyAlignment="1">
      <alignment vertical="center"/>
    </xf>
    <xf numFmtId="0" fontId="27" fillId="0" borderId="0" xfId="10" applyFont="1" applyAlignment="1">
      <alignment horizontal="justify" vertical="center"/>
    </xf>
    <xf numFmtId="0" fontId="42" fillId="0" borderId="0" xfId="10" applyFont="1" applyAlignment="1"/>
    <xf numFmtId="0" fontId="42" fillId="0" borderId="0" xfId="10" applyFont="1"/>
    <xf numFmtId="0" fontId="28" fillId="0" borderId="0" xfId="10" applyFont="1" applyAlignment="1">
      <alignment horizontal="justify" vertical="center"/>
    </xf>
    <xf numFmtId="0" fontId="27" fillId="0" borderId="0" xfId="10" applyFont="1" applyAlignment="1"/>
    <xf numFmtId="0" fontId="30" fillId="0" borderId="53" xfId="10" applyFont="1" applyBorder="1" applyAlignment="1">
      <alignment vertical="top" wrapText="1"/>
    </xf>
    <xf numFmtId="0" fontId="30" fillId="0" borderId="0" xfId="10" applyFont="1" applyBorder="1" applyAlignment="1">
      <alignment vertical="top" wrapText="1"/>
    </xf>
    <xf numFmtId="0" fontId="30" fillId="0" borderId="54" xfId="10" applyFont="1" applyBorder="1" applyAlignment="1">
      <alignment vertical="top" wrapText="1"/>
    </xf>
    <xf numFmtId="0" fontId="27" fillId="0" borderId="0" xfId="10" applyFont="1" applyAlignment="1">
      <alignment vertical="center"/>
    </xf>
    <xf numFmtId="0" fontId="30" fillId="0" borderId="56" xfId="10" applyFont="1" applyBorder="1" applyAlignment="1">
      <alignment vertical="top" wrapText="1"/>
    </xf>
    <xf numFmtId="0" fontId="30" fillId="0" borderId="57" xfId="10" applyFont="1" applyBorder="1" applyAlignment="1">
      <alignment vertical="top" wrapText="1"/>
    </xf>
    <xf numFmtId="0" fontId="30" fillId="0" borderId="0" xfId="10" applyFont="1" applyAlignment="1">
      <alignment horizontal="left" vertical="center"/>
    </xf>
    <xf numFmtId="4" fontId="14" fillId="4" borderId="0" xfId="4" applyNumberFormat="1" applyFont="1" applyFill="1" applyAlignment="1">
      <alignment horizontal="left"/>
    </xf>
    <xf numFmtId="0" fontId="20" fillId="0" borderId="0" xfId="4" applyFont="1" applyFill="1" applyAlignment="1">
      <alignment horizontal="left"/>
    </xf>
    <xf numFmtId="0" fontId="14" fillId="4" borderId="0" xfId="4" applyFont="1" applyFill="1" applyAlignment="1">
      <alignment horizontal="left"/>
    </xf>
    <xf numFmtId="0" fontId="14" fillId="0" borderId="0" xfId="4" applyFont="1" applyFill="1" applyAlignment="1">
      <alignment horizontal="left"/>
    </xf>
    <xf numFmtId="4" fontId="14" fillId="0" borderId="0" xfId="4" applyNumberFormat="1" applyFont="1" applyFill="1" applyAlignment="1">
      <alignment horizontal="left"/>
    </xf>
    <xf numFmtId="4" fontId="11" fillId="0" borderId="0" xfId="4" applyNumberFormat="1" applyFont="1" applyFill="1" applyAlignment="1">
      <alignment horizontal="left"/>
    </xf>
    <xf numFmtId="0" fontId="14" fillId="0" borderId="0" xfId="4" applyFont="1"/>
    <xf numFmtId="0" fontId="14" fillId="0" borderId="0" xfId="4" applyFont="1" applyBorder="1"/>
    <xf numFmtId="0" fontId="30" fillId="0" borderId="0" xfId="4" applyFont="1" applyBorder="1" applyAlignment="1">
      <alignment vertical="top"/>
    </xf>
    <xf numFmtId="0" fontId="14" fillId="0" borderId="3" xfId="4" applyFont="1" applyBorder="1" applyAlignment="1"/>
    <xf numFmtId="0" fontId="28" fillId="0" borderId="3" xfId="4" applyFont="1" applyFill="1" applyBorder="1" applyAlignment="1">
      <alignment horizontal="right"/>
    </xf>
    <xf numFmtId="0" fontId="14" fillId="0" borderId="0" xfId="4" applyFont="1" applyAlignment="1">
      <alignment horizontal="right"/>
    </xf>
    <xf numFmtId="0" fontId="40" fillId="0" borderId="0" xfId="10" applyFont="1" applyAlignment="1">
      <alignment vertical="center" wrapText="1"/>
    </xf>
    <xf numFmtId="0" fontId="14" fillId="0" borderId="41" xfId="4" applyFont="1" applyBorder="1" applyAlignment="1">
      <alignment horizontal="center" vertical="center"/>
    </xf>
    <xf numFmtId="0" fontId="14" fillId="0" borderId="0" xfId="4" applyFont="1" applyAlignment="1">
      <alignment horizontal="right" vertical="center"/>
    </xf>
    <xf numFmtId="0" fontId="14" fillId="0" borderId="1" xfId="4" applyFont="1" applyBorder="1" applyAlignment="1">
      <alignment horizontal="center"/>
    </xf>
    <xf numFmtId="4" fontId="14" fillId="0" borderId="0" xfId="4" applyNumberFormat="1" applyFont="1"/>
    <xf numFmtId="0" fontId="10" fillId="0" borderId="0" xfId="4"/>
    <xf numFmtId="0" fontId="14" fillId="0" borderId="0" xfId="0" applyFont="1" applyAlignment="1">
      <alignment horizontal="center"/>
    </xf>
    <xf numFmtId="43" fontId="12" fillId="0" borderId="1" xfId="0" applyNumberFormat="1" applyFont="1" applyFill="1" applyBorder="1" applyAlignment="1">
      <alignment horizontal="right" vertical="center" wrapText="1"/>
    </xf>
    <xf numFmtId="0" fontId="28" fillId="0" borderId="0" xfId="15" applyFont="1" applyAlignment="1">
      <alignment horizontal="justify" vertical="center"/>
    </xf>
    <xf numFmtId="0" fontId="30" fillId="0" borderId="0" xfId="15" applyFont="1"/>
    <xf numFmtId="0" fontId="46" fillId="0" borderId="0" xfId="15" applyBorder="1"/>
    <xf numFmtId="0" fontId="46" fillId="0" borderId="0" xfId="15"/>
    <xf numFmtId="0" fontId="27" fillId="0" borderId="0" xfId="15" applyFont="1" applyAlignment="1">
      <alignment horizontal="right" vertical="center"/>
    </xf>
    <xf numFmtId="0" fontId="28" fillId="0" borderId="0" xfId="4" applyFont="1" applyBorder="1" applyAlignment="1"/>
    <xf numFmtId="0" fontId="28" fillId="0" borderId="0" xfId="4" applyFont="1" applyFill="1" applyBorder="1" applyAlignment="1"/>
    <xf numFmtId="0" fontId="27" fillId="0" borderId="0" xfId="4" applyFont="1" applyBorder="1" applyAlignment="1">
      <alignment vertical="top"/>
    </xf>
    <xf numFmtId="0" fontId="14" fillId="0" borderId="3" xfId="4" applyFont="1" applyBorder="1"/>
    <xf numFmtId="0" fontId="14" fillId="0" borderId="0" xfId="4" applyFont="1" applyBorder="1" applyAlignment="1"/>
    <xf numFmtId="0" fontId="14" fillId="0" borderId="0" xfId="4" applyFont="1" applyBorder="1" applyAlignment="1">
      <alignment horizontal="right"/>
    </xf>
    <xf numFmtId="0" fontId="16" fillId="0" borderId="0" xfId="4" applyFont="1" applyAlignment="1"/>
    <xf numFmtId="0" fontId="27" fillId="0" borderId="0" xfId="15" applyFont="1" applyAlignment="1">
      <alignment horizontal="justify" vertical="center"/>
    </xf>
    <xf numFmtId="0" fontId="28" fillId="0" borderId="0" xfId="15" applyFont="1" applyAlignment="1">
      <alignment vertical="center" wrapText="1"/>
    </xf>
    <xf numFmtId="0" fontId="28" fillId="0" borderId="0" xfId="15" applyFont="1" applyAlignment="1">
      <alignment horizontal="center" vertical="center" wrapText="1"/>
    </xf>
    <xf numFmtId="0" fontId="28" fillId="0" borderId="0" xfId="15" applyFont="1" applyAlignment="1">
      <alignment horizontal="justify" vertical="center" wrapText="1"/>
    </xf>
    <xf numFmtId="0" fontId="28" fillId="0" borderId="16" xfId="15" applyFont="1" applyBorder="1" applyAlignment="1">
      <alignment horizontal="center" vertical="center" wrapText="1"/>
    </xf>
    <xf numFmtId="0" fontId="30" fillId="0" borderId="0" xfId="15" applyFont="1" applyAlignment="1">
      <alignment horizontal="justify" vertical="center" wrapText="1"/>
    </xf>
    <xf numFmtId="49" fontId="28" fillId="0" borderId="16" xfId="15" applyNumberFormat="1" applyFont="1" applyBorder="1" applyAlignment="1">
      <alignment horizontal="center" vertical="center" wrapText="1"/>
    </xf>
    <xf numFmtId="0" fontId="28" fillId="0" borderId="0" xfId="15" applyFont="1" applyAlignment="1">
      <alignment vertical="top" wrapText="1"/>
    </xf>
    <xf numFmtId="0" fontId="2" fillId="0" borderId="0" xfId="15" applyFont="1" applyAlignment="1">
      <alignment horizontal="justify" vertical="center"/>
    </xf>
    <xf numFmtId="0" fontId="45" fillId="0" borderId="0" xfId="15" applyFont="1" applyAlignment="1">
      <alignment horizontal="left" vertical="center"/>
    </xf>
    <xf numFmtId="0" fontId="49" fillId="0" borderId="1" xfId="15" applyFont="1" applyBorder="1" applyAlignment="1">
      <alignment horizontal="center" wrapText="1"/>
    </xf>
    <xf numFmtId="0" fontId="49" fillId="0" borderId="1" xfId="15" applyFont="1" applyBorder="1" applyAlignment="1">
      <alignment horizontal="center" vertical="top" wrapText="1"/>
    </xf>
    <xf numFmtId="16" fontId="49" fillId="0" borderId="1" xfId="15" applyNumberFormat="1" applyFont="1" applyBorder="1" applyAlignment="1">
      <alignment horizontal="center" vertical="top" wrapText="1"/>
    </xf>
    <xf numFmtId="0" fontId="49" fillId="0" borderId="1" xfId="15" applyFont="1" applyBorder="1" applyAlignment="1">
      <alignment vertical="top" wrapText="1"/>
    </xf>
    <xf numFmtId="0" fontId="49" fillId="0" borderId="1" xfId="15" applyFont="1" applyFill="1" applyBorder="1" applyAlignment="1">
      <alignment horizontal="center" vertical="top" wrapText="1"/>
    </xf>
    <xf numFmtId="0" fontId="49" fillId="4" borderId="1" xfId="15" applyFont="1" applyFill="1" applyBorder="1" applyAlignment="1">
      <alignment horizontal="center" vertical="top" wrapText="1"/>
    </xf>
    <xf numFmtId="0" fontId="49" fillId="4" borderId="1" xfId="15" applyFont="1" applyFill="1" applyBorder="1" applyAlignment="1">
      <alignment vertical="top" wrapText="1"/>
    </xf>
    <xf numFmtId="16" fontId="49" fillId="4" borderId="1" xfId="15" applyNumberFormat="1" applyFont="1" applyFill="1" applyBorder="1" applyAlignment="1">
      <alignment horizontal="center" vertical="top" wrapText="1"/>
    </xf>
    <xf numFmtId="0" fontId="49" fillId="4" borderId="1" xfId="15" applyFont="1" applyFill="1" applyBorder="1" applyAlignment="1">
      <alignment horizontal="left" vertical="top" wrapText="1"/>
    </xf>
    <xf numFmtId="0" fontId="49" fillId="4" borderId="1" xfId="15" applyFont="1" applyFill="1" applyBorder="1" applyAlignment="1">
      <alignment horizontal="center" vertical="center" wrapText="1"/>
    </xf>
    <xf numFmtId="17" fontId="49" fillId="4" borderId="1" xfId="15" applyNumberFormat="1" applyFont="1" applyFill="1" applyBorder="1" applyAlignment="1">
      <alignment horizontal="center" vertical="top" wrapText="1"/>
    </xf>
    <xf numFmtId="0" fontId="2" fillId="0" borderId="0" xfId="15" applyFont="1" applyAlignment="1">
      <alignment wrapText="1"/>
    </xf>
    <xf numFmtId="0" fontId="51" fillId="0" borderId="0" xfId="15" applyFont="1"/>
    <xf numFmtId="0" fontId="29" fillId="0" borderId="0" xfId="15" applyFont="1" applyAlignment="1">
      <alignment vertical="center" wrapText="1"/>
    </xf>
    <xf numFmtId="0" fontId="30" fillId="0" borderId="0" xfId="15" applyFont="1" applyAlignment="1">
      <alignment vertical="center" wrapText="1"/>
    </xf>
    <xf numFmtId="14" fontId="28" fillId="0" borderId="15" xfId="15" applyNumberFormat="1" applyFont="1" applyBorder="1" applyAlignment="1">
      <alignment horizontal="center" vertical="center" wrapText="1"/>
    </xf>
    <xf numFmtId="0" fontId="28" fillId="0" borderId="39" xfId="15" applyFont="1" applyBorder="1" applyAlignment="1">
      <alignment horizontal="center" vertical="center" wrapText="1"/>
    </xf>
    <xf numFmtId="0" fontId="28" fillId="0" borderId="0" xfId="15" applyFont="1" applyAlignment="1">
      <alignment horizontal="right" vertical="center" wrapText="1"/>
    </xf>
    <xf numFmtId="0" fontId="28" fillId="0" borderId="20" xfId="15" applyFont="1" applyBorder="1" applyAlignment="1">
      <alignment horizontal="right" vertical="center" wrapText="1"/>
    </xf>
    <xf numFmtId="0" fontId="28" fillId="0" borderId="0" xfId="0" applyFont="1" applyAlignment="1">
      <alignment horizontal="right" vertical="center" wrapText="1"/>
    </xf>
    <xf numFmtId="4" fontId="3" fillId="0" borderId="0" xfId="0" applyNumberFormat="1" applyFont="1" applyBorder="1" applyAlignment="1">
      <alignment horizontal="left"/>
    </xf>
    <xf numFmtId="0" fontId="23" fillId="0" borderId="0" xfId="0" applyNumberFormat="1" applyFont="1" applyBorder="1" applyAlignment="1">
      <alignment horizontal="left"/>
    </xf>
    <xf numFmtId="4" fontId="3" fillId="0" borderId="13" xfId="0" applyNumberFormat="1" applyFont="1" applyBorder="1" applyAlignment="1">
      <alignment horizontal="center" shrinkToFit="1"/>
    </xf>
    <xf numFmtId="0" fontId="6" fillId="0" borderId="0" xfId="0" applyNumberFormat="1" applyFont="1" applyBorder="1" applyAlignment="1">
      <alignment horizontal="center"/>
    </xf>
    <xf numFmtId="0" fontId="3" fillId="0" borderId="5" xfId="0" applyNumberFormat="1" applyFont="1" applyBorder="1" applyAlignment="1">
      <alignment horizontal="left"/>
    </xf>
    <xf numFmtId="0" fontId="3" fillId="0" borderId="6" xfId="0" applyNumberFormat="1" applyFont="1" applyBorder="1" applyAlignment="1">
      <alignment horizontal="left"/>
    </xf>
    <xf numFmtId="0" fontId="8" fillId="0" borderId="0" xfId="0" applyNumberFormat="1" applyFont="1" applyBorder="1" applyAlignment="1">
      <alignment horizontal="justify" wrapText="1"/>
    </xf>
    <xf numFmtId="4" fontId="3" fillId="0" borderId="3" xfId="0" applyNumberFormat="1" applyFont="1" applyBorder="1" applyAlignment="1">
      <alignment horizontal="center" shrinkToFit="1"/>
    </xf>
    <xf numFmtId="4" fontId="3" fillId="0" borderId="0" xfId="0" applyNumberFormat="1" applyFont="1" applyBorder="1" applyAlignment="1">
      <alignment horizontal="center" shrinkToFit="1"/>
    </xf>
    <xf numFmtId="0" fontId="21" fillId="0" borderId="0" xfId="4" applyFont="1" applyAlignment="1">
      <alignment horizontal="center"/>
    </xf>
    <xf numFmtId="0" fontId="14" fillId="0" borderId="0" xfId="4" applyFont="1" applyBorder="1" applyAlignment="1">
      <alignment horizontal="center"/>
    </xf>
    <xf numFmtId="0" fontId="14" fillId="0" borderId="5" xfId="4" applyFont="1" applyBorder="1" applyAlignment="1">
      <alignment horizontal="left"/>
    </xf>
    <xf numFmtId="0" fontId="30" fillId="0" borderId="0" xfId="10" applyFont="1" applyAlignment="1">
      <alignment horizontal="right" vertical="center" wrapText="1"/>
    </xf>
    <xf numFmtId="0" fontId="30" fillId="0" borderId="0" xfId="10" applyFont="1" applyBorder="1" applyAlignment="1">
      <alignment horizontal="right" vertical="center" wrapText="1"/>
    </xf>
    <xf numFmtId="0" fontId="30" fillId="0" borderId="0" xfId="10" applyFont="1" applyAlignment="1">
      <alignment horizontal="right" vertical="center"/>
    </xf>
    <xf numFmtId="0" fontId="30" fillId="0" borderId="31" xfId="10" applyFont="1" applyBorder="1" applyAlignment="1">
      <alignment horizontal="center" vertical="center" wrapText="1"/>
    </xf>
    <xf numFmtId="0" fontId="30" fillId="0" borderId="1" xfId="10" applyFont="1" applyBorder="1" applyAlignment="1">
      <alignment horizontal="center" vertical="center" wrapText="1"/>
    </xf>
    <xf numFmtId="0" fontId="14" fillId="0" borderId="0" xfId="4" applyFont="1" applyAlignment="1">
      <alignment horizontal="left"/>
    </xf>
    <xf numFmtId="0" fontId="14" fillId="0" borderId="1" xfId="0" applyFont="1" applyBorder="1" applyAlignment="1">
      <alignment horizontal="center" vertical="center"/>
    </xf>
    <xf numFmtId="4" fontId="32" fillId="0" borderId="1" xfId="0" applyNumberFormat="1" applyFont="1" applyBorder="1" applyAlignment="1">
      <alignment horizontal="center" vertical="center"/>
    </xf>
    <xf numFmtId="14" fontId="16" fillId="0" borderId="0" xfId="0" applyNumberFormat="1" applyFont="1" applyAlignment="1">
      <alignment horizontal="left"/>
    </xf>
    <xf numFmtId="0" fontId="16" fillId="3" borderId="1" xfId="0" applyNumberFormat="1" applyFont="1" applyFill="1" applyBorder="1" applyAlignment="1">
      <alignment horizontal="center" wrapText="1"/>
    </xf>
    <xf numFmtId="4" fontId="14" fillId="11" borderId="0" xfId="4" applyNumberFormat="1" applyFont="1" applyFill="1" applyAlignment="1">
      <alignment horizontal="left"/>
    </xf>
    <xf numFmtId="0" fontId="14" fillId="11" borderId="0" xfId="4" applyFont="1" applyFill="1" applyAlignment="1">
      <alignment horizontal="left"/>
    </xf>
    <xf numFmtId="4" fontId="14" fillId="5" borderId="0" xfId="4" applyNumberFormat="1" applyFont="1" applyFill="1" applyAlignment="1">
      <alignment horizontal="left"/>
    </xf>
    <xf numFmtId="0" fontId="14" fillId="0" borderId="0" xfId="4" applyFont="1" applyBorder="1" applyAlignment="1">
      <alignment horizontal="left"/>
    </xf>
    <xf numFmtId="4" fontId="3" fillId="0" borderId="0" xfId="4" applyNumberFormat="1" applyFont="1" applyAlignment="1">
      <alignment horizontal="left"/>
    </xf>
    <xf numFmtId="0" fontId="21" fillId="0" borderId="0" xfId="4" applyFont="1" applyFill="1" applyAlignment="1">
      <alignment horizontal="left"/>
    </xf>
    <xf numFmtId="0" fontId="36" fillId="0" borderId="0" xfId="4" applyFont="1" applyFill="1" applyAlignment="1">
      <alignment horizontal="center"/>
    </xf>
    <xf numFmtId="0" fontId="36" fillId="0" borderId="0" xfId="4" applyFont="1" applyFill="1" applyAlignment="1">
      <alignment horizontal="left"/>
    </xf>
    <xf numFmtId="0" fontId="21" fillId="0" borderId="0" xfId="4" applyFont="1" applyFill="1" applyAlignment="1">
      <alignment horizontal="center"/>
    </xf>
    <xf numFmtId="4" fontId="20" fillId="0" borderId="0" xfId="4" applyNumberFormat="1" applyFont="1" applyFill="1" applyAlignment="1">
      <alignment horizontal="left"/>
    </xf>
    <xf numFmtId="2" fontId="14" fillId="0" borderId="0" xfId="4" applyNumberFormat="1" applyFont="1" applyAlignment="1">
      <alignment horizontal="left"/>
    </xf>
    <xf numFmtId="49" fontId="30" fillId="0" borderId="1" xfId="10" applyNumberFormat="1" applyFont="1" applyBorder="1" applyAlignment="1">
      <alignment horizontal="center" vertical="center" wrapText="1"/>
    </xf>
    <xf numFmtId="0" fontId="30" fillId="0" borderId="17" xfId="10" applyFont="1" applyBorder="1" applyAlignment="1">
      <alignment horizontal="center" vertical="center" wrapText="1"/>
    </xf>
    <xf numFmtId="0" fontId="30" fillId="0" borderId="18" xfId="10" applyFont="1" applyBorder="1" applyAlignment="1">
      <alignment horizontal="center" vertical="center" wrapText="1"/>
    </xf>
    <xf numFmtId="4" fontId="30" fillId="0" borderId="18" xfId="10" applyNumberFormat="1" applyFont="1" applyBorder="1" applyAlignment="1">
      <alignment horizontal="right" vertical="center" wrapText="1"/>
    </xf>
    <xf numFmtId="0" fontId="47" fillId="0" borderId="0" xfId="10" applyFont="1" applyBorder="1" applyAlignment="1">
      <alignment vertical="top" wrapText="1"/>
    </xf>
    <xf numFmtId="0" fontId="47" fillId="0" borderId="54" xfId="10" applyFont="1" applyBorder="1" applyAlignment="1">
      <alignment vertical="top" wrapText="1"/>
    </xf>
    <xf numFmtId="0" fontId="11" fillId="0" borderId="0" xfId="4" applyFont="1" applyFill="1" applyAlignment="1">
      <alignment horizontal="left"/>
    </xf>
    <xf numFmtId="4" fontId="14" fillId="0" borderId="1" xfId="0" applyNumberFormat="1" applyFont="1" applyBorder="1" applyAlignment="1">
      <alignment horizontal="center" vertical="center"/>
    </xf>
    <xf numFmtId="4" fontId="14" fillId="7" borderId="1" xfId="0" applyNumberFormat="1" applyFont="1" applyFill="1" applyBorder="1" applyAlignment="1">
      <alignment horizontal="center"/>
    </xf>
    <xf numFmtId="0" fontId="3" fillId="15" borderId="0" xfId="0" applyNumberFormat="1" applyFont="1" applyFill="1" applyBorder="1" applyAlignment="1">
      <alignment horizontal="left"/>
    </xf>
    <xf numFmtId="4" fontId="30" fillId="0" borderId="1" xfId="10" applyNumberFormat="1" applyFont="1" applyFill="1" applyBorder="1" applyAlignment="1">
      <alignment horizontal="right" vertical="center" wrapText="1"/>
    </xf>
    <xf numFmtId="0" fontId="16" fillId="3" borderId="11" xfId="0" applyFont="1" applyFill="1" applyBorder="1" applyAlignment="1">
      <alignment horizontal="center" vertical="center"/>
    </xf>
    <xf numFmtId="0" fontId="14" fillId="0" borderId="0" xfId="4" applyFont="1" applyAlignment="1">
      <alignment horizontal="left"/>
    </xf>
    <xf numFmtId="0" fontId="3" fillId="0" borderId="0" xfId="0" applyNumberFormat="1" applyFont="1" applyFill="1" applyBorder="1" applyAlignment="1">
      <alignment horizontal="left"/>
    </xf>
    <xf numFmtId="0" fontId="23" fillId="0" borderId="0" xfId="0" applyNumberFormat="1" applyFont="1" applyFill="1" applyBorder="1" applyAlignment="1">
      <alignment horizontal="left"/>
    </xf>
    <xf numFmtId="0" fontId="53" fillId="0" borderId="11" xfId="0" applyFont="1" applyBorder="1" applyAlignment="1">
      <alignment horizontal="justify" wrapText="1"/>
    </xf>
    <xf numFmtId="0" fontId="53" fillId="0" borderId="4" xfId="0" applyFont="1" applyBorder="1" applyAlignment="1">
      <alignment wrapText="1"/>
    </xf>
    <xf numFmtId="0" fontId="53" fillId="0" borderId="11" xfId="0" applyFont="1" applyFill="1" applyBorder="1" applyAlignment="1">
      <alignment horizontal="justify" wrapText="1"/>
    </xf>
    <xf numFmtId="0" fontId="17" fillId="3" borderId="11" xfId="0" applyFont="1" applyFill="1" applyBorder="1" applyAlignment="1">
      <alignment horizontal="justify" wrapText="1"/>
    </xf>
    <xf numFmtId="49" fontId="16" fillId="3" borderId="31" xfId="0" applyNumberFormat="1" applyFont="1" applyFill="1" applyBorder="1" applyAlignment="1">
      <alignment horizontal="center" wrapText="1"/>
    </xf>
    <xf numFmtId="4" fontId="53" fillId="0" borderId="49" xfId="0" applyNumberFormat="1" applyFont="1" applyBorder="1" applyAlignment="1">
      <alignment horizontal="center" wrapText="1"/>
    </xf>
    <xf numFmtId="49" fontId="16" fillId="0" borderId="31" xfId="0" applyNumberFormat="1" applyFont="1" applyFill="1" applyBorder="1" applyAlignment="1">
      <alignment horizontal="center" wrapText="1"/>
    </xf>
    <xf numFmtId="4" fontId="16" fillId="3" borderId="49" xfId="0" applyNumberFormat="1" applyFont="1" applyFill="1" applyBorder="1" applyAlignment="1">
      <alignment horizontal="center" wrapText="1"/>
    </xf>
    <xf numFmtId="4" fontId="19" fillId="3" borderId="59" xfId="0" applyNumberFormat="1" applyFont="1" applyFill="1" applyBorder="1" applyAlignment="1">
      <alignment horizontal="center" vertical="center" wrapText="1"/>
    </xf>
    <xf numFmtId="4" fontId="19" fillId="3" borderId="60" xfId="0" applyNumberFormat="1" applyFont="1" applyFill="1" applyBorder="1" applyAlignment="1">
      <alignment horizontal="center" vertical="center" wrapText="1"/>
    </xf>
    <xf numFmtId="49" fontId="30" fillId="0" borderId="1" xfId="10" applyNumberFormat="1" applyFont="1" applyFill="1" applyBorder="1" applyAlignment="1">
      <alignment horizontal="center" vertical="center" wrapText="1"/>
    </xf>
    <xf numFmtId="0" fontId="30" fillId="0" borderId="1" xfId="10" applyFont="1" applyFill="1" applyBorder="1" applyAlignment="1">
      <alignment horizontal="center" vertical="center" wrapText="1"/>
    </xf>
    <xf numFmtId="4" fontId="30" fillId="0" borderId="49" xfId="10" applyNumberFormat="1" applyFont="1" applyFill="1" applyBorder="1" applyAlignment="1">
      <alignment horizontal="right" vertical="center" wrapText="1"/>
    </xf>
    <xf numFmtId="0" fontId="27" fillId="0" borderId="31" xfId="10" applyFont="1" applyFill="1" applyBorder="1" applyAlignment="1">
      <alignment horizontal="center" vertical="center" wrapText="1"/>
    </xf>
    <xf numFmtId="0" fontId="27" fillId="0" borderId="61" xfId="10" applyFont="1" applyFill="1" applyBorder="1" applyAlignment="1">
      <alignment horizontal="center" vertical="center" wrapText="1"/>
    </xf>
    <xf numFmtId="49" fontId="30" fillId="0" borderId="59" xfId="10" applyNumberFormat="1" applyFont="1" applyBorder="1" applyAlignment="1">
      <alignment horizontal="center" vertical="center" wrapText="1"/>
    </xf>
    <xf numFmtId="0" fontId="30" fillId="0" borderId="59" xfId="10" applyFont="1" applyFill="1" applyBorder="1" applyAlignment="1">
      <alignment horizontal="center" vertical="center" wrapText="1"/>
    </xf>
    <xf numFmtId="4" fontId="30" fillId="0" borderId="59" xfId="10" applyNumberFormat="1" applyFont="1" applyFill="1" applyBorder="1" applyAlignment="1">
      <alignment horizontal="right" vertical="center" wrapText="1"/>
    </xf>
    <xf numFmtId="4" fontId="30" fillId="0" borderId="60" xfId="10" applyNumberFormat="1" applyFont="1" applyFill="1" applyBorder="1" applyAlignment="1">
      <alignment horizontal="right" vertical="center" wrapText="1"/>
    </xf>
    <xf numFmtId="0" fontId="14" fillId="0" borderId="0" xfId="4" applyFont="1" applyAlignment="1">
      <alignment horizontal="left"/>
    </xf>
    <xf numFmtId="0" fontId="27" fillId="0" borderId="1" xfId="10" applyFont="1" applyFill="1" applyBorder="1" applyAlignment="1">
      <alignment horizontal="center" vertical="center" wrapText="1"/>
    </xf>
    <xf numFmtId="0" fontId="27" fillId="0" borderId="49" xfId="10" applyFont="1" applyFill="1" applyBorder="1" applyAlignment="1">
      <alignment horizontal="center" vertical="center" wrapText="1"/>
    </xf>
    <xf numFmtId="0" fontId="30" fillId="0" borderId="49" xfId="10" applyFont="1" applyFill="1" applyBorder="1" applyAlignment="1">
      <alignment horizontal="center" vertical="center" wrapText="1"/>
    </xf>
    <xf numFmtId="4" fontId="21" fillId="0" borderId="0" xfId="4" applyNumberFormat="1" applyFont="1" applyAlignment="1">
      <alignment horizontal="left"/>
    </xf>
    <xf numFmtId="0" fontId="16" fillId="3" borderId="1" xfId="0" applyNumberFormat="1" applyFont="1" applyFill="1" applyBorder="1" applyAlignment="1">
      <alignment wrapText="1"/>
    </xf>
    <xf numFmtId="0" fontId="19" fillId="3" borderId="1" xfId="0" applyNumberFormat="1" applyFont="1" applyFill="1" applyBorder="1" applyAlignment="1">
      <alignment horizontal="center" vertical="center"/>
    </xf>
    <xf numFmtId="0" fontId="19" fillId="3" borderId="1" xfId="0" applyNumberFormat="1" applyFont="1" applyFill="1" applyBorder="1" applyAlignment="1">
      <alignment horizontal="center"/>
    </xf>
    <xf numFmtId="0" fontId="14" fillId="0" borderId="0" xfId="4" applyFont="1" applyAlignment="1">
      <alignment horizontal="left"/>
    </xf>
    <xf numFmtId="0" fontId="27" fillId="0" borderId="31" xfId="10" applyFont="1" applyBorder="1" applyAlignment="1">
      <alignment horizontal="center" vertical="center" wrapText="1"/>
    </xf>
    <xf numFmtId="0" fontId="27" fillId="0" borderId="1" xfId="10" applyFont="1" applyBorder="1" applyAlignment="1">
      <alignment horizontal="center" vertical="center" wrapText="1"/>
    </xf>
    <xf numFmtId="0" fontId="17" fillId="0" borderId="0" xfId="4" applyFont="1" applyFill="1" applyAlignment="1">
      <alignment horizontal="left"/>
    </xf>
    <xf numFmtId="0" fontId="47" fillId="0" borderId="0" xfId="14" applyFont="1" applyFill="1" applyAlignment="1">
      <alignment horizontal="justify" vertical="center"/>
    </xf>
    <xf numFmtId="0" fontId="47" fillId="0" borderId="0" xfId="14" applyFont="1" applyFill="1"/>
    <xf numFmtId="0" fontId="16" fillId="3" borderId="1" xfId="0" applyNumberFormat="1" applyFont="1" applyFill="1" applyBorder="1" applyAlignment="1">
      <alignment wrapText="1"/>
    </xf>
    <xf numFmtId="0" fontId="14" fillId="0" borderId="0" xfId="4" applyFont="1" applyFill="1" applyAlignment="1">
      <alignment horizontal="left"/>
    </xf>
    <xf numFmtId="49" fontId="16" fillId="3" borderId="2" xfId="0" applyNumberFormat="1" applyFont="1" applyFill="1" applyBorder="1" applyAlignment="1">
      <alignment horizontal="center" vertical="center" wrapText="1"/>
    </xf>
    <xf numFmtId="49" fontId="16" fillId="3" borderId="46" xfId="0" applyNumberFormat="1" applyFont="1" applyFill="1" applyBorder="1" applyAlignment="1">
      <alignment horizontal="center" wrapText="1"/>
    </xf>
    <xf numFmtId="4" fontId="16" fillId="3" borderId="47" xfId="0" applyNumberFormat="1" applyFont="1" applyFill="1" applyBorder="1" applyAlignment="1">
      <alignment horizontal="center" wrapText="1"/>
    </xf>
    <xf numFmtId="4" fontId="53" fillId="0" borderId="48" xfId="0" applyNumberFormat="1" applyFont="1" applyBorder="1" applyAlignment="1">
      <alignment horizontal="center" wrapText="1"/>
    </xf>
    <xf numFmtId="49" fontId="19" fillId="3" borderId="61" xfId="0" applyNumberFormat="1" applyFont="1" applyFill="1" applyBorder="1" applyAlignment="1">
      <alignment horizontal="center" wrapText="1"/>
    </xf>
    <xf numFmtId="0" fontId="19" fillId="3" borderId="2" xfId="0" applyFont="1" applyFill="1" applyBorder="1" applyAlignment="1">
      <alignment horizontal="center" vertical="center"/>
    </xf>
    <xf numFmtId="0" fontId="19" fillId="3" borderId="2" xfId="0" applyFont="1" applyFill="1" applyBorder="1" applyAlignment="1">
      <alignment horizontal="center" vertical="center" wrapText="1"/>
    </xf>
    <xf numFmtId="49" fontId="16" fillId="3" borderId="46" xfId="0" applyNumberFormat="1" applyFont="1" applyFill="1" applyBorder="1" applyAlignment="1">
      <alignment horizontal="center"/>
    </xf>
    <xf numFmtId="4" fontId="19" fillId="3" borderId="47" xfId="0" applyNumberFormat="1" applyFont="1" applyFill="1" applyBorder="1" applyAlignment="1">
      <alignment horizontal="center" wrapText="1"/>
    </xf>
    <xf numFmtId="4" fontId="19" fillId="3" borderId="48" xfId="0" applyNumberFormat="1" applyFont="1" applyFill="1" applyBorder="1" applyAlignment="1">
      <alignment horizontal="center" wrapText="1"/>
    </xf>
    <xf numFmtId="49" fontId="16" fillId="3" borderId="31" xfId="0" applyNumberFormat="1" applyFont="1" applyFill="1" applyBorder="1" applyAlignment="1">
      <alignment horizontal="center"/>
    </xf>
    <xf numFmtId="4" fontId="19" fillId="3" borderId="49" xfId="0" applyNumberFormat="1" applyFont="1" applyFill="1" applyBorder="1" applyAlignment="1">
      <alignment horizontal="center" wrapText="1"/>
    </xf>
    <xf numFmtId="0" fontId="19" fillId="3" borderId="61" xfId="0" applyFont="1" applyFill="1" applyBorder="1" applyAlignment="1">
      <alignment horizontal="center"/>
    </xf>
    <xf numFmtId="0" fontId="19" fillId="3" borderId="59" xfId="0" applyFont="1" applyFill="1" applyBorder="1" applyAlignment="1">
      <alignment horizontal="center" wrapText="1"/>
    </xf>
    <xf numFmtId="4" fontId="19" fillId="3" borderId="59" xfId="0" applyNumberFormat="1" applyFont="1" applyFill="1" applyBorder="1" applyAlignment="1">
      <alignment horizontal="center" wrapText="1"/>
    </xf>
    <xf numFmtId="4" fontId="19" fillId="3" borderId="60" xfId="0" applyNumberFormat="1" applyFont="1" applyFill="1" applyBorder="1" applyAlignment="1">
      <alignment horizontal="center" wrapText="1"/>
    </xf>
    <xf numFmtId="1" fontId="16" fillId="3" borderId="47" xfId="0" applyNumberFormat="1" applyFont="1" applyFill="1" applyBorder="1" applyAlignment="1">
      <alignment horizontal="center" wrapText="1"/>
    </xf>
    <xf numFmtId="4" fontId="19" fillId="3" borderId="62" xfId="0" applyNumberFormat="1" applyFont="1" applyFill="1" applyBorder="1" applyAlignment="1">
      <alignment horizontal="center" wrapText="1"/>
    </xf>
    <xf numFmtId="4" fontId="3" fillId="0" borderId="13" xfId="0" applyNumberFormat="1" applyFont="1" applyBorder="1" applyAlignment="1">
      <alignment horizontal="center" shrinkToFit="1"/>
    </xf>
    <xf numFmtId="4" fontId="3" fillId="0" borderId="1" xfId="0" applyNumberFormat="1" applyFont="1" applyBorder="1" applyAlignment="1">
      <alignment horizontal="center"/>
    </xf>
    <xf numFmtId="4" fontId="3" fillId="0" borderId="1" xfId="0" applyNumberFormat="1" applyFont="1" applyFill="1" applyBorder="1" applyAlignment="1">
      <alignment horizontal="center"/>
    </xf>
    <xf numFmtId="0" fontId="3" fillId="0" borderId="0" xfId="0" applyNumberFormat="1" applyFont="1" applyBorder="1" applyAlignment="1">
      <alignment horizontal="center"/>
    </xf>
    <xf numFmtId="4" fontId="3" fillId="15" borderId="1" xfId="0" applyNumberFormat="1" applyFont="1" applyFill="1" applyBorder="1" applyAlignment="1">
      <alignment horizontal="center"/>
    </xf>
    <xf numFmtId="4" fontId="23" fillId="0" borderId="1" xfId="0" applyNumberFormat="1" applyFont="1" applyBorder="1" applyAlignment="1">
      <alignment horizontal="center"/>
    </xf>
    <xf numFmtId="4" fontId="23" fillId="0" borderId="1" xfId="0" applyNumberFormat="1" applyFont="1" applyFill="1" applyBorder="1" applyAlignment="1">
      <alignment horizontal="center"/>
    </xf>
    <xf numFmtId="4" fontId="3" fillId="0" borderId="1" xfId="0" applyNumberFormat="1" applyFont="1" applyBorder="1" applyAlignment="1">
      <alignment horizontal="center"/>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4" fillId="0" borderId="0" xfId="4" applyFont="1" applyFill="1" applyAlignment="1">
      <alignment horizontal="left"/>
    </xf>
    <xf numFmtId="0" fontId="27" fillId="0" borderId="31" xfId="10" applyFont="1" applyBorder="1" applyAlignment="1">
      <alignment horizontal="center" vertical="center" wrapText="1"/>
    </xf>
    <xf numFmtId="0" fontId="27" fillId="0" borderId="0" xfId="0" applyFont="1" applyAlignment="1">
      <alignment horizontal="right" vertical="center"/>
    </xf>
    <xf numFmtId="0" fontId="14" fillId="0" borderId="0" xfId="0" applyFont="1" applyAlignment="1">
      <alignment horizontal="right"/>
    </xf>
    <xf numFmtId="0" fontId="3" fillId="0" borderId="5" xfId="0" applyNumberFormat="1" applyFont="1" applyFill="1" applyBorder="1" applyAlignment="1"/>
    <xf numFmtId="0" fontId="0" fillId="0" borderId="5" xfId="0" applyFill="1" applyBorder="1" applyAlignment="1"/>
    <xf numFmtId="43" fontId="12" fillId="7" borderId="1" xfId="0" applyNumberFormat="1" applyFont="1" applyFill="1" applyBorder="1" applyAlignment="1">
      <alignment horizontal="center" vertical="center" wrapText="1"/>
    </xf>
    <xf numFmtId="0" fontId="17" fillId="0" borderId="1" xfId="0" applyFont="1" applyFill="1" applyBorder="1" applyAlignment="1">
      <alignment vertical="top" wrapText="1"/>
    </xf>
    <xf numFmtId="0" fontId="47" fillId="0" borderId="1" xfId="0" applyFont="1" applyBorder="1" applyAlignment="1">
      <alignment vertical="top" wrapText="1"/>
    </xf>
    <xf numFmtId="0" fontId="1" fillId="0" borderId="0" xfId="0" applyFont="1" applyAlignment="1">
      <alignment horizontal="center" vertical="center"/>
    </xf>
    <xf numFmtId="0" fontId="3" fillId="0" borderId="0" xfId="0" applyFont="1" applyAlignment="1">
      <alignment horizontal="center"/>
    </xf>
    <xf numFmtId="0" fontId="30" fillId="0" borderId="0" xfId="15" applyFont="1" applyAlignment="1">
      <alignment horizontal="left" vertical="center" wrapText="1"/>
    </xf>
    <xf numFmtId="0" fontId="50" fillId="0" borderId="1" xfId="15" applyFont="1" applyBorder="1" applyAlignment="1">
      <alignment horizontal="center" vertical="top" wrapText="1"/>
    </xf>
    <xf numFmtId="16" fontId="49" fillId="4" borderId="1" xfId="15" applyNumberFormat="1" applyFont="1" applyFill="1" applyBorder="1" applyAlignment="1">
      <alignment horizontal="center" vertical="top" wrapText="1"/>
    </xf>
    <xf numFmtId="0" fontId="49" fillId="4" borderId="2" xfId="15" applyFont="1" applyFill="1" applyBorder="1" applyAlignment="1">
      <alignment horizontal="center" wrapText="1"/>
    </xf>
    <xf numFmtId="0" fontId="49" fillId="4" borderId="12" xfId="15" applyFont="1" applyFill="1" applyBorder="1" applyAlignment="1">
      <alignment horizontal="center" wrapText="1"/>
    </xf>
    <xf numFmtId="0" fontId="49" fillId="4" borderId="1" xfId="15" applyFont="1" applyFill="1" applyBorder="1" applyAlignment="1">
      <alignment horizontal="center" vertical="top" wrapText="1"/>
    </xf>
    <xf numFmtId="0" fontId="49" fillId="0" borderId="1" xfId="15" applyFont="1" applyBorder="1" applyAlignment="1">
      <alignment horizontal="center" vertical="center" wrapText="1"/>
    </xf>
    <xf numFmtId="0" fontId="49" fillId="4" borderId="1" xfId="15" applyFont="1" applyFill="1" applyBorder="1" applyAlignment="1">
      <alignment horizontal="center" wrapText="1"/>
    </xf>
    <xf numFmtId="0" fontId="49" fillId="4" borderId="1" xfId="15" applyFont="1" applyFill="1" applyBorder="1" applyAlignment="1">
      <alignment horizontal="center" vertical="center" wrapText="1"/>
    </xf>
    <xf numFmtId="17" fontId="49" fillId="4" borderId="1" xfId="15" applyNumberFormat="1" applyFont="1" applyFill="1" applyBorder="1" applyAlignment="1">
      <alignment horizontal="center" vertical="top" wrapText="1"/>
    </xf>
    <xf numFmtId="0" fontId="49" fillId="0" borderId="1" xfId="15" applyFont="1" applyBorder="1" applyAlignment="1">
      <alignment horizontal="center" wrapText="1"/>
    </xf>
    <xf numFmtId="0" fontId="49" fillId="4" borderId="1" xfId="15" applyFont="1" applyFill="1" applyBorder="1" applyAlignment="1">
      <alignment horizontal="left" vertical="top" wrapText="1"/>
    </xf>
    <xf numFmtId="0" fontId="49" fillId="4" borderId="2" xfId="15" applyFont="1" applyFill="1" applyBorder="1" applyAlignment="1">
      <alignment horizontal="center" vertical="top" wrapText="1"/>
    </xf>
    <xf numFmtId="0" fontId="49" fillId="4" borderId="12" xfId="15" applyFont="1" applyFill="1" applyBorder="1" applyAlignment="1">
      <alignment horizontal="center" vertical="top" wrapText="1"/>
    </xf>
    <xf numFmtId="16" fontId="49" fillId="0" borderId="2" xfId="15" applyNumberFormat="1" applyFont="1" applyBorder="1" applyAlignment="1">
      <alignment horizontal="center" vertical="top" wrapText="1"/>
    </xf>
    <xf numFmtId="16" fontId="49" fillId="0" borderId="38" xfId="15" applyNumberFormat="1" applyFont="1" applyBorder="1" applyAlignment="1">
      <alignment horizontal="center" vertical="top" wrapText="1"/>
    </xf>
    <xf numFmtId="16" fontId="49" fillId="0" borderId="12" xfId="15" applyNumberFormat="1" applyFont="1" applyBorder="1" applyAlignment="1">
      <alignment horizontal="center" vertical="top" wrapText="1"/>
    </xf>
    <xf numFmtId="0" fontId="49" fillId="0" borderId="2" xfId="15" applyFont="1" applyBorder="1" applyAlignment="1">
      <alignment horizontal="left" vertical="top" wrapText="1"/>
    </xf>
    <xf numFmtId="0" fontId="49" fillId="0" borderId="38" xfId="15" applyFont="1" applyBorder="1" applyAlignment="1">
      <alignment horizontal="left" vertical="top" wrapText="1"/>
    </xf>
    <xf numFmtId="0" fontId="49" fillId="0" borderId="12" xfId="15" applyFont="1" applyBorder="1" applyAlignment="1">
      <alignment horizontal="left" vertical="top" wrapText="1"/>
    </xf>
    <xf numFmtId="0" fontId="49" fillId="0" borderId="2" xfId="15" applyFont="1" applyBorder="1" applyAlignment="1">
      <alignment horizontal="center" vertical="top" wrapText="1"/>
    </xf>
    <xf numFmtId="0" fontId="49" fillId="0" borderId="38" xfId="15" applyFont="1" applyBorder="1" applyAlignment="1">
      <alignment horizontal="center" vertical="top" wrapText="1"/>
    </xf>
    <xf numFmtId="0" fontId="49" fillId="0" borderId="12" xfId="15" applyFont="1" applyBorder="1" applyAlignment="1">
      <alignment horizontal="center" vertical="top" wrapText="1"/>
    </xf>
    <xf numFmtId="0" fontId="49" fillId="0" borderId="2" xfId="15" applyFont="1" applyFill="1" applyBorder="1" applyAlignment="1">
      <alignment horizontal="center" vertical="top" wrapText="1"/>
    </xf>
    <xf numFmtId="0" fontId="49" fillId="0" borderId="38" xfId="15" applyFont="1" applyFill="1" applyBorder="1" applyAlignment="1">
      <alignment horizontal="center" vertical="top" wrapText="1"/>
    </xf>
    <xf numFmtId="0" fontId="49" fillId="0" borderId="12" xfId="15" applyFont="1" applyFill="1" applyBorder="1" applyAlignment="1">
      <alignment horizontal="center" vertical="top" wrapText="1"/>
    </xf>
    <xf numFmtId="0" fontId="45" fillId="0" borderId="0" xfId="15" applyFont="1" applyAlignment="1">
      <alignment horizontal="left" vertical="center"/>
    </xf>
    <xf numFmtId="0" fontId="45" fillId="0" borderId="0" xfId="15" applyFont="1" applyAlignment="1">
      <alignment horizontal="left" vertical="top" wrapText="1"/>
    </xf>
    <xf numFmtId="0" fontId="45" fillId="0" borderId="0" xfId="15" applyFont="1" applyAlignment="1">
      <alignment horizontal="left" vertical="top"/>
    </xf>
    <xf numFmtId="0" fontId="29" fillId="0" borderId="0" xfId="15" applyFont="1" applyAlignment="1">
      <alignment horizontal="left" vertical="center" wrapText="1"/>
    </xf>
    <xf numFmtId="0" fontId="39" fillId="0" borderId="0" xfId="4" applyFont="1" applyAlignment="1">
      <alignment horizontal="right"/>
    </xf>
    <xf numFmtId="0" fontId="31" fillId="0" borderId="0" xfId="15" applyFont="1" applyAlignment="1">
      <alignment horizontal="center" vertical="center"/>
    </xf>
    <xf numFmtId="0" fontId="28" fillId="0" borderId="0" xfId="15" applyFont="1" applyAlignment="1">
      <alignment horizontal="center" vertical="center" wrapText="1"/>
    </xf>
    <xf numFmtId="0" fontId="28" fillId="0" borderId="39" xfId="15" applyFont="1" applyBorder="1" applyAlignment="1">
      <alignment horizontal="center" vertical="center" wrapText="1"/>
    </xf>
    <xf numFmtId="0" fontId="28" fillId="0" borderId="16" xfId="15" applyFont="1" applyBorder="1" applyAlignment="1">
      <alignment horizontal="center" vertical="center" wrapText="1"/>
    </xf>
    <xf numFmtId="0" fontId="28" fillId="0" borderId="20" xfId="15" applyFont="1" applyBorder="1" applyAlignment="1">
      <alignment horizontal="right" vertical="center" wrapText="1"/>
    </xf>
    <xf numFmtId="0" fontId="27" fillId="0" borderId="0" xfId="4" applyFont="1" applyBorder="1" applyAlignment="1">
      <alignment horizontal="right" vertical="top"/>
    </xf>
    <xf numFmtId="0" fontId="28" fillId="0" borderId="0" xfId="4" applyFont="1" applyAlignment="1">
      <alignment horizontal="center"/>
    </xf>
    <xf numFmtId="0" fontId="28" fillId="0" borderId="3" xfId="4" applyFont="1" applyFill="1" applyBorder="1" applyAlignment="1">
      <alignment horizontal="center"/>
    </xf>
    <xf numFmtId="0" fontId="27" fillId="0" borderId="0" xfId="4" applyFont="1" applyBorder="1" applyAlignment="1">
      <alignment horizontal="center" vertical="top"/>
    </xf>
    <xf numFmtId="0" fontId="28" fillId="0" borderId="0" xfId="15" applyFont="1" applyAlignment="1">
      <alignment horizontal="left" vertical="center" wrapText="1"/>
    </xf>
    <xf numFmtId="0" fontId="3" fillId="0" borderId="11" xfId="0" applyNumberFormat="1" applyFont="1" applyBorder="1" applyAlignment="1">
      <alignment horizontal="left" wrapText="1"/>
    </xf>
    <xf numFmtId="0" fontId="3" fillId="0" borderId="13" xfId="0" applyNumberFormat="1" applyFont="1" applyBorder="1" applyAlignment="1">
      <alignment horizontal="left"/>
    </xf>
    <xf numFmtId="0" fontId="3" fillId="0" borderId="21" xfId="0" applyNumberFormat="1" applyFont="1" applyBorder="1" applyAlignment="1">
      <alignment horizontal="left"/>
    </xf>
    <xf numFmtId="49" fontId="3" fillId="0" borderId="24" xfId="0" applyNumberFormat="1" applyFont="1" applyBorder="1" applyAlignment="1">
      <alignment horizontal="center"/>
    </xf>
    <xf numFmtId="49" fontId="3" fillId="0" borderId="13" xfId="0" applyNumberFormat="1" applyFont="1" applyBorder="1" applyAlignment="1">
      <alignment horizontal="center"/>
    </xf>
    <xf numFmtId="49" fontId="3" fillId="0" borderId="14" xfId="0" applyNumberFormat="1" applyFont="1" applyBorder="1" applyAlignment="1">
      <alignment horizontal="center"/>
    </xf>
    <xf numFmtId="49" fontId="3" fillId="0" borderId="11" xfId="0" applyNumberFormat="1" applyFont="1" applyBorder="1" applyAlignment="1">
      <alignment horizontal="left"/>
    </xf>
    <xf numFmtId="49" fontId="3" fillId="0" borderId="13" xfId="0" applyNumberFormat="1" applyFont="1" applyBorder="1" applyAlignment="1">
      <alignment horizontal="left"/>
    </xf>
    <xf numFmtId="49" fontId="3" fillId="0" borderId="14" xfId="0" applyNumberFormat="1" applyFont="1" applyBorder="1" applyAlignment="1">
      <alignment horizontal="left"/>
    </xf>
    <xf numFmtId="49" fontId="3" fillId="0" borderId="11" xfId="0" applyNumberFormat="1" applyFont="1" applyBorder="1" applyAlignment="1">
      <alignment horizontal="center"/>
    </xf>
    <xf numFmtId="4" fontId="3" fillId="0" borderId="11" xfId="0" applyNumberFormat="1" applyFont="1" applyFill="1" applyBorder="1" applyAlignment="1">
      <alignment horizontal="center" shrinkToFit="1"/>
    </xf>
    <xf numFmtId="4" fontId="3" fillId="0" borderId="13" xfId="0" applyNumberFormat="1" applyFont="1" applyFill="1" applyBorder="1" applyAlignment="1">
      <alignment horizontal="center" shrinkToFit="1"/>
    </xf>
    <xf numFmtId="4" fontId="3" fillId="0" borderId="14" xfId="0" applyNumberFormat="1" applyFont="1" applyFill="1" applyBorder="1" applyAlignment="1">
      <alignment horizontal="center" shrinkToFit="1"/>
    </xf>
    <xf numFmtId="4" fontId="3" fillId="0" borderId="11" xfId="0" applyNumberFormat="1" applyFont="1" applyBorder="1" applyAlignment="1">
      <alignment horizontal="center" shrinkToFit="1"/>
    </xf>
    <xf numFmtId="4" fontId="3" fillId="0" borderId="13" xfId="0" applyNumberFormat="1" applyFont="1" applyBorder="1" applyAlignment="1">
      <alignment horizontal="center" shrinkToFit="1"/>
    </xf>
    <xf numFmtId="4" fontId="3" fillId="0" borderId="14" xfId="0" applyNumberFormat="1" applyFont="1" applyBorder="1" applyAlignment="1">
      <alignment horizontal="center" shrinkToFit="1"/>
    </xf>
    <xf numFmtId="0" fontId="0" fillId="0" borderId="11" xfId="0" applyBorder="1" applyAlignment="1">
      <alignment horizontal="center"/>
    </xf>
    <xf numFmtId="0" fontId="0" fillId="0" borderId="13" xfId="0" applyBorder="1" applyAlignment="1">
      <alignment horizontal="center"/>
    </xf>
    <xf numFmtId="0" fontId="3" fillId="0" borderId="11" xfId="0" applyNumberFormat="1" applyFont="1" applyBorder="1" applyAlignment="1">
      <alignment horizontal="left" wrapText="1" indent="2"/>
    </xf>
    <xf numFmtId="0" fontId="3" fillId="0" borderId="13" xfId="0" applyNumberFormat="1" applyFont="1" applyBorder="1" applyAlignment="1">
      <alignment horizontal="left" indent="2"/>
    </xf>
    <xf numFmtId="0" fontId="3" fillId="0" borderId="21" xfId="0" applyNumberFormat="1" applyFont="1" applyBorder="1" applyAlignment="1">
      <alignment horizontal="left" indent="2"/>
    </xf>
    <xf numFmtId="0" fontId="6" fillId="0" borderId="13" xfId="0" applyNumberFormat="1" applyFont="1" applyFill="1" applyBorder="1" applyAlignment="1">
      <alignment horizontal="left" wrapText="1" indent="3"/>
    </xf>
    <xf numFmtId="49" fontId="6" fillId="0" borderId="24" xfId="0" applyNumberFormat="1"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49" fontId="6" fillId="0" borderId="11"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 fontId="6" fillId="4" borderId="11" xfId="0" applyNumberFormat="1" applyFont="1" applyFill="1" applyBorder="1" applyAlignment="1">
      <alignment horizontal="center" shrinkToFit="1"/>
    </xf>
    <xf numFmtId="4" fontId="6" fillId="4" borderId="13" xfId="0" applyNumberFormat="1" applyFont="1" applyFill="1" applyBorder="1" applyAlignment="1">
      <alignment horizontal="center" shrinkToFit="1"/>
    </xf>
    <xf numFmtId="4" fontId="6" fillId="4" borderId="14" xfId="0" applyNumberFormat="1" applyFont="1" applyFill="1" applyBorder="1" applyAlignment="1">
      <alignment horizontal="center" shrinkToFit="1"/>
    </xf>
    <xf numFmtId="0" fontId="3" fillId="0" borderId="13" xfId="0" applyNumberFormat="1" applyFont="1" applyFill="1" applyBorder="1" applyAlignment="1">
      <alignment horizontal="left" wrapText="1" indent="2"/>
    </xf>
    <xf numFmtId="0" fontId="3" fillId="0" borderId="13" xfId="0" applyNumberFormat="1" applyFont="1" applyFill="1" applyBorder="1" applyAlignment="1">
      <alignment horizontal="left" indent="2"/>
    </xf>
    <xf numFmtId="49" fontId="3" fillId="0" borderId="24"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1" xfId="0" applyNumberFormat="1" applyFont="1" applyFill="1" applyBorder="1" applyAlignment="1">
      <alignment horizontal="center"/>
    </xf>
    <xf numFmtId="0" fontId="3" fillId="0" borderId="13" xfId="0" applyNumberFormat="1" applyFont="1" applyBorder="1" applyAlignment="1">
      <alignment horizontal="left" wrapText="1" indent="2"/>
    </xf>
    <xf numFmtId="0" fontId="3" fillId="0" borderId="21" xfId="0" applyNumberFormat="1" applyFont="1" applyBorder="1" applyAlignment="1">
      <alignment horizontal="left" wrapText="1" indent="2"/>
    </xf>
    <xf numFmtId="4" fontId="3" fillId="8" borderId="11" xfId="0" applyNumberFormat="1" applyFont="1" applyFill="1" applyBorder="1" applyAlignment="1">
      <alignment horizontal="center" shrinkToFit="1"/>
    </xf>
    <xf numFmtId="4" fontId="3" fillId="8" borderId="13" xfId="0" applyNumberFormat="1" applyFont="1" applyFill="1" applyBorder="1" applyAlignment="1">
      <alignment horizontal="center" shrinkToFit="1"/>
    </xf>
    <xf numFmtId="4" fontId="3" fillId="8" borderId="14" xfId="0" applyNumberFormat="1" applyFont="1" applyFill="1" applyBorder="1" applyAlignment="1">
      <alignment horizontal="center" shrinkToFit="1"/>
    </xf>
    <xf numFmtId="0" fontId="0" fillId="0" borderId="14" xfId="0" applyBorder="1" applyAlignment="1">
      <alignment horizontal="center"/>
    </xf>
    <xf numFmtId="0" fontId="3" fillId="0" borderId="11" xfId="0" applyNumberFormat="1" applyFont="1" applyBorder="1" applyAlignment="1">
      <alignment horizontal="left" indent="3"/>
    </xf>
    <xf numFmtId="0" fontId="3" fillId="0" borderId="13" xfId="0" applyNumberFormat="1" applyFont="1" applyBorder="1" applyAlignment="1">
      <alignment horizontal="left" indent="3"/>
    </xf>
    <xf numFmtId="0" fontId="3" fillId="0" borderId="21" xfId="0" applyNumberFormat="1" applyFont="1" applyBorder="1" applyAlignment="1">
      <alignment horizontal="left" indent="3"/>
    </xf>
    <xf numFmtId="0" fontId="3" fillId="0" borderId="11" xfId="0" applyFont="1" applyBorder="1" applyAlignment="1">
      <alignment horizontal="left" indent="2"/>
    </xf>
    <xf numFmtId="0" fontId="3" fillId="0" borderId="13" xfId="0" applyFont="1" applyBorder="1" applyAlignment="1">
      <alignment horizontal="left" indent="2"/>
    </xf>
    <xf numFmtId="0" fontId="3" fillId="0" borderId="21" xfId="0" applyFont="1" applyBorder="1" applyAlignment="1">
      <alignment horizontal="left" indent="2"/>
    </xf>
    <xf numFmtId="0" fontId="3" fillId="0" borderId="11" xfId="0" applyNumberFormat="1" applyFont="1" applyBorder="1" applyAlignment="1">
      <alignment horizontal="left" wrapText="1" indent="1"/>
    </xf>
    <xf numFmtId="0" fontId="3" fillId="0" borderId="13" xfId="0" applyNumberFormat="1" applyFont="1" applyBorder="1" applyAlignment="1">
      <alignment horizontal="left" wrapText="1" indent="1"/>
    </xf>
    <xf numFmtId="0" fontId="3" fillId="0" borderId="21" xfId="0" applyNumberFormat="1" applyFont="1" applyBorder="1" applyAlignment="1">
      <alignment horizontal="left" wrapText="1" indent="1"/>
    </xf>
    <xf numFmtId="0" fontId="23" fillId="0" borderId="11" xfId="0" applyNumberFormat="1" applyFont="1" applyBorder="1" applyAlignment="1">
      <alignment wrapText="1"/>
    </xf>
    <xf numFmtId="0" fontId="23" fillId="0" borderId="13" xfId="0" applyNumberFormat="1" applyFont="1" applyBorder="1" applyAlignment="1"/>
    <xf numFmtId="0" fontId="23" fillId="0" borderId="21" xfId="0" applyNumberFormat="1" applyFont="1" applyBorder="1" applyAlignment="1"/>
    <xf numFmtId="49" fontId="23" fillId="0" borderId="24" xfId="0" applyNumberFormat="1" applyFont="1" applyBorder="1" applyAlignment="1">
      <alignment horizontal="center"/>
    </xf>
    <xf numFmtId="49" fontId="23" fillId="0" borderId="13" xfId="0" applyNumberFormat="1" applyFont="1" applyBorder="1" applyAlignment="1">
      <alignment horizontal="center"/>
    </xf>
    <xf numFmtId="49" fontId="23" fillId="0" borderId="14" xfId="0" applyNumberFormat="1" applyFont="1" applyBorder="1" applyAlignment="1">
      <alignment horizontal="center"/>
    </xf>
    <xf numFmtId="49" fontId="23" fillId="0" borderId="11" xfId="0" applyNumberFormat="1" applyFont="1" applyBorder="1" applyAlignment="1">
      <alignment horizontal="left"/>
    </xf>
    <xf numFmtId="49" fontId="23" fillId="0" borderId="13" xfId="0" applyNumberFormat="1" applyFont="1" applyBorder="1" applyAlignment="1">
      <alignment horizontal="left"/>
    </xf>
    <xf numFmtId="49" fontId="23" fillId="0" borderId="14" xfId="0" applyNumberFormat="1" applyFont="1" applyBorder="1" applyAlignment="1">
      <alignment horizontal="left"/>
    </xf>
    <xf numFmtId="49" fontId="23" fillId="0" borderId="11" xfId="0" applyNumberFormat="1" applyFont="1" applyBorder="1" applyAlignment="1">
      <alignment horizontal="center"/>
    </xf>
    <xf numFmtId="4" fontId="23" fillId="14" borderId="11" xfId="0" applyNumberFormat="1" applyFont="1" applyFill="1" applyBorder="1" applyAlignment="1">
      <alignment horizontal="center" shrinkToFit="1"/>
    </xf>
    <xf numFmtId="4" fontId="23" fillId="14" borderId="13" xfId="0" applyNumberFormat="1" applyFont="1" applyFill="1" applyBorder="1" applyAlignment="1">
      <alignment horizontal="center" shrinkToFit="1"/>
    </xf>
    <xf numFmtId="4" fontId="23" fillId="14" borderId="14" xfId="0" applyNumberFormat="1" applyFont="1" applyFill="1" applyBorder="1" applyAlignment="1">
      <alignment horizontal="center" shrinkToFit="1"/>
    </xf>
    <xf numFmtId="4" fontId="23" fillId="0" borderId="11" xfId="0" applyNumberFormat="1" applyFont="1" applyBorder="1" applyAlignment="1">
      <alignment horizontal="center" shrinkToFit="1"/>
    </xf>
    <xf numFmtId="4" fontId="23" fillId="0" borderId="13" xfId="0" applyNumberFormat="1" applyFont="1" applyBorder="1" applyAlignment="1">
      <alignment horizontal="center" shrinkToFit="1"/>
    </xf>
    <xf numFmtId="4" fontId="23" fillId="0" borderId="14" xfId="0" applyNumberFormat="1" applyFont="1" applyBorder="1" applyAlignment="1">
      <alignment horizontal="center" shrinkToFit="1"/>
    </xf>
    <xf numFmtId="4" fontId="23" fillId="0" borderId="11" xfId="0" applyNumberFormat="1" applyFont="1" applyFill="1" applyBorder="1" applyAlignment="1">
      <alignment horizontal="center" shrinkToFit="1"/>
    </xf>
    <xf numFmtId="4" fontId="23" fillId="0" borderId="13" xfId="0" applyNumberFormat="1" applyFont="1" applyFill="1" applyBorder="1" applyAlignment="1">
      <alignment horizontal="center" shrinkToFit="1"/>
    </xf>
    <xf numFmtId="4" fontId="23" fillId="0" borderId="14" xfId="0" applyNumberFormat="1" applyFont="1" applyFill="1" applyBorder="1" applyAlignment="1">
      <alignment horizontal="center" shrinkToFit="1"/>
    </xf>
    <xf numFmtId="0" fontId="52" fillId="0" borderId="11" xfId="0" applyFont="1" applyBorder="1" applyAlignment="1">
      <alignment horizontal="center"/>
    </xf>
    <xf numFmtId="0" fontId="52" fillId="0" borderId="13" xfId="0" applyFont="1" applyBorder="1" applyAlignment="1">
      <alignment horizontal="center"/>
    </xf>
    <xf numFmtId="4" fontId="3" fillId="15" borderId="11" xfId="0" applyNumberFormat="1" applyFont="1" applyFill="1" applyBorder="1" applyAlignment="1">
      <alignment horizontal="center" shrinkToFit="1"/>
    </xf>
    <xf numFmtId="4" fontId="3" fillId="15" borderId="13" xfId="0" applyNumberFormat="1" applyFont="1" applyFill="1" applyBorder="1" applyAlignment="1">
      <alignment horizontal="center" shrinkToFit="1"/>
    </xf>
    <xf numFmtId="4" fontId="3" fillId="15" borderId="14" xfId="0" applyNumberFormat="1" applyFont="1" applyFill="1" applyBorder="1" applyAlignment="1">
      <alignment horizontal="center" shrinkToFit="1"/>
    </xf>
    <xf numFmtId="49" fontId="6" fillId="15" borderId="11" xfId="0" applyNumberFormat="1" applyFont="1" applyFill="1" applyBorder="1" applyAlignment="1">
      <alignment horizontal="center"/>
    </xf>
    <xf numFmtId="49" fontId="6" fillId="15" borderId="13" xfId="0" applyNumberFormat="1" applyFont="1" applyFill="1" applyBorder="1" applyAlignment="1">
      <alignment horizontal="center"/>
    </xf>
    <xf numFmtId="49" fontId="6" fillId="15" borderId="14" xfId="0" applyNumberFormat="1" applyFont="1" applyFill="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3" fillId="0" borderId="13" xfId="0" applyNumberFormat="1" applyFont="1" applyBorder="1" applyAlignment="1">
      <alignment horizontal="left" wrapText="1"/>
    </xf>
    <xf numFmtId="0" fontId="3" fillId="0" borderId="21" xfId="0" applyNumberFormat="1" applyFont="1" applyBorder="1" applyAlignment="1">
      <alignment horizontal="left" wrapText="1"/>
    </xf>
    <xf numFmtId="49" fontId="3" fillId="0" borderId="11" xfId="0" applyNumberFormat="1" applyFont="1" applyFill="1" applyBorder="1" applyAlignment="1">
      <alignment horizontal="left"/>
    </xf>
    <xf numFmtId="49" fontId="3" fillId="0" borderId="13" xfId="0" applyNumberFormat="1" applyFont="1" applyFill="1" applyBorder="1" applyAlignment="1">
      <alignment horizontal="left"/>
    </xf>
    <xf numFmtId="49" fontId="3" fillId="0" borderId="14" xfId="0" applyNumberFormat="1" applyFont="1" applyFill="1" applyBorder="1" applyAlignment="1">
      <alignment horizontal="left"/>
    </xf>
    <xf numFmtId="0" fontId="0" fillId="15" borderId="11" xfId="0" applyFill="1" applyBorder="1" applyAlignment="1">
      <alignment horizontal="center"/>
    </xf>
    <xf numFmtId="0" fontId="0" fillId="15" borderId="13" xfId="0" applyFill="1" applyBorder="1" applyAlignment="1">
      <alignment horizontal="center"/>
    </xf>
    <xf numFmtId="4" fontId="3" fillId="14" borderId="11" xfId="0" applyNumberFormat="1" applyFont="1" applyFill="1" applyBorder="1" applyAlignment="1">
      <alignment horizontal="center" shrinkToFit="1"/>
    </xf>
    <xf numFmtId="4" fontId="3" fillId="14" borderId="13" xfId="0" applyNumberFormat="1" applyFont="1" applyFill="1" applyBorder="1" applyAlignment="1">
      <alignment horizontal="center" shrinkToFit="1"/>
    </xf>
    <xf numFmtId="4" fontId="3" fillId="14" borderId="14" xfId="0" applyNumberFormat="1" applyFont="1" applyFill="1" applyBorder="1" applyAlignment="1">
      <alignment horizontal="center" shrinkToFit="1"/>
    </xf>
    <xf numFmtId="4" fontId="6" fillId="15" borderId="11" xfId="0" applyNumberFormat="1" applyFont="1" applyFill="1" applyBorder="1" applyAlignment="1">
      <alignment horizontal="center" shrinkToFit="1"/>
    </xf>
    <xf numFmtId="4" fontId="6" fillId="15" borderId="13" xfId="0" applyNumberFormat="1" applyFont="1" applyFill="1" applyBorder="1" applyAlignment="1">
      <alignment horizontal="center" shrinkToFit="1"/>
    </xf>
    <xf numFmtId="4" fontId="6" fillId="15" borderId="14" xfId="0" applyNumberFormat="1" applyFont="1" applyFill="1" applyBorder="1" applyAlignment="1">
      <alignment horizontal="center" shrinkToFit="1"/>
    </xf>
    <xf numFmtId="0" fontId="23" fillId="0" borderId="11" xfId="0" applyNumberFormat="1" applyFont="1" applyBorder="1" applyAlignment="1">
      <alignment horizontal="left" wrapText="1" indent="3"/>
    </xf>
    <xf numFmtId="0" fontId="23" fillId="0" borderId="13" xfId="0" applyNumberFormat="1" applyFont="1" applyBorder="1" applyAlignment="1">
      <alignment horizontal="left" indent="3"/>
    </xf>
    <xf numFmtId="0" fontId="23" fillId="0" borderId="21" xfId="0" applyNumberFormat="1" applyFont="1" applyBorder="1" applyAlignment="1">
      <alignment horizontal="left" indent="3"/>
    </xf>
    <xf numFmtId="49" fontId="23" fillId="0" borderId="11" xfId="0" applyNumberFormat="1" applyFont="1" applyFill="1" applyBorder="1" applyAlignment="1">
      <alignment horizontal="left"/>
    </xf>
    <xf numFmtId="49" fontId="23" fillId="0" borderId="13" xfId="0" applyNumberFormat="1" applyFont="1" applyFill="1" applyBorder="1" applyAlignment="1">
      <alignment horizontal="left"/>
    </xf>
    <xf numFmtId="49" fontId="23" fillId="0" borderId="14" xfId="0" applyNumberFormat="1" applyFont="1" applyFill="1" applyBorder="1" applyAlignment="1">
      <alignment horizontal="left"/>
    </xf>
    <xf numFmtId="0" fontId="3" fillId="15" borderId="11" xfId="0" applyNumberFormat="1" applyFont="1" applyFill="1" applyBorder="1" applyAlignment="1"/>
    <xf numFmtId="0" fontId="3" fillId="15" borderId="13" xfId="0" applyNumberFormat="1" applyFont="1" applyFill="1" applyBorder="1" applyAlignment="1"/>
    <xf numFmtId="0" fontId="3" fillId="15" borderId="21" xfId="0" applyNumberFormat="1" applyFont="1" applyFill="1" applyBorder="1" applyAlignment="1"/>
    <xf numFmtId="49" fontId="6" fillId="15" borderId="24" xfId="0" applyNumberFormat="1" applyFont="1" applyFill="1" applyBorder="1" applyAlignment="1">
      <alignment horizontal="center"/>
    </xf>
    <xf numFmtId="0" fontId="23" fillId="0" borderId="11" xfId="0" applyNumberFormat="1" applyFont="1" applyBorder="1" applyAlignment="1">
      <alignment horizontal="left" wrapText="1"/>
    </xf>
    <xf numFmtId="0" fontId="23" fillId="0" borderId="13" xfId="0" applyNumberFormat="1" applyFont="1" applyBorder="1" applyAlignment="1">
      <alignment horizontal="left"/>
    </xf>
    <xf numFmtId="0" fontId="23" fillId="0" borderId="21" xfId="0" applyNumberFormat="1" applyFont="1" applyBorder="1" applyAlignment="1">
      <alignment horizontal="left"/>
    </xf>
    <xf numFmtId="0" fontId="23" fillId="0" borderId="11" xfId="0" applyNumberFormat="1" applyFont="1" applyFill="1" applyBorder="1" applyAlignment="1">
      <alignment horizontal="left" wrapText="1"/>
    </xf>
    <xf numFmtId="0" fontId="23" fillId="0" borderId="13" xfId="0" applyNumberFormat="1" applyFont="1" applyFill="1" applyBorder="1" applyAlignment="1">
      <alignment horizontal="left"/>
    </xf>
    <xf numFmtId="0" fontId="23" fillId="0" borderId="21" xfId="0" applyNumberFormat="1" applyFont="1" applyFill="1" applyBorder="1" applyAlignment="1">
      <alignment horizontal="left"/>
    </xf>
    <xf numFmtId="0" fontId="23" fillId="0" borderId="13" xfId="0" applyNumberFormat="1" applyFont="1" applyBorder="1" applyAlignment="1">
      <alignment horizontal="left" wrapText="1"/>
    </xf>
    <xf numFmtId="0" fontId="23" fillId="0" borderId="21" xfId="0" applyNumberFormat="1" applyFont="1" applyBorder="1" applyAlignment="1">
      <alignment horizontal="left" wrapText="1"/>
    </xf>
    <xf numFmtId="0" fontId="0" fillId="0" borderId="11" xfId="0" applyFill="1" applyBorder="1" applyAlignment="1">
      <alignment horizontal="center"/>
    </xf>
    <xf numFmtId="0" fontId="0" fillId="0" borderId="13" xfId="0" applyFill="1" applyBorder="1" applyAlignment="1">
      <alignment horizontal="center"/>
    </xf>
    <xf numFmtId="0" fontId="3" fillId="0" borderId="11" xfId="0" applyNumberFormat="1" applyFont="1" applyFill="1" applyBorder="1" applyAlignment="1">
      <alignment horizontal="left" wrapText="1"/>
    </xf>
    <xf numFmtId="0" fontId="3" fillId="0" borderId="13" xfId="0" applyNumberFormat="1" applyFont="1" applyFill="1" applyBorder="1" applyAlignment="1">
      <alignment horizontal="left"/>
    </xf>
    <xf numFmtId="0" fontId="3" fillId="0" borderId="21" xfId="0" applyNumberFormat="1" applyFont="1" applyFill="1" applyBorder="1" applyAlignment="1">
      <alignment horizontal="left"/>
    </xf>
    <xf numFmtId="49" fontId="23" fillId="0" borderId="11" xfId="0" applyNumberFormat="1" applyFont="1" applyFill="1" applyBorder="1" applyAlignment="1">
      <alignment horizontal="center"/>
    </xf>
    <xf numFmtId="49" fontId="23" fillId="0" borderId="13" xfId="0" applyNumberFormat="1" applyFont="1" applyFill="1" applyBorder="1" applyAlignment="1">
      <alignment horizontal="center"/>
    </xf>
    <xf numFmtId="49" fontId="23" fillId="0" borderId="14" xfId="0" applyNumberFormat="1" applyFont="1" applyFill="1" applyBorder="1" applyAlignment="1">
      <alignment horizontal="center"/>
    </xf>
    <xf numFmtId="49" fontId="23" fillId="0" borderId="24" xfId="0" applyNumberFormat="1" applyFont="1" applyFill="1" applyBorder="1" applyAlignment="1">
      <alignment horizontal="center"/>
    </xf>
    <xf numFmtId="0" fontId="23" fillId="0" borderId="13" xfId="0" applyNumberFormat="1" applyFont="1" applyFill="1" applyBorder="1" applyAlignment="1">
      <alignment horizontal="left" wrapText="1"/>
    </xf>
    <xf numFmtId="0" fontId="23" fillId="0" borderId="21" xfId="0" applyNumberFormat="1" applyFont="1" applyFill="1" applyBorder="1" applyAlignment="1">
      <alignment horizontal="left" wrapText="1"/>
    </xf>
    <xf numFmtId="49" fontId="6" fillId="0" borderId="24" xfId="0" applyNumberFormat="1" applyFont="1" applyBorder="1" applyAlignment="1">
      <alignment horizontal="center"/>
    </xf>
    <xf numFmtId="0" fontId="6" fillId="0" borderId="11" xfId="0" applyNumberFormat="1" applyFont="1" applyBorder="1" applyAlignment="1">
      <alignment horizontal="left" indent="3"/>
    </xf>
    <xf numFmtId="0" fontId="6" fillId="0" borderId="13" xfId="0" applyNumberFormat="1" applyFont="1" applyBorder="1" applyAlignment="1">
      <alignment horizontal="left" indent="3"/>
    </xf>
    <xf numFmtId="0" fontId="6" fillId="0" borderId="21" xfId="0" applyNumberFormat="1" applyFont="1" applyBorder="1" applyAlignment="1">
      <alignment horizontal="left" indent="3"/>
    </xf>
    <xf numFmtId="49" fontId="3" fillId="15" borderId="24" xfId="0" applyNumberFormat="1" applyFont="1" applyFill="1" applyBorder="1" applyAlignment="1">
      <alignment horizontal="center"/>
    </xf>
    <xf numFmtId="49" fontId="3" fillId="15" borderId="13" xfId="0" applyNumberFormat="1" applyFont="1" applyFill="1" applyBorder="1" applyAlignment="1">
      <alignment horizontal="center"/>
    </xf>
    <xf numFmtId="49" fontId="3" fillId="15" borderId="14" xfId="0" applyNumberFormat="1" applyFont="1" applyFill="1" applyBorder="1" applyAlignment="1">
      <alignment horizontal="center"/>
    </xf>
    <xf numFmtId="49" fontId="3" fillId="15" borderId="11" xfId="0" applyNumberFormat="1" applyFont="1" applyFill="1" applyBorder="1" applyAlignment="1">
      <alignment horizontal="center"/>
    </xf>
    <xf numFmtId="0" fontId="6" fillId="0" borderId="11" xfId="0" applyNumberFormat="1" applyFont="1" applyBorder="1" applyAlignment="1">
      <alignment horizontal="left" wrapText="1" indent="3"/>
    </xf>
    <xf numFmtId="0" fontId="3" fillId="0" borderId="11" xfId="0" applyNumberFormat="1" applyFont="1" applyBorder="1" applyAlignment="1">
      <alignment horizontal="lef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49" fontId="6" fillId="0" borderId="10" xfId="0" applyNumberFormat="1" applyFont="1" applyBorder="1" applyAlignment="1">
      <alignment horizontal="center"/>
    </xf>
    <xf numFmtId="49" fontId="6" fillId="0" borderId="3" xfId="0" applyNumberFormat="1" applyFont="1" applyBorder="1" applyAlignment="1">
      <alignment horizontal="center"/>
    </xf>
    <xf numFmtId="49" fontId="6" fillId="0" borderId="9" xfId="0" applyNumberFormat="1" applyFont="1" applyBorder="1" applyAlignment="1">
      <alignment horizontal="center"/>
    </xf>
    <xf numFmtId="4" fontId="6" fillId="0" borderId="4" xfId="0" applyNumberFormat="1" applyFont="1" applyFill="1" applyBorder="1" applyAlignment="1">
      <alignment horizontal="center" shrinkToFit="1"/>
    </xf>
    <xf numFmtId="4" fontId="6" fillId="0" borderId="5" xfId="0" applyNumberFormat="1" applyFont="1" applyFill="1" applyBorder="1" applyAlignment="1">
      <alignment horizontal="center" shrinkToFit="1"/>
    </xf>
    <xf numFmtId="4" fontId="6" fillId="0" borderId="6" xfId="0" applyNumberFormat="1" applyFont="1" applyFill="1" applyBorder="1" applyAlignment="1">
      <alignment horizontal="center" shrinkToFit="1"/>
    </xf>
    <xf numFmtId="4" fontId="6" fillId="4" borderId="10" xfId="0" applyNumberFormat="1" applyFont="1" applyFill="1" applyBorder="1" applyAlignment="1">
      <alignment horizontal="center" shrinkToFit="1"/>
    </xf>
    <xf numFmtId="4" fontId="6" fillId="4" borderId="3" xfId="0" applyNumberFormat="1" applyFont="1" applyFill="1" applyBorder="1" applyAlignment="1">
      <alignment horizontal="center" shrinkToFit="1"/>
    </xf>
    <xf numFmtId="4" fontId="6" fillId="4" borderId="9" xfId="0" applyNumberFormat="1" applyFont="1" applyFill="1" applyBorder="1" applyAlignment="1">
      <alignment horizontal="center" shrinkToFit="1"/>
    </xf>
    <xf numFmtId="4" fontId="3" fillId="0" borderId="11" xfId="0" applyNumberFormat="1" applyFont="1" applyBorder="1" applyAlignment="1">
      <alignment horizontal="center"/>
    </xf>
    <xf numFmtId="4" fontId="3" fillId="0" borderId="13" xfId="0" applyNumberFormat="1" applyFont="1" applyBorder="1" applyAlignment="1">
      <alignment horizontal="center"/>
    </xf>
    <xf numFmtId="4" fontId="3" fillId="0" borderId="14" xfId="0" applyNumberFormat="1" applyFont="1" applyBorder="1" applyAlignment="1">
      <alignment horizontal="center"/>
    </xf>
    <xf numFmtId="0" fontId="3" fillId="0" borderId="11" xfId="0" applyNumberFormat="1" applyFont="1" applyBorder="1" applyAlignment="1">
      <alignment horizontal="left" wrapText="1" indent="3"/>
    </xf>
    <xf numFmtId="49" fontId="3" fillId="0" borderId="1" xfId="0" applyNumberFormat="1" applyFont="1" applyFill="1" applyBorder="1" applyAlignment="1">
      <alignment horizontal="center"/>
    </xf>
    <xf numFmtId="0" fontId="6" fillId="0" borderId="11" xfId="0" applyNumberFormat="1" applyFont="1" applyBorder="1" applyAlignment="1">
      <alignment horizontal="left" wrapText="1" indent="1"/>
    </xf>
    <xf numFmtId="0" fontId="6" fillId="0" borderId="13" xfId="0" applyNumberFormat="1" applyFont="1" applyBorder="1" applyAlignment="1">
      <alignment horizontal="left" indent="1"/>
    </xf>
    <xf numFmtId="0" fontId="6" fillId="0" borderId="21" xfId="0" applyNumberFormat="1" applyFont="1" applyBorder="1" applyAlignment="1">
      <alignment horizontal="left" indent="1"/>
    </xf>
    <xf numFmtId="49" fontId="3" fillId="15" borderId="11" xfId="0" applyNumberFormat="1" applyFont="1" applyFill="1" applyBorder="1" applyAlignment="1">
      <alignment horizontal="left"/>
    </xf>
    <xf numFmtId="49" fontId="3" fillId="15" borderId="13" xfId="0" applyNumberFormat="1" applyFont="1" applyFill="1" applyBorder="1" applyAlignment="1">
      <alignment horizontal="left"/>
    </xf>
    <xf numFmtId="49" fontId="3" fillId="15" borderId="14" xfId="0" applyNumberFormat="1" applyFont="1" applyFill="1" applyBorder="1" applyAlignment="1">
      <alignment horizontal="left"/>
    </xf>
    <xf numFmtId="0" fontId="3" fillId="0" borderId="1" xfId="0" applyFont="1" applyFill="1" applyBorder="1" applyAlignment="1">
      <alignment horizontal="left" indent="2"/>
    </xf>
    <xf numFmtId="0" fontId="3" fillId="0" borderId="11" xfId="0" applyFont="1" applyFill="1" applyBorder="1" applyAlignment="1">
      <alignment horizontal="left" indent="2"/>
    </xf>
    <xf numFmtId="0" fontId="0" fillId="0" borderId="14" xfId="0" applyFill="1" applyBorder="1" applyAlignment="1">
      <alignment horizontal="center"/>
    </xf>
    <xf numFmtId="4" fontId="6" fillId="0" borderId="11" xfId="0" applyNumberFormat="1" applyFont="1" applyBorder="1" applyAlignment="1">
      <alignment horizontal="center" shrinkToFit="1"/>
    </xf>
    <xf numFmtId="4" fontId="6" fillId="0" borderId="13" xfId="0" applyNumberFormat="1" applyFont="1" applyBorder="1" applyAlignment="1">
      <alignment horizontal="center" shrinkToFit="1"/>
    </xf>
    <xf numFmtId="4" fontId="6" fillId="0" borderId="14" xfId="0" applyNumberFormat="1" applyFont="1" applyBorder="1" applyAlignment="1">
      <alignment horizontal="center" shrinkToFit="1"/>
    </xf>
    <xf numFmtId="4" fontId="3" fillId="4" borderId="11" xfId="0" applyNumberFormat="1" applyFont="1" applyFill="1" applyBorder="1" applyAlignment="1">
      <alignment horizontal="center" shrinkToFit="1"/>
    </xf>
    <xf numFmtId="4" fontId="3" fillId="4" borderId="13" xfId="0" applyNumberFormat="1" applyFont="1" applyFill="1" applyBorder="1" applyAlignment="1">
      <alignment horizontal="center" shrinkToFit="1"/>
    </xf>
    <xf numFmtId="4" fontId="3" fillId="4" borderId="14" xfId="0" applyNumberFormat="1" applyFont="1" applyFill="1" applyBorder="1" applyAlignment="1">
      <alignment horizontal="center" shrinkToFit="1"/>
    </xf>
    <xf numFmtId="4" fontId="6" fillId="8" borderId="11" xfId="0" applyNumberFormat="1" applyFont="1" applyFill="1" applyBorder="1" applyAlignment="1">
      <alignment horizontal="center" shrinkToFit="1"/>
    </xf>
    <xf numFmtId="4" fontId="6" fillId="8" borderId="13" xfId="0" applyNumberFormat="1" applyFont="1" applyFill="1" applyBorder="1" applyAlignment="1">
      <alignment horizontal="center" shrinkToFit="1"/>
    </xf>
    <xf numFmtId="4" fontId="6" fillId="8" borderId="14" xfId="0" applyNumberFormat="1" applyFont="1" applyFill="1" applyBorder="1" applyAlignment="1">
      <alignment horizontal="center" shrinkToFit="1"/>
    </xf>
    <xf numFmtId="4" fontId="6" fillId="0" borderId="11" xfId="0" applyNumberFormat="1" applyFont="1" applyBorder="1" applyAlignment="1">
      <alignment horizontal="center"/>
    </xf>
    <xf numFmtId="4" fontId="6" fillId="0" borderId="13" xfId="0" applyNumberFormat="1" applyFont="1" applyBorder="1" applyAlignment="1">
      <alignment horizontal="center"/>
    </xf>
    <xf numFmtId="4" fontId="6" fillId="0" borderId="14" xfId="0" applyNumberFormat="1" applyFont="1" applyBorder="1" applyAlignment="1">
      <alignment horizontal="center"/>
    </xf>
    <xf numFmtId="0" fontId="3" fillId="0" borderId="11" xfId="0" applyNumberFormat="1" applyFont="1" applyBorder="1" applyAlignment="1">
      <alignment horizontal="left" wrapText="1" indent="4"/>
    </xf>
    <xf numFmtId="0" fontId="3" fillId="0" borderId="13" xfId="0" applyNumberFormat="1" applyFont="1" applyBorder="1" applyAlignment="1">
      <alignment horizontal="left" indent="4"/>
    </xf>
    <xf numFmtId="0" fontId="3" fillId="0" borderId="21" xfId="0" applyNumberFormat="1" applyFont="1" applyBorder="1" applyAlignment="1">
      <alignment horizontal="left" indent="4"/>
    </xf>
    <xf numFmtId="0" fontId="3" fillId="0" borderId="3" xfId="0" applyNumberFormat="1" applyFont="1" applyFill="1" applyBorder="1" applyAlignment="1">
      <alignment horizontal="left" wrapText="1" indent="3"/>
    </xf>
    <xf numFmtId="0" fontId="3" fillId="0" borderId="3" xfId="0" applyNumberFormat="1" applyFont="1" applyFill="1" applyBorder="1" applyAlignment="1">
      <alignment horizontal="left" indent="3"/>
    </xf>
    <xf numFmtId="4" fontId="6" fillId="4" borderId="11" xfId="0" applyNumberFormat="1" applyFont="1" applyFill="1" applyBorder="1" applyAlignment="1">
      <alignment horizontal="center"/>
    </xf>
    <xf numFmtId="4" fontId="6" fillId="4" borderId="13" xfId="0" applyNumberFormat="1" applyFont="1" applyFill="1" applyBorder="1" applyAlignment="1">
      <alignment horizontal="center"/>
    </xf>
    <xf numFmtId="4" fontId="6" fillId="4" borderId="14" xfId="0" applyNumberFormat="1" applyFont="1" applyFill="1" applyBorder="1" applyAlignment="1">
      <alignment horizontal="center"/>
    </xf>
    <xf numFmtId="4" fontId="3" fillId="7" borderId="11" xfId="0" applyNumberFormat="1" applyFont="1" applyFill="1" applyBorder="1" applyAlignment="1">
      <alignment horizontal="center"/>
    </xf>
    <xf numFmtId="4" fontId="3" fillId="7" borderId="13" xfId="0" applyNumberFormat="1" applyFont="1" applyFill="1" applyBorder="1" applyAlignment="1">
      <alignment horizontal="center"/>
    </xf>
    <xf numFmtId="4" fontId="3" fillId="7" borderId="14" xfId="0" applyNumberFormat="1" applyFont="1" applyFill="1" applyBorder="1" applyAlignment="1">
      <alignment horizontal="center"/>
    </xf>
    <xf numFmtId="4" fontId="3" fillId="8" borderId="11" xfId="0" applyNumberFormat="1" applyFont="1" applyFill="1" applyBorder="1" applyAlignment="1">
      <alignment horizontal="center"/>
    </xf>
    <xf numFmtId="4" fontId="3" fillId="8" borderId="13" xfId="0" applyNumberFormat="1" applyFont="1" applyFill="1" applyBorder="1" applyAlignment="1">
      <alignment horizontal="center"/>
    </xf>
    <xf numFmtId="4" fontId="3" fillId="8" borderId="14" xfId="0" applyNumberFormat="1" applyFont="1" applyFill="1" applyBorder="1" applyAlignment="1">
      <alignment horizontal="center"/>
    </xf>
    <xf numFmtId="0" fontId="6" fillId="0" borderId="0" xfId="0" applyNumberFormat="1" applyFont="1" applyBorder="1" applyAlignment="1">
      <alignment horizontal="center"/>
    </xf>
    <xf numFmtId="0" fontId="3" fillId="0" borderId="10"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0" fillId="0" borderId="9" xfId="0" applyFill="1" applyBorder="1" applyAlignment="1">
      <alignment wrapText="1"/>
    </xf>
    <xf numFmtId="4" fontId="3" fillId="4" borderId="11" xfId="0" applyNumberFormat="1" applyFont="1" applyFill="1" applyBorder="1" applyAlignment="1">
      <alignment horizontal="center"/>
    </xf>
    <xf numFmtId="4" fontId="3" fillId="4" borderId="13" xfId="0" applyNumberFormat="1" applyFont="1" applyFill="1" applyBorder="1" applyAlignment="1">
      <alignment horizontal="center"/>
    </xf>
    <xf numFmtId="4" fontId="3" fillId="4" borderId="14" xfId="0" applyNumberFormat="1" applyFont="1" applyFill="1" applyBorder="1" applyAlignment="1">
      <alignment horizont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9" fontId="11" fillId="0" borderId="11" xfId="0" applyNumberFormat="1" applyFont="1" applyBorder="1" applyAlignment="1">
      <alignment horizontal="center"/>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0" fillId="0" borderId="13" xfId="0" applyBorder="1" applyAlignment="1">
      <alignment horizontal="left" wrapText="1" indent="1"/>
    </xf>
    <xf numFmtId="0" fontId="0" fillId="0" borderId="21" xfId="0" applyBorder="1" applyAlignment="1">
      <alignment horizontal="left" wrapText="1" indent="1"/>
    </xf>
    <xf numFmtId="0" fontId="6" fillId="0" borderId="11" xfId="0" applyNumberFormat="1" applyFont="1" applyBorder="1" applyAlignment="1">
      <alignment horizontal="left" wrapText="1" indent="2"/>
    </xf>
    <xf numFmtId="0" fontId="6" fillId="0" borderId="13" xfId="0" applyNumberFormat="1" applyFont="1" applyBorder="1" applyAlignment="1">
      <alignment horizontal="left" indent="2"/>
    </xf>
    <xf numFmtId="0" fontId="6" fillId="0" borderId="21" xfId="0" applyNumberFormat="1" applyFont="1" applyBorder="1" applyAlignment="1">
      <alignment horizontal="left" indent="2"/>
    </xf>
    <xf numFmtId="0" fontId="3" fillId="0" borderId="13" xfId="0" applyNumberFormat="1" applyFont="1" applyBorder="1" applyAlignment="1">
      <alignment horizontal="left" indent="1"/>
    </xf>
    <xf numFmtId="0" fontId="3" fillId="0" borderId="21" xfId="0" applyNumberFormat="1" applyFont="1" applyBorder="1" applyAlignment="1">
      <alignment horizontal="left" indent="1"/>
    </xf>
    <xf numFmtId="0" fontId="3" fillId="0" borderId="11" xfId="0" applyNumberFormat="1" applyFont="1" applyBorder="1" applyAlignment="1">
      <alignment horizontal="left" indent="2"/>
    </xf>
    <xf numFmtId="0" fontId="3" fillId="0" borderId="5" xfId="0" applyNumberFormat="1" applyFont="1" applyFill="1" applyBorder="1" applyAlignment="1">
      <alignment horizontal="left"/>
    </xf>
    <xf numFmtId="0" fontId="3" fillId="0" borderId="6" xfId="0" applyNumberFormat="1" applyFont="1" applyFill="1" applyBorder="1" applyAlignment="1">
      <alignment horizontal="left"/>
    </xf>
    <xf numFmtId="0" fontId="3" fillId="0" borderId="4"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4" xfId="0" applyNumberFormat="1" applyFont="1" applyBorder="1" applyAlignment="1">
      <alignment horizontal="right"/>
    </xf>
    <xf numFmtId="0" fontId="3" fillId="0" borderId="5" xfId="0" applyNumberFormat="1" applyFont="1" applyBorder="1" applyAlignment="1">
      <alignment horizontal="right"/>
    </xf>
    <xf numFmtId="0" fontId="3" fillId="0" borderId="5" xfId="0" applyNumberFormat="1" applyFont="1" applyBorder="1" applyAlignment="1">
      <alignment horizontal="left"/>
    </xf>
    <xf numFmtId="0" fontId="3" fillId="0" borderId="6" xfId="0" applyNumberFormat="1" applyFont="1" applyBorder="1" applyAlignment="1">
      <alignment horizontal="left"/>
    </xf>
    <xf numFmtId="0" fontId="3" fillId="0" borderId="10"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9" xfId="0" applyNumberFormat="1" applyFont="1" applyBorder="1" applyAlignment="1">
      <alignment horizontal="center" vertical="top"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49" fontId="3" fillId="0" borderId="32" xfId="0" applyNumberFormat="1" applyFont="1" applyBorder="1" applyAlignment="1">
      <alignment horizontal="center" vertical="top"/>
    </xf>
    <xf numFmtId="0" fontId="11" fillId="0" borderId="11" xfId="0" applyNumberFormat="1" applyFont="1" applyBorder="1" applyAlignment="1">
      <alignment horizontal="left"/>
    </xf>
    <xf numFmtId="0" fontId="11" fillId="0" borderId="13" xfId="0" applyNumberFormat="1" applyFont="1" applyBorder="1" applyAlignment="1">
      <alignment horizontal="left"/>
    </xf>
    <xf numFmtId="0" fontId="11" fillId="0" borderId="21" xfId="0" applyNumberFormat="1" applyFont="1" applyBorder="1" applyAlignment="1">
      <alignment horizontal="left"/>
    </xf>
    <xf numFmtId="0" fontId="3" fillId="0" borderId="11" xfId="0" applyNumberFormat="1" applyFont="1" applyFill="1" applyBorder="1" applyAlignment="1">
      <alignment horizontal="left"/>
    </xf>
    <xf numFmtId="49" fontId="11" fillId="0" borderId="58" xfId="0" applyNumberFormat="1" applyFont="1" applyBorder="1" applyAlignment="1">
      <alignment horizontal="center"/>
    </xf>
    <xf numFmtId="49" fontId="11" fillId="0" borderId="29" xfId="0" applyNumberFormat="1" applyFont="1" applyBorder="1" applyAlignment="1">
      <alignment horizontal="center"/>
    </xf>
    <xf numFmtId="49" fontId="11" fillId="0" borderId="33" xfId="0" applyNumberFormat="1" applyFont="1" applyBorder="1" applyAlignment="1">
      <alignment horizontal="center"/>
    </xf>
    <xf numFmtId="49" fontId="11" fillId="0" borderId="28" xfId="0" applyNumberFormat="1" applyFont="1" applyBorder="1" applyAlignment="1">
      <alignment horizontal="center"/>
    </xf>
    <xf numFmtId="4" fontId="11" fillId="4" borderId="28" xfId="0" applyNumberFormat="1" applyFont="1" applyFill="1" applyBorder="1" applyAlignment="1">
      <alignment horizontal="center" shrinkToFit="1"/>
    </xf>
    <xf numFmtId="4" fontId="11" fillId="4" borderId="29" xfId="0" applyNumberFormat="1" applyFont="1" applyFill="1" applyBorder="1" applyAlignment="1">
      <alignment horizontal="center" shrinkToFit="1"/>
    </xf>
    <xf numFmtId="4" fontId="11" fillId="4" borderId="33" xfId="0" applyNumberFormat="1" applyFont="1" applyFill="1" applyBorder="1" applyAlignment="1">
      <alignment horizontal="center" shrinkToFit="1"/>
    </xf>
    <xf numFmtId="4" fontId="3" fillId="0" borderId="11" xfId="0" applyNumberFormat="1" applyFont="1" applyFill="1" applyBorder="1" applyAlignment="1">
      <alignment horizontal="center"/>
    </xf>
    <xf numFmtId="4" fontId="3" fillId="0" borderId="13" xfId="0" applyNumberFormat="1" applyFont="1" applyFill="1" applyBorder="1" applyAlignment="1">
      <alignment horizontal="center"/>
    </xf>
    <xf numFmtId="4" fontId="3" fillId="0" borderId="14" xfId="0" applyNumberFormat="1" applyFont="1" applyFill="1" applyBorder="1" applyAlignment="1">
      <alignment horizontal="center"/>
    </xf>
    <xf numFmtId="0" fontId="6" fillId="0" borderId="11" xfId="0" applyNumberFormat="1" applyFont="1" applyBorder="1" applyAlignment="1">
      <alignment horizontal="left"/>
    </xf>
    <xf numFmtId="0" fontId="6" fillId="0" borderId="13" xfId="0" applyNumberFormat="1" applyFont="1" applyBorder="1" applyAlignment="1">
      <alignment horizontal="left"/>
    </xf>
    <xf numFmtId="0" fontId="6" fillId="0" borderId="21" xfId="0" applyNumberFormat="1" applyFont="1" applyBorder="1" applyAlignment="1">
      <alignment horizontal="left"/>
    </xf>
    <xf numFmtId="4" fontId="3" fillId="10" borderId="11" xfId="0" applyNumberFormat="1" applyFont="1" applyFill="1" applyBorder="1" applyAlignment="1">
      <alignment horizontal="center" shrinkToFit="1"/>
    </xf>
    <xf numFmtId="4" fontId="3" fillId="10" borderId="13" xfId="0" applyNumberFormat="1" applyFont="1" applyFill="1" applyBorder="1" applyAlignment="1">
      <alignment horizontal="center" shrinkToFit="1"/>
    </xf>
    <xf numFmtId="4" fontId="3" fillId="10" borderId="14" xfId="0" applyNumberFormat="1" applyFont="1" applyFill="1" applyBorder="1" applyAlignment="1">
      <alignment horizontal="center" shrinkToFit="1"/>
    </xf>
    <xf numFmtId="0" fontId="8" fillId="0" borderId="0" xfId="0" applyNumberFormat="1" applyFont="1" applyBorder="1" applyAlignment="1">
      <alignment horizontal="justify" wrapText="1"/>
    </xf>
    <xf numFmtId="4" fontId="3" fillId="0" borderId="26" xfId="0" applyNumberFormat="1" applyFont="1" applyBorder="1" applyAlignment="1">
      <alignment horizontal="center" shrinkToFit="1"/>
    </xf>
    <xf numFmtId="4" fontId="3" fillId="0" borderId="27" xfId="0" applyNumberFormat="1" applyFont="1" applyBorder="1" applyAlignment="1">
      <alignment horizontal="center" shrinkToFit="1"/>
    </xf>
    <xf numFmtId="4" fontId="3" fillId="0" borderId="32" xfId="0" applyNumberFormat="1" applyFont="1" applyBorder="1" applyAlignment="1">
      <alignment horizontal="center" shrinkToFit="1"/>
    </xf>
    <xf numFmtId="49" fontId="3" fillId="0" borderId="34" xfId="0" applyNumberFormat="1" applyFont="1" applyBorder="1" applyAlignment="1">
      <alignment horizontal="center"/>
    </xf>
    <xf numFmtId="49" fontId="3" fillId="0" borderId="27"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xf>
    <xf numFmtId="0" fontId="8" fillId="0" borderId="0" xfId="0" applyNumberFormat="1" applyFont="1" applyBorder="1" applyAlignment="1">
      <alignment horizontal="left" wrapText="1"/>
    </xf>
    <xf numFmtId="0" fontId="0" fillId="0" borderId="26" xfId="0" applyBorder="1" applyAlignment="1">
      <alignment horizontal="center"/>
    </xf>
    <xf numFmtId="0" fontId="0" fillId="0" borderId="27" xfId="0" applyBorder="1" applyAlignment="1">
      <alignment horizontal="center"/>
    </xf>
    <xf numFmtId="4" fontId="11" fillId="4" borderId="11" xfId="0" applyNumberFormat="1" applyFont="1" applyFill="1" applyBorder="1" applyAlignment="1">
      <alignment horizontal="center" shrinkToFit="1"/>
    </xf>
    <xf numFmtId="4" fontId="11" fillId="4" borderId="13" xfId="0" applyNumberFormat="1" applyFont="1" applyFill="1" applyBorder="1" applyAlignment="1">
      <alignment horizontal="center" shrinkToFit="1"/>
    </xf>
    <xf numFmtId="4" fontId="11" fillId="4" borderId="14" xfId="0" applyNumberFormat="1" applyFont="1" applyFill="1" applyBorder="1" applyAlignment="1">
      <alignment horizontal="center" shrinkToFit="1"/>
    </xf>
    <xf numFmtId="49" fontId="11" fillId="0" borderId="24" xfId="0" applyNumberFormat="1" applyFont="1" applyBorder="1" applyAlignment="1">
      <alignment horizontal="center"/>
    </xf>
    <xf numFmtId="2" fontId="3" fillId="0" borderId="11" xfId="0" applyNumberFormat="1" applyFont="1" applyBorder="1" applyAlignment="1">
      <alignment horizontal="left" wrapText="1"/>
    </xf>
    <xf numFmtId="2" fontId="3" fillId="0" borderId="13" xfId="0" applyNumberFormat="1" applyFont="1" applyBorder="1" applyAlignment="1">
      <alignment horizontal="left" wrapText="1"/>
    </xf>
    <xf numFmtId="2" fontId="3" fillId="0" borderId="21" xfId="0" applyNumberFormat="1" applyFont="1" applyBorder="1" applyAlignment="1">
      <alignment horizontal="left" wrapText="1"/>
    </xf>
    <xf numFmtId="4" fontId="11" fillId="0" borderId="28" xfId="0" applyNumberFormat="1" applyFont="1" applyBorder="1" applyAlignment="1">
      <alignment horizontal="center" shrinkToFit="1"/>
    </xf>
    <xf numFmtId="4" fontId="11" fillId="0" borderId="29" xfId="0" applyNumberFormat="1" applyFont="1" applyBorder="1" applyAlignment="1">
      <alignment horizontal="center" shrinkToFit="1"/>
    </xf>
    <xf numFmtId="4" fontId="11" fillId="0" borderId="33" xfId="0" applyNumberFormat="1" applyFont="1" applyBorder="1" applyAlignment="1">
      <alignment horizontal="center" shrinkToFit="1"/>
    </xf>
    <xf numFmtId="4" fontId="11" fillId="0" borderId="11" xfId="0" applyNumberFormat="1" applyFont="1" applyBorder="1" applyAlignment="1">
      <alignment horizontal="center" shrinkToFit="1"/>
    </xf>
    <xf numFmtId="4" fontId="11" fillId="0" borderId="13" xfId="0" applyNumberFormat="1" applyFont="1" applyBorder="1" applyAlignment="1">
      <alignment horizontal="center" shrinkToFit="1"/>
    </xf>
    <xf numFmtId="4" fontId="11" fillId="0" borderId="14" xfId="0" applyNumberFormat="1" applyFont="1" applyBorder="1" applyAlignment="1">
      <alignment horizontal="center" shrinkToFit="1"/>
    </xf>
    <xf numFmtId="4" fontId="14" fillId="0" borderId="11" xfId="0" applyNumberFormat="1" applyFont="1" applyBorder="1" applyAlignment="1">
      <alignment horizontal="center" shrinkToFit="1"/>
    </xf>
    <xf numFmtId="4" fontId="14" fillId="0" borderId="13" xfId="0" applyNumberFormat="1" applyFont="1" applyBorder="1" applyAlignment="1">
      <alignment horizontal="center" shrinkToFit="1"/>
    </xf>
    <xf numFmtId="4" fontId="14" fillId="0" borderId="14" xfId="0" applyNumberFormat="1" applyFont="1" applyBorder="1" applyAlignment="1">
      <alignment horizontal="center" shrinkToFit="1"/>
    </xf>
    <xf numFmtId="49" fontId="3" fillId="0" borderId="11"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4" xfId="0" applyNumberFormat="1" applyFont="1" applyBorder="1" applyAlignment="1">
      <alignment horizontal="center" vertical="top"/>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4" fillId="0" borderId="11" xfId="0" applyNumberFormat="1" applyFont="1" applyBorder="1" applyAlignment="1">
      <alignment horizontal="center"/>
    </xf>
    <xf numFmtId="49" fontId="14" fillId="0" borderId="13" xfId="0" applyNumberFormat="1" applyFont="1" applyBorder="1" applyAlignment="1">
      <alignment horizontal="center"/>
    </xf>
    <xf numFmtId="49" fontId="14" fillId="0" borderId="14" xfId="0" applyNumberFormat="1" applyFont="1" applyBorder="1" applyAlignment="1">
      <alignment horizont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4" xfId="0" applyNumberFormat="1" applyFont="1" applyFill="1" applyBorder="1" applyAlignment="1"/>
    <xf numFmtId="0" fontId="3" fillId="0" borderId="5" xfId="0" applyNumberFormat="1" applyFont="1" applyFill="1" applyBorder="1" applyAlignment="1"/>
    <xf numFmtId="49" fontId="3" fillId="0" borderId="13" xfId="0" applyNumberFormat="1" applyFont="1" applyFill="1" applyBorder="1" applyAlignment="1"/>
    <xf numFmtId="0" fontId="3" fillId="0" borderId="9" xfId="0" applyNumberFormat="1" applyFont="1" applyFill="1" applyBorder="1" applyAlignment="1">
      <alignment horizontal="center" vertical="top" wrapText="1"/>
    </xf>
    <xf numFmtId="0" fontId="24" fillId="0" borderId="11" xfId="0" applyFont="1" applyBorder="1" applyAlignment="1">
      <alignment horizontal="center"/>
    </xf>
    <xf numFmtId="0" fontId="24" fillId="0" borderId="13" xfId="0" applyFont="1" applyBorder="1" applyAlignment="1">
      <alignment horizontal="center"/>
    </xf>
    <xf numFmtId="4" fontId="23" fillId="0" borderId="11" xfId="0" applyNumberFormat="1" applyFont="1" applyFill="1" applyBorder="1" applyAlignment="1">
      <alignment horizontal="center"/>
    </xf>
    <xf numFmtId="4" fontId="23" fillId="0" borderId="13" xfId="0" applyNumberFormat="1" applyFont="1" applyFill="1" applyBorder="1" applyAlignment="1">
      <alignment horizontal="center"/>
    </xf>
    <xf numFmtId="4" fontId="23" fillId="0" borderId="14" xfId="0" applyNumberFormat="1" applyFont="1" applyFill="1" applyBorder="1" applyAlignment="1">
      <alignment horizontal="center"/>
    </xf>
    <xf numFmtId="0" fontId="6" fillId="0" borderId="13" xfId="0" applyNumberFormat="1" applyFont="1" applyBorder="1" applyAlignment="1">
      <alignment horizontal="left" wrapText="1" indent="3"/>
    </xf>
    <xf numFmtId="0" fontId="6" fillId="0" borderId="21" xfId="0" applyNumberFormat="1" applyFont="1" applyBorder="1" applyAlignment="1">
      <alignment horizontal="left" wrapText="1" indent="3"/>
    </xf>
    <xf numFmtId="4" fontId="23" fillId="0" borderId="11" xfId="0" applyNumberFormat="1" applyFont="1" applyBorder="1" applyAlignment="1">
      <alignment horizontal="center"/>
    </xf>
    <xf numFmtId="4" fontId="23" fillId="0" borderId="13" xfId="0" applyNumberFormat="1" applyFont="1" applyBorder="1" applyAlignment="1">
      <alignment horizontal="center"/>
    </xf>
    <xf numFmtId="4" fontId="23" fillId="0" borderId="14"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3" fillId="0" borderId="6" xfId="0" applyNumberFormat="1" applyFont="1" applyBorder="1" applyAlignment="1">
      <alignment horizontal="center"/>
    </xf>
    <xf numFmtId="4" fontId="3" fillId="0" borderId="10" xfId="0" applyNumberFormat="1" applyFont="1" applyBorder="1" applyAlignment="1">
      <alignment horizontal="center"/>
    </xf>
    <xf numFmtId="4" fontId="3" fillId="0" borderId="3" xfId="0" applyNumberFormat="1" applyFont="1" applyBorder="1" applyAlignment="1">
      <alignment horizontal="center"/>
    </xf>
    <xf numFmtId="4" fontId="3" fillId="0" borderId="9" xfId="0" applyNumberFormat="1"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4" fontId="6" fillId="0" borderId="11" xfId="0" applyNumberFormat="1" applyFont="1" applyFill="1" applyBorder="1" applyAlignment="1">
      <alignment horizontal="center" shrinkToFit="1"/>
    </xf>
    <xf numFmtId="4" fontId="6" fillId="0" borderId="13" xfId="0" applyNumberFormat="1" applyFont="1" applyFill="1" applyBorder="1" applyAlignment="1">
      <alignment horizontal="center" shrinkToFit="1"/>
    </xf>
    <xf numFmtId="4" fontId="6" fillId="0" borderId="14" xfId="0" applyNumberFormat="1" applyFont="1" applyFill="1" applyBorder="1" applyAlignment="1">
      <alignment horizontal="center" shrinkToFit="1"/>
    </xf>
    <xf numFmtId="0" fontId="3" fillId="15" borderId="11" xfId="0" applyNumberFormat="1" applyFont="1" applyFill="1" applyBorder="1" applyAlignment="1">
      <alignment horizontal="left" wrapText="1"/>
    </xf>
    <xf numFmtId="0" fontId="3" fillId="15" borderId="13" xfId="0" applyNumberFormat="1" applyFont="1" applyFill="1" applyBorder="1" applyAlignment="1">
      <alignment horizontal="left"/>
    </xf>
    <xf numFmtId="0" fontId="3" fillId="15" borderId="21" xfId="0" applyNumberFormat="1" applyFont="1" applyFill="1" applyBorder="1" applyAlignment="1">
      <alignment horizontal="left"/>
    </xf>
    <xf numFmtId="49" fontId="6" fillId="0" borderId="35" xfId="0" applyNumberFormat="1" applyFont="1" applyBorder="1" applyAlignment="1">
      <alignment horizontal="center"/>
    </xf>
    <xf numFmtId="49" fontId="6" fillId="0" borderId="25" xfId="0" applyNumberFormat="1" applyFont="1" applyBorder="1" applyAlignment="1">
      <alignment horizontal="center"/>
    </xf>
    <xf numFmtId="0" fontId="3" fillId="0" borderId="13" xfId="0" applyNumberFormat="1" applyFont="1" applyFill="1" applyBorder="1" applyAlignment="1">
      <alignment horizontal="left" wrapText="1" indent="1"/>
    </xf>
    <xf numFmtId="0" fontId="3" fillId="0" borderId="13" xfId="0" applyNumberFormat="1" applyFont="1" applyFill="1" applyBorder="1" applyAlignment="1">
      <alignment horizontal="left" indent="1"/>
    </xf>
    <xf numFmtId="0" fontId="6" fillId="0" borderId="10" xfId="0" applyNumberFormat="1" applyFont="1" applyBorder="1" applyAlignment="1">
      <alignment horizontal="left" indent="3"/>
    </xf>
    <xf numFmtId="0" fontId="6" fillId="0" borderId="3" xfId="0" applyNumberFormat="1" applyFont="1" applyBorder="1" applyAlignment="1">
      <alignment horizontal="left" indent="3"/>
    </xf>
    <xf numFmtId="0" fontId="6" fillId="0" borderId="22" xfId="0" applyNumberFormat="1" applyFont="1" applyBorder="1" applyAlignment="1">
      <alignment horizontal="left" indent="3"/>
    </xf>
    <xf numFmtId="0" fontId="3" fillId="0" borderId="4" xfId="0" applyNumberFormat="1" applyFont="1" applyBorder="1" applyAlignment="1">
      <alignment horizontal="left" indent="4"/>
    </xf>
    <xf numFmtId="0" fontId="6" fillId="0" borderId="5" xfId="0" applyNumberFormat="1" applyFont="1" applyBorder="1" applyAlignment="1">
      <alignment horizontal="left" indent="4"/>
    </xf>
    <xf numFmtId="0" fontId="6" fillId="0" borderId="36" xfId="0" applyNumberFormat="1" applyFont="1" applyBorder="1" applyAlignment="1">
      <alignment horizontal="left" indent="4"/>
    </xf>
    <xf numFmtId="0" fontId="15" fillId="0" borderId="11" xfId="0" applyFont="1" applyBorder="1" applyAlignment="1">
      <alignment horizontal="center"/>
    </xf>
    <xf numFmtId="0" fontId="15" fillId="0" borderId="13" xfId="0" applyFont="1" applyBorder="1" applyAlignment="1">
      <alignment horizontal="center"/>
    </xf>
    <xf numFmtId="0" fontId="3" fillId="0" borderId="13"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52" fillId="0" borderId="11" xfId="0" applyFont="1" applyFill="1" applyBorder="1" applyAlignment="1">
      <alignment horizontal="center"/>
    </xf>
    <xf numFmtId="0" fontId="52" fillId="0" borderId="13" xfId="0" applyFont="1" applyFill="1" applyBorder="1" applyAlignment="1">
      <alignment horizontal="center"/>
    </xf>
    <xf numFmtId="4" fontId="3" fillId="0" borderId="1" xfId="0" applyNumberFormat="1" applyFont="1" applyBorder="1" applyAlignment="1">
      <alignment horizontal="center"/>
    </xf>
    <xf numFmtId="4" fontId="3" fillId="0" borderId="49" xfId="0" applyNumberFormat="1" applyFont="1" applyBorder="1" applyAlignment="1">
      <alignment horizontal="center"/>
    </xf>
    <xf numFmtId="0" fontId="3" fillId="0" borderId="13" xfId="0" applyNumberFormat="1" applyFont="1" applyBorder="1" applyAlignment="1">
      <alignment horizontal="center"/>
    </xf>
    <xf numFmtId="0" fontId="3" fillId="0" borderId="21" xfId="0" applyNumberFormat="1" applyFont="1" applyBorder="1" applyAlignment="1">
      <alignment horizontal="center"/>
    </xf>
    <xf numFmtId="0" fontId="5" fillId="0" borderId="0" xfId="0" applyNumberFormat="1" applyFont="1" applyBorder="1" applyAlignment="1">
      <alignment horizontal="left" wrapText="1"/>
    </xf>
    <xf numFmtId="0" fontId="0" fillId="0" borderId="0" xfId="0" applyAlignment="1">
      <alignment horizontal="left" wrapText="1"/>
    </xf>
    <xf numFmtId="0" fontId="3" fillId="0" borderId="10" xfId="0" applyNumberFormat="1" applyFont="1" applyBorder="1" applyAlignment="1">
      <alignment horizontal="left" wrapText="1" indent="4"/>
    </xf>
    <xf numFmtId="0" fontId="3" fillId="0" borderId="3" xfId="0" applyNumberFormat="1" applyFont="1" applyBorder="1" applyAlignment="1">
      <alignment horizontal="left" indent="4"/>
    </xf>
    <xf numFmtId="49" fontId="3" fillId="0" borderId="1" xfId="0" applyNumberFormat="1" applyFont="1" applyBorder="1" applyAlignment="1">
      <alignment horizontal="center"/>
    </xf>
    <xf numFmtId="0" fontId="3" fillId="0" borderId="5" xfId="0" applyNumberFormat="1" applyFont="1" applyBorder="1" applyAlignment="1">
      <alignment horizontal="center"/>
    </xf>
    <xf numFmtId="0" fontId="3" fillId="0" borderId="36" xfId="0" applyNumberFormat="1" applyFont="1" applyBorder="1" applyAlignment="1">
      <alignment horizontal="center"/>
    </xf>
    <xf numFmtId="0" fontId="3" fillId="0" borderId="23" xfId="0" applyNumberFormat="1" applyFont="1" applyBorder="1" applyAlignment="1">
      <alignment horizontal="center"/>
    </xf>
    <xf numFmtId="0" fontId="3" fillId="0" borderId="19" xfId="0" applyNumberFormat="1" applyFont="1" applyBorder="1" applyAlignment="1">
      <alignment horizontal="center"/>
    </xf>
    <xf numFmtId="4" fontId="6" fillId="4" borderId="1" xfId="0" applyNumberFormat="1" applyFont="1" applyFill="1" applyBorder="1" applyAlignment="1">
      <alignment horizontal="center"/>
    </xf>
    <xf numFmtId="49" fontId="3" fillId="0" borderId="5" xfId="0" applyNumberFormat="1" applyFont="1" applyBorder="1" applyAlignment="1">
      <alignment horizontal="center"/>
    </xf>
    <xf numFmtId="49" fontId="3" fillId="0" borderId="6" xfId="0" applyNumberFormat="1" applyFont="1" applyBorder="1" applyAlignment="1">
      <alignment horizontal="center"/>
    </xf>
    <xf numFmtId="49" fontId="3" fillId="0" borderId="3" xfId="0" applyNumberFormat="1" applyFont="1" applyBorder="1" applyAlignment="1">
      <alignment horizontal="center"/>
    </xf>
    <xf numFmtId="49" fontId="3" fillId="0" borderId="9" xfId="0" applyNumberFormat="1" applyFont="1" applyBorder="1" applyAlignment="1">
      <alignment horizontal="center"/>
    </xf>
    <xf numFmtId="0" fontId="3" fillId="0" borderId="4" xfId="0" applyNumberFormat="1" applyFont="1" applyBorder="1" applyAlignment="1">
      <alignment horizontal="left" wrapText="1" indent="4"/>
    </xf>
    <xf numFmtId="0" fontId="3" fillId="0" borderId="5" xfId="0" applyNumberFormat="1" applyFont="1" applyBorder="1" applyAlignment="1">
      <alignment horizontal="left" indent="4"/>
    </xf>
    <xf numFmtId="49" fontId="3" fillId="0" borderId="3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6" fillId="0" borderId="11" xfId="0" applyNumberFormat="1" applyFont="1" applyBorder="1" applyAlignment="1">
      <alignment horizontal="left" wrapText="1"/>
    </xf>
    <xf numFmtId="4" fontId="3" fillId="7" borderId="1" xfId="0" applyNumberFormat="1" applyFont="1" applyFill="1" applyBorder="1" applyAlignment="1">
      <alignment horizontal="center"/>
    </xf>
    <xf numFmtId="0" fontId="3" fillId="0" borderId="3" xfId="0" applyNumberFormat="1" applyFont="1" applyBorder="1" applyAlignment="1">
      <alignment horizontal="center"/>
    </xf>
    <xf numFmtId="0" fontId="3" fillId="0" borderId="22" xfId="0" applyNumberFormat="1" applyFont="1" applyBorder="1" applyAlignment="1">
      <alignment horizontal="center"/>
    </xf>
    <xf numFmtId="4" fontId="3" fillId="0" borderId="1" xfId="0" applyNumberFormat="1" applyFont="1" applyFill="1" applyBorder="1" applyAlignment="1">
      <alignment horizontal="center"/>
    </xf>
    <xf numFmtId="4" fontId="6" fillId="7" borderId="1" xfId="0" applyNumberFormat="1" applyFont="1" applyFill="1" applyBorder="1" applyAlignment="1">
      <alignment horizontal="center"/>
    </xf>
    <xf numFmtId="4" fontId="3" fillId="7" borderId="12" xfId="0" applyNumberFormat="1" applyFont="1" applyFill="1" applyBorder="1" applyAlignment="1">
      <alignment horizontal="center"/>
    </xf>
    <xf numFmtId="4" fontId="3" fillId="0" borderId="12" xfId="0" applyNumberFormat="1" applyFont="1" applyBorder="1" applyAlignment="1">
      <alignment horizontal="center"/>
    </xf>
    <xf numFmtId="0" fontId="3" fillId="0" borderId="29" xfId="0" applyNumberFormat="1" applyFont="1" applyBorder="1" applyAlignment="1">
      <alignment horizontal="center"/>
    </xf>
    <xf numFmtId="0" fontId="3" fillId="0" borderId="30" xfId="0" applyNumberFormat="1" applyFont="1" applyBorder="1" applyAlignment="1">
      <alignment horizontal="center"/>
    </xf>
    <xf numFmtId="4" fontId="6" fillId="7" borderId="1" xfId="4" applyNumberFormat="1" applyFont="1" applyFill="1" applyBorder="1" applyAlignment="1">
      <alignment horizontal="center"/>
    </xf>
    <xf numFmtId="0" fontId="3" fillId="0" borderId="27" xfId="0" applyNumberFormat="1" applyFont="1" applyBorder="1" applyAlignment="1">
      <alignment horizontal="center"/>
    </xf>
    <xf numFmtId="0" fontId="3" fillId="0" borderId="37" xfId="0" applyNumberFormat="1" applyFont="1" applyBorder="1" applyAlignment="1">
      <alignment horizontal="center"/>
    </xf>
    <xf numFmtId="4" fontId="3" fillId="0" borderId="12" xfId="0" applyNumberFormat="1" applyFont="1" applyFill="1" applyBorder="1" applyAlignment="1">
      <alignment horizontal="center"/>
    </xf>
    <xf numFmtId="4" fontId="6" fillId="0" borderId="1" xfId="0" applyNumberFormat="1" applyFont="1" applyFill="1" applyBorder="1" applyAlignment="1">
      <alignment horizontal="center"/>
    </xf>
    <xf numFmtId="4" fontId="6" fillId="0" borderId="1" xfId="0" applyNumberFormat="1" applyFont="1" applyBorder="1" applyAlignment="1">
      <alignment horizontal="center"/>
    </xf>
    <xf numFmtId="4" fontId="3" fillId="14" borderId="1" xfId="0" applyNumberFormat="1" applyFont="1" applyFill="1" applyBorder="1" applyAlignment="1">
      <alignment horizontal="center"/>
    </xf>
    <xf numFmtId="4" fontId="6" fillId="7" borderId="11" xfId="4" applyNumberFormat="1" applyFont="1" applyFill="1" applyBorder="1" applyAlignment="1">
      <alignment horizontal="center"/>
    </xf>
    <xf numFmtId="4" fontId="6" fillId="7" borderId="13" xfId="4" applyNumberFormat="1" applyFont="1" applyFill="1" applyBorder="1" applyAlignment="1">
      <alignment horizontal="center"/>
    </xf>
    <xf numFmtId="4" fontId="6" fillId="7" borderId="14" xfId="4" applyNumberFormat="1" applyFont="1" applyFill="1" applyBorder="1" applyAlignment="1">
      <alignment horizontal="center"/>
    </xf>
    <xf numFmtId="4" fontId="3" fillId="4" borderId="1" xfId="0" applyNumberFormat="1" applyFont="1" applyFill="1" applyBorder="1" applyAlignment="1">
      <alignment horizontal="center"/>
    </xf>
    <xf numFmtId="4" fontId="6" fillId="4" borderId="47" xfId="0" applyNumberFormat="1" applyFont="1" applyFill="1" applyBorder="1" applyAlignment="1">
      <alignment horizontal="center"/>
    </xf>
    <xf numFmtId="4" fontId="3" fillId="0" borderId="47" xfId="0" applyNumberFormat="1" applyFont="1" applyBorder="1" applyAlignment="1">
      <alignment horizontal="center"/>
    </xf>
    <xf numFmtId="4" fontId="3" fillId="0" borderId="48" xfId="0" applyNumberFormat="1" applyFont="1" applyBorder="1" applyAlignment="1">
      <alignment horizontal="center"/>
    </xf>
    <xf numFmtId="49" fontId="3" fillId="0" borderId="4"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6" xfId="0" applyNumberFormat="1" applyFont="1" applyBorder="1" applyAlignment="1">
      <alignment horizontal="center" vertical="top"/>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3" fillId="0" borderId="47" xfId="0" applyNumberFormat="1" applyFont="1" applyBorder="1" applyAlignment="1">
      <alignment horizontal="center"/>
    </xf>
    <xf numFmtId="0" fontId="6" fillId="4" borderId="47" xfId="0" applyNumberFormat="1" applyFont="1" applyFill="1" applyBorder="1" applyAlignment="1">
      <alignment horizontal="center"/>
    </xf>
    <xf numFmtId="4" fontId="6" fillId="7" borderId="28" xfId="4" applyNumberFormat="1" applyFont="1" applyFill="1" applyBorder="1" applyAlignment="1">
      <alignment horizontal="center"/>
    </xf>
    <xf numFmtId="0" fontId="6" fillId="7" borderId="29" xfId="4" applyNumberFormat="1" applyFont="1" applyFill="1" applyBorder="1" applyAlignment="1">
      <alignment horizontal="center"/>
    </xf>
    <xf numFmtId="0" fontId="6" fillId="7" borderId="33" xfId="4" applyNumberFormat="1" applyFont="1" applyFill="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11" fillId="0" borderId="0" xfId="0" applyFont="1" applyAlignment="1">
      <alignment horizontal="center" vertical="center"/>
    </xf>
    <xf numFmtId="0" fontId="11" fillId="0" borderId="3" xfId="0" applyFont="1" applyBorder="1" applyAlignment="1">
      <alignment horizontal="center" vertical="center"/>
    </xf>
    <xf numFmtId="0" fontId="3" fillId="0" borderId="5" xfId="0" applyFont="1" applyBorder="1" applyAlignment="1">
      <alignment horizontal="center" vertical="center"/>
    </xf>
    <xf numFmtId="0" fontId="15" fillId="0" borderId="6"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4" fillId="0" borderId="10" xfId="0" applyFont="1" applyBorder="1" applyAlignment="1">
      <alignment horizontal="center"/>
    </xf>
    <xf numFmtId="0" fontId="3"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0" xfId="0" applyFont="1" applyBorder="1" applyAlignment="1">
      <alignment horizontal="center"/>
    </xf>
    <xf numFmtId="0" fontId="0" fillId="0" borderId="8" xfId="0" applyBorder="1" applyAlignment="1"/>
    <xf numFmtId="0" fontId="0" fillId="0" borderId="0" xfId="0" applyAlignment="1">
      <alignment horizontal="center" vertical="center" wrapText="1"/>
    </xf>
    <xf numFmtId="0" fontId="19" fillId="3" borderId="1" xfId="0" applyNumberFormat="1" applyFont="1" applyFill="1" applyBorder="1" applyAlignment="1">
      <alignment horizontal="center" vertical="center"/>
    </xf>
    <xf numFmtId="0" fontId="19" fillId="3" borderId="1" xfId="0" applyNumberFormat="1" applyFont="1" applyFill="1" applyBorder="1" applyAlignment="1">
      <alignment horizontal="center"/>
    </xf>
    <xf numFmtId="0" fontId="16" fillId="3" borderId="1" xfId="0" applyNumberFormat="1" applyFont="1" applyFill="1" applyBorder="1" applyAlignment="1">
      <alignment wrapText="1"/>
    </xf>
    <xf numFmtId="0" fontId="16" fillId="3" borderId="1" xfId="0" applyNumberFormat="1" applyFont="1" applyFill="1" applyBorder="1" applyAlignment="1">
      <alignment horizontal="center"/>
    </xf>
    <xf numFmtId="0" fontId="16" fillId="3" borderId="11" xfId="0" applyNumberFormat="1" applyFont="1" applyFill="1" applyBorder="1" applyAlignment="1">
      <alignment horizontal="center" wrapText="1"/>
    </xf>
    <xf numFmtId="0" fontId="16" fillId="3" borderId="13" xfId="0" applyNumberFormat="1" applyFont="1" applyFill="1" applyBorder="1" applyAlignment="1">
      <alignment horizontal="center" wrapText="1"/>
    </xf>
    <xf numFmtId="0" fontId="16" fillId="3" borderId="14" xfId="0" applyNumberFormat="1" applyFont="1" applyFill="1" applyBorder="1" applyAlignment="1">
      <alignment horizontal="center" wrapText="1"/>
    </xf>
    <xf numFmtId="0" fontId="0" fillId="0" borderId="0" xfId="0" applyAlignment="1">
      <alignment horizontal="center"/>
    </xf>
    <xf numFmtId="0" fontId="19" fillId="3" borderId="0" xfId="0" applyNumberFormat="1" applyFont="1" applyFill="1" applyBorder="1" applyAlignment="1">
      <alignment horizontal="left" vertical="center"/>
    </xf>
    <xf numFmtId="0" fontId="16" fillId="3" borderId="11"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9" fillId="3" borderId="5" xfId="0" applyFont="1" applyFill="1" applyBorder="1" applyAlignment="1">
      <alignment horizontal="right" vertical="center"/>
    </xf>
    <xf numFmtId="0" fontId="16" fillId="3" borderId="5" xfId="0" applyFont="1" applyFill="1" applyBorder="1" applyAlignment="1">
      <alignment horizontal="right" vertical="center"/>
    </xf>
    <xf numFmtId="0" fontId="16"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9" fillId="3" borderId="0" xfId="0" applyFont="1" applyFill="1" applyAlignment="1">
      <alignment horizontal="left" vertical="center"/>
    </xf>
    <xf numFmtId="0" fontId="22" fillId="3" borderId="0" xfId="0" applyFont="1" applyFill="1" applyAlignment="1">
      <alignment horizontal="left" vertical="center"/>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6" fillId="3" borderId="5" xfId="0" applyNumberFormat="1" applyFont="1" applyFill="1" applyBorder="1" applyAlignment="1">
      <alignment horizontal="center"/>
    </xf>
    <xf numFmtId="0" fontId="16" fillId="3" borderId="6" xfId="0" applyNumberFormat="1" applyFont="1" applyFill="1" applyBorder="1" applyAlignment="1">
      <alignment horizontal="center"/>
    </xf>
    <xf numFmtId="0" fontId="16" fillId="3" borderId="2" xfId="0" applyNumberFormat="1" applyFont="1" applyFill="1" applyBorder="1" applyAlignment="1">
      <alignment horizontal="center"/>
    </xf>
    <xf numFmtId="0" fontId="19" fillId="3" borderId="14"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1" xfId="0" applyFont="1" applyFill="1" applyBorder="1" applyAlignment="1">
      <alignment horizontal="center" vertical="center"/>
    </xf>
    <xf numFmtId="0" fontId="16" fillId="3" borderId="13" xfId="0" applyFont="1" applyFill="1" applyBorder="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center" vertical="center"/>
    </xf>
    <xf numFmtId="0" fontId="19" fillId="3" borderId="13" xfId="0" applyNumberFormat="1" applyFont="1" applyFill="1" applyBorder="1" applyAlignment="1">
      <alignment horizontal="center" vertical="center"/>
    </xf>
    <xf numFmtId="0" fontId="19" fillId="3" borderId="14" xfId="0" applyNumberFormat="1" applyFont="1" applyFill="1" applyBorder="1" applyAlignment="1">
      <alignment horizontal="center" vertical="center"/>
    </xf>
    <xf numFmtId="0" fontId="16" fillId="3" borderId="11" xfId="0" applyNumberFormat="1" applyFont="1" applyFill="1" applyBorder="1" applyAlignment="1">
      <alignment horizontal="justify" wrapText="1"/>
    </xf>
    <xf numFmtId="0" fontId="16" fillId="3" borderId="13" xfId="0" applyNumberFormat="1" applyFont="1" applyFill="1" applyBorder="1" applyAlignment="1">
      <alignment horizontal="justify" wrapText="1"/>
    </xf>
    <xf numFmtId="0" fontId="16" fillId="3" borderId="14" xfId="0" applyNumberFormat="1" applyFont="1" applyFill="1" applyBorder="1" applyAlignment="1">
      <alignment horizontal="justify" wrapText="1"/>
    </xf>
    <xf numFmtId="0" fontId="16" fillId="3" borderId="11" xfId="0" applyNumberFormat="1" applyFont="1" applyFill="1" applyBorder="1" applyAlignment="1">
      <alignment horizontal="justify"/>
    </xf>
    <xf numFmtId="0" fontId="16" fillId="3" borderId="13" xfId="0" applyNumberFormat="1" applyFont="1" applyFill="1" applyBorder="1" applyAlignment="1">
      <alignment horizontal="justify"/>
    </xf>
    <xf numFmtId="0" fontId="16" fillId="3" borderId="14" xfId="0" applyNumberFormat="1" applyFont="1" applyFill="1" applyBorder="1" applyAlignment="1">
      <alignment horizontal="justify"/>
    </xf>
    <xf numFmtId="0" fontId="16" fillId="3" borderId="1" xfId="0" applyNumberFormat="1" applyFont="1" applyFill="1" applyBorder="1" applyAlignment="1">
      <alignment horizontal="left" wrapText="1"/>
    </xf>
    <xf numFmtId="0" fontId="19" fillId="3" borderId="0" xfId="0" applyFont="1" applyFill="1" applyBorder="1" applyAlignment="1">
      <alignment horizontal="left" vertical="center" wrapText="1"/>
    </xf>
    <xf numFmtId="0" fontId="14" fillId="0" borderId="11" xfId="4" applyFont="1" applyBorder="1" applyAlignment="1">
      <alignment horizontal="center"/>
    </xf>
    <xf numFmtId="0" fontId="14" fillId="0" borderId="13" xfId="4" applyFont="1" applyBorder="1" applyAlignment="1">
      <alignment horizontal="center"/>
    </xf>
    <xf numFmtId="0" fontId="14" fillId="0" borderId="14" xfId="4" applyFont="1" applyBorder="1" applyAlignment="1">
      <alignment horizontal="center"/>
    </xf>
    <xf numFmtId="0" fontId="14" fillId="0" borderId="11" xfId="4" applyFont="1" applyBorder="1" applyAlignment="1">
      <alignment horizontal="left" wrapText="1"/>
    </xf>
    <xf numFmtId="0" fontId="14" fillId="0" borderId="13" xfId="4" applyFont="1" applyBorder="1" applyAlignment="1">
      <alignment horizontal="left" wrapText="1"/>
    </xf>
    <xf numFmtId="0" fontId="14" fillId="0" borderId="14" xfId="4" applyFont="1" applyBorder="1" applyAlignment="1">
      <alignment horizontal="left" wrapText="1"/>
    </xf>
    <xf numFmtId="0" fontId="14" fillId="0" borderId="11" xfId="4" applyFont="1" applyBorder="1" applyAlignment="1">
      <alignment horizontal="right"/>
    </xf>
    <xf numFmtId="0" fontId="14" fillId="0" borderId="13" xfId="4" applyFont="1" applyBorder="1" applyAlignment="1">
      <alignment horizontal="right"/>
    </xf>
    <xf numFmtId="0" fontId="14" fillId="0" borderId="14" xfId="4" applyFont="1" applyBorder="1" applyAlignment="1">
      <alignment horizontal="right"/>
    </xf>
    <xf numFmtId="4" fontId="14" fillId="0" borderId="11" xfId="4" applyNumberFormat="1" applyFont="1" applyBorder="1" applyAlignment="1">
      <alignment horizontal="right"/>
    </xf>
    <xf numFmtId="4" fontId="14" fillId="0" borderId="13" xfId="4" applyNumberFormat="1" applyFont="1" applyBorder="1" applyAlignment="1">
      <alignment horizontal="right"/>
    </xf>
    <xf numFmtId="4" fontId="14" fillId="0" borderId="14" xfId="4" applyNumberFormat="1" applyFont="1" applyBorder="1" applyAlignment="1">
      <alignment horizontal="right"/>
    </xf>
    <xf numFmtId="0" fontId="14" fillId="0" borderId="10" xfId="4" applyFont="1" applyBorder="1" applyAlignment="1">
      <alignment horizontal="center"/>
    </xf>
    <xf numFmtId="0" fontId="14" fillId="0" borderId="3" xfId="4" applyFont="1" applyBorder="1" applyAlignment="1">
      <alignment horizontal="center"/>
    </xf>
    <xf numFmtId="0" fontId="14" fillId="0" borderId="9" xfId="4" applyFont="1" applyBorder="1" applyAlignment="1">
      <alignment horizontal="center"/>
    </xf>
    <xf numFmtId="0" fontId="14" fillId="0" borderId="11" xfId="4" applyFont="1" applyBorder="1" applyAlignment="1">
      <alignment horizontal="center"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4" fillId="0" borderId="7" xfId="4" applyFont="1" applyBorder="1" applyAlignment="1">
      <alignment horizontal="center" vertical="center"/>
    </xf>
    <xf numFmtId="0" fontId="14" fillId="0" borderId="0" xfId="4" applyFont="1" applyBorder="1" applyAlignment="1">
      <alignment horizontal="center" vertical="center"/>
    </xf>
    <xf numFmtId="0" fontId="14" fillId="0" borderId="8" xfId="4" applyFont="1" applyBorder="1" applyAlignment="1">
      <alignment horizontal="center" vertical="center"/>
    </xf>
    <xf numFmtId="0" fontId="14" fillId="0" borderId="4" xfId="4" applyFont="1" applyBorder="1" applyAlignment="1">
      <alignment horizontal="center" vertical="center"/>
    </xf>
    <xf numFmtId="0" fontId="14" fillId="0" borderId="5" xfId="4" applyFont="1" applyBorder="1" applyAlignment="1">
      <alignment horizontal="center" vertical="center"/>
    </xf>
    <xf numFmtId="0" fontId="14" fillId="0" borderId="6" xfId="4" applyFont="1" applyBorder="1" applyAlignment="1">
      <alignment horizontal="center" vertical="center"/>
    </xf>
    <xf numFmtId="0" fontId="20" fillId="0" borderId="3" xfId="4" applyFont="1" applyBorder="1" applyAlignment="1">
      <alignment horizontal="center"/>
    </xf>
    <xf numFmtId="0" fontId="21" fillId="0" borderId="0" xfId="4" applyFont="1" applyAlignment="1">
      <alignment horizontal="center"/>
    </xf>
    <xf numFmtId="0" fontId="14" fillId="0" borderId="0" xfId="4" applyFont="1" applyFill="1" applyAlignment="1">
      <alignment horizontal="left"/>
    </xf>
    <xf numFmtId="0" fontId="14" fillId="0" borderId="0" xfId="4" applyFont="1" applyAlignment="1">
      <alignment horizontal="center"/>
    </xf>
    <xf numFmtId="49" fontId="20" fillId="0" borderId="3" xfId="4" applyNumberFormat="1" applyFont="1" applyBorder="1" applyAlignment="1">
      <alignment horizontal="center"/>
    </xf>
    <xf numFmtId="4" fontId="14" fillId="0" borderId="11" xfId="4" applyNumberFormat="1" applyFont="1" applyFill="1" applyBorder="1" applyAlignment="1">
      <alignment horizontal="right"/>
    </xf>
    <xf numFmtId="4" fontId="14" fillId="0" borderId="13" xfId="4" applyNumberFormat="1" applyFont="1" applyFill="1" applyBorder="1" applyAlignment="1">
      <alignment horizontal="right"/>
    </xf>
    <xf numFmtId="4" fontId="14" fillId="0" borderId="14" xfId="4" applyNumberFormat="1" applyFont="1" applyFill="1" applyBorder="1" applyAlignment="1">
      <alignment horizontal="right"/>
    </xf>
    <xf numFmtId="4" fontId="14" fillId="9" borderId="11" xfId="4" applyNumberFormat="1" applyFont="1" applyFill="1" applyBorder="1" applyAlignment="1">
      <alignment horizontal="right"/>
    </xf>
    <xf numFmtId="4" fontId="14" fillId="9" borderId="13" xfId="4" applyNumberFormat="1" applyFont="1" applyFill="1" applyBorder="1" applyAlignment="1">
      <alignment horizontal="right"/>
    </xf>
    <xf numFmtId="4" fontId="14" fillId="9" borderId="14" xfId="4" applyNumberFormat="1" applyFont="1" applyFill="1" applyBorder="1" applyAlignment="1">
      <alignment horizontal="right"/>
    </xf>
    <xf numFmtId="0" fontId="14" fillId="9" borderId="13" xfId="4" applyFont="1" applyFill="1" applyBorder="1" applyAlignment="1">
      <alignment horizontal="right"/>
    </xf>
    <xf numFmtId="0" fontId="14" fillId="9" borderId="14" xfId="4" applyFont="1" applyFill="1" applyBorder="1" applyAlignment="1">
      <alignment horizontal="right"/>
    </xf>
    <xf numFmtId="0" fontId="14" fillId="0" borderId="11" xfId="4" applyFont="1" applyFill="1" applyBorder="1" applyAlignment="1">
      <alignment horizontal="right"/>
    </xf>
    <xf numFmtId="0" fontId="14" fillId="0" borderId="13" xfId="4" applyFont="1" applyFill="1" applyBorder="1" applyAlignment="1">
      <alignment horizontal="right"/>
    </xf>
    <xf numFmtId="0" fontId="14" fillId="0" borderId="14" xfId="4" applyFont="1" applyFill="1" applyBorder="1" applyAlignment="1">
      <alignment horizontal="right"/>
    </xf>
    <xf numFmtId="0" fontId="14" fillId="0" borderId="11" xfId="4" applyNumberFormat="1" applyFont="1" applyBorder="1" applyAlignment="1">
      <alignment horizontal="right"/>
    </xf>
    <xf numFmtId="0" fontId="14" fillId="0" borderId="13" xfId="4" applyNumberFormat="1" applyFont="1" applyBorder="1" applyAlignment="1">
      <alignment horizontal="right"/>
    </xf>
    <xf numFmtId="0" fontId="14" fillId="0" borderId="14" xfId="4" applyNumberFormat="1" applyFont="1" applyBorder="1" applyAlignment="1">
      <alignment horizontal="right"/>
    </xf>
    <xf numFmtId="4" fontId="14" fillId="0" borderId="11" xfId="4" applyNumberFormat="1" applyFont="1" applyBorder="1" applyAlignment="1">
      <alignment horizontal="center"/>
    </xf>
    <xf numFmtId="4" fontId="14" fillId="0" borderId="13" xfId="4" applyNumberFormat="1" applyFont="1" applyBorder="1" applyAlignment="1">
      <alignment horizontal="center"/>
    </xf>
    <xf numFmtId="4" fontId="14" fillId="0" borderId="14" xfId="4" applyNumberFormat="1" applyFont="1" applyBorder="1" applyAlignment="1">
      <alignment horizontal="center"/>
    </xf>
    <xf numFmtId="4" fontId="14" fillId="0" borderId="10" xfId="4" applyNumberFormat="1" applyFont="1" applyBorder="1" applyAlignment="1">
      <alignment horizontal="center"/>
    </xf>
    <xf numFmtId="4" fontId="14" fillId="0" borderId="3" xfId="4" applyNumberFormat="1" applyFont="1" applyBorder="1" applyAlignment="1">
      <alignment horizontal="center"/>
    </xf>
    <xf numFmtId="4" fontId="14" fillId="0" borderId="9" xfId="4" applyNumberFormat="1" applyFont="1" applyBorder="1" applyAlignment="1">
      <alignment horizontal="center"/>
    </xf>
    <xf numFmtId="0" fontId="14" fillId="0" borderId="0" xfId="4" applyFont="1" applyBorder="1" applyAlignment="1">
      <alignment horizontal="left" wrapText="1"/>
    </xf>
    <xf numFmtId="0" fontId="3" fillId="0" borderId="0" xfId="4" applyFont="1" applyAlignment="1">
      <alignment horizontal="left" vertical="top" wrapText="1"/>
    </xf>
    <xf numFmtId="0" fontId="14" fillId="0" borderId="10" xfId="4" applyFont="1" applyBorder="1" applyAlignment="1">
      <alignment horizontal="center" vertical="center"/>
    </xf>
    <xf numFmtId="0" fontId="14" fillId="0" borderId="3" xfId="4" applyFont="1" applyBorder="1" applyAlignment="1">
      <alignment horizontal="center" vertical="center"/>
    </xf>
    <xf numFmtId="0" fontId="14" fillId="0" borderId="9" xfId="4" applyFont="1" applyBorder="1" applyAlignment="1">
      <alignment horizontal="center" vertical="center"/>
    </xf>
    <xf numFmtId="0" fontId="14" fillId="0" borderId="4" xfId="4" applyFont="1" applyBorder="1" applyAlignment="1">
      <alignment horizontal="left" indent="1"/>
    </xf>
    <xf numFmtId="0" fontId="14" fillId="0" borderId="5" xfId="4" applyFont="1" applyBorder="1" applyAlignment="1">
      <alignment horizontal="left" indent="1"/>
    </xf>
    <xf numFmtId="0" fontId="14" fillId="0" borderId="6" xfId="4" applyFont="1" applyBorder="1" applyAlignment="1">
      <alignment horizontal="left" indent="1"/>
    </xf>
    <xf numFmtId="4" fontId="14" fillId="0" borderId="4" xfId="4" applyNumberFormat="1" applyFont="1" applyBorder="1" applyAlignment="1">
      <alignment horizontal="right"/>
    </xf>
    <xf numFmtId="4" fontId="14" fillId="0" borderId="5" xfId="4" applyNumberFormat="1" applyFont="1" applyBorder="1" applyAlignment="1">
      <alignment horizontal="right"/>
    </xf>
    <xf numFmtId="4" fontId="14" fillId="0" borderId="6" xfId="4" applyNumberFormat="1" applyFont="1" applyBorder="1" applyAlignment="1">
      <alignment horizontal="right"/>
    </xf>
    <xf numFmtId="4" fontId="14" fillId="0" borderId="10" xfId="4" applyNumberFormat="1" applyFont="1" applyBorder="1" applyAlignment="1">
      <alignment horizontal="right"/>
    </xf>
    <xf numFmtId="4" fontId="14" fillId="0" borderId="3" xfId="4" applyNumberFormat="1" applyFont="1" applyBorder="1" applyAlignment="1">
      <alignment horizontal="right"/>
    </xf>
    <xf numFmtId="4" fontId="14" fillId="0" borderId="9" xfId="4" applyNumberFormat="1" applyFont="1" applyBorder="1" applyAlignment="1">
      <alignment horizontal="right"/>
    </xf>
    <xf numFmtId="4" fontId="14" fillId="0" borderId="4" xfId="4" applyNumberFormat="1" applyFont="1" applyFill="1" applyBorder="1" applyAlignment="1">
      <alignment horizontal="right"/>
    </xf>
    <xf numFmtId="4" fontId="14" fillId="0" borderId="5" xfId="4" applyNumberFormat="1" applyFont="1" applyFill="1" applyBorder="1" applyAlignment="1">
      <alignment horizontal="right"/>
    </xf>
    <xf numFmtId="4" fontId="14" fillId="0" borderId="6" xfId="4" applyNumberFormat="1" applyFont="1" applyFill="1" applyBorder="1" applyAlignment="1">
      <alignment horizontal="right"/>
    </xf>
    <xf numFmtId="4" fontId="14" fillId="0" borderId="10" xfId="4" applyNumberFormat="1" applyFont="1" applyFill="1" applyBorder="1" applyAlignment="1">
      <alignment horizontal="right"/>
    </xf>
    <xf numFmtId="4" fontId="14" fillId="0" borderId="3" xfId="4" applyNumberFormat="1" applyFont="1" applyFill="1" applyBorder="1" applyAlignment="1">
      <alignment horizontal="right"/>
    </xf>
    <xf numFmtId="4" fontId="14" fillId="0" borderId="9" xfId="4" applyNumberFormat="1" applyFont="1" applyFill="1" applyBorder="1" applyAlignment="1">
      <alignment horizontal="right"/>
    </xf>
    <xf numFmtId="0" fontId="14" fillId="0" borderId="10" xfId="4" applyFont="1" applyBorder="1" applyAlignment="1">
      <alignment horizontal="left" indent="1"/>
    </xf>
    <xf numFmtId="0" fontId="14" fillId="0" borderId="3" xfId="4" applyFont="1" applyBorder="1" applyAlignment="1">
      <alignment horizontal="left" indent="1"/>
    </xf>
    <xf numFmtId="0" fontId="14" fillId="0" borderId="9" xfId="4" applyFont="1" applyBorder="1" applyAlignment="1">
      <alignment horizontal="left" indent="1"/>
    </xf>
    <xf numFmtId="0" fontId="14" fillId="0" borderId="4" xfId="4" applyFont="1" applyBorder="1" applyAlignment="1">
      <alignment horizontal="left"/>
    </xf>
    <xf numFmtId="0" fontId="14" fillId="0" borderId="5" xfId="4" applyFont="1" applyBorder="1" applyAlignment="1">
      <alignment horizontal="left"/>
    </xf>
    <xf numFmtId="0" fontId="14" fillId="0" borderId="6" xfId="4" applyFont="1" applyBorder="1" applyAlignment="1">
      <alignment horizontal="left"/>
    </xf>
    <xf numFmtId="4" fontId="14" fillId="13" borderId="4" xfId="4" applyNumberFormat="1" applyFont="1" applyFill="1" applyBorder="1" applyAlignment="1">
      <alignment horizontal="right"/>
    </xf>
    <xf numFmtId="4" fontId="14" fillId="13" borderId="5" xfId="4" applyNumberFormat="1" applyFont="1" applyFill="1" applyBorder="1" applyAlignment="1">
      <alignment horizontal="right"/>
    </xf>
    <xf numFmtId="4" fontId="14" fillId="13" borderId="6" xfId="4" applyNumberFormat="1" applyFont="1" applyFill="1" applyBorder="1" applyAlignment="1">
      <alignment horizontal="right"/>
    </xf>
    <xf numFmtId="4" fontId="14" fillId="13" borderId="10" xfId="4" applyNumberFormat="1" applyFont="1" applyFill="1" applyBorder="1" applyAlignment="1">
      <alignment horizontal="right"/>
    </xf>
    <xf numFmtId="4" fontId="14" fillId="13" borderId="3" xfId="4" applyNumberFormat="1" applyFont="1" applyFill="1" applyBorder="1" applyAlignment="1">
      <alignment horizontal="right"/>
    </xf>
    <xf numFmtId="4" fontId="14" fillId="13" borderId="9" xfId="4" applyNumberFormat="1" applyFont="1" applyFill="1" applyBorder="1" applyAlignment="1">
      <alignment horizontal="right"/>
    </xf>
    <xf numFmtId="0" fontId="14" fillId="0" borderId="10" xfId="4" applyFont="1" applyBorder="1" applyAlignment="1">
      <alignment horizontal="left"/>
    </xf>
    <xf numFmtId="0" fontId="14" fillId="0" borderId="3" xfId="4" applyFont="1" applyBorder="1" applyAlignment="1">
      <alignment horizontal="left"/>
    </xf>
    <xf numFmtId="0" fontId="14" fillId="0" borderId="9" xfId="4" applyFont="1" applyBorder="1" applyAlignment="1">
      <alignment horizontal="left"/>
    </xf>
    <xf numFmtId="4" fontId="14" fillId="0" borderId="4" xfId="4" applyNumberFormat="1" applyFont="1" applyBorder="1" applyAlignment="1">
      <alignment horizontal="center"/>
    </xf>
    <xf numFmtId="0" fontId="14" fillId="0" borderId="5" xfId="4" applyFont="1" applyBorder="1" applyAlignment="1">
      <alignment horizontal="center"/>
    </xf>
    <xf numFmtId="0" fontId="14" fillId="0" borderId="6" xfId="4" applyFont="1" applyBorder="1" applyAlignment="1">
      <alignment horizontal="center"/>
    </xf>
    <xf numFmtId="4" fontId="14" fillId="13" borderId="7" xfId="4" applyNumberFormat="1" applyFont="1" applyFill="1" applyBorder="1" applyAlignment="1">
      <alignment horizontal="right"/>
    </xf>
    <xf numFmtId="4" fontId="14" fillId="13" borderId="0" xfId="4" applyNumberFormat="1" applyFont="1" applyFill="1" applyBorder="1" applyAlignment="1">
      <alignment horizontal="right"/>
    </xf>
    <xf numFmtId="4" fontId="14" fillId="13" borderId="8" xfId="4" applyNumberFormat="1" applyFont="1" applyFill="1" applyBorder="1" applyAlignment="1">
      <alignment horizontal="right"/>
    </xf>
    <xf numFmtId="4" fontId="14" fillId="0" borderId="7" xfId="4" applyNumberFormat="1" applyFont="1" applyFill="1" applyBorder="1" applyAlignment="1">
      <alignment horizontal="right"/>
    </xf>
    <xf numFmtId="4" fontId="14" fillId="0" borderId="0" xfId="4" applyNumberFormat="1" applyFont="1" applyFill="1" applyBorder="1" applyAlignment="1">
      <alignment horizontal="right"/>
    </xf>
    <xf numFmtId="4" fontId="14" fillId="0" borderId="8" xfId="4" applyNumberFormat="1" applyFont="1" applyFill="1" applyBorder="1" applyAlignment="1">
      <alignment horizontal="right"/>
    </xf>
    <xf numFmtId="0" fontId="14" fillId="0" borderId="7" xfId="4" applyFont="1" applyBorder="1" applyAlignment="1">
      <alignment horizontal="left" indent="1"/>
    </xf>
    <xf numFmtId="0" fontId="14" fillId="0" borderId="0" xfId="4" applyFont="1" applyBorder="1" applyAlignment="1">
      <alignment horizontal="left" indent="1"/>
    </xf>
    <xf numFmtId="0" fontId="14" fillId="0" borderId="8" xfId="4" applyFont="1" applyBorder="1" applyAlignment="1">
      <alignment horizontal="left" indent="1"/>
    </xf>
    <xf numFmtId="0" fontId="14" fillId="0" borderId="11" xfId="4" applyFont="1" applyBorder="1" applyAlignment="1">
      <alignment horizontal="left" indent="1"/>
    </xf>
    <xf numFmtId="0" fontId="14" fillId="0" borderId="13" xfId="4" applyFont="1" applyBorder="1" applyAlignment="1">
      <alignment horizontal="left" indent="1"/>
    </xf>
    <xf numFmtId="0" fontId="14" fillId="0" borderId="14" xfId="4" applyFont="1" applyBorder="1" applyAlignment="1">
      <alignment horizontal="left" indent="1"/>
    </xf>
    <xf numFmtId="0" fontId="14" fillId="0" borderId="4" xfId="4" applyFont="1" applyBorder="1" applyAlignment="1">
      <alignment horizontal="right"/>
    </xf>
    <xf numFmtId="0" fontId="14" fillId="0" borderId="5" xfId="4" applyFont="1" applyBorder="1" applyAlignment="1">
      <alignment horizontal="right"/>
    </xf>
    <xf numFmtId="0" fontId="14" fillId="0" borderId="6" xfId="4" applyFont="1" applyBorder="1" applyAlignment="1">
      <alignment horizontal="right"/>
    </xf>
    <xf numFmtId="0" fontId="14" fillId="0" borderId="10" xfId="4" applyFont="1" applyBorder="1" applyAlignment="1">
      <alignment horizontal="right"/>
    </xf>
    <xf numFmtId="0" fontId="14" fillId="0" borderId="3" xfId="4" applyFont="1" applyBorder="1" applyAlignment="1">
      <alignment horizontal="right"/>
    </xf>
    <xf numFmtId="0" fontId="14" fillId="0" borderId="9" xfId="4" applyFont="1" applyBorder="1" applyAlignment="1">
      <alignment horizontal="right"/>
    </xf>
    <xf numFmtId="0" fontId="14" fillId="0" borderId="11" xfId="4" applyFont="1" applyBorder="1" applyAlignment="1">
      <alignment horizontal="left"/>
    </xf>
    <xf numFmtId="0" fontId="14" fillId="0" borderId="13" xfId="4" applyFont="1" applyBorder="1" applyAlignment="1">
      <alignment horizontal="left"/>
    </xf>
    <xf numFmtId="0" fontId="14" fillId="0" borderId="14" xfId="4" applyFont="1" applyBorder="1" applyAlignment="1">
      <alignment horizontal="left"/>
    </xf>
    <xf numFmtId="4" fontId="14" fillId="9" borderId="4" xfId="4" applyNumberFormat="1" applyFont="1" applyFill="1" applyBorder="1" applyAlignment="1">
      <alignment horizontal="right"/>
    </xf>
    <xf numFmtId="4" fontId="14" fillId="9" borderId="5" xfId="4" applyNumberFormat="1" applyFont="1" applyFill="1" applyBorder="1" applyAlignment="1">
      <alignment horizontal="right"/>
    </xf>
    <xf numFmtId="4" fontId="14" fillId="9" borderId="6" xfId="4" applyNumberFormat="1" applyFont="1" applyFill="1" applyBorder="1" applyAlignment="1">
      <alignment horizontal="right"/>
    </xf>
    <xf numFmtId="4" fontId="14" fillId="9" borderId="10" xfId="4" applyNumberFormat="1" applyFont="1" applyFill="1" applyBorder="1" applyAlignment="1">
      <alignment horizontal="right"/>
    </xf>
    <xf numFmtId="4" fontId="14" fillId="9" borderId="3" xfId="4" applyNumberFormat="1" applyFont="1" applyFill="1" applyBorder="1" applyAlignment="1">
      <alignment horizontal="right"/>
    </xf>
    <xf numFmtId="4" fontId="14" fillId="9" borderId="9" xfId="4" applyNumberFormat="1" applyFont="1" applyFill="1" applyBorder="1" applyAlignment="1">
      <alignment horizontal="right"/>
    </xf>
    <xf numFmtId="0" fontId="14" fillId="0" borderId="7" xfId="4" applyFont="1" applyBorder="1" applyAlignment="1">
      <alignment horizontal="center"/>
    </xf>
    <xf numFmtId="0" fontId="14" fillId="0" borderId="0" xfId="4" applyFont="1" applyBorder="1" applyAlignment="1">
      <alignment horizontal="center"/>
    </xf>
    <xf numFmtId="0" fontId="14" fillId="0" borderId="8" xfId="4" applyFont="1" applyBorder="1" applyAlignment="1">
      <alignment horizontal="center"/>
    </xf>
    <xf numFmtId="0" fontId="14" fillId="0" borderId="4" xfId="4" applyFont="1" applyBorder="1" applyAlignment="1">
      <alignment horizontal="center"/>
    </xf>
    <xf numFmtId="0" fontId="14" fillId="0" borderId="10" xfId="4" applyFont="1" applyFill="1" applyBorder="1" applyAlignment="1">
      <alignment horizontal="left"/>
    </xf>
    <xf numFmtId="0" fontId="14" fillId="0" borderId="3" xfId="4" applyFont="1" applyFill="1" applyBorder="1" applyAlignment="1">
      <alignment horizontal="left"/>
    </xf>
    <xf numFmtId="0" fontId="14" fillId="0" borderId="9" xfId="4" applyFont="1" applyFill="1" applyBorder="1" applyAlignment="1">
      <alignment horizontal="left"/>
    </xf>
    <xf numFmtId="2" fontId="14" fillId="0" borderId="10" xfId="4" applyNumberFormat="1" applyFont="1" applyBorder="1" applyAlignment="1">
      <alignment horizontal="right"/>
    </xf>
    <xf numFmtId="2" fontId="14" fillId="0" borderId="3" xfId="4" applyNumberFormat="1" applyFont="1" applyBorder="1" applyAlignment="1">
      <alignment horizontal="right"/>
    </xf>
    <xf numFmtId="2" fontId="14" fillId="0" borderId="9" xfId="4" applyNumberFormat="1" applyFont="1" applyBorder="1" applyAlignment="1">
      <alignment horizontal="right"/>
    </xf>
    <xf numFmtId="0" fontId="14" fillId="0" borderId="10" xfId="4" applyFont="1" applyFill="1" applyBorder="1" applyAlignment="1">
      <alignment horizontal="center"/>
    </xf>
    <xf numFmtId="0" fontId="14" fillId="0" borderId="3" xfId="4" applyFont="1" applyFill="1" applyBorder="1" applyAlignment="1">
      <alignment horizontal="center"/>
    </xf>
    <xf numFmtId="0" fontId="14" fillId="0" borderId="9" xfId="4" applyFont="1" applyFill="1" applyBorder="1" applyAlignment="1">
      <alignment horizontal="center"/>
    </xf>
    <xf numFmtId="49" fontId="14" fillId="0" borderId="10" xfId="4" applyNumberFormat="1" applyFont="1" applyBorder="1" applyAlignment="1">
      <alignment horizontal="center"/>
    </xf>
    <xf numFmtId="49" fontId="14" fillId="0" borderId="3" xfId="4" applyNumberFormat="1" applyFont="1" applyBorder="1" applyAlignment="1">
      <alignment horizontal="center"/>
    </xf>
    <xf numFmtId="49" fontId="14" fillId="0" borderId="9" xfId="4" applyNumberFormat="1" applyFont="1" applyBorder="1" applyAlignment="1">
      <alignment horizontal="center"/>
    </xf>
    <xf numFmtId="0" fontId="14" fillId="0" borderId="10" xfId="4" applyFont="1" applyFill="1" applyBorder="1" applyAlignment="1">
      <alignment horizontal="right"/>
    </xf>
    <xf numFmtId="0" fontId="14" fillId="0" borderId="3" xfId="4" applyFont="1" applyFill="1" applyBorder="1" applyAlignment="1">
      <alignment horizontal="right"/>
    </xf>
    <xf numFmtId="0" fontId="14" fillId="0" borderId="9" xfId="4" applyFont="1" applyFill="1" applyBorder="1" applyAlignment="1">
      <alignment horizontal="right"/>
    </xf>
    <xf numFmtId="4" fontId="14" fillId="7" borderId="10" xfId="4" applyNumberFormat="1" applyFont="1" applyFill="1" applyBorder="1" applyAlignment="1">
      <alignment horizontal="right"/>
    </xf>
    <xf numFmtId="4" fontId="14" fillId="7" borderId="3" xfId="4" applyNumberFormat="1" applyFont="1" applyFill="1" applyBorder="1" applyAlignment="1">
      <alignment horizontal="right"/>
    </xf>
    <xf numFmtId="4" fontId="14" fillId="7" borderId="9" xfId="4" applyNumberFormat="1" applyFont="1" applyFill="1" applyBorder="1" applyAlignment="1">
      <alignment horizontal="right"/>
    </xf>
    <xf numFmtId="0" fontId="14" fillId="7" borderId="11" xfId="4" applyFont="1" applyFill="1" applyBorder="1" applyAlignment="1">
      <alignment horizontal="right"/>
    </xf>
    <xf numFmtId="0" fontId="14" fillId="7" borderId="13" xfId="4" applyFont="1" applyFill="1" applyBorder="1" applyAlignment="1">
      <alignment horizontal="right"/>
    </xf>
    <xf numFmtId="0" fontId="14" fillId="7" borderId="14" xfId="4" applyFont="1" applyFill="1" applyBorder="1" applyAlignment="1">
      <alignment horizontal="right"/>
    </xf>
    <xf numFmtId="49" fontId="14" fillId="0" borderId="11" xfId="4" applyNumberFormat="1" applyFont="1" applyBorder="1" applyAlignment="1">
      <alignment horizontal="center"/>
    </xf>
    <xf numFmtId="49" fontId="14" fillId="0" borderId="13" xfId="4" applyNumberFormat="1" applyFont="1" applyBorder="1" applyAlignment="1">
      <alignment horizontal="center"/>
    </xf>
    <xf numFmtId="49" fontId="14" fillId="0" borderId="14" xfId="4" applyNumberFormat="1" applyFont="1" applyBorder="1" applyAlignment="1">
      <alignment horizontal="center"/>
    </xf>
    <xf numFmtId="2" fontId="14" fillId="0" borderId="10" xfId="4" applyNumberFormat="1" applyFont="1" applyFill="1" applyBorder="1" applyAlignment="1">
      <alignment horizontal="right"/>
    </xf>
    <xf numFmtId="2" fontId="14" fillId="0" borderId="3" xfId="4" applyNumberFormat="1" applyFont="1" applyFill="1" applyBorder="1" applyAlignment="1">
      <alignment horizontal="right"/>
    </xf>
    <xf numFmtId="2" fontId="14" fillId="0" borderId="9" xfId="4" applyNumberFormat="1" applyFont="1" applyFill="1" applyBorder="1" applyAlignment="1">
      <alignment horizontal="right"/>
    </xf>
    <xf numFmtId="4" fontId="14" fillId="4" borderId="10" xfId="4" applyNumberFormat="1" applyFont="1" applyFill="1" applyBorder="1" applyAlignment="1">
      <alignment horizontal="right"/>
    </xf>
    <xf numFmtId="4" fontId="14" fillId="4" borderId="3" xfId="4" applyNumberFormat="1" applyFont="1" applyFill="1" applyBorder="1" applyAlignment="1">
      <alignment horizontal="right"/>
    </xf>
    <xf numFmtId="4" fontId="14" fillId="4" borderId="9" xfId="4" applyNumberFormat="1" applyFont="1" applyFill="1" applyBorder="1" applyAlignment="1">
      <alignment horizontal="right"/>
    </xf>
    <xf numFmtId="0" fontId="14" fillId="0" borderId="11" xfId="4" applyFont="1" applyFill="1" applyBorder="1" applyAlignment="1">
      <alignment horizontal="center"/>
    </xf>
    <xf numFmtId="0" fontId="14" fillId="0" borderId="13" xfId="4" applyFont="1" applyFill="1" applyBorder="1" applyAlignment="1">
      <alignment horizontal="center"/>
    </xf>
    <xf numFmtId="0" fontId="14" fillId="0" borderId="14" xfId="4" applyFont="1" applyFill="1" applyBorder="1" applyAlignment="1">
      <alignment horizontal="center"/>
    </xf>
    <xf numFmtId="0" fontId="14" fillId="0" borderId="11"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4" xfId="4" applyFont="1" applyFill="1" applyBorder="1" applyAlignment="1">
      <alignment horizontal="center" vertical="center"/>
    </xf>
    <xf numFmtId="0" fontId="14" fillId="0" borderId="7"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8" xfId="4" applyFont="1" applyFill="1" applyBorder="1" applyAlignment="1">
      <alignment horizontal="center" vertical="center"/>
    </xf>
    <xf numFmtId="0" fontId="21" fillId="0" borderId="0" xfId="4" applyFont="1" applyFill="1" applyAlignment="1">
      <alignment horizontal="center"/>
    </xf>
    <xf numFmtId="49" fontId="21" fillId="0" borderId="3" xfId="4" applyNumberFormat="1" applyFont="1" applyFill="1" applyBorder="1" applyAlignment="1">
      <alignment horizontal="center"/>
    </xf>
    <xf numFmtId="0" fontId="21" fillId="0" borderId="3" xfId="4" applyFont="1" applyFill="1" applyBorder="1" applyAlignment="1">
      <alignment horizontal="center"/>
    </xf>
    <xf numFmtId="0" fontId="14" fillId="0" borderId="4"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6" xfId="4" applyFont="1" applyFill="1" applyBorder="1" applyAlignment="1">
      <alignment horizontal="center" vertical="center"/>
    </xf>
    <xf numFmtId="0" fontId="14" fillId="0" borderId="11" xfId="4" applyFont="1" applyFill="1" applyBorder="1" applyAlignment="1">
      <alignment horizontal="left"/>
    </xf>
    <xf numFmtId="0" fontId="14" fillId="0" borderId="13" xfId="4" applyFont="1" applyFill="1" applyBorder="1" applyAlignment="1">
      <alignment horizontal="left"/>
    </xf>
    <xf numFmtId="0" fontId="14" fillId="0" borderId="14" xfId="4" applyFont="1" applyFill="1" applyBorder="1" applyAlignment="1">
      <alignment horizontal="left"/>
    </xf>
    <xf numFmtId="0" fontId="14" fillId="0" borderId="10" xfId="4" applyFont="1" applyFill="1" applyBorder="1" applyAlignment="1">
      <alignment horizontal="left" wrapText="1"/>
    </xf>
    <xf numFmtId="0" fontId="14" fillId="0" borderId="3" xfId="4" applyFont="1" applyFill="1" applyBorder="1" applyAlignment="1">
      <alignment horizontal="left" wrapText="1"/>
    </xf>
    <xf numFmtId="0" fontId="14" fillId="0" borderId="9" xfId="4" applyFont="1" applyFill="1" applyBorder="1" applyAlignment="1">
      <alignment horizontal="left" wrapText="1"/>
    </xf>
    <xf numFmtId="4" fontId="14" fillId="0" borderId="11" xfId="4" applyNumberFormat="1" applyFont="1" applyFill="1" applyBorder="1" applyAlignment="1">
      <alignment horizontal="center"/>
    </xf>
    <xf numFmtId="4" fontId="14" fillId="0" borderId="13" xfId="4" applyNumberFormat="1" applyFont="1" applyFill="1" applyBorder="1" applyAlignment="1">
      <alignment horizontal="center"/>
    </xf>
    <xf numFmtId="4" fontId="14" fillId="0" borderId="14" xfId="4" applyNumberFormat="1" applyFont="1" applyFill="1" applyBorder="1" applyAlignment="1">
      <alignment horizontal="center"/>
    </xf>
    <xf numFmtId="3" fontId="14" fillId="0" borderId="10" xfId="4" applyNumberFormat="1" applyFont="1" applyFill="1" applyBorder="1" applyAlignment="1">
      <alignment horizontal="right"/>
    </xf>
    <xf numFmtId="3" fontId="14" fillId="0" borderId="3" xfId="4" applyNumberFormat="1" applyFont="1" applyFill="1" applyBorder="1" applyAlignment="1">
      <alignment horizontal="right"/>
    </xf>
    <xf numFmtId="3" fontId="14" fillId="0" borderId="9" xfId="4" applyNumberFormat="1" applyFont="1" applyFill="1" applyBorder="1" applyAlignment="1">
      <alignment horizontal="right"/>
    </xf>
    <xf numFmtId="0" fontId="11" fillId="0" borderId="11" xfId="4" applyFont="1" applyFill="1" applyBorder="1" applyAlignment="1">
      <alignment horizontal="center"/>
    </xf>
    <xf numFmtId="0" fontId="11" fillId="0" borderId="13" xfId="4" applyFont="1" applyFill="1" applyBorder="1" applyAlignment="1">
      <alignment horizontal="center"/>
    </xf>
    <xf numFmtId="0" fontId="11" fillId="0" borderId="14" xfId="4" applyFont="1" applyFill="1" applyBorder="1" applyAlignment="1">
      <alignment horizontal="center"/>
    </xf>
    <xf numFmtId="0" fontId="44" fillId="0" borderId="11" xfId="4" applyFont="1" applyBorder="1" applyAlignment="1">
      <alignment horizontal="right" wrapText="1"/>
    </xf>
    <xf numFmtId="0" fontId="44" fillId="0" borderId="13" xfId="4" applyFont="1" applyBorder="1" applyAlignment="1">
      <alignment horizontal="right" wrapText="1"/>
    </xf>
    <xf numFmtId="0" fontId="44" fillId="0" borderId="14" xfId="4" applyFont="1" applyBorder="1" applyAlignment="1">
      <alignment horizontal="right" wrapText="1"/>
    </xf>
    <xf numFmtId="1" fontId="44" fillId="0" borderId="10" xfId="4" applyNumberFormat="1" applyFont="1" applyFill="1" applyBorder="1" applyAlignment="1">
      <alignment horizontal="right"/>
    </xf>
    <xf numFmtId="1" fontId="44" fillId="0" borderId="3" xfId="4" applyNumberFormat="1" applyFont="1" applyFill="1" applyBorder="1" applyAlignment="1">
      <alignment horizontal="right"/>
    </xf>
    <xf numFmtId="1" fontId="44" fillId="0" borderId="9" xfId="4" applyNumberFormat="1" applyFont="1" applyFill="1" applyBorder="1" applyAlignment="1">
      <alignment horizontal="right"/>
    </xf>
    <xf numFmtId="2" fontId="44" fillId="0" borderId="10" xfId="4" applyNumberFormat="1" applyFont="1" applyBorder="1" applyAlignment="1">
      <alignment horizontal="right"/>
    </xf>
    <xf numFmtId="2" fontId="44" fillId="0" borderId="3" xfId="4" applyNumberFormat="1" applyFont="1" applyBorder="1" applyAlignment="1">
      <alignment horizontal="right"/>
    </xf>
    <xf numFmtId="2" fontId="44" fillId="0" borderId="9" xfId="4" applyNumberFormat="1" applyFont="1" applyBorder="1" applyAlignment="1">
      <alignment horizontal="right"/>
    </xf>
    <xf numFmtId="10" fontId="44" fillId="0" borderId="10" xfId="4" applyNumberFormat="1" applyFont="1" applyBorder="1" applyAlignment="1">
      <alignment horizontal="right"/>
    </xf>
    <xf numFmtId="10" fontId="44" fillId="0" borderId="3" xfId="4" applyNumberFormat="1" applyFont="1" applyBorder="1" applyAlignment="1">
      <alignment horizontal="right"/>
    </xf>
    <xf numFmtId="10" fontId="44" fillId="0" borderId="9" xfId="4" applyNumberFormat="1" applyFont="1" applyBorder="1" applyAlignment="1">
      <alignment horizontal="right"/>
    </xf>
    <xf numFmtId="4" fontId="44" fillId="7" borderId="10" xfId="4" applyNumberFormat="1" applyFont="1" applyFill="1" applyBorder="1" applyAlignment="1">
      <alignment horizontal="right"/>
    </xf>
    <xf numFmtId="4" fontId="44" fillId="7" borderId="3" xfId="4" applyNumberFormat="1" applyFont="1" applyFill="1" applyBorder="1" applyAlignment="1">
      <alignment horizontal="right"/>
    </xf>
    <xf numFmtId="4" fontId="44" fillId="7" borderId="9" xfId="4" applyNumberFormat="1" applyFont="1" applyFill="1" applyBorder="1" applyAlignment="1">
      <alignment horizontal="right"/>
    </xf>
    <xf numFmtId="4" fontId="44" fillId="0" borderId="10" xfId="4" applyNumberFormat="1" applyFont="1" applyBorder="1" applyAlignment="1">
      <alignment horizontal="right"/>
    </xf>
    <xf numFmtId="4" fontId="44" fillId="0" borderId="3" xfId="4" applyNumberFormat="1" applyFont="1" applyBorder="1" applyAlignment="1">
      <alignment horizontal="right"/>
    </xf>
    <xf numFmtId="4" fontId="44" fillId="0" borderId="9" xfId="4" applyNumberFormat="1" applyFont="1" applyBorder="1" applyAlignment="1">
      <alignment horizontal="right"/>
    </xf>
    <xf numFmtId="167" fontId="44" fillId="0" borderId="10" xfId="4" applyNumberFormat="1" applyFont="1" applyFill="1" applyBorder="1" applyAlignment="1">
      <alignment horizontal="right"/>
    </xf>
    <xf numFmtId="167" fontId="44" fillId="0" borderId="3" xfId="4" applyNumberFormat="1" applyFont="1" applyFill="1" applyBorder="1" applyAlignment="1">
      <alignment horizontal="right"/>
    </xf>
    <xf numFmtId="167" fontId="44" fillId="0" borderId="9" xfId="4" applyNumberFormat="1" applyFont="1" applyFill="1" applyBorder="1" applyAlignment="1">
      <alignment horizontal="right"/>
    </xf>
    <xf numFmtId="2" fontId="44" fillId="0" borderId="10" xfId="4" applyNumberFormat="1" applyFont="1" applyFill="1" applyBorder="1" applyAlignment="1">
      <alignment horizontal="right"/>
    </xf>
    <xf numFmtId="2" fontId="44" fillId="0" borderId="3" xfId="4" applyNumberFormat="1" applyFont="1" applyFill="1" applyBorder="1" applyAlignment="1">
      <alignment horizontal="right"/>
    </xf>
    <xf numFmtId="2" fontId="44" fillId="0" borderId="9" xfId="4" applyNumberFormat="1" applyFont="1" applyFill="1" applyBorder="1" applyAlignment="1">
      <alignment horizontal="right"/>
    </xf>
    <xf numFmtId="10" fontId="44" fillId="0" borderId="10" xfId="4" applyNumberFormat="1" applyFont="1" applyFill="1" applyBorder="1" applyAlignment="1">
      <alignment horizontal="right"/>
    </xf>
    <xf numFmtId="10" fontId="44" fillId="0" borderId="3" xfId="4" applyNumberFormat="1" applyFont="1" applyFill="1" applyBorder="1" applyAlignment="1">
      <alignment horizontal="right"/>
    </xf>
    <xf numFmtId="10" fontId="44" fillId="0" borderId="9" xfId="4" applyNumberFormat="1" applyFont="1" applyFill="1" applyBorder="1" applyAlignment="1">
      <alignment horizontal="right"/>
    </xf>
    <xf numFmtId="4" fontId="44" fillId="0" borderId="10" xfId="4" applyNumberFormat="1" applyFont="1" applyFill="1" applyBorder="1" applyAlignment="1">
      <alignment horizontal="right"/>
    </xf>
    <xf numFmtId="4" fontId="44" fillId="0" borderId="3" xfId="4" applyNumberFormat="1" applyFont="1" applyFill="1" applyBorder="1" applyAlignment="1">
      <alignment horizontal="right"/>
    </xf>
    <xf numFmtId="4" fontId="44" fillId="0" borderId="9" xfId="4" applyNumberFormat="1" applyFont="1" applyFill="1" applyBorder="1" applyAlignment="1">
      <alignment horizontal="right"/>
    </xf>
    <xf numFmtId="1" fontId="14" fillId="6" borderId="10" xfId="4" applyNumberFormat="1" applyFont="1" applyFill="1" applyBorder="1" applyAlignment="1">
      <alignment horizontal="right"/>
    </xf>
    <xf numFmtId="1" fontId="14" fillId="6" borderId="3" xfId="4" applyNumberFormat="1" applyFont="1" applyFill="1" applyBorder="1" applyAlignment="1">
      <alignment horizontal="right"/>
    </xf>
    <xf numFmtId="1" fontId="14" fillId="6" borderId="9" xfId="4" applyNumberFormat="1" applyFont="1" applyFill="1" applyBorder="1" applyAlignment="1">
      <alignment horizontal="right"/>
    </xf>
    <xf numFmtId="10" fontId="14" fillId="0" borderId="10" xfId="4" applyNumberFormat="1" applyFont="1" applyBorder="1" applyAlignment="1">
      <alignment horizontal="right"/>
    </xf>
    <xf numFmtId="10" fontId="14" fillId="0" borderId="3" xfId="4" applyNumberFormat="1" applyFont="1" applyBorder="1" applyAlignment="1">
      <alignment horizontal="right"/>
    </xf>
    <xf numFmtId="10" fontId="14" fillId="0" borderId="9" xfId="4" applyNumberFormat="1" applyFont="1" applyBorder="1" applyAlignment="1">
      <alignment horizontal="right"/>
    </xf>
    <xf numFmtId="4" fontId="14" fillId="6" borderId="10" xfId="4" applyNumberFormat="1" applyFont="1" applyFill="1" applyBorder="1" applyAlignment="1">
      <alignment horizontal="right"/>
    </xf>
    <xf numFmtId="4" fontId="14" fillId="6" borderId="3" xfId="4" applyNumberFormat="1" applyFont="1" applyFill="1" applyBorder="1" applyAlignment="1">
      <alignment horizontal="right"/>
    </xf>
    <xf numFmtId="4" fontId="14" fillId="6" borderId="9" xfId="4" applyNumberFormat="1" applyFont="1" applyFill="1" applyBorder="1" applyAlignment="1">
      <alignment horizontal="right"/>
    </xf>
    <xf numFmtId="0" fontId="14" fillId="0" borderId="11" xfId="4" applyFont="1" applyFill="1" applyBorder="1" applyAlignment="1">
      <alignment horizontal="left" wrapText="1"/>
    </xf>
    <xf numFmtId="0" fontId="14" fillId="0" borderId="13" xfId="4" applyFont="1" applyFill="1" applyBorder="1" applyAlignment="1">
      <alignment horizontal="left" wrapText="1"/>
    </xf>
    <xf numFmtId="0" fontId="14" fillId="0" borderId="14" xfId="4" applyFont="1" applyFill="1" applyBorder="1" applyAlignment="1">
      <alignment horizontal="left" wrapText="1"/>
    </xf>
    <xf numFmtId="167" fontId="14" fillId="6" borderId="10" xfId="4" applyNumberFormat="1" applyFont="1" applyFill="1" applyBorder="1" applyAlignment="1">
      <alignment horizontal="right"/>
    </xf>
    <xf numFmtId="167" fontId="14" fillId="6" borderId="3" xfId="4" applyNumberFormat="1" applyFont="1" applyFill="1" applyBorder="1" applyAlignment="1">
      <alignment horizontal="right"/>
    </xf>
    <xf numFmtId="167" fontId="14" fillId="6" borderId="9" xfId="4" applyNumberFormat="1" applyFont="1" applyFill="1" applyBorder="1" applyAlignment="1">
      <alignment horizontal="right"/>
    </xf>
    <xf numFmtId="10" fontId="14" fillId="0" borderId="10" xfId="4" applyNumberFormat="1" applyFont="1" applyFill="1" applyBorder="1" applyAlignment="1">
      <alignment horizontal="right"/>
    </xf>
    <xf numFmtId="10" fontId="14" fillId="0" borderId="3" xfId="4" applyNumberFormat="1" applyFont="1" applyFill="1" applyBorder="1" applyAlignment="1">
      <alignment horizontal="right"/>
    </xf>
    <xf numFmtId="10" fontId="14" fillId="0" borderId="9" xfId="4" applyNumberFormat="1" applyFont="1" applyFill="1" applyBorder="1" applyAlignment="1">
      <alignment horizontal="right"/>
    </xf>
    <xf numFmtId="0" fontId="14" fillId="7" borderId="10" xfId="4" applyFont="1" applyFill="1" applyBorder="1" applyAlignment="1">
      <alignment horizontal="center"/>
    </xf>
    <xf numFmtId="0" fontId="14" fillId="7" borderId="3" xfId="4" applyFont="1" applyFill="1" applyBorder="1" applyAlignment="1">
      <alignment horizontal="center"/>
    </xf>
    <xf numFmtId="0" fontId="14" fillId="7" borderId="9" xfId="4" applyFont="1" applyFill="1" applyBorder="1" applyAlignment="1">
      <alignment horizontal="center"/>
    </xf>
    <xf numFmtId="0" fontId="14" fillId="0" borderId="1" xfId="4" applyFont="1" applyBorder="1" applyAlignment="1">
      <alignment horizontal="center" vertical="center"/>
    </xf>
    <xf numFmtId="3" fontId="14" fillId="0" borderId="10" xfId="4" applyNumberFormat="1" applyFont="1" applyBorder="1" applyAlignment="1">
      <alignment horizontal="right"/>
    </xf>
    <xf numFmtId="0" fontId="14" fillId="0" borderId="11" xfId="4" applyFont="1" applyBorder="1" applyAlignment="1">
      <alignment horizontal="center" vertical="top"/>
    </xf>
    <xf numFmtId="0" fontId="14" fillId="0" borderId="13" xfId="4" applyFont="1" applyBorder="1" applyAlignment="1">
      <alignment horizontal="center" vertical="top"/>
    </xf>
    <xf numFmtId="0" fontId="14" fillId="0" borderId="14" xfId="4" applyFont="1" applyBorder="1" applyAlignment="1">
      <alignment horizontal="center" vertical="top"/>
    </xf>
    <xf numFmtId="0" fontId="44" fillId="0" borderId="10" xfId="4" applyFont="1" applyBorder="1" applyAlignment="1">
      <alignment horizontal="right"/>
    </xf>
    <xf numFmtId="0" fontId="44" fillId="0" borderId="3" xfId="4" applyFont="1" applyBorder="1" applyAlignment="1">
      <alignment horizontal="right"/>
    </xf>
    <xf numFmtId="0" fontId="44" fillId="0" borderId="9" xfId="4" applyFont="1" applyBorder="1" applyAlignment="1">
      <alignment horizontal="right"/>
    </xf>
    <xf numFmtId="4" fontId="14" fillId="12" borderId="10" xfId="4" applyNumberFormat="1" applyFont="1" applyFill="1" applyBorder="1" applyAlignment="1">
      <alignment horizontal="right"/>
    </xf>
    <xf numFmtId="4" fontId="14" fillId="12" borderId="3" xfId="4" applyNumberFormat="1" applyFont="1" applyFill="1" applyBorder="1" applyAlignment="1">
      <alignment horizontal="right"/>
    </xf>
    <xf numFmtId="4" fontId="14" fillId="12" borderId="9" xfId="4" applyNumberFormat="1" applyFont="1" applyFill="1" applyBorder="1" applyAlignment="1">
      <alignment horizontal="right"/>
    </xf>
    <xf numFmtId="49" fontId="21" fillId="0" borderId="3" xfId="4" applyNumberFormat="1" applyFont="1" applyBorder="1" applyAlignment="1">
      <alignment horizontal="center"/>
    </xf>
    <xf numFmtId="0" fontId="21" fillId="0" borderId="3" xfId="4" applyFont="1" applyBorder="1" applyAlignment="1">
      <alignment horizontal="center"/>
    </xf>
    <xf numFmtId="4" fontId="11" fillId="9" borderId="10" xfId="4" applyNumberFormat="1" applyFont="1" applyFill="1" applyBorder="1" applyAlignment="1">
      <alignment horizontal="right"/>
    </xf>
    <xf numFmtId="4" fontId="11" fillId="9" borderId="3" xfId="4" applyNumberFormat="1" applyFont="1" applyFill="1" applyBorder="1" applyAlignment="1">
      <alignment horizontal="right"/>
    </xf>
    <xf numFmtId="4" fontId="11" fillId="9" borderId="9" xfId="4" applyNumberFormat="1" applyFont="1" applyFill="1" applyBorder="1" applyAlignment="1">
      <alignment horizontal="right"/>
    </xf>
    <xf numFmtId="0" fontId="14" fillId="9" borderId="11" xfId="4" applyFont="1" applyFill="1" applyBorder="1" applyAlignment="1">
      <alignment horizontal="left" vertical="distributed" wrapText="1"/>
    </xf>
    <xf numFmtId="0" fontId="14" fillId="9" borderId="13" xfId="4" applyFont="1" applyFill="1" applyBorder="1" applyAlignment="1">
      <alignment horizontal="left" vertical="distributed" wrapText="1"/>
    </xf>
    <xf numFmtId="0" fontId="14" fillId="9" borderId="14" xfId="4" applyFont="1" applyFill="1" applyBorder="1" applyAlignment="1">
      <alignment horizontal="left" vertical="distributed" wrapText="1"/>
    </xf>
    <xf numFmtId="0" fontId="14" fillId="0" borderId="11" xfId="4" applyFont="1" applyFill="1" applyBorder="1" applyAlignment="1"/>
    <xf numFmtId="0" fontId="14" fillId="0" borderId="13" xfId="4" applyFont="1" applyFill="1" applyBorder="1" applyAlignment="1"/>
    <xf numFmtId="0" fontId="14" fillId="0" borderId="14" xfId="4" applyFont="1" applyFill="1" applyBorder="1" applyAlignment="1"/>
    <xf numFmtId="0" fontId="14" fillId="0" borderId="4"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10"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14" fillId="0" borderId="9" xfId="4" applyFont="1" applyFill="1" applyBorder="1" applyAlignment="1">
      <alignment horizontal="center" vertical="center" wrapText="1"/>
    </xf>
    <xf numFmtId="0" fontId="14" fillId="0" borderId="10"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9" xfId="4" applyFont="1" applyFill="1" applyBorder="1" applyAlignment="1">
      <alignment horizontal="center" vertical="center"/>
    </xf>
    <xf numFmtId="0" fontId="11" fillId="9" borderId="11" xfId="4" applyFont="1" applyFill="1" applyBorder="1" applyAlignment="1">
      <alignment horizontal="left" vertical="distributed" wrapText="1"/>
    </xf>
    <xf numFmtId="0" fontId="11" fillId="9" borderId="13" xfId="4" applyFont="1" applyFill="1" applyBorder="1" applyAlignment="1">
      <alignment horizontal="left" vertical="distributed" wrapText="1"/>
    </xf>
    <xf numFmtId="0" fontId="11" fillId="9" borderId="14" xfId="4" applyFont="1" applyFill="1" applyBorder="1" applyAlignment="1">
      <alignment horizontal="left" vertical="distributed" wrapText="1"/>
    </xf>
    <xf numFmtId="0" fontId="14" fillId="9" borderId="11" xfId="4" applyFont="1" applyFill="1" applyBorder="1" applyAlignment="1">
      <alignment horizontal="left" wrapText="1"/>
    </xf>
    <xf numFmtId="0" fontId="14" fillId="9" borderId="13" xfId="4" applyFont="1" applyFill="1" applyBorder="1" applyAlignment="1">
      <alignment horizontal="left" wrapText="1"/>
    </xf>
    <xf numFmtId="0" fontId="14" fillId="9" borderId="14" xfId="4" applyFont="1" applyFill="1" applyBorder="1" applyAlignment="1">
      <alignment horizontal="left" wrapText="1"/>
    </xf>
    <xf numFmtId="0" fontId="11" fillId="9" borderId="11" xfId="4" applyFont="1" applyFill="1" applyBorder="1" applyAlignment="1">
      <alignment horizontal="left" wrapText="1"/>
    </xf>
    <xf numFmtId="0" fontId="11" fillId="9" borderId="13" xfId="4" applyFont="1" applyFill="1" applyBorder="1" applyAlignment="1">
      <alignment horizontal="left" wrapText="1"/>
    </xf>
    <xf numFmtId="0" fontId="11" fillId="9" borderId="14" xfId="4" applyFont="1" applyFill="1" applyBorder="1" applyAlignment="1">
      <alignment horizontal="left" wrapText="1"/>
    </xf>
    <xf numFmtId="4" fontId="11" fillId="9" borderId="11" xfId="4" applyNumberFormat="1" applyFont="1" applyFill="1" applyBorder="1" applyAlignment="1">
      <alignment horizontal="right"/>
    </xf>
    <xf numFmtId="4" fontId="11" fillId="9" borderId="13" xfId="4" applyNumberFormat="1" applyFont="1" applyFill="1" applyBorder="1" applyAlignment="1">
      <alignment horizontal="right"/>
    </xf>
    <xf numFmtId="4" fontId="11" fillId="9" borderId="14" xfId="4" applyNumberFormat="1" applyFont="1" applyFill="1" applyBorder="1" applyAlignment="1">
      <alignment horizontal="right"/>
    </xf>
    <xf numFmtId="0" fontId="14" fillId="9" borderId="10" xfId="4" applyFont="1" applyFill="1" applyBorder="1" applyAlignment="1">
      <alignment horizontal="left" wrapText="1"/>
    </xf>
    <xf numFmtId="0" fontId="14" fillId="9" borderId="3" xfId="4" applyFont="1" applyFill="1" applyBorder="1" applyAlignment="1">
      <alignment horizontal="left" wrapText="1"/>
    </xf>
    <xf numFmtId="0" fontId="14" fillId="9" borderId="9" xfId="4" applyFont="1" applyFill="1" applyBorder="1" applyAlignment="1">
      <alignment horizontal="left" wrapText="1"/>
    </xf>
    <xf numFmtId="0" fontId="14" fillId="9" borderId="3" xfId="4" applyFont="1" applyFill="1" applyBorder="1" applyAlignment="1">
      <alignment horizontal="right"/>
    </xf>
    <xf numFmtId="0" fontId="14" fillId="9" borderId="9" xfId="4" applyFont="1" applyFill="1" applyBorder="1" applyAlignment="1">
      <alignment horizontal="right"/>
    </xf>
    <xf numFmtId="0" fontId="11" fillId="9" borderId="10" xfId="4" applyFont="1" applyFill="1" applyBorder="1" applyAlignment="1">
      <alignment horizontal="left" wrapText="1"/>
    </xf>
    <xf numFmtId="0" fontId="11" fillId="9" borderId="3" xfId="4" applyFont="1" applyFill="1" applyBorder="1" applyAlignment="1">
      <alignment horizontal="left" wrapText="1"/>
    </xf>
    <xf numFmtId="0" fontId="11" fillId="9" borderId="9" xfId="4" applyFont="1" applyFill="1" applyBorder="1" applyAlignment="1">
      <alignment horizontal="left" wrapText="1"/>
    </xf>
    <xf numFmtId="0" fontId="11" fillId="9" borderId="3" xfId="4" applyFont="1" applyFill="1" applyBorder="1" applyAlignment="1">
      <alignment horizontal="right"/>
    </xf>
    <xf numFmtId="0" fontId="11" fillId="9" borderId="9" xfId="4" applyFont="1" applyFill="1" applyBorder="1" applyAlignment="1">
      <alignment horizontal="right"/>
    </xf>
    <xf numFmtId="0" fontId="11" fillId="0" borderId="11" xfId="4" applyFont="1" applyFill="1" applyBorder="1" applyAlignment="1">
      <alignment horizontal="right"/>
    </xf>
    <xf numFmtId="0" fontId="11" fillId="0" borderId="13" xfId="4" applyFont="1" applyFill="1" applyBorder="1" applyAlignment="1">
      <alignment horizontal="right"/>
    </xf>
    <xf numFmtId="0" fontId="11" fillId="0" borderId="14" xfId="4" applyFont="1" applyFill="1" applyBorder="1" applyAlignment="1">
      <alignment horizontal="right"/>
    </xf>
    <xf numFmtId="0" fontId="47" fillId="0" borderId="0" xfId="14" applyFont="1" applyFill="1" applyAlignment="1">
      <alignment vertical="center"/>
    </xf>
    <xf numFmtId="0" fontId="47" fillId="0" borderId="0" xfId="14" applyFont="1" applyFill="1" applyAlignment="1">
      <alignment horizontal="left" vertical="center"/>
    </xf>
    <xf numFmtId="3" fontId="14" fillId="0" borderId="11" xfId="4" applyNumberFormat="1" applyFont="1" applyFill="1" applyBorder="1" applyAlignment="1">
      <alignment horizontal="right"/>
    </xf>
    <xf numFmtId="0" fontId="14" fillId="0" borderId="4" xfId="4" applyFont="1" applyFill="1" applyBorder="1" applyAlignment="1">
      <alignment horizontal="left"/>
    </xf>
    <xf numFmtId="0" fontId="14" fillId="0" borderId="5" xfId="4" applyFont="1" applyFill="1" applyBorder="1" applyAlignment="1">
      <alignment horizontal="left"/>
    </xf>
    <xf numFmtId="0" fontId="14" fillId="0" borderId="6" xfId="4" applyFont="1" applyFill="1" applyBorder="1" applyAlignment="1">
      <alignment horizontal="left"/>
    </xf>
    <xf numFmtId="0" fontId="11" fillId="0" borderId="10" xfId="4" applyFont="1" applyFill="1" applyBorder="1" applyAlignment="1">
      <alignment horizontal="right"/>
    </xf>
    <xf numFmtId="0" fontId="11" fillId="0" borderId="3" xfId="4" applyFont="1" applyFill="1" applyBorder="1" applyAlignment="1">
      <alignment horizontal="right"/>
    </xf>
    <xf numFmtId="0" fontId="11" fillId="0" borderId="9" xfId="4" applyFont="1" applyFill="1" applyBorder="1" applyAlignment="1">
      <alignment horizontal="right"/>
    </xf>
    <xf numFmtId="0" fontId="30" fillId="0" borderId="53" xfId="10" applyFont="1" applyBorder="1" applyAlignment="1">
      <alignment horizontal="center" vertical="top" wrapText="1"/>
    </xf>
    <xf numFmtId="0" fontId="30" fillId="0" borderId="0" xfId="10" applyFont="1" applyBorder="1" applyAlignment="1">
      <alignment horizontal="center" vertical="top" wrapText="1"/>
    </xf>
    <xf numFmtId="0" fontId="30" fillId="0" borderId="54" xfId="10" applyFont="1" applyBorder="1" applyAlignment="1">
      <alignment horizontal="center" vertical="top" wrapText="1"/>
    </xf>
    <xf numFmtId="0" fontId="27" fillId="0" borderId="0" xfId="10" applyFont="1" applyAlignment="1">
      <alignment horizontal="left" vertical="center"/>
    </xf>
    <xf numFmtId="0" fontId="14" fillId="0" borderId="55" xfId="10" applyFont="1" applyBorder="1" applyAlignment="1">
      <alignment horizontal="left" vertical="top" wrapText="1"/>
    </xf>
    <xf numFmtId="0" fontId="14" fillId="0" borderId="56" xfId="10" applyFont="1" applyBorder="1" applyAlignment="1">
      <alignment horizontal="left" vertical="top" wrapText="1"/>
    </xf>
    <xf numFmtId="0" fontId="43" fillId="0" borderId="0" xfId="4" applyFont="1" applyAlignment="1">
      <alignment horizontal="left"/>
    </xf>
    <xf numFmtId="0" fontId="14" fillId="0" borderId="0" xfId="4" applyFont="1" applyAlignment="1">
      <alignment horizontal="left"/>
    </xf>
    <xf numFmtId="0" fontId="47" fillId="0" borderId="53" xfId="10" applyFont="1" applyBorder="1" applyAlignment="1">
      <alignment horizontal="center" vertical="top" wrapText="1"/>
    </xf>
    <xf numFmtId="0" fontId="47" fillId="0" borderId="0" xfId="10" applyFont="1" applyBorder="1" applyAlignment="1">
      <alignment horizontal="center" vertical="top" wrapText="1"/>
    </xf>
    <xf numFmtId="0" fontId="47" fillId="0" borderId="54" xfId="10" applyFont="1" applyBorder="1" applyAlignment="1">
      <alignment horizontal="center" vertical="top" wrapText="1"/>
    </xf>
    <xf numFmtId="0" fontId="30" fillId="0" borderId="0" xfId="10" applyFont="1" applyBorder="1" applyAlignment="1">
      <alignment horizontal="right"/>
    </xf>
    <xf numFmtId="0" fontId="30" fillId="0" borderId="0" xfId="10" applyFont="1" applyAlignment="1">
      <alignment horizontal="right"/>
    </xf>
    <xf numFmtId="0" fontId="30" fillId="0" borderId="8" xfId="10" applyFont="1" applyBorder="1" applyAlignment="1">
      <alignment horizontal="right"/>
    </xf>
    <xf numFmtId="0" fontId="27" fillId="0" borderId="46" xfId="10" applyFont="1" applyBorder="1" applyAlignment="1">
      <alignment horizontal="center" vertical="center" wrapText="1"/>
    </xf>
    <xf numFmtId="0" fontId="27" fillId="0" borderId="31" xfId="10" applyFont="1" applyBorder="1" applyAlignment="1">
      <alignment horizontal="center" vertical="center" wrapText="1"/>
    </xf>
    <xf numFmtId="0" fontId="27" fillId="0" borderId="47" xfId="10" applyFont="1" applyBorder="1" applyAlignment="1">
      <alignment horizontal="center" vertical="center" wrapText="1"/>
    </xf>
    <xf numFmtId="0" fontId="27" fillId="0" borderId="1" xfId="10" applyFont="1" applyBorder="1" applyAlignment="1">
      <alignment horizontal="center" vertical="center" wrapText="1"/>
    </xf>
    <xf numFmtId="0" fontId="27" fillId="0" borderId="47" xfId="10" applyFont="1" applyFill="1" applyBorder="1" applyAlignment="1">
      <alignment horizontal="center" vertical="center" wrapText="1"/>
    </xf>
    <xf numFmtId="0" fontId="27" fillId="0" borderId="48" xfId="10" applyFont="1" applyFill="1" applyBorder="1" applyAlignment="1">
      <alignment horizontal="center" vertical="center" wrapText="1"/>
    </xf>
    <xf numFmtId="0" fontId="47" fillId="0" borderId="50" xfId="10" applyFont="1" applyBorder="1" applyAlignment="1">
      <alignment horizontal="center" vertical="top" wrapText="1"/>
    </xf>
    <xf numFmtId="0" fontId="47" fillId="0" borderId="51" xfId="10" applyFont="1" applyBorder="1" applyAlignment="1">
      <alignment horizontal="center" vertical="top" wrapText="1"/>
    </xf>
    <xf numFmtId="0" fontId="47" fillId="0" borderId="52" xfId="10" applyFont="1" applyBorder="1" applyAlignment="1">
      <alignment horizontal="center" vertical="top" wrapText="1"/>
    </xf>
    <xf numFmtId="0" fontId="47" fillId="0" borderId="53" xfId="10" applyFont="1" applyBorder="1" applyAlignment="1">
      <alignment horizontal="left" vertical="top" wrapText="1"/>
    </xf>
    <xf numFmtId="0" fontId="47" fillId="0" borderId="0" xfId="10" applyFont="1" applyBorder="1" applyAlignment="1">
      <alignment horizontal="left" vertical="top" wrapText="1"/>
    </xf>
    <xf numFmtId="0" fontId="30" fillId="0" borderId="0" xfId="10" applyFont="1" applyBorder="1" applyAlignment="1">
      <alignment horizontal="right" vertical="center" wrapText="1"/>
    </xf>
    <xf numFmtId="0" fontId="30" fillId="0" borderId="0" xfId="10" applyFont="1" applyAlignment="1">
      <alignment horizontal="right" vertical="center"/>
    </xf>
    <xf numFmtId="4" fontId="14" fillId="0" borderId="42" xfId="4" applyNumberFormat="1" applyFont="1" applyBorder="1" applyAlignment="1">
      <alignment horizontal="center"/>
    </xf>
    <xf numFmtId="4" fontId="14" fillId="0" borderId="44" xfId="4" applyNumberFormat="1" applyFont="1" applyBorder="1" applyAlignment="1">
      <alignment horizontal="center"/>
    </xf>
    <xf numFmtId="0" fontId="30" fillId="0" borderId="0" xfId="10" applyFont="1" applyAlignment="1">
      <alignment horizontal="left" vertical="center" wrapText="1"/>
    </xf>
    <xf numFmtId="0" fontId="30" fillId="0" borderId="0" xfId="10" applyFont="1" applyAlignment="1">
      <alignment horizontal="right" vertical="center" wrapText="1"/>
    </xf>
    <xf numFmtId="0" fontId="33" fillId="0" borderId="0" xfId="10" applyFont="1" applyAlignment="1">
      <alignment horizontal="left" vertical="center" wrapText="1"/>
    </xf>
    <xf numFmtId="0" fontId="27" fillId="0" borderId="0" xfId="10" applyFont="1" applyBorder="1" applyAlignment="1">
      <alignment horizontal="left" vertical="center" wrapText="1"/>
    </xf>
    <xf numFmtId="0" fontId="30" fillId="0" borderId="42" xfId="10" applyFont="1" applyBorder="1" applyAlignment="1">
      <alignment horizontal="center" vertical="center" wrapText="1"/>
    </xf>
    <xf numFmtId="0" fontId="30" fillId="0" borderId="43" xfId="10" applyFont="1" applyBorder="1" applyAlignment="1">
      <alignment horizontal="center" vertical="center" wrapText="1"/>
    </xf>
    <xf numFmtId="0" fontId="30" fillId="0" borderId="44" xfId="10" applyFont="1" applyBorder="1" applyAlignment="1">
      <alignment horizontal="center" vertical="center" wrapText="1"/>
    </xf>
    <xf numFmtId="0" fontId="16" fillId="0" borderId="0" xfId="4" applyFont="1" applyAlignment="1">
      <alignment horizontal="right"/>
    </xf>
    <xf numFmtId="0" fontId="31" fillId="0" borderId="0" xfId="10" applyFont="1" applyAlignment="1">
      <alignment horizontal="center" vertical="center"/>
    </xf>
    <xf numFmtId="0" fontId="40" fillId="0" borderId="0" xfId="10" applyFont="1" applyAlignment="1">
      <alignment horizontal="center" vertical="center" wrapText="1"/>
    </xf>
    <xf numFmtId="0" fontId="27" fillId="0" borderId="5" xfId="4" applyFont="1" applyBorder="1" applyAlignment="1">
      <alignment horizontal="right" vertical="top"/>
    </xf>
    <xf numFmtId="0" fontId="27" fillId="0" borderId="5" xfId="4" applyFont="1" applyBorder="1" applyAlignment="1">
      <alignment horizontal="center" vertical="top"/>
    </xf>
    <xf numFmtId="0" fontId="16" fillId="0" borderId="3" xfId="4" applyFont="1" applyBorder="1" applyAlignment="1">
      <alignment horizontal="center" wrapText="1"/>
    </xf>
    <xf numFmtId="0" fontId="3" fillId="0" borderId="5" xfId="4" applyFont="1" applyBorder="1" applyAlignment="1">
      <alignment horizontal="center" wrapText="1"/>
    </xf>
    <xf numFmtId="0" fontId="28" fillId="0" borderId="0" xfId="15" applyFont="1" applyFill="1" applyAlignment="1">
      <alignment horizontal="center" vertical="center"/>
    </xf>
    <xf numFmtId="0" fontId="2" fillId="0" borderId="0" xfId="15" applyFont="1" applyFill="1" applyAlignment="1">
      <alignment horizontal="justify" vertical="center"/>
    </xf>
    <xf numFmtId="0" fontId="46" fillId="0" borderId="0" xfId="15" applyFill="1"/>
    <xf numFmtId="0" fontId="45" fillId="0" borderId="0" xfId="15" applyFont="1" applyFill="1" applyAlignment="1">
      <alignment horizontal="left" vertical="center"/>
    </xf>
    <xf numFmtId="0" fontId="48" fillId="0" borderId="0" xfId="15" applyFont="1" applyFill="1" applyBorder="1" applyAlignment="1">
      <alignment horizontal="left" vertical="top" wrapText="1"/>
    </xf>
    <xf numFmtId="0" fontId="48" fillId="0" borderId="0" xfId="15" applyFont="1" applyFill="1" applyBorder="1" applyAlignment="1">
      <alignment horizontal="left" vertical="top" wrapText="1"/>
    </xf>
    <xf numFmtId="0" fontId="45" fillId="0" borderId="0" xfId="15" applyFont="1" applyFill="1" applyAlignment="1">
      <alignment horizontal="justify" vertical="center"/>
    </xf>
    <xf numFmtId="0" fontId="45" fillId="0" borderId="0" xfId="15" applyFont="1" applyFill="1" applyAlignment="1">
      <alignment horizontal="left" vertical="top" wrapText="1"/>
    </xf>
    <xf numFmtId="0" fontId="45" fillId="0" borderId="0" xfId="15" applyFont="1" applyFill="1" applyAlignment="1">
      <alignment horizontal="left" vertical="top"/>
    </xf>
  </cellXfs>
  <cellStyles count="16">
    <cellStyle name="Обычный" xfId="0" builtinId="0"/>
    <cellStyle name="Обычный 2" xfId="1"/>
    <cellStyle name="Обычный 2 2" xfId="2"/>
    <cellStyle name="Обычный 2 3" xfId="14"/>
    <cellStyle name="Обычный 3" xfId="3"/>
    <cellStyle name="Обычный 3 2" xfId="4"/>
    <cellStyle name="Обычный 4" xfId="5"/>
    <cellStyle name="Обычный 4 2" xfId="6"/>
    <cellStyle name="Обычный 5" xfId="7"/>
    <cellStyle name="Обычный 6" xfId="8"/>
    <cellStyle name="Обычный 6 2" xfId="9"/>
    <cellStyle name="Обычный 7" xfId="10"/>
    <cellStyle name="Обычный 8" xfId="15"/>
    <cellStyle name="Тысячи [0]_Лист1" xfId="11"/>
    <cellStyle name="Тысячи_Лист1" xfId="12"/>
    <cellStyle name="Финансовый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6;&#1040;&#1041;&#1054;&#1063;&#1040;&#1071;%20&#1087;&#1072;&#1087;&#1082;&#1072;\&#1054;&#1090;&#1076;&#1077;&#1083;%20&#1041;&#1055;&#1069;&#1057;&#1054;\&#1042;&#1099;&#1083;&#1077;&#1075;&#1078;&#1072;&#1085;&#1080;&#1085;%20&#1045;.&#1053;\&#1055;&#1083;&#1072;&#1085;%20&#1060;&#1061;&#1044;%20&#1052;&#1041;&#1059;%20&#1051;&#1062;&#1056;&#1044;&#1050;%2027.1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52;&#1059;%20&#1051;&#1062;&#1056;&#1044;&#1050;\Downloads\&#1055;&#1083;&#1072;&#1085;%20&#1060;&#1061;&#1044;%20&#1052;&#1041;&#1059;%20&#1051;&#1062;&#1056;&#1044;&#1050;%2005.03.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 лист, сведения"/>
      <sheetName val="Фин сост"/>
      <sheetName val="Пок по пост и выб"/>
      <sheetName val="Пок выплат"/>
      <sheetName val="Ср во вр расп"/>
      <sheetName val="Спр инф"/>
      <sheetName val="Расч 1"/>
      <sheetName val="Расч 2"/>
      <sheetName val="Расч 3"/>
      <sheetName val="Расч 4"/>
      <sheetName val="Расч 5"/>
      <sheetName val="Свед ИЦ"/>
      <sheetName val="Лист2"/>
    </sheetNames>
    <sheetDataSet>
      <sheetData sheetId="0"/>
      <sheetData sheetId="1"/>
      <sheetData sheetId="2">
        <row r="24">
          <cell r="D24">
            <v>14986500</v>
          </cell>
        </row>
        <row r="25">
          <cell r="D25">
            <v>4525832.63</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 лист, сведения"/>
      <sheetName val="Фин сост"/>
      <sheetName val="Пок по пост и выб"/>
      <sheetName val="Пок выплат"/>
      <sheetName val="Ср во вр расп"/>
      <sheetName val="Спр инф"/>
      <sheetName val="Расч 1"/>
      <sheetName val="Расч 2"/>
      <sheetName val="Расч 3"/>
      <sheetName val="Расч 4"/>
      <sheetName val="Расч 5"/>
      <sheetName val="Свед ИЦ"/>
      <sheetName val="Лист1"/>
    </sheetNames>
    <sheetDataSet>
      <sheetData sheetId="0" refreshError="1"/>
      <sheetData sheetId="1" refreshError="1"/>
      <sheetData sheetId="2" refreshError="1">
        <row r="37">
          <cell r="D37">
            <v>500000</v>
          </cell>
        </row>
        <row r="53">
          <cell r="D53">
            <v>139523.84000000003</v>
          </cell>
        </row>
        <row r="55">
          <cell r="D55">
            <v>52741.630000000005</v>
          </cell>
        </row>
        <row r="58">
          <cell r="D58">
            <v>3361171.08</v>
          </cell>
        </row>
        <row r="60">
          <cell r="D60">
            <v>38548.980000000003</v>
          </cell>
        </row>
        <row r="61">
          <cell r="D61">
            <v>323623.04000000004</v>
          </cell>
        </row>
        <row r="62">
          <cell r="D62">
            <v>88979.31</v>
          </cell>
        </row>
        <row r="64">
          <cell r="D64">
            <v>1142659</v>
          </cell>
        </row>
        <row r="65">
          <cell r="D65">
            <v>16302.84</v>
          </cell>
        </row>
        <row r="131">
          <cell r="D131">
            <v>962762.77</v>
          </cell>
        </row>
        <row r="149">
          <cell r="D149">
            <v>450846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249977111117893"/>
  </sheetPr>
  <dimension ref="A1:K167"/>
  <sheetViews>
    <sheetView tabSelected="1" view="pageBreakPreview" topLeftCell="A127" zoomScaleNormal="100" zoomScaleSheetLayoutView="100" workbookViewId="0">
      <selection activeCell="B55" sqref="B55"/>
    </sheetView>
  </sheetViews>
  <sheetFormatPr defaultRowHeight="13.8"/>
  <cols>
    <col min="1" max="1" width="6.44140625" style="134" customWidth="1"/>
    <col min="2" max="2" width="27.109375" style="134" customWidth="1"/>
    <col min="3" max="3" width="17.5546875" style="134" customWidth="1"/>
    <col min="4" max="4" width="14.44140625" style="134" customWidth="1"/>
    <col min="5" max="5" width="14.33203125" style="134" customWidth="1"/>
    <col min="6" max="6" width="14.5546875" style="134" customWidth="1"/>
    <col min="7" max="7" width="12.109375" style="134" customWidth="1"/>
    <col min="8" max="256" width="8.88671875" style="134"/>
    <col min="257" max="257" width="6.44140625" style="134" customWidth="1"/>
    <col min="258" max="258" width="27.109375" style="134" customWidth="1"/>
    <col min="259" max="259" width="19.88671875" style="134" customWidth="1"/>
    <col min="260" max="260" width="14.44140625" style="134" customWidth="1"/>
    <col min="261" max="261" width="16.33203125" style="134" customWidth="1"/>
    <col min="262" max="262" width="14.5546875" style="134" customWidth="1"/>
    <col min="263" max="263" width="12.109375" style="134" customWidth="1"/>
    <col min="264" max="512" width="8.88671875" style="134"/>
    <col min="513" max="513" width="6.44140625" style="134" customWidth="1"/>
    <col min="514" max="514" width="27.109375" style="134" customWidth="1"/>
    <col min="515" max="515" width="19.88671875" style="134" customWidth="1"/>
    <col min="516" max="516" width="14.44140625" style="134" customWidth="1"/>
    <col min="517" max="517" width="16.33203125" style="134" customWidth="1"/>
    <col min="518" max="518" width="14.5546875" style="134" customWidth="1"/>
    <col min="519" max="519" width="12.109375" style="134" customWidth="1"/>
    <col min="520" max="768" width="8.88671875" style="134"/>
    <col min="769" max="769" width="6.44140625" style="134" customWidth="1"/>
    <col min="770" max="770" width="27.109375" style="134" customWidth="1"/>
    <col min="771" max="771" width="19.88671875" style="134" customWidth="1"/>
    <col min="772" max="772" width="14.44140625" style="134" customWidth="1"/>
    <col min="773" max="773" width="16.33203125" style="134" customWidth="1"/>
    <col min="774" max="774" width="14.5546875" style="134" customWidth="1"/>
    <col min="775" max="775" width="12.109375" style="134" customWidth="1"/>
    <col min="776" max="1024" width="8.88671875" style="134"/>
    <col min="1025" max="1025" width="6.44140625" style="134" customWidth="1"/>
    <col min="1026" max="1026" width="27.109375" style="134" customWidth="1"/>
    <col min="1027" max="1027" width="19.88671875" style="134" customWidth="1"/>
    <col min="1028" max="1028" width="14.44140625" style="134" customWidth="1"/>
    <col min="1029" max="1029" width="16.33203125" style="134" customWidth="1"/>
    <col min="1030" max="1030" width="14.5546875" style="134" customWidth="1"/>
    <col min="1031" max="1031" width="12.109375" style="134" customWidth="1"/>
    <col min="1032" max="1280" width="8.88671875" style="134"/>
    <col min="1281" max="1281" width="6.44140625" style="134" customWidth="1"/>
    <col min="1282" max="1282" width="27.109375" style="134" customWidth="1"/>
    <col min="1283" max="1283" width="19.88671875" style="134" customWidth="1"/>
    <col min="1284" max="1284" width="14.44140625" style="134" customWidth="1"/>
    <col min="1285" max="1285" width="16.33203125" style="134" customWidth="1"/>
    <col min="1286" max="1286" width="14.5546875" style="134" customWidth="1"/>
    <col min="1287" max="1287" width="12.109375" style="134" customWidth="1"/>
    <col min="1288" max="1536" width="8.88671875" style="134"/>
    <col min="1537" max="1537" width="6.44140625" style="134" customWidth="1"/>
    <col min="1538" max="1538" width="27.109375" style="134" customWidth="1"/>
    <col min="1539" max="1539" width="19.88671875" style="134" customWidth="1"/>
    <col min="1540" max="1540" width="14.44140625" style="134" customWidth="1"/>
    <col min="1541" max="1541" width="16.33203125" style="134" customWidth="1"/>
    <col min="1542" max="1542" width="14.5546875" style="134" customWidth="1"/>
    <col min="1543" max="1543" width="12.109375" style="134" customWidth="1"/>
    <col min="1544" max="1792" width="8.88671875" style="134"/>
    <col min="1793" max="1793" width="6.44140625" style="134" customWidth="1"/>
    <col min="1794" max="1794" width="27.109375" style="134" customWidth="1"/>
    <col min="1795" max="1795" width="19.88671875" style="134" customWidth="1"/>
    <col min="1796" max="1796" width="14.44140625" style="134" customWidth="1"/>
    <col min="1797" max="1797" width="16.33203125" style="134" customWidth="1"/>
    <col min="1798" max="1798" width="14.5546875" style="134" customWidth="1"/>
    <col min="1799" max="1799" width="12.109375" style="134" customWidth="1"/>
    <col min="1800" max="2048" width="8.88671875" style="134"/>
    <col min="2049" max="2049" width="6.44140625" style="134" customWidth="1"/>
    <col min="2050" max="2050" width="27.109375" style="134" customWidth="1"/>
    <col min="2051" max="2051" width="19.88671875" style="134" customWidth="1"/>
    <col min="2052" max="2052" width="14.44140625" style="134" customWidth="1"/>
    <col min="2053" max="2053" width="16.33203125" style="134" customWidth="1"/>
    <col min="2054" max="2054" width="14.5546875" style="134" customWidth="1"/>
    <col min="2055" max="2055" width="12.109375" style="134" customWidth="1"/>
    <col min="2056" max="2304" width="8.88671875" style="134"/>
    <col min="2305" max="2305" width="6.44140625" style="134" customWidth="1"/>
    <col min="2306" max="2306" width="27.109375" style="134" customWidth="1"/>
    <col min="2307" max="2307" width="19.88671875" style="134" customWidth="1"/>
    <col min="2308" max="2308" width="14.44140625" style="134" customWidth="1"/>
    <col min="2309" max="2309" width="16.33203125" style="134" customWidth="1"/>
    <col min="2310" max="2310" width="14.5546875" style="134" customWidth="1"/>
    <col min="2311" max="2311" width="12.109375" style="134" customWidth="1"/>
    <col min="2312" max="2560" width="8.88671875" style="134"/>
    <col min="2561" max="2561" width="6.44140625" style="134" customWidth="1"/>
    <col min="2562" max="2562" width="27.109375" style="134" customWidth="1"/>
    <col min="2563" max="2563" width="19.88671875" style="134" customWidth="1"/>
    <col min="2564" max="2564" width="14.44140625" style="134" customWidth="1"/>
    <col min="2565" max="2565" width="16.33203125" style="134" customWidth="1"/>
    <col min="2566" max="2566" width="14.5546875" style="134" customWidth="1"/>
    <col min="2567" max="2567" width="12.109375" style="134" customWidth="1"/>
    <col min="2568" max="2816" width="8.88671875" style="134"/>
    <col min="2817" max="2817" width="6.44140625" style="134" customWidth="1"/>
    <col min="2818" max="2818" width="27.109375" style="134" customWidth="1"/>
    <col min="2819" max="2819" width="19.88671875" style="134" customWidth="1"/>
    <col min="2820" max="2820" width="14.44140625" style="134" customWidth="1"/>
    <col min="2821" max="2821" width="16.33203125" style="134" customWidth="1"/>
    <col min="2822" max="2822" width="14.5546875" style="134" customWidth="1"/>
    <col min="2823" max="2823" width="12.109375" style="134" customWidth="1"/>
    <col min="2824" max="3072" width="8.88671875" style="134"/>
    <col min="3073" max="3073" width="6.44140625" style="134" customWidth="1"/>
    <col min="3074" max="3074" width="27.109375" style="134" customWidth="1"/>
    <col min="3075" max="3075" width="19.88671875" style="134" customWidth="1"/>
    <col min="3076" max="3076" width="14.44140625" style="134" customWidth="1"/>
    <col min="3077" max="3077" width="16.33203125" style="134" customWidth="1"/>
    <col min="3078" max="3078" width="14.5546875" style="134" customWidth="1"/>
    <col min="3079" max="3079" width="12.109375" style="134" customWidth="1"/>
    <col min="3080" max="3328" width="8.88671875" style="134"/>
    <col min="3329" max="3329" width="6.44140625" style="134" customWidth="1"/>
    <col min="3330" max="3330" width="27.109375" style="134" customWidth="1"/>
    <col min="3331" max="3331" width="19.88671875" style="134" customWidth="1"/>
    <col min="3332" max="3332" width="14.44140625" style="134" customWidth="1"/>
    <col min="3333" max="3333" width="16.33203125" style="134" customWidth="1"/>
    <col min="3334" max="3334" width="14.5546875" style="134" customWidth="1"/>
    <col min="3335" max="3335" width="12.109375" style="134" customWidth="1"/>
    <col min="3336" max="3584" width="8.88671875" style="134"/>
    <col min="3585" max="3585" width="6.44140625" style="134" customWidth="1"/>
    <col min="3586" max="3586" width="27.109375" style="134" customWidth="1"/>
    <col min="3587" max="3587" width="19.88671875" style="134" customWidth="1"/>
    <col min="3588" max="3588" width="14.44140625" style="134" customWidth="1"/>
    <col min="3589" max="3589" width="16.33203125" style="134" customWidth="1"/>
    <col min="3590" max="3590" width="14.5546875" style="134" customWidth="1"/>
    <col min="3591" max="3591" width="12.109375" style="134" customWidth="1"/>
    <col min="3592" max="3840" width="8.88671875" style="134"/>
    <col min="3841" max="3841" width="6.44140625" style="134" customWidth="1"/>
    <col min="3842" max="3842" width="27.109375" style="134" customWidth="1"/>
    <col min="3843" max="3843" width="19.88671875" style="134" customWidth="1"/>
    <col min="3844" max="3844" width="14.44140625" style="134" customWidth="1"/>
    <col min="3845" max="3845" width="16.33203125" style="134" customWidth="1"/>
    <col min="3846" max="3846" width="14.5546875" style="134" customWidth="1"/>
    <col min="3847" max="3847" width="12.109375" style="134" customWidth="1"/>
    <col min="3848" max="4096" width="8.88671875" style="134"/>
    <col min="4097" max="4097" width="6.44140625" style="134" customWidth="1"/>
    <col min="4098" max="4098" width="27.109375" style="134" customWidth="1"/>
    <col min="4099" max="4099" width="19.88671875" style="134" customWidth="1"/>
    <col min="4100" max="4100" width="14.44140625" style="134" customWidth="1"/>
    <col min="4101" max="4101" width="16.33203125" style="134" customWidth="1"/>
    <col min="4102" max="4102" width="14.5546875" style="134" customWidth="1"/>
    <col min="4103" max="4103" width="12.109375" style="134" customWidth="1"/>
    <col min="4104" max="4352" width="8.88671875" style="134"/>
    <col min="4353" max="4353" width="6.44140625" style="134" customWidth="1"/>
    <col min="4354" max="4354" width="27.109375" style="134" customWidth="1"/>
    <col min="4355" max="4355" width="19.88671875" style="134" customWidth="1"/>
    <col min="4356" max="4356" width="14.44140625" style="134" customWidth="1"/>
    <col min="4357" max="4357" width="16.33203125" style="134" customWidth="1"/>
    <col min="4358" max="4358" width="14.5546875" style="134" customWidth="1"/>
    <col min="4359" max="4359" width="12.109375" style="134" customWidth="1"/>
    <col min="4360" max="4608" width="8.88671875" style="134"/>
    <col min="4609" max="4609" width="6.44140625" style="134" customWidth="1"/>
    <col min="4610" max="4610" width="27.109375" style="134" customWidth="1"/>
    <col min="4611" max="4611" width="19.88671875" style="134" customWidth="1"/>
    <col min="4612" max="4612" width="14.44140625" style="134" customWidth="1"/>
    <col min="4613" max="4613" width="16.33203125" style="134" customWidth="1"/>
    <col min="4614" max="4614" width="14.5546875" style="134" customWidth="1"/>
    <col min="4615" max="4615" width="12.109375" style="134" customWidth="1"/>
    <col min="4616" max="4864" width="8.88671875" style="134"/>
    <col min="4865" max="4865" width="6.44140625" style="134" customWidth="1"/>
    <col min="4866" max="4866" width="27.109375" style="134" customWidth="1"/>
    <col min="4867" max="4867" width="19.88671875" style="134" customWidth="1"/>
    <col min="4868" max="4868" width="14.44140625" style="134" customWidth="1"/>
    <col min="4869" max="4869" width="16.33203125" style="134" customWidth="1"/>
    <col min="4870" max="4870" width="14.5546875" style="134" customWidth="1"/>
    <col min="4871" max="4871" width="12.109375" style="134" customWidth="1"/>
    <col min="4872" max="5120" width="8.88671875" style="134"/>
    <col min="5121" max="5121" width="6.44140625" style="134" customWidth="1"/>
    <col min="5122" max="5122" width="27.109375" style="134" customWidth="1"/>
    <col min="5123" max="5123" width="19.88671875" style="134" customWidth="1"/>
    <col min="5124" max="5124" width="14.44140625" style="134" customWidth="1"/>
    <col min="5125" max="5125" width="16.33203125" style="134" customWidth="1"/>
    <col min="5126" max="5126" width="14.5546875" style="134" customWidth="1"/>
    <col min="5127" max="5127" width="12.109375" style="134" customWidth="1"/>
    <col min="5128" max="5376" width="8.88671875" style="134"/>
    <col min="5377" max="5377" width="6.44140625" style="134" customWidth="1"/>
    <col min="5378" max="5378" width="27.109375" style="134" customWidth="1"/>
    <col min="5379" max="5379" width="19.88671875" style="134" customWidth="1"/>
    <col min="5380" max="5380" width="14.44140625" style="134" customWidth="1"/>
    <col min="5381" max="5381" width="16.33203125" style="134" customWidth="1"/>
    <col min="5382" max="5382" width="14.5546875" style="134" customWidth="1"/>
    <col min="5383" max="5383" width="12.109375" style="134" customWidth="1"/>
    <col min="5384" max="5632" width="8.88671875" style="134"/>
    <col min="5633" max="5633" width="6.44140625" style="134" customWidth="1"/>
    <col min="5634" max="5634" width="27.109375" style="134" customWidth="1"/>
    <col min="5635" max="5635" width="19.88671875" style="134" customWidth="1"/>
    <col min="5636" max="5636" width="14.44140625" style="134" customWidth="1"/>
    <col min="5637" max="5637" width="16.33203125" style="134" customWidth="1"/>
    <col min="5638" max="5638" width="14.5546875" style="134" customWidth="1"/>
    <col min="5639" max="5639" width="12.109375" style="134" customWidth="1"/>
    <col min="5640" max="5888" width="8.88671875" style="134"/>
    <col min="5889" max="5889" width="6.44140625" style="134" customWidth="1"/>
    <col min="5890" max="5890" width="27.109375" style="134" customWidth="1"/>
    <col min="5891" max="5891" width="19.88671875" style="134" customWidth="1"/>
    <col min="5892" max="5892" width="14.44140625" style="134" customWidth="1"/>
    <col min="5893" max="5893" width="16.33203125" style="134" customWidth="1"/>
    <col min="5894" max="5894" width="14.5546875" style="134" customWidth="1"/>
    <col min="5895" max="5895" width="12.109375" style="134" customWidth="1"/>
    <col min="5896" max="6144" width="8.88671875" style="134"/>
    <col min="6145" max="6145" width="6.44140625" style="134" customWidth="1"/>
    <col min="6146" max="6146" width="27.109375" style="134" customWidth="1"/>
    <col min="6147" max="6147" width="19.88671875" style="134" customWidth="1"/>
    <col min="6148" max="6148" width="14.44140625" style="134" customWidth="1"/>
    <col min="6149" max="6149" width="16.33203125" style="134" customWidth="1"/>
    <col min="6150" max="6150" width="14.5546875" style="134" customWidth="1"/>
    <col min="6151" max="6151" width="12.109375" style="134" customWidth="1"/>
    <col min="6152" max="6400" width="8.88671875" style="134"/>
    <col min="6401" max="6401" width="6.44140625" style="134" customWidth="1"/>
    <col min="6402" max="6402" width="27.109375" style="134" customWidth="1"/>
    <col min="6403" max="6403" width="19.88671875" style="134" customWidth="1"/>
    <col min="6404" max="6404" width="14.44140625" style="134" customWidth="1"/>
    <col min="6405" max="6405" width="16.33203125" style="134" customWidth="1"/>
    <col min="6406" max="6406" width="14.5546875" style="134" customWidth="1"/>
    <col min="6407" max="6407" width="12.109375" style="134" customWidth="1"/>
    <col min="6408" max="6656" width="8.88671875" style="134"/>
    <col min="6657" max="6657" width="6.44140625" style="134" customWidth="1"/>
    <col min="6658" max="6658" width="27.109375" style="134" customWidth="1"/>
    <col min="6659" max="6659" width="19.88671875" style="134" customWidth="1"/>
    <col min="6660" max="6660" width="14.44140625" style="134" customWidth="1"/>
    <col min="6661" max="6661" width="16.33203125" style="134" customWidth="1"/>
    <col min="6662" max="6662" width="14.5546875" style="134" customWidth="1"/>
    <col min="6663" max="6663" width="12.109375" style="134" customWidth="1"/>
    <col min="6664" max="6912" width="8.88671875" style="134"/>
    <col min="6913" max="6913" width="6.44140625" style="134" customWidth="1"/>
    <col min="6914" max="6914" width="27.109375" style="134" customWidth="1"/>
    <col min="6915" max="6915" width="19.88671875" style="134" customWidth="1"/>
    <col min="6916" max="6916" width="14.44140625" style="134" customWidth="1"/>
    <col min="6917" max="6917" width="16.33203125" style="134" customWidth="1"/>
    <col min="6918" max="6918" width="14.5546875" style="134" customWidth="1"/>
    <col min="6919" max="6919" width="12.109375" style="134" customWidth="1"/>
    <col min="6920" max="7168" width="8.88671875" style="134"/>
    <col min="7169" max="7169" width="6.44140625" style="134" customWidth="1"/>
    <col min="7170" max="7170" width="27.109375" style="134" customWidth="1"/>
    <col min="7171" max="7171" width="19.88671875" style="134" customWidth="1"/>
    <col min="7172" max="7172" width="14.44140625" style="134" customWidth="1"/>
    <col min="7173" max="7173" width="16.33203125" style="134" customWidth="1"/>
    <col min="7174" max="7174" width="14.5546875" style="134" customWidth="1"/>
    <col min="7175" max="7175" width="12.109375" style="134" customWidth="1"/>
    <col min="7176" max="7424" width="8.88671875" style="134"/>
    <col min="7425" max="7425" width="6.44140625" style="134" customWidth="1"/>
    <col min="7426" max="7426" width="27.109375" style="134" customWidth="1"/>
    <col min="7427" max="7427" width="19.88671875" style="134" customWidth="1"/>
    <col min="7428" max="7428" width="14.44140625" style="134" customWidth="1"/>
    <col min="7429" max="7429" width="16.33203125" style="134" customWidth="1"/>
    <col min="7430" max="7430" width="14.5546875" style="134" customWidth="1"/>
    <col min="7431" max="7431" width="12.109375" style="134" customWidth="1"/>
    <col min="7432" max="7680" width="8.88671875" style="134"/>
    <col min="7681" max="7681" width="6.44140625" style="134" customWidth="1"/>
    <col min="7682" max="7682" width="27.109375" style="134" customWidth="1"/>
    <col min="7683" max="7683" width="19.88671875" style="134" customWidth="1"/>
    <col min="7684" max="7684" width="14.44140625" style="134" customWidth="1"/>
    <col min="7685" max="7685" width="16.33203125" style="134" customWidth="1"/>
    <col min="7686" max="7686" width="14.5546875" style="134" customWidth="1"/>
    <col min="7687" max="7687" width="12.109375" style="134" customWidth="1"/>
    <col min="7688" max="7936" width="8.88671875" style="134"/>
    <col min="7937" max="7937" width="6.44140625" style="134" customWidth="1"/>
    <col min="7938" max="7938" width="27.109375" style="134" customWidth="1"/>
    <col min="7939" max="7939" width="19.88671875" style="134" customWidth="1"/>
    <col min="7940" max="7940" width="14.44140625" style="134" customWidth="1"/>
    <col min="7941" max="7941" width="16.33203125" style="134" customWidth="1"/>
    <col min="7942" max="7942" width="14.5546875" style="134" customWidth="1"/>
    <col min="7943" max="7943" width="12.109375" style="134" customWidth="1"/>
    <col min="7944" max="8192" width="8.88671875" style="134"/>
    <col min="8193" max="8193" width="6.44140625" style="134" customWidth="1"/>
    <col min="8194" max="8194" width="27.109375" style="134" customWidth="1"/>
    <col min="8195" max="8195" width="19.88671875" style="134" customWidth="1"/>
    <col min="8196" max="8196" width="14.44140625" style="134" customWidth="1"/>
    <col min="8197" max="8197" width="16.33203125" style="134" customWidth="1"/>
    <col min="8198" max="8198" width="14.5546875" style="134" customWidth="1"/>
    <col min="8199" max="8199" width="12.109375" style="134" customWidth="1"/>
    <col min="8200" max="8448" width="8.88671875" style="134"/>
    <col min="8449" max="8449" width="6.44140625" style="134" customWidth="1"/>
    <col min="8450" max="8450" width="27.109375" style="134" customWidth="1"/>
    <col min="8451" max="8451" width="19.88671875" style="134" customWidth="1"/>
    <col min="8452" max="8452" width="14.44140625" style="134" customWidth="1"/>
    <col min="8453" max="8453" width="16.33203125" style="134" customWidth="1"/>
    <col min="8454" max="8454" width="14.5546875" style="134" customWidth="1"/>
    <col min="8455" max="8455" width="12.109375" style="134" customWidth="1"/>
    <col min="8456" max="8704" width="8.88671875" style="134"/>
    <col min="8705" max="8705" width="6.44140625" style="134" customWidth="1"/>
    <col min="8706" max="8706" width="27.109375" style="134" customWidth="1"/>
    <col min="8707" max="8707" width="19.88671875" style="134" customWidth="1"/>
    <col min="8708" max="8708" width="14.44140625" style="134" customWidth="1"/>
    <col min="8709" max="8709" width="16.33203125" style="134" customWidth="1"/>
    <col min="8710" max="8710" width="14.5546875" style="134" customWidth="1"/>
    <col min="8711" max="8711" width="12.109375" style="134" customWidth="1"/>
    <col min="8712" max="8960" width="8.88671875" style="134"/>
    <col min="8961" max="8961" width="6.44140625" style="134" customWidth="1"/>
    <col min="8962" max="8962" width="27.109375" style="134" customWidth="1"/>
    <col min="8963" max="8963" width="19.88671875" style="134" customWidth="1"/>
    <col min="8964" max="8964" width="14.44140625" style="134" customWidth="1"/>
    <col min="8965" max="8965" width="16.33203125" style="134" customWidth="1"/>
    <col min="8966" max="8966" width="14.5546875" style="134" customWidth="1"/>
    <col min="8967" max="8967" width="12.109375" style="134" customWidth="1"/>
    <col min="8968" max="9216" width="8.88671875" style="134"/>
    <col min="9217" max="9217" width="6.44140625" style="134" customWidth="1"/>
    <col min="9218" max="9218" width="27.109375" style="134" customWidth="1"/>
    <col min="9219" max="9219" width="19.88671875" style="134" customWidth="1"/>
    <col min="9220" max="9220" width="14.44140625" style="134" customWidth="1"/>
    <col min="9221" max="9221" width="16.33203125" style="134" customWidth="1"/>
    <col min="9222" max="9222" width="14.5546875" style="134" customWidth="1"/>
    <col min="9223" max="9223" width="12.109375" style="134" customWidth="1"/>
    <col min="9224" max="9472" width="8.88671875" style="134"/>
    <col min="9473" max="9473" width="6.44140625" style="134" customWidth="1"/>
    <col min="9474" max="9474" width="27.109375" style="134" customWidth="1"/>
    <col min="9475" max="9475" width="19.88671875" style="134" customWidth="1"/>
    <col min="9476" max="9476" width="14.44140625" style="134" customWidth="1"/>
    <col min="9477" max="9477" width="16.33203125" style="134" customWidth="1"/>
    <col min="9478" max="9478" width="14.5546875" style="134" customWidth="1"/>
    <col min="9479" max="9479" width="12.109375" style="134" customWidth="1"/>
    <col min="9480" max="9728" width="8.88671875" style="134"/>
    <col min="9729" max="9729" width="6.44140625" style="134" customWidth="1"/>
    <col min="9730" max="9730" width="27.109375" style="134" customWidth="1"/>
    <col min="9731" max="9731" width="19.88671875" style="134" customWidth="1"/>
    <col min="9732" max="9732" width="14.44140625" style="134" customWidth="1"/>
    <col min="9733" max="9733" width="16.33203125" style="134" customWidth="1"/>
    <col min="9734" max="9734" width="14.5546875" style="134" customWidth="1"/>
    <col min="9735" max="9735" width="12.109375" style="134" customWidth="1"/>
    <col min="9736" max="9984" width="8.88671875" style="134"/>
    <col min="9985" max="9985" width="6.44140625" style="134" customWidth="1"/>
    <col min="9986" max="9986" width="27.109375" style="134" customWidth="1"/>
    <col min="9987" max="9987" width="19.88671875" style="134" customWidth="1"/>
    <col min="9988" max="9988" width="14.44140625" style="134" customWidth="1"/>
    <col min="9989" max="9989" width="16.33203125" style="134" customWidth="1"/>
    <col min="9990" max="9990" width="14.5546875" style="134" customWidth="1"/>
    <col min="9991" max="9991" width="12.109375" style="134" customWidth="1"/>
    <col min="9992" max="10240" width="8.88671875" style="134"/>
    <col min="10241" max="10241" width="6.44140625" style="134" customWidth="1"/>
    <col min="10242" max="10242" width="27.109375" style="134" customWidth="1"/>
    <col min="10243" max="10243" width="19.88671875" style="134" customWidth="1"/>
    <col min="10244" max="10244" width="14.44140625" style="134" customWidth="1"/>
    <col min="10245" max="10245" width="16.33203125" style="134" customWidth="1"/>
    <col min="10246" max="10246" width="14.5546875" style="134" customWidth="1"/>
    <col min="10247" max="10247" width="12.109375" style="134" customWidth="1"/>
    <col min="10248" max="10496" width="8.88671875" style="134"/>
    <col min="10497" max="10497" width="6.44140625" style="134" customWidth="1"/>
    <col min="10498" max="10498" width="27.109375" style="134" customWidth="1"/>
    <col min="10499" max="10499" width="19.88671875" style="134" customWidth="1"/>
    <col min="10500" max="10500" width="14.44140625" style="134" customWidth="1"/>
    <col min="10501" max="10501" width="16.33203125" style="134" customWidth="1"/>
    <col min="10502" max="10502" width="14.5546875" style="134" customWidth="1"/>
    <col min="10503" max="10503" width="12.109375" style="134" customWidth="1"/>
    <col min="10504" max="10752" width="8.88671875" style="134"/>
    <col min="10753" max="10753" width="6.44140625" style="134" customWidth="1"/>
    <col min="10754" max="10754" width="27.109375" style="134" customWidth="1"/>
    <col min="10755" max="10755" width="19.88671875" style="134" customWidth="1"/>
    <col min="10756" max="10756" width="14.44140625" style="134" customWidth="1"/>
    <col min="10757" max="10757" width="16.33203125" style="134" customWidth="1"/>
    <col min="10758" max="10758" width="14.5546875" style="134" customWidth="1"/>
    <col min="10759" max="10759" width="12.109375" style="134" customWidth="1"/>
    <col min="10760" max="11008" width="8.88671875" style="134"/>
    <col min="11009" max="11009" width="6.44140625" style="134" customWidth="1"/>
    <col min="11010" max="11010" width="27.109375" style="134" customWidth="1"/>
    <col min="11011" max="11011" width="19.88671875" style="134" customWidth="1"/>
    <col min="11012" max="11012" width="14.44140625" style="134" customWidth="1"/>
    <col min="11013" max="11013" width="16.33203125" style="134" customWidth="1"/>
    <col min="11014" max="11014" width="14.5546875" style="134" customWidth="1"/>
    <col min="11015" max="11015" width="12.109375" style="134" customWidth="1"/>
    <col min="11016" max="11264" width="8.88671875" style="134"/>
    <col min="11265" max="11265" width="6.44140625" style="134" customWidth="1"/>
    <col min="11266" max="11266" width="27.109375" style="134" customWidth="1"/>
    <col min="11267" max="11267" width="19.88671875" style="134" customWidth="1"/>
    <col min="11268" max="11268" width="14.44140625" style="134" customWidth="1"/>
    <col min="11269" max="11269" width="16.33203125" style="134" customWidth="1"/>
    <col min="11270" max="11270" width="14.5546875" style="134" customWidth="1"/>
    <col min="11271" max="11271" width="12.109375" style="134" customWidth="1"/>
    <col min="11272" max="11520" width="8.88671875" style="134"/>
    <col min="11521" max="11521" width="6.44140625" style="134" customWidth="1"/>
    <col min="11522" max="11522" width="27.109375" style="134" customWidth="1"/>
    <col min="11523" max="11523" width="19.88671875" style="134" customWidth="1"/>
    <col min="11524" max="11524" width="14.44140625" style="134" customWidth="1"/>
    <col min="11525" max="11525" width="16.33203125" style="134" customWidth="1"/>
    <col min="11526" max="11526" width="14.5546875" style="134" customWidth="1"/>
    <col min="11527" max="11527" width="12.109375" style="134" customWidth="1"/>
    <col min="11528" max="11776" width="8.88671875" style="134"/>
    <col min="11777" max="11777" width="6.44140625" style="134" customWidth="1"/>
    <col min="11778" max="11778" width="27.109375" style="134" customWidth="1"/>
    <col min="11779" max="11779" width="19.88671875" style="134" customWidth="1"/>
    <col min="11780" max="11780" width="14.44140625" style="134" customWidth="1"/>
    <col min="11781" max="11781" width="16.33203125" style="134" customWidth="1"/>
    <col min="11782" max="11782" width="14.5546875" style="134" customWidth="1"/>
    <col min="11783" max="11783" width="12.109375" style="134" customWidth="1"/>
    <col min="11784" max="12032" width="8.88671875" style="134"/>
    <col min="12033" max="12033" width="6.44140625" style="134" customWidth="1"/>
    <col min="12034" max="12034" width="27.109375" style="134" customWidth="1"/>
    <col min="12035" max="12035" width="19.88671875" style="134" customWidth="1"/>
    <col min="12036" max="12036" width="14.44140625" style="134" customWidth="1"/>
    <col min="12037" max="12037" width="16.33203125" style="134" customWidth="1"/>
    <col min="12038" max="12038" width="14.5546875" style="134" customWidth="1"/>
    <col min="12039" max="12039" width="12.109375" style="134" customWidth="1"/>
    <col min="12040" max="12288" width="8.88671875" style="134"/>
    <col min="12289" max="12289" width="6.44140625" style="134" customWidth="1"/>
    <col min="12290" max="12290" width="27.109375" style="134" customWidth="1"/>
    <col min="12291" max="12291" width="19.88671875" style="134" customWidth="1"/>
    <col min="12292" max="12292" width="14.44140625" style="134" customWidth="1"/>
    <col min="12293" max="12293" width="16.33203125" style="134" customWidth="1"/>
    <col min="12294" max="12294" width="14.5546875" style="134" customWidth="1"/>
    <col min="12295" max="12295" width="12.109375" style="134" customWidth="1"/>
    <col min="12296" max="12544" width="8.88671875" style="134"/>
    <col min="12545" max="12545" width="6.44140625" style="134" customWidth="1"/>
    <col min="12546" max="12546" width="27.109375" style="134" customWidth="1"/>
    <col min="12547" max="12547" width="19.88671875" style="134" customWidth="1"/>
    <col min="12548" max="12548" width="14.44140625" style="134" customWidth="1"/>
    <col min="12549" max="12549" width="16.33203125" style="134" customWidth="1"/>
    <col min="12550" max="12550" width="14.5546875" style="134" customWidth="1"/>
    <col min="12551" max="12551" width="12.109375" style="134" customWidth="1"/>
    <col min="12552" max="12800" width="8.88671875" style="134"/>
    <col min="12801" max="12801" width="6.44140625" style="134" customWidth="1"/>
    <col min="12802" max="12802" width="27.109375" style="134" customWidth="1"/>
    <col min="12803" max="12803" width="19.88671875" style="134" customWidth="1"/>
    <col min="12804" max="12804" width="14.44140625" style="134" customWidth="1"/>
    <col min="12805" max="12805" width="16.33203125" style="134" customWidth="1"/>
    <col min="12806" max="12806" width="14.5546875" style="134" customWidth="1"/>
    <col min="12807" max="12807" width="12.109375" style="134" customWidth="1"/>
    <col min="12808" max="13056" width="8.88671875" style="134"/>
    <col min="13057" max="13057" width="6.44140625" style="134" customWidth="1"/>
    <col min="13058" max="13058" width="27.109375" style="134" customWidth="1"/>
    <col min="13059" max="13059" width="19.88671875" style="134" customWidth="1"/>
    <col min="13060" max="13060" width="14.44140625" style="134" customWidth="1"/>
    <col min="13061" max="13061" width="16.33203125" style="134" customWidth="1"/>
    <col min="13062" max="13062" width="14.5546875" style="134" customWidth="1"/>
    <col min="13063" max="13063" width="12.109375" style="134" customWidth="1"/>
    <col min="13064" max="13312" width="8.88671875" style="134"/>
    <col min="13313" max="13313" width="6.44140625" style="134" customWidth="1"/>
    <col min="13314" max="13314" width="27.109375" style="134" customWidth="1"/>
    <col min="13315" max="13315" width="19.88671875" style="134" customWidth="1"/>
    <col min="13316" max="13316" width="14.44140625" style="134" customWidth="1"/>
    <col min="13317" max="13317" width="16.33203125" style="134" customWidth="1"/>
    <col min="13318" max="13318" width="14.5546875" style="134" customWidth="1"/>
    <col min="13319" max="13319" width="12.109375" style="134" customWidth="1"/>
    <col min="13320" max="13568" width="8.88671875" style="134"/>
    <col min="13569" max="13569" width="6.44140625" style="134" customWidth="1"/>
    <col min="13570" max="13570" width="27.109375" style="134" customWidth="1"/>
    <col min="13571" max="13571" width="19.88671875" style="134" customWidth="1"/>
    <col min="13572" max="13572" width="14.44140625" style="134" customWidth="1"/>
    <col min="13573" max="13573" width="16.33203125" style="134" customWidth="1"/>
    <col min="13574" max="13574" width="14.5546875" style="134" customWidth="1"/>
    <col min="13575" max="13575" width="12.109375" style="134" customWidth="1"/>
    <col min="13576" max="13824" width="8.88671875" style="134"/>
    <col min="13825" max="13825" width="6.44140625" style="134" customWidth="1"/>
    <col min="13826" max="13826" width="27.109375" style="134" customWidth="1"/>
    <col min="13827" max="13827" width="19.88671875" style="134" customWidth="1"/>
    <col min="13828" max="13828" width="14.44140625" style="134" customWidth="1"/>
    <col min="13829" max="13829" width="16.33203125" style="134" customWidth="1"/>
    <col min="13830" max="13830" width="14.5546875" style="134" customWidth="1"/>
    <col min="13831" max="13831" width="12.109375" style="134" customWidth="1"/>
    <col min="13832" max="14080" width="8.88671875" style="134"/>
    <col min="14081" max="14081" width="6.44140625" style="134" customWidth="1"/>
    <col min="14082" max="14082" width="27.109375" style="134" customWidth="1"/>
    <col min="14083" max="14083" width="19.88671875" style="134" customWidth="1"/>
    <col min="14084" max="14084" width="14.44140625" style="134" customWidth="1"/>
    <col min="14085" max="14085" width="16.33203125" style="134" customWidth="1"/>
    <col min="14086" max="14086" width="14.5546875" style="134" customWidth="1"/>
    <col min="14087" max="14087" width="12.109375" style="134" customWidth="1"/>
    <col min="14088" max="14336" width="8.88671875" style="134"/>
    <col min="14337" max="14337" width="6.44140625" style="134" customWidth="1"/>
    <col min="14338" max="14338" width="27.109375" style="134" customWidth="1"/>
    <col min="14339" max="14339" width="19.88671875" style="134" customWidth="1"/>
    <col min="14340" max="14340" width="14.44140625" style="134" customWidth="1"/>
    <col min="14341" max="14341" width="16.33203125" style="134" customWidth="1"/>
    <col min="14342" max="14342" width="14.5546875" style="134" customWidth="1"/>
    <col min="14343" max="14343" width="12.109375" style="134" customWidth="1"/>
    <col min="14344" max="14592" width="8.88671875" style="134"/>
    <col min="14593" max="14593" width="6.44140625" style="134" customWidth="1"/>
    <col min="14594" max="14594" width="27.109375" style="134" customWidth="1"/>
    <col min="14595" max="14595" width="19.88671875" style="134" customWidth="1"/>
    <col min="14596" max="14596" width="14.44140625" style="134" customWidth="1"/>
    <col min="14597" max="14597" width="16.33203125" style="134" customWidth="1"/>
    <col min="14598" max="14598" width="14.5546875" style="134" customWidth="1"/>
    <col min="14599" max="14599" width="12.109375" style="134" customWidth="1"/>
    <col min="14600" max="14848" width="8.88671875" style="134"/>
    <col min="14849" max="14849" width="6.44140625" style="134" customWidth="1"/>
    <col min="14850" max="14850" width="27.109375" style="134" customWidth="1"/>
    <col min="14851" max="14851" width="19.88671875" style="134" customWidth="1"/>
    <col min="14852" max="14852" width="14.44140625" style="134" customWidth="1"/>
    <col min="14853" max="14853" width="16.33203125" style="134" customWidth="1"/>
    <col min="14854" max="14854" width="14.5546875" style="134" customWidth="1"/>
    <col min="14855" max="14855" width="12.109375" style="134" customWidth="1"/>
    <col min="14856" max="15104" width="8.88671875" style="134"/>
    <col min="15105" max="15105" width="6.44140625" style="134" customWidth="1"/>
    <col min="15106" max="15106" width="27.109375" style="134" customWidth="1"/>
    <col min="15107" max="15107" width="19.88671875" style="134" customWidth="1"/>
    <col min="15108" max="15108" width="14.44140625" style="134" customWidth="1"/>
    <col min="15109" max="15109" width="16.33203125" style="134" customWidth="1"/>
    <col min="15110" max="15110" width="14.5546875" style="134" customWidth="1"/>
    <col min="15111" max="15111" width="12.109375" style="134" customWidth="1"/>
    <col min="15112" max="15360" width="8.88671875" style="134"/>
    <col min="15361" max="15361" width="6.44140625" style="134" customWidth="1"/>
    <col min="15362" max="15362" width="27.109375" style="134" customWidth="1"/>
    <col min="15363" max="15363" width="19.88671875" style="134" customWidth="1"/>
    <col min="15364" max="15364" width="14.44140625" style="134" customWidth="1"/>
    <col min="15365" max="15365" width="16.33203125" style="134" customWidth="1"/>
    <col min="15366" max="15366" width="14.5546875" style="134" customWidth="1"/>
    <col min="15367" max="15367" width="12.109375" style="134" customWidth="1"/>
    <col min="15368" max="15616" width="8.88671875" style="134"/>
    <col min="15617" max="15617" width="6.44140625" style="134" customWidth="1"/>
    <col min="15618" max="15618" width="27.109375" style="134" customWidth="1"/>
    <col min="15619" max="15619" width="19.88671875" style="134" customWidth="1"/>
    <col min="15620" max="15620" width="14.44140625" style="134" customWidth="1"/>
    <col min="15621" max="15621" width="16.33203125" style="134" customWidth="1"/>
    <col min="15622" max="15622" width="14.5546875" style="134" customWidth="1"/>
    <col min="15623" max="15623" width="12.109375" style="134" customWidth="1"/>
    <col min="15624" max="15872" width="8.88671875" style="134"/>
    <col min="15873" max="15873" width="6.44140625" style="134" customWidth="1"/>
    <col min="15874" max="15874" width="27.109375" style="134" customWidth="1"/>
    <col min="15875" max="15875" width="19.88671875" style="134" customWidth="1"/>
    <col min="15876" max="15876" width="14.44140625" style="134" customWidth="1"/>
    <col min="15877" max="15877" width="16.33203125" style="134" customWidth="1"/>
    <col min="15878" max="15878" width="14.5546875" style="134" customWidth="1"/>
    <col min="15879" max="15879" width="12.109375" style="134" customWidth="1"/>
    <col min="15880" max="16128" width="8.88671875" style="134"/>
    <col min="16129" max="16129" width="6.44140625" style="134" customWidth="1"/>
    <col min="16130" max="16130" width="27.109375" style="134" customWidth="1"/>
    <col min="16131" max="16131" width="19.88671875" style="134" customWidth="1"/>
    <col min="16132" max="16132" width="14.44140625" style="134" customWidth="1"/>
    <col min="16133" max="16133" width="16.33203125" style="134" customWidth="1"/>
    <col min="16134" max="16134" width="14.5546875" style="134" customWidth="1"/>
    <col min="16135" max="16135" width="12.109375" style="134" customWidth="1"/>
    <col min="16136" max="16384" width="8.88671875" style="134"/>
  </cols>
  <sheetData>
    <row r="1" spans="1:11">
      <c r="A1" s="131"/>
      <c r="B1" s="131"/>
      <c r="C1" s="131"/>
      <c r="D1" s="131"/>
      <c r="E1" s="132"/>
      <c r="F1" s="286" t="s">
        <v>1079</v>
      </c>
      <c r="G1" s="133"/>
      <c r="H1" s="133"/>
      <c r="I1" s="133"/>
      <c r="J1" s="133"/>
    </row>
    <row r="2" spans="1:11">
      <c r="A2" s="135"/>
      <c r="B2" s="135"/>
      <c r="C2" s="135"/>
      <c r="D2" s="135"/>
      <c r="E2" s="132"/>
      <c r="F2" s="287" t="s">
        <v>1080</v>
      </c>
      <c r="G2" s="133"/>
      <c r="H2" s="133"/>
      <c r="I2" s="133"/>
      <c r="J2" s="133"/>
    </row>
    <row r="3" spans="1:11">
      <c r="A3" s="131"/>
      <c r="B3" s="131"/>
      <c r="C3" s="131"/>
      <c r="D3" s="131"/>
      <c r="E3" s="132"/>
      <c r="F3" s="287" t="s">
        <v>912</v>
      </c>
      <c r="G3" s="133"/>
      <c r="H3" s="133"/>
      <c r="I3" s="133"/>
      <c r="J3" s="133"/>
    </row>
    <row r="4" spans="1:11">
      <c r="A4" s="135"/>
      <c r="B4" s="135"/>
      <c r="C4" s="135"/>
      <c r="D4" s="135"/>
      <c r="E4" s="132"/>
      <c r="F4" s="287" t="s">
        <v>1081</v>
      </c>
      <c r="G4" s="133"/>
      <c r="H4" s="133"/>
      <c r="I4" s="133"/>
      <c r="J4" s="133"/>
    </row>
    <row r="5" spans="1:11">
      <c r="A5" s="131"/>
      <c r="B5" s="131"/>
      <c r="C5" s="131"/>
      <c r="D5" s="131"/>
      <c r="E5" s="132"/>
      <c r="F5" s="135"/>
      <c r="G5" s="133"/>
      <c r="H5" s="133"/>
      <c r="I5" s="133"/>
      <c r="J5" s="133"/>
    </row>
    <row r="6" spans="1:11">
      <c r="A6" s="135"/>
      <c r="B6" s="135"/>
      <c r="C6" s="135"/>
      <c r="D6" s="135"/>
      <c r="E6" s="132"/>
      <c r="F6" s="132"/>
      <c r="G6" s="133"/>
      <c r="H6" s="133"/>
      <c r="I6" s="133"/>
      <c r="J6" s="133"/>
    </row>
    <row r="7" spans="1:11" s="117" customFormat="1">
      <c r="D7" s="332" t="s">
        <v>535</v>
      </c>
      <c r="E7" s="332"/>
      <c r="F7" s="332"/>
      <c r="G7" s="136"/>
      <c r="H7" s="136"/>
      <c r="I7" s="136"/>
      <c r="J7" s="136"/>
    </row>
    <row r="8" spans="1:11" s="117" customFormat="1" ht="13.5" customHeight="1">
      <c r="D8" s="333" t="s">
        <v>982</v>
      </c>
      <c r="E8" s="333"/>
      <c r="F8" s="333"/>
      <c r="G8" s="137"/>
      <c r="H8" s="137"/>
      <c r="I8" s="137"/>
      <c r="J8" s="137"/>
    </row>
    <row r="9" spans="1:11" s="117" customFormat="1" ht="9.75" customHeight="1">
      <c r="D9" s="334" t="s">
        <v>536</v>
      </c>
      <c r="E9" s="334"/>
      <c r="F9" s="334"/>
      <c r="G9" s="138"/>
      <c r="H9" s="138"/>
      <c r="I9" s="138"/>
      <c r="J9" s="138"/>
    </row>
    <row r="10" spans="1:11" s="117" customFormat="1" ht="17.25" customHeight="1">
      <c r="D10" s="139"/>
      <c r="E10" s="139"/>
      <c r="F10" s="121" t="s">
        <v>983</v>
      </c>
      <c r="G10" s="140"/>
      <c r="H10" s="140"/>
      <c r="I10" s="140"/>
      <c r="J10" s="118"/>
      <c r="K10" s="118"/>
    </row>
    <row r="11" spans="1:11" s="117" customFormat="1" ht="13.2">
      <c r="D11" s="331" t="s">
        <v>615</v>
      </c>
      <c r="E11" s="331"/>
      <c r="F11" s="331"/>
      <c r="G11" s="138"/>
      <c r="H11" s="138"/>
      <c r="I11" s="138"/>
      <c r="J11" s="138"/>
    </row>
    <row r="12" spans="1:11" s="117" customFormat="1" ht="5.25" customHeight="1">
      <c r="G12" s="118"/>
      <c r="H12" s="118"/>
      <c r="I12" s="118"/>
      <c r="J12" s="141"/>
    </row>
    <row r="13" spans="1:11" s="117" customFormat="1">
      <c r="E13" s="325" t="s">
        <v>1078</v>
      </c>
      <c r="F13" s="325"/>
      <c r="G13" s="142"/>
      <c r="H13" s="142"/>
      <c r="I13" s="142"/>
      <c r="J13" s="142"/>
    </row>
    <row r="14" spans="1:11">
      <c r="A14" s="143"/>
      <c r="B14" s="143"/>
      <c r="C14" s="143"/>
      <c r="D14" s="143"/>
      <c r="E14" s="132"/>
      <c r="F14" s="132"/>
    </row>
    <row r="15" spans="1:11">
      <c r="A15" s="131"/>
      <c r="B15" s="131"/>
      <c r="C15" s="131"/>
      <c r="D15" s="131"/>
      <c r="E15" s="132"/>
      <c r="F15" s="132"/>
    </row>
    <row r="16" spans="1:11">
      <c r="A16" s="326" t="s">
        <v>276</v>
      </c>
      <c r="B16" s="326"/>
      <c r="C16" s="326"/>
      <c r="D16" s="326"/>
      <c r="E16" s="326"/>
      <c r="F16" s="326"/>
    </row>
    <row r="17" spans="1:6">
      <c r="A17" s="326" t="s">
        <v>986</v>
      </c>
      <c r="B17" s="326"/>
      <c r="C17" s="326"/>
      <c r="D17" s="326"/>
      <c r="E17" s="326"/>
      <c r="F17" s="326"/>
    </row>
    <row r="18" spans="1:6">
      <c r="A18" s="326" t="s">
        <v>987</v>
      </c>
      <c r="B18" s="326"/>
      <c r="C18" s="326"/>
      <c r="D18" s="326"/>
      <c r="E18" s="326"/>
      <c r="F18" s="326"/>
    </row>
    <row r="19" spans="1:6" ht="18.75" customHeight="1">
      <c r="A19" s="131"/>
      <c r="B19" s="131"/>
      <c r="C19" s="327"/>
      <c r="D19" s="327"/>
      <c r="E19" s="132"/>
      <c r="F19" s="132"/>
    </row>
    <row r="20" spans="1:6" ht="14.25" customHeight="1" thickBot="1">
      <c r="A20" s="144"/>
      <c r="B20" s="144"/>
      <c r="C20" s="327" t="s">
        <v>1082</v>
      </c>
      <c r="D20" s="327"/>
      <c r="E20" s="144"/>
      <c r="F20" s="145"/>
    </row>
    <row r="21" spans="1:6" ht="14.4" thickBot="1">
      <c r="A21" s="146"/>
      <c r="B21" s="146"/>
      <c r="C21" s="146"/>
      <c r="D21" s="146"/>
      <c r="E21" s="146"/>
      <c r="F21" s="169" t="s">
        <v>270</v>
      </c>
    </row>
    <row r="22" spans="1:6" ht="14.4" thickBot="1">
      <c r="A22" s="166"/>
      <c r="B22" s="166"/>
      <c r="C22" s="166"/>
      <c r="D22" s="166"/>
      <c r="E22" s="170" t="s">
        <v>273</v>
      </c>
      <c r="F22" s="168">
        <v>44284</v>
      </c>
    </row>
    <row r="23" spans="1:6" ht="16.95" customHeight="1">
      <c r="A23" s="335" t="s">
        <v>616</v>
      </c>
      <c r="B23" s="335"/>
      <c r="C23" s="335"/>
      <c r="D23" s="335"/>
      <c r="E23" s="330" t="s">
        <v>274</v>
      </c>
      <c r="F23" s="328" t="s">
        <v>747</v>
      </c>
    </row>
    <row r="24" spans="1:6" ht="29.4" customHeight="1" thickBot="1">
      <c r="A24" s="324" t="s">
        <v>617</v>
      </c>
      <c r="B24" s="324"/>
      <c r="C24" s="324"/>
      <c r="D24" s="324"/>
      <c r="E24" s="330"/>
      <c r="F24" s="329"/>
    </row>
    <row r="25" spans="1:6" ht="17.399999999999999" customHeight="1" thickBot="1">
      <c r="A25" s="295"/>
      <c r="B25" s="295"/>
      <c r="C25" s="295"/>
      <c r="D25" s="295"/>
      <c r="E25" s="170" t="s">
        <v>275</v>
      </c>
      <c r="F25" s="149" t="s">
        <v>608</v>
      </c>
    </row>
    <row r="26" spans="1:6" ht="34.950000000000003" customHeight="1" thickBot="1">
      <c r="A26" s="295" t="s">
        <v>748</v>
      </c>
      <c r="B26" s="295"/>
      <c r="C26" s="295"/>
      <c r="D26" s="295"/>
      <c r="E26" s="171" t="s">
        <v>274</v>
      </c>
      <c r="F26" s="149" t="s">
        <v>749</v>
      </c>
    </row>
    <row r="27" spans="1:6" ht="16.95" customHeight="1" thickBot="1">
      <c r="A27" s="146"/>
      <c r="B27" s="167"/>
      <c r="C27" s="167"/>
      <c r="D27" s="167"/>
      <c r="E27" s="172" t="s">
        <v>618</v>
      </c>
      <c r="F27" s="43">
        <v>5106050113</v>
      </c>
    </row>
    <row r="28" spans="1:6" ht="21.6" customHeight="1" thickBot="1">
      <c r="A28" s="146"/>
      <c r="B28" s="167"/>
      <c r="C28" s="167"/>
      <c r="D28" s="167"/>
      <c r="E28" s="172" t="s">
        <v>271</v>
      </c>
      <c r="F28" s="43">
        <v>510601001</v>
      </c>
    </row>
    <row r="29" spans="1:6" ht="17.399999999999999" customHeight="1" thickBot="1">
      <c r="A29" s="295" t="s">
        <v>619</v>
      </c>
      <c r="B29" s="295"/>
      <c r="C29" s="295"/>
      <c r="D29" s="295"/>
      <c r="E29" s="172" t="s">
        <v>750</v>
      </c>
      <c r="F29" s="147">
        <v>383</v>
      </c>
    </row>
    <row r="30" spans="1:6" ht="15.75" customHeight="1">
      <c r="A30" s="167"/>
      <c r="B30" s="167"/>
      <c r="C30" s="167"/>
      <c r="D30" s="167"/>
      <c r="E30" s="146"/>
      <c r="F30" s="150"/>
    </row>
    <row r="31" spans="1:6" customFormat="1" ht="14.4">
      <c r="A31" s="293" t="s">
        <v>1084</v>
      </c>
      <c r="B31" s="293"/>
      <c r="C31" s="293"/>
      <c r="D31" s="293"/>
    </row>
    <row r="32" spans="1:6" customFormat="1" ht="13.8" customHeight="1">
      <c r="A32" s="294" t="s">
        <v>1083</v>
      </c>
      <c r="B32" s="294"/>
      <c r="C32" s="294"/>
      <c r="D32" s="294"/>
    </row>
    <row r="33" spans="1:6" ht="15.75" customHeight="1">
      <c r="A33" s="148"/>
      <c r="B33" s="167"/>
      <c r="C33" s="167"/>
      <c r="D33" s="167"/>
      <c r="E33" s="146"/>
      <c r="F33" s="150"/>
    </row>
    <row r="34" spans="1:6" ht="14.4">
      <c r="A34" s="151"/>
      <c r="B34" s="151"/>
      <c r="C34" s="151"/>
      <c r="D34" s="151"/>
    </row>
    <row r="35" spans="1:6" ht="15.75" customHeight="1">
      <c r="A35" s="295" t="s">
        <v>620</v>
      </c>
      <c r="B35" s="295"/>
      <c r="C35" s="295"/>
      <c r="D35" s="295"/>
      <c r="E35" s="146"/>
      <c r="F35" s="150"/>
    </row>
    <row r="36" spans="1:6" ht="21" customHeight="1">
      <c r="A36" s="295" t="s">
        <v>621</v>
      </c>
      <c r="B36" s="295"/>
      <c r="C36" s="295"/>
      <c r="D36" s="295"/>
      <c r="E36" s="295"/>
      <c r="F36" s="150"/>
    </row>
    <row r="37" spans="1:6" ht="15.75" customHeight="1">
      <c r="A37" s="295" t="s">
        <v>622</v>
      </c>
      <c r="B37" s="295"/>
      <c r="C37" s="295"/>
      <c r="D37" s="295"/>
      <c r="E37" s="146"/>
      <c r="F37" s="150"/>
    </row>
    <row r="38" spans="1:6" ht="24" customHeight="1">
      <c r="A38" s="295" t="s">
        <v>621</v>
      </c>
      <c r="B38" s="295"/>
      <c r="C38" s="295"/>
      <c r="D38" s="295"/>
      <c r="E38" s="295"/>
      <c r="F38" s="132"/>
    </row>
    <row r="39" spans="1:6" ht="14.4">
      <c r="A39" s="151"/>
      <c r="B39" s="151"/>
      <c r="C39" s="151"/>
      <c r="D39" s="151"/>
    </row>
    <row r="40" spans="1:6" ht="14.4">
      <c r="A40" s="151"/>
      <c r="B40" s="151"/>
      <c r="C40" s="151"/>
      <c r="D40" s="151"/>
    </row>
    <row r="41" spans="1:6" ht="14.4">
      <c r="A41" s="151"/>
      <c r="B41" s="151"/>
      <c r="C41" s="151"/>
      <c r="D41" s="151"/>
    </row>
    <row r="42" spans="1:6" ht="14.4">
      <c r="A42" s="151"/>
      <c r="B42" s="151"/>
      <c r="C42" s="151"/>
      <c r="D42" s="151"/>
    </row>
    <row r="43" spans="1:6" ht="14.4">
      <c r="A43" s="151"/>
      <c r="B43" s="151"/>
      <c r="C43" s="151"/>
      <c r="D43" s="151"/>
    </row>
    <row r="44" spans="1:6" ht="14.4">
      <c r="A44" s="151"/>
      <c r="B44" s="151"/>
      <c r="C44" s="151"/>
      <c r="D44" s="151"/>
    </row>
    <row r="45" spans="1:6" ht="14.4">
      <c r="A45" s="151"/>
      <c r="B45" s="151"/>
      <c r="C45" s="151"/>
      <c r="D45" s="151"/>
    </row>
    <row r="46" spans="1:6" ht="6" customHeight="1">
      <c r="A46" s="151"/>
      <c r="B46" s="151"/>
      <c r="C46" s="151"/>
      <c r="D46" s="151"/>
    </row>
    <row r="47" spans="1:6" ht="14.4" hidden="1">
      <c r="A47" s="151"/>
      <c r="B47" s="151"/>
      <c r="C47" s="151"/>
      <c r="D47" s="151"/>
    </row>
    <row r="48" spans="1:6" ht="14.4">
      <c r="A48" s="151"/>
      <c r="B48" s="151"/>
      <c r="C48" s="151"/>
      <c r="D48" s="151"/>
    </row>
    <row r="49" spans="1:6" ht="9.75" customHeight="1">
      <c r="A49" s="151"/>
      <c r="B49" s="151"/>
      <c r="C49" s="151"/>
      <c r="D49" s="151"/>
    </row>
    <row r="50" spans="1:6" ht="14.4" hidden="1">
      <c r="A50" s="151"/>
      <c r="B50" s="151"/>
      <c r="C50" s="151"/>
      <c r="D50" s="151"/>
    </row>
    <row r="51" spans="1:6" ht="14.4">
      <c r="A51" s="151"/>
      <c r="B51" s="151"/>
      <c r="C51" s="151"/>
      <c r="D51" s="151"/>
    </row>
    <row r="52" spans="1:6" ht="14.4">
      <c r="A52" s="151"/>
      <c r="B52" s="151"/>
      <c r="C52" s="151"/>
      <c r="D52" s="151"/>
    </row>
    <row r="53" spans="1:6" ht="2.25" customHeight="1">
      <c r="A53" s="151"/>
      <c r="B53" s="151"/>
      <c r="C53" s="151"/>
      <c r="D53" s="151"/>
    </row>
    <row r="54" spans="1:6">
      <c r="A54" s="1142" t="s">
        <v>623</v>
      </c>
      <c r="B54" s="1142"/>
      <c r="C54" s="1142"/>
      <c r="D54" s="1142"/>
      <c r="E54" s="1142"/>
      <c r="F54" s="1142"/>
    </row>
    <row r="55" spans="1:6" ht="14.4">
      <c r="A55" s="1143"/>
      <c r="B55" s="1143"/>
      <c r="C55" s="1143"/>
      <c r="D55" s="1143"/>
      <c r="E55" s="1144"/>
      <c r="F55" s="1144"/>
    </row>
    <row r="56" spans="1:6" ht="19.2" customHeight="1">
      <c r="A56" s="1145" t="s">
        <v>624</v>
      </c>
      <c r="B56" s="1145"/>
      <c r="C56" s="1145"/>
      <c r="D56" s="1145"/>
      <c r="E56" s="1145"/>
      <c r="F56" s="1145"/>
    </row>
    <row r="57" spans="1:6" ht="57" customHeight="1">
      <c r="A57" s="1146" t="s">
        <v>625</v>
      </c>
      <c r="B57" s="1146"/>
      <c r="C57" s="1146"/>
      <c r="D57" s="1146"/>
      <c r="E57" s="1146"/>
      <c r="F57" s="1146"/>
    </row>
    <row r="58" spans="1:6" ht="42" customHeight="1">
      <c r="A58" s="1146"/>
      <c r="B58" s="1146"/>
      <c r="C58" s="1146"/>
      <c r="D58" s="1146"/>
      <c r="E58" s="1146"/>
      <c r="F58" s="1146"/>
    </row>
    <row r="59" spans="1:6" ht="60" customHeight="1">
      <c r="A59" s="1146"/>
      <c r="B59" s="1146"/>
      <c r="C59" s="1146"/>
      <c r="D59" s="1146"/>
      <c r="E59" s="1146"/>
      <c r="F59" s="1146"/>
    </row>
    <row r="60" spans="1:6" ht="62.25" customHeight="1">
      <c r="A60" s="1146"/>
      <c r="B60" s="1146"/>
      <c r="C60" s="1146"/>
      <c r="D60" s="1146"/>
      <c r="E60" s="1146"/>
      <c r="F60" s="1146"/>
    </row>
    <row r="61" spans="1:6" ht="34.5" customHeight="1">
      <c r="A61" s="1146"/>
      <c r="B61" s="1146"/>
      <c r="C61" s="1146"/>
      <c r="D61" s="1146"/>
      <c r="E61" s="1146"/>
      <c r="F61" s="1146"/>
    </row>
    <row r="62" spans="1:6" ht="50.25" customHeight="1">
      <c r="A62" s="1146"/>
      <c r="B62" s="1146"/>
      <c r="C62" s="1146"/>
      <c r="D62" s="1146"/>
      <c r="E62" s="1146"/>
      <c r="F62" s="1146"/>
    </row>
    <row r="63" spans="1:6" ht="68.25" customHeight="1">
      <c r="A63" s="1146"/>
      <c r="B63" s="1146"/>
      <c r="C63" s="1146"/>
      <c r="D63" s="1146"/>
      <c r="E63" s="1146"/>
      <c r="F63" s="1146"/>
    </row>
    <row r="64" spans="1:6" ht="85.95" customHeight="1">
      <c r="A64" s="1146"/>
      <c r="B64" s="1146"/>
      <c r="C64" s="1146"/>
      <c r="D64" s="1146"/>
      <c r="E64" s="1146"/>
      <c r="F64" s="1146"/>
    </row>
    <row r="65" spans="1:6" ht="17.399999999999999" customHeight="1">
      <c r="A65" s="1146"/>
      <c r="B65" s="1146"/>
      <c r="C65" s="1146"/>
      <c r="D65" s="1146"/>
      <c r="E65" s="1146"/>
      <c r="F65" s="1146"/>
    </row>
    <row r="66" spans="1:6" ht="8.4" hidden="1" customHeight="1">
      <c r="A66" s="1146"/>
      <c r="B66" s="1146"/>
      <c r="C66" s="1146"/>
      <c r="D66" s="1146"/>
      <c r="E66" s="1146"/>
      <c r="F66" s="1146"/>
    </row>
    <row r="67" spans="1:6" ht="9.6" hidden="1" customHeight="1">
      <c r="A67" s="1146"/>
      <c r="B67" s="1146"/>
      <c r="C67" s="1146"/>
      <c r="D67" s="1146"/>
      <c r="E67" s="1146"/>
      <c r="F67" s="1146"/>
    </row>
    <row r="68" spans="1:6" ht="19.95" hidden="1" customHeight="1">
      <c r="A68" s="1146"/>
      <c r="B68" s="1146"/>
      <c r="C68" s="1146"/>
      <c r="D68" s="1146"/>
      <c r="E68" s="1146"/>
      <c r="F68" s="1146"/>
    </row>
    <row r="69" spans="1:6" ht="19.95" hidden="1" customHeight="1">
      <c r="A69" s="1147"/>
      <c r="B69" s="1147"/>
      <c r="C69" s="1147"/>
      <c r="D69" s="1147"/>
      <c r="E69" s="1147"/>
      <c r="F69" s="1147"/>
    </row>
    <row r="70" spans="1:6" ht="19.95" hidden="1" customHeight="1">
      <c r="A70" s="1147"/>
      <c r="B70" s="1147"/>
      <c r="C70" s="1147"/>
      <c r="D70" s="1147"/>
      <c r="E70" s="1147"/>
      <c r="F70" s="1147"/>
    </row>
    <row r="71" spans="1:6" ht="19.95" hidden="1" customHeight="1">
      <c r="A71" s="1147"/>
      <c r="B71" s="1147"/>
      <c r="C71" s="1147"/>
      <c r="D71" s="1147"/>
      <c r="E71" s="1147"/>
      <c r="F71" s="1147"/>
    </row>
    <row r="72" spans="1:6" ht="19.95" hidden="1" customHeight="1">
      <c r="A72" s="1147"/>
      <c r="B72" s="1147"/>
      <c r="C72" s="1147"/>
      <c r="D72" s="1147"/>
      <c r="E72" s="1147"/>
      <c r="F72" s="1147"/>
    </row>
    <row r="73" spans="1:6" ht="24" hidden="1" customHeight="1">
      <c r="A73" s="1147"/>
      <c r="B73" s="1147"/>
      <c r="C73" s="1147"/>
      <c r="D73" s="1147"/>
      <c r="E73" s="1147"/>
      <c r="F73" s="1147"/>
    </row>
    <row r="74" spans="1:6" ht="260.39999999999998" hidden="1" customHeight="1">
      <c r="A74" s="1148"/>
      <c r="B74" s="1148"/>
      <c r="C74" s="1148"/>
      <c r="D74" s="1148"/>
      <c r="E74" s="1144"/>
      <c r="F74" s="1144"/>
    </row>
    <row r="75" spans="1:6" ht="16.2" customHeight="1">
      <c r="A75" s="1145" t="s">
        <v>626</v>
      </c>
      <c r="B75" s="1145"/>
      <c r="C75" s="1145"/>
      <c r="D75" s="1145"/>
      <c r="E75" s="1145"/>
      <c r="F75" s="1145"/>
    </row>
    <row r="76" spans="1:6" ht="13.5" customHeight="1">
      <c r="A76" s="1149" t="s">
        <v>627</v>
      </c>
      <c r="B76" s="1149"/>
      <c r="C76" s="1149"/>
      <c r="D76" s="1149"/>
      <c r="E76" s="1150"/>
      <c r="F76" s="1150"/>
    </row>
    <row r="77" spans="1:6" ht="33" customHeight="1">
      <c r="A77" s="1150"/>
      <c r="B77" s="1150"/>
      <c r="C77" s="1150"/>
      <c r="D77" s="1150"/>
      <c r="E77" s="1150"/>
      <c r="F77" s="1150"/>
    </row>
    <row r="78" spans="1:6" ht="32.25" customHeight="1">
      <c r="A78" s="1150"/>
      <c r="B78" s="1150"/>
      <c r="C78" s="1150"/>
      <c r="D78" s="1150"/>
      <c r="E78" s="1150"/>
      <c r="F78" s="1150"/>
    </row>
    <row r="79" spans="1:6" ht="32.25" customHeight="1">
      <c r="A79" s="1150"/>
      <c r="B79" s="1150"/>
      <c r="C79" s="1150"/>
      <c r="D79" s="1150"/>
      <c r="E79" s="1150"/>
      <c r="F79" s="1150"/>
    </row>
    <row r="80" spans="1:6" ht="32.25" customHeight="1">
      <c r="A80" s="1150"/>
      <c r="B80" s="1150"/>
      <c r="C80" s="1150"/>
      <c r="D80" s="1150"/>
      <c r="E80" s="1150"/>
      <c r="F80" s="1150"/>
    </row>
    <row r="81" spans="1:6" ht="32.25" customHeight="1">
      <c r="A81" s="1150"/>
      <c r="B81" s="1150"/>
      <c r="C81" s="1150"/>
      <c r="D81" s="1150"/>
      <c r="E81" s="1150"/>
      <c r="F81" s="1150"/>
    </row>
    <row r="82" spans="1:6" ht="91.2" customHeight="1">
      <c r="A82" s="1150"/>
      <c r="B82" s="1150"/>
      <c r="C82" s="1150"/>
      <c r="D82" s="1150"/>
      <c r="E82" s="1150"/>
      <c r="F82" s="1150"/>
    </row>
    <row r="83" spans="1:6" ht="23.4" customHeight="1">
      <c r="A83" s="1150"/>
      <c r="B83" s="1150"/>
      <c r="C83" s="1150"/>
      <c r="D83" s="1150"/>
      <c r="E83" s="1150"/>
      <c r="F83" s="1150"/>
    </row>
    <row r="84" spans="1:6" ht="74.400000000000006" customHeight="1">
      <c r="A84" s="1150"/>
      <c r="B84" s="1150"/>
      <c r="C84" s="1150"/>
      <c r="D84" s="1150"/>
      <c r="E84" s="1150"/>
      <c r="F84" s="1150"/>
    </row>
    <row r="85" spans="1:6" ht="32.25" customHeight="1">
      <c r="A85" s="1150"/>
      <c r="B85" s="1150"/>
      <c r="C85" s="1150"/>
      <c r="D85" s="1150"/>
      <c r="E85" s="1150"/>
      <c r="F85" s="1150"/>
    </row>
    <row r="86" spans="1:6" ht="27.6" customHeight="1">
      <c r="A86" s="1150"/>
      <c r="B86" s="1150"/>
      <c r="C86" s="1150"/>
      <c r="D86" s="1150"/>
      <c r="E86" s="1150"/>
      <c r="F86" s="1150"/>
    </row>
    <row r="87" spans="1:6" ht="32.25" customHeight="1">
      <c r="A87" s="1150"/>
      <c r="B87" s="1150"/>
      <c r="C87" s="1150"/>
      <c r="D87" s="1150"/>
      <c r="E87" s="1150"/>
      <c r="F87" s="1150"/>
    </row>
    <row r="88" spans="1:6" ht="32.25" customHeight="1">
      <c r="A88" s="1150"/>
      <c r="B88" s="1150"/>
      <c r="C88" s="1150"/>
      <c r="D88" s="1150"/>
      <c r="E88" s="1150"/>
      <c r="F88" s="1150"/>
    </row>
    <row r="89" spans="1:6" ht="17.399999999999999" customHeight="1">
      <c r="A89" s="1150"/>
      <c r="B89" s="1150"/>
      <c r="C89" s="1150"/>
      <c r="D89" s="1150"/>
      <c r="E89" s="1150"/>
      <c r="F89" s="1150"/>
    </row>
    <row r="90" spans="1:6" ht="19.95" customHeight="1">
      <c r="A90" s="1150"/>
      <c r="B90" s="1150"/>
      <c r="C90" s="1150"/>
      <c r="D90" s="1150"/>
      <c r="E90" s="1150"/>
      <c r="F90" s="1150"/>
    </row>
    <row r="91" spans="1:6" ht="32.25" customHeight="1">
      <c r="A91" s="1150"/>
      <c r="B91" s="1150"/>
      <c r="C91" s="1150"/>
      <c r="D91" s="1150"/>
      <c r="E91" s="1150"/>
      <c r="F91" s="1150"/>
    </row>
    <row r="92" spans="1:6" ht="32.25" customHeight="1">
      <c r="A92" s="1150"/>
      <c r="B92" s="1150"/>
      <c r="C92" s="1150"/>
      <c r="D92" s="1150"/>
      <c r="E92" s="1150"/>
      <c r="F92" s="1150"/>
    </row>
    <row r="93" spans="1:6" ht="32.25" customHeight="1">
      <c r="A93" s="1150"/>
      <c r="B93" s="1150"/>
      <c r="C93" s="1150"/>
      <c r="D93" s="1150"/>
      <c r="E93" s="1150"/>
      <c r="F93" s="1150"/>
    </row>
    <row r="94" spans="1:6" ht="16.95" customHeight="1">
      <c r="A94" s="1150"/>
      <c r="B94" s="1150"/>
      <c r="C94" s="1150"/>
      <c r="D94" s="1150"/>
      <c r="E94" s="1150"/>
      <c r="F94" s="1150"/>
    </row>
    <row r="95" spans="1:6" ht="141.6" customHeight="1">
      <c r="A95" s="322" t="s">
        <v>628</v>
      </c>
      <c r="B95" s="322"/>
      <c r="C95" s="322"/>
      <c r="D95" s="322"/>
      <c r="E95" s="323"/>
      <c r="F95" s="323"/>
    </row>
    <row r="96" spans="1:6" ht="51" customHeight="1">
      <c r="A96" s="322"/>
      <c r="B96" s="322"/>
      <c r="C96" s="322"/>
      <c r="D96" s="322"/>
      <c r="E96" s="323"/>
      <c r="F96" s="323"/>
    </row>
    <row r="97" spans="1:6" ht="51" customHeight="1">
      <c r="A97" s="322"/>
      <c r="B97" s="322"/>
      <c r="C97" s="322"/>
      <c r="D97" s="322"/>
      <c r="E97" s="323"/>
      <c r="F97" s="323"/>
    </row>
    <row r="98" spans="1:6" ht="166.2" customHeight="1">
      <c r="A98" s="322"/>
      <c r="B98" s="322"/>
      <c r="C98" s="322"/>
      <c r="D98" s="322"/>
      <c r="E98" s="323"/>
      <c r="F98" s="323"/>
    </row>
    <row r="99" spans="1:6">
      <c r="A99" s="321" t="s">
        <v>629</v>
      </c>
      <c r="B99" s="321"/>
      <c r="C99" s="321"/>
      <c r="D99" s="321"/>
      <c r="E99" s="321"/>
      <c r="F99" s="321"/>
    </row>
    <row r="100" spans="1:6">
      <c r="A100" s="152"/>
      <c r="B100" s="152"/>
      <c r="C100" s="152"/>
      <c r="D100" s="152"/>
      <c r="E100" s="152"/>
      <c r="F100" s="152"/>
    </row>
    <row r="101" spans="1:6" ht="13.5" customHeight="1">
      <c r="A101" s="301" t="s">
        <v>583</v>
      </c>
      <c r="B101" s="301" t="s">
        <v>630</v>
      </c>
      <c r="C101" s="301" t="s">
        <v>219</v>
      </c>
      <c r="D101" s="305" t="s">
        <v>631</v>
      </c>
      <c r="E101" s="305"/>
      <c r="F101" s="153" t="s">
        <v>502</v>
      </c>
    </row>
    <row r="102" spans="1:6">
      <c r="A102" s="301"/>
      <c r="B102" s="301"/>
      <c r="C102" s="301"/>
      <c r="D102" s="154" t="s">
        <v>632</v>
      </c>
      <c r="E102" s="154" t="s">
        <v>633</v>
      </c>
      <c r="F102" s="153" t="s">
        <v>634</v>
      </c>
    </row>
    <row r="103" spans="1:6" ht="16.5" customHeight="1">
      <c r="A103" s="296" t="s">
        <v>635</v>
      </c>
      <c r="B103" s="296"/>
      <c r="C103" s="296"/>
      <c r="D103" s="296"/>
      <c r="E103" s="296"/>
      <c r="F103" s="296"/>
    </row>
    <row r="104" spans="1:6" ht="117" customHeight="1">
      <c r="A104" s="155" t="s">
        <v>452</v>
      </c>
      <c r="B104" s="156" t="s">
        <v>636</v>
      </c>
      <c r="C104" s="154" t="s">
        <v>637</v>
      </c>
      <c r="D104" s="154" t="s">
        <v>632</v>
      </c>
      <c r="E104" s="157" t="s">
        <v>638</v>
      </c>
      <c r="F104" s="154">
        <v>10</v>
      </c>
    </row>
    <row r="105" spans="1:6" ht="22.95" customHeight="1">
      <c r="A105" s="309" t="s">
        <v>454</v>
      </c>
      <c r="B105" s="312" t="s">
        <v>639</v>
      </c>
      <c r="C105" s="315" t="s">
        <v>637</v>
      </c>
      <c r="D105" s="315" t="s">
        <v>632</v>
      </c>
      <c r="E105" s="318" t="s">
        <v>640</v>
      </c>
      <c r="F105" s="154">
        <v>50</v>
      </c>
    </row>
    <row r="106" spans="1:6" ht="22.95" customHeight="1">
      <c r="A106" s="310"/>
      <c r="B106" s="313"/>
      <c r="C106" s="316"/>
      <c r="D106" s="316"/>
      <c r="E106" s="319"/>
      <c r="F106" s="154">
        <v>70</v>
      </c>
    </row>
    <row r="107" spans="1:6" ht="22.95" customHeight="1">
      <c r="A107" s="310"/>
      <c r="B107" s="313"/>
      <c r="C107" s="316"/>
      <c r="D107" s="316"/>
      <c r="E107" s="319"/>
      <c r="F107" s="154">
        <v>100</v>
      </c>
    </row>
    <row r="108" spans="1:6" ht="22.95" customHeight="1">
      <c r="A108" s="310"/>
      <c r="B108" s="313"/>
      <c r="C108" s="316"/>
      <c r="D108" s="316"/>
      <c r="E108" s="319"/>
      <c r="F108" s="154">
        <v>150</v>
      </c>
    </row>
    <row r="109" spans="1:6" ht="22.95" customHeight="1">
      <c r="A109" s="310"/>
      <c r="B109" s="313"/>
      <c r="C109" s="316"/>
      <c r="D109" s="316"/>
      <c r="E109" s="319"/>
      <c r="F109" s="154">
        <v>350</v>
      </c>
    </row>
    <row r="110" spans="1:6" ht="22.95" customHeight="1">
      <c r="A110" s="310"/>
      <c r="B110" s="313"/>
      <c r="C110" s="316"/>
      <c r="D110" s="316"/>
      <c r="E110" s="319"/>
      <c r="F110" s="154">
        <v>400</v>
      </c>
    </row>
    <row r="111" spans="1:6" ht="22.95" customHeight="1">
      <c r="A111" s="311"/>
      <c r="B111" s="314"/>
      <c r="C111" s="317"/>
      <c r="D111" s="317"/>
      <c r="E111" s="320"/>
      <c r="F111" s="154">
        <v>550</v>
      </c>
    </row>
    <row r="112" spans="1:6" ht="16.5" customHeight="1">
      <c r="A112" s="296" t="s">
        <v>641</v>
      </c>
      <c r="B112" s="296"/>
      <c r="C112" s="296"/>
      <c r="D112" s="296"/>
      <c r="E112" s="296"/>
      <c r="F112" s="296"/>
    </row>
    <row r="113" spans="1:6" ht="26.4">
      <c r="A113" s="158" t="s">
        <v>461</v>
      </c>
      <c r="B113" s="159" t="s">
        <v>642</v>
      </c>
      <c r="C113" s="158" t="s">
        <v>643</v>
      </c>
      <c r="D113" s="158" t="s">
        <v>644</v>
      </c>
      <c r="E113" s="158" t="s">
        <v>526</v>
      </c>
      <c r="F113" s="158">
        <v>1200</v>
      </c>
    </row>
    <row r="114" spans="1:6" ht="26.4">
      <c r="A114" s="158" t="s">
        <v>464</v>
      </c>
      <c r="B114" s="159" t="s">
        <v>645</v>
      </c>
      <c r="C114" s="158" t="s">
        <v>646</v>
      </c>
      <c r="D114" s="158" t="s">
        <v>644</v>
      </c>
      <c r="E114" s="158" t="s">
        <v>526</v>
      </c>
      <c r="F114" s="158">
        <v>100</v>
      </c>
    </row>
    <row r="115" spans="1:6" ht="16.5" customHeight="1">
      <c r="A115" s="296" t="s">
        <v>647</v>
      </c>
      <c r="B115" s="296"/>
      <c r="C115" s="296"/>
      <c r="D115" s="296"/>
      <c r="E115" s="296"/>
      <c r="F115" s="296"/>
    </row>
    <row r="116" spans="1:6" ht="26.4">
      <c r="A116" s="158" t="s">
        <v>582</v>
      </c>
      <c r="B116" s="159" t="s">
        <v>648</v>
      </c>
      <c r="C116" s="158" t="s">
        <v>649</v>
      </c>
      <c r="D116" s="158" t="s">
        <v>526</v>
      </c>
      <c r="E116" s="158" t="s">
        <v>526</v>
      </c>
      <c r="F116" s="158">
        <v>5000</v>
      </c>
    </row>
    <row r="117" spans="1:6" ht="52.8">
      <c r="A117" s="158" t="s">
        <v>650</v>
      </c>
      <c r="B117" s="159" t="s">
        <v>651</v>
      </c>
      <c r="C117" s="158" t="s">
        <v>652</v>
      </c>
      <c r="D117" s="158" t="s">
        <v>526</v>
      </c>
      <c r="E117" s="158" t="s">
        <v>633</v>
      </c>
      <c r="F117" s="158">
        <v>15000</v>
      </c>
    </row>
    <row r="118" spans="1:6" ht="52.8">
      <c r="A118" s="160" t="s">
        <v>653</v>
      </c>
      <c r="B118" s="161" t="s">
        <v>654</v>
      </c>
      <c r="C118" s="158" t="s">
        <v>655</v>
      </c>
      <c r="D118" s="158" t="s">
        <v>656</v>
      </c>
      <c r="E118" s="158" t="s">
        <v>657</v>
      </c>
      <c r="F118" s="158">
        <v>30000</v>
      </c>
    </row>
    <row r="119" spans="1:6" ht="39.6">
      <c r="A119" s="160" t="s">
        <v>658</v>
      </c>
      <c r="B119" s="161" t="s">
        <v>659</v>
      </c>
      <c r="C119" s="158" t="s">
        <v>660</v>
      </c>
      <c r="D119" s="158"/>
      <c r="E119" s="158" t="s">
        <v>661</v>
      </c>
      <c r="F119" s="158">
        <v>7000</v>
      </c>
    </row>
    <row r="120" spans="1:6" ht="31.95" customHeight="1">
      <c r="A120" s="297" t="s">
        <v>662</v>
      </c>
      <c r="B120" s="306" t="s">
        <v>663</v>
      </c>
      <c r="C120" s="300" t="s">
        <v>652</v>
      </c>
      <c r="D120" s="158" t="s">
        <v>664</v>
      </c>
      <c r="E120" s="300" t="s">
        <v>526</v>
      </c>
      <c r="F120" s="307">
        <v>5000</v>
      </c>
    </row>
    <row r="121" spans="1:6" ht="33.6" customHeight="1">
      <c r="A121" s="297"/>
      <c r="B121" s="306"/>
      <c r="C121" s="300"/>
      <c r="D121" s="158" t="s">
        <v>665</v>
      </c>
      <c r="E121" s="300"/>
      <c r="F121" s="308"/>
    </row>
    <row r="122" spans="1:6" ht="16.5" customHeight="1">
      <c r="A122" s="296" t="s">
        <v>666</v>
      </c>
      <c r="B122" s="296"/>
      <c r="C122" s="296"/>
      <c r="D122" s="296"/>
      <c r="E122" s="296"/>
      <c r="F122" s="296"/>
    </row>
    <row r="123" spans="1:6" ht="26.4">
      <c r="A123" s="160" t="s">
        <v>667</v>
      </c>
      <c r="B123" s="159" t="s">
        <v>668</v>
      </c>
      <c r="C123" s="158" t="s">
        <v>669</v>
      </c>
      <c r="D123" s="158" t="s">
        <v>526</v>
      </c>
      <c r="E123" s="158" t="s">
        <v>526</v>
      </c>
      <c r="F123" s="158">
        <v>1000</v>
      </c>
    </row>
    <row r="124" spans="1:6">
      <c r="A124" s="297" t="s">
        <v>670</v>
      </c>
      <c r="B124" s="306" t="s">
        <v>671</v>
      </c>
      <c r="C124" s="158" t="s">
        <v>672</v>
      </c>
      <c r="D124" s="300" t="s">
        <v>632</v>
      </c>
      <c r="E124" s="300" t="s">
        <v>526</v>
      </c>
      <c r="F124" s="300">
        <v>220</v>
      </c>
    </row>
    <row r="125" spans="1:6">
      <c r="A125" s="297"/>
      <c r="B125" s="306"/>
      <c r="C125" s="158" t="s">
        <v>673</v>
      </c>
      <c r="D125" s="300"/>
      <c r="E125" s="300"/>
      <c r="F125" s="300"/>
    </row>
    <row r="126" spans="1:6" ht="66.599999999999994" customHeight="1">
      <c r="A126" s="160" t="s">
        <v>674</v>
      </c>
      <c r="B126" s="159" t="s">
        <v>675</v>
      </c>
      <c r="C126" s="158" t="s">
        <v>676</v>
      </c>
      <c r="D126" s="158" t="s">
        <v>677</v>
      </c>
      <c r="E126" s="158" t="s">
        <v>526</v>
      </c>
      <c r="F126" s="158">
        <v>1000</v>
      </c>
    </row>
    <row r="127" spans="1:6" ht="13.5" customHeight="1">
      <c r="A127" s="301" t="s">
        <v>583</v>
      </c>
      <c r="B127" s="301" t="s">
        <v>630</v>
      </c>
      <c r="C127" s="301" t="s">
        <v>219</v>
      </c>
      <c r="D127" s="305" t="s">
        <v>631</v>
      </c>
      <c r="E127" s="305"/>
      <c r="F127" s="153" t="s">
        <v>502</v>
      </c>
    </row>
    <row r="128" spans="1:6">
      <c r="A128" s="301"/>
      <c r="B128" s="301"/>
      <c r="C128" s="301"/>
      <c r="D128" s="154" t="s">
        <v>632</v>
      </c>
      <c r="E128" s="154" t="s">
        <v>633</v>
      </c>
      <c r="F128" s="153" t="s">
        <v>634</v>
      </c>
    </row>
    <row r="129" spans="1:6" ht="17.399999999999999" customHeight="1">
      <c r="A129" s="297" t="s">
        <v>678</v>
      </c>
      <c r="B129" s="306" t="s">
        <v>679</v>
      </c>
      <c r="C129" s="158" t="s">
        <v>669</v>
      </c>
      <c r="D129" s="158" t="s">
        <v>680</v>
      </c>
      <c r="E129" s="158" t="s">
        <v>681</v>
      </c>
      <c r="F129" s="158">
        <v>1500</v>
      </c>
    </row>
    <row r="130" spans="1:6" ht="27" customHeight="1">
      <c r="A130" s="297"/>
      <c r="B130" s="306"/>
      <c r="C130" s="158" t="s">
        <v>669</v>
      </c>
      <c r="D130" s="158"/>
      <c r="E130" s="158" t="s">
        <v>682</v>
      </c>
      <c r="F130" s="158">
        <v>1500</v>
      </c>
    </row>
    <row r="131" spans="1:6" ht="12.75" customHeight="1">
      <c r="A131" s="297" t="s">
        <v>683</v>
      </c>
      <c r="B131" s="159" t="s">
        <v>684</v>
      </c>
      <c r="C131" s="298" t="s">
        <v>685</v>
      </c>
      <c r="D131" s="300" t="s">
        <v>686</v>
      </c>
      <c r="E131" s="300" t="s">
        <v>526</v>
      </c>
      <c r="F131" s="298">
        <v>50</v>
      </c>
    </row>
    <row r="132" spans="1:6">
      <c r="A132" s="297"/>
      <c r="B132" s="159" t="s">
        <v>687</v>
      </c>
      <c r="C132" s="299"/>
      <c r="D132" s="300"/>
      <c r="E132" s="300"/>
      <c r="F132" s="299"/>
    </row>
    <row r="133" spans="1:6">
      <c r="A133" s="297"/>
      <c r="B133" s="159" t="s">
        <v>688</v>
      </c>
      <c r="C133" s="158" t="s">
        <v>685</v>
      </c>
      <c r="D133" s="300"/>
      <c r="E133" s="300"/>
      <c r="F133" s="158">
        <v>70</v>
      </c>
    </row>
    <row r="134" spans="1:6">
      <c r="A134" s="297"/>
      <c r="B134" s="159" t="s">
        <v>689</v>
      </c>
      <c r="C134" s="158" t="s">
        <v>685</v>
      </c>
      <c r="D134" s="300"/>
      <c r="E134" s="300"/>
      <c r="F134" s="158">
        <v>90</v>
      </c>
    </row>
    <row r="135" spans="1:6">
      <c r="A135" s="297"/>
      <c r="B135" s="159" t="s">
        <v>690</v>
      </c>
      <c r="C135" s="158" t="s">
        <v>685</v>
      </c>
      <c r="D135" s="300"/>
      <c r="E135" s="300"/>
      <c r="F135" s="158">
        <v>120</v>
      </c>
    </row>
    <row r="136" spans="1:6">
      <c r="A136" s="297"/>
      <c r="B136" s="159" t="s">
        <v>691</v>
      </c>
      <c r="C136" s="158" t="s">
        <v>685</v>
      </c>
      <c r="D136" s="300"/>
      <c r="E136" s="300"/>
      <c r="F136" s="158">
        <v>200</v>
      </c>
    </row>
    <row r="137" spans="1:6">
      <c r="A137" s="297" t="s">
        <v>692</v>
      </c>
      <c r="B137" s="159" t="s">
        <v>693</v>
      </c>
      <c r="C137" s="298" t="s">
        <v>685</v>
      </c>
      <c r="D137" s="300" t="s">
        <v>632</v>
      </c>
      <c r="E137" s="300" t="s">
        <v>526</v>
      </c>
      <c r="F137" s="298">
        <v>50</v>
      </c>
    </row>
    <row r="138" spans="1:6">
      <c r="A138" s="297"/>
      <c r="B138" s="159" t="s">
        <v>694</v>
      </c>
      <c r="C138" s="299"/>
      <c r="D138" s="300"/>
      <c r="E138" s="300"/>
      <c r="F138" s="299"/>
    </row>
    <row r="139" spans="1:6">
      <c r="A139" s="297"/>
      <c r="B139" s="159" t="s">
        <v>695</v>
      </c>
      <c r="C139" s="158" t="s">
        <v>685</v>
      </c>
      <c r="D139" s="300"/>
      <c r="E139" s="300"/>
      <c r="F139" s="158">
        <v>100</v>
      </c>
    </row>
    <row r="140" spans="1:6">
      <c r="A140" s="297"/>
      <c r="B140" s="159" t="s">
        <v>696</v>
      </c>
      <c r="C140" s="158" t="s">
        <v>685</v>
      </c>
      <c r="D140" s="300"/>
      <c r="E140" s="300"/>
      <c r="F140" s="158">
        <v>130</v>
      </c>
    </row>
    <row r="141" spans="1:6">
      <c r="A141" s="160" t="s">
        <v>697</v>
      </c>
      <c r="B141" s="159" t="s">
        <v>698</v>
      </c>
      <c r="C141" s="158" t="s">
        <v>699</v>
      </c>
      <c r="D141" s="158" t="s">
        <v>526</v>
      </c>
      <c r="E141" s="158" t="s">
        <v>700</v>
      </c>
      <c r="F141" s="158">
        <v>1500</v>
      </c>
    </row>
    <row r="142" spans="1:6" ht="26.4">
      <c r="A142" s="160" t="s">
        <v>701</v>
      </c>
      <c r="B142" s="159" t="s">
        <v>702</v>
      </c>
      <c r="C142" s="158" t="s">
        <v>699</v>
      </c>
      <c r="D142" s="158" t="s">
        <v>703</v>
      </c>
      <c r="E142" s="158" t="s">
        <v>526</v>
      </c>
      <c r="F142" s="158">
        <v>2000</v>
      </c>
    </row>
    <row r="143" spans="1:6" ht="26.4">
      <c r="A143" s="160" t="s">
        <v>704</v>
      </c>
      <c r="B143" s="159" t="s">
        <v>705</v>
      </c>
      <c r="C143" s="162" t="s">
        <v>699</v>
      </c>
      <c r="D143" s="162" t="s">
        <v>706</v>
      </c>
      <c r="E143" s="162" t="s">
        <v>526</v>
      </c>
      <c r="F143" s="162">
        <v>15000</v>
      </c>
    </row>
    <row r="144" spans="1:6">
      <c r="A144" s="297" t="s">
        <v>707</v>
      </c>
      <c r="B144" s="159" t="s">
        <v>708</v>
      </c>
      <c r="C144" s="302" t="s">
        <v>669</v>
      </c>
      <c r="D144" s="303" t="s">
        <v>680</v>
      </c>
      <c r="E144" s="300" t="s">
        <v>526</v>
      </c>
      <c r="F144" s="302">
        <v>600</v>
      </c>
    </row>
    <row r="145" spans="1:6">
      <c r="A145" s="297"/>
      <c r="B145" s="159" t="s">
        <v>709</v>
      </c>
      <c r="C145" s="302"/>
      <c r="D145" s="303"/>
      <c r="E145" s="300"/>
      <c r="F145" s="302"/>
    </row>
    <row r="146" spans="1:6">
      <c r="A146" s="297"/>
      <c r="B146" s="159" t="s">
        <v>710</v>
      </c>
      <c r="C146" s="158" t="s">
        <v>711</v>
      </c>
      <c r="D146" s="303"/>
      <c r="E146" s="300"/>
      <c r="F146" s="158">
        <v>400</v>
      </c>
    </row>
    <row r="147" spans="1:6">
      <c r="A147" s="160" t="s">
        <v>712</v>
      </c>
      <c r="B147" s="159" t="s">
        <v>713</v>
      </c>
      <c r="C147" s="158" t="s">
        <v>669</v>
      </c>
      <c r="D147" s="162" t="s">
        <v>632</v>
      </c>
      <c r="E147" s="158" t="s">
        <v>526</v>
      </c>
      <c r="F147" s="158">
        <v>200</v>
      </c>
    </row>
    <row r="148" spans="1:6">
      <c r="A148" s="160" t="s">
        <v>714</v>
      </c>
      <c r="B148" s="159" t="s">
        <v>715</v>
      </c>
      <c r="C148" s="158" t="s">
        <v>716</v>
      </c>
      <c r="D148" s="162" t="s">
        <v>632</v>
      </c>
      <c r="E148" s="158" t="s">
        <v>526</v>
      </c>
      <c r="F148" s="158">
        <v>250</v>
      </c>
    </row>
    <row r="149" spans="1:6">
      <c r="A149" s="163" t="s">
        <v>717</v>
      </c>
      <c r="B149" s="159" t="s">
        <v>718</v>
      </c>
      <c r="C149" s="158" t="s">
        <v>719</v>
      </c>
      <c r="D149" s="162" t="s">
        <v>632</v>
      </c>
      <c r="E149" s="158" t="s">
        <v>526</v>
      </c>
      <c r="F149" s="158">
        <v>200</v>
      </c>
    </row>
    <row r="150" spans="1:6">
      <c r="A150" s="163" t="s">
        <v>720</v>
      </c>
      <c r="B150" s="159" t="s">
        <v>721</v>
      </c>
      <c r="C150" s="158" t="s">
        <v>669</v>
      </c>
      <c r="D150" s="162" t="s">
        <v>526</v>
      </c>
      <c r="E150" s="158" t="s">
        <v>722</v>
      </c>
      <c r="F150" s="158">
        <v>50</v>
      </c>
    </row>
    <row r="151" spans="1:6">
      <c r="A151" s="163" t="s">
        <v>723</v>
      </c>
      <c r="B151" s="159" t="s">
        <v>724</v>
      </c>
      <c r="C151" s="158" t="s">
        <v>725</v>
      </c>
      <c r="D151" s="162" t="s">
        <v>632</v>
      </c>
      <c r="E151" s="158" t="s">
        <v>526</v>
      </c>
      <c r="F151" s="158" t="s">
        <v>726</v>
      </c>
    </row>
    <row r="152" spans="1:6">
      <c r="A152" s="163" t="s">
        <v>727</v>
      </c>
      <c r="B152" s="159" t="s">
        <v>728</v>
      </c>
      <c r="C152" s="158" t="s">
        <v>725</v>
      </c>
      <c r="D152" s="162" t="s">
        <v>632</v>
      </c>
      <c r="E152" s="158" t="s">
        <v>526</v>
      </c>
      <c r="F152" s="158" t="s">
        <v>726</v>
      </c>
    </row>
    <row r="153" spans="1:6" ht="26.4">
      <c r="A153" s="304" t="s">
        <v>729</v>
      </c>
      <c r="B153" s="159" t="s">
        <v>730</v>
      </c>
      <c r="C153" s="302" t="s">
        <v>685</v>
      </c>
      <c r="D153" s="303" t="s">
        <v>632</v>
      </c>
      <c r="E153" s="302" t="s">
        <v>526</v>
      </c>
      <c r="F153" s="302">
        <v>200</v>
      </c>
    </row>
    <row r="154" spans="1:6">
      <c r="A154" s="304"/>
      <c r="B154" s="159" t="s">
        <v>731</v>
      </c>
      <c r="C154" s="302"/>
      <c r="D154" s="303"/>
      <c r="E154" s="302"/>
      <c r="F154" s="302"/>
    </row>
    <row r="155" spans="1:6">
      <c r="A155" s="304"/>
      <c r="B155" s="159" t="s">
        <v>732</v>
      </c>
      <c r="C155" s="158" t="s">
        <v>685</v>
      </c>
      <c r="D155" s="303"/>
      <c r="E155" s="302"/>
      <c r="F155" s="158">
        <v>100</v>
      </c>
    </row>
    <row r="156" spans="1:6">
      <c r="A156" s="163" t="s">
        <v>733</v>
      </c>
      <c r="B156" s="159" t="s">
        <v>734</v>
      </c>
      <c r="C156" s="158" t="s">
        <v>699</v>
      </c>
      <c r="D156" s="162" t="s">
        <v>632</v>
      </c>
      <c r="E156" s="158" t="s">
        <v>526</v>
      </c>
      <c r="F156" s="158">
        <v>5000</v>
      </c>
    </row>
    <row r="157" spans="1:6" ht="16.5" customHeight="1">
      <c r="A157" s="296" t="s">
        <v>735</v>
      </c>
      <c r="B157" s="296"/>
      <c r="C157" s="296"/>
      <c r="D157" s="296"/>
      <c r="E157" s="296"/>
      <c r="F157" s="296"/>
    </row>
    <row r="158" spans="1:6" ht="25.5" customHeight="1">
      <c r="A158" s="158" t="s">
        <v>736</v>
      </c>
      <c r="B158" s="161" t="s">
        <v>737</v>
      </c>
      <c r="C158" s="158" t="s">
        <v>685</v>
      </c>
      <c r="D158" s="158" t="s">
        <v>632</v>
      </c>
      <c r="E158" s="158" t="s">
        <v>526</v>
      </c>
      <c r="F158" s="158">
        <v>600</v>
      </c>
    </row>
    <row r="159" spans="1:6" ht="43.2" customHeight="1">
      <c r="A159" s="158" t="s">
        <v>738</v>
      </c>
      <c r="B159" s="161" t="s">
        <v>739</v>
      </c>
      <c r="C159" s="158" t="s">
        <v>685</v>
      </c>
      <c r="D159" s="158" t="s">
        <v>686</v>
      </c>
      <c r="E159" s="158" t="s">
        <v>526</v>
      </c>
      <c r="F159" s="158">
        <v>350</v>
      </c>
    </row>
    <row r="160" spans="1:6" ht="25.5" customHeight="1">
      <c r="A160" s="300" t="s">
        <v>740</v>
      </c>
      <c r="B160" s="159" t="s">
        <v>741</v>
      </c>
      <c r="C160" s="298" t="s">
        <v>685</v>
      </c>
      <c r="D160" s="300" t="s">
        <v>686</v>
      </c>
      <c r="E160" s="300" t="s">
        <v>526</v>
      </c>
      <c r="F160" s="298">
        <v>50</v>
      </c>
    </row>
    <row r="161" spans="1:7">
      <c r="A161" s="300"/>
      <c r="B161" s="159" t="s">
        <v>742</v>
      </c>
      <c r="C161" s="299"/>
      <c r="D161" s="300"/>
      <c r="E161" s="300"/>
      <c r="F161" s="299"/>
    </row>
    <row r="162" spans="1:7">
      <c r="A162" s="300"/>
      <c r="B162" s="159" t="s">
        <v>743</v>
      </c>
      <c r="C162" s="158" t="s">
        <v>744</v>
      </c>
      <c r="D162" s="300"/>
      <c r="E162" s="300"/>
      <c r="F162" s="158">
        <v>100</v>
      </c>
    </row>
    <row r="163" spans="1:7" ht="25.5" customHeight="1">
      <c r="A163" s="300" t="s">
        <v>745</v>
      </c>
      <c r="B163" s="159" t="s">
        <v>746</v>
      </c>
      <c r="C163" s="298" t="s">
        <v>685</v>
      </c>
      <c r="D163" s="300" t="s">
        <v>686</v>
      </c>
      <c r="E163" s="300" t="s">
        <v>526</v>
      </c>
      <c r="F163" s="298">
        <v>120</v>
      </c>
    </row>
    <row r="164" spans="1:7">
      <c r="A164" s="300"/>
      <c r="B164" s="159" t="s">
        <v>742</v>
      </c>
      <c r="C164" s="299"/>
      <c r="D164" s="300"/>
      <c r="E164" s="300"/>
      <c r="F164" s="299"/>
    </row>
    <row r="165" spans="1:7">
      <c r="A165" s="300"/>
      <c r="B165" s="159" t="s">
        <v>743</v>
      </c>
      <c r="C165" s="158" t="s">
        <v>744</v>
      </c>
      <c r="D165" s="300"/>
      <c r="E165" s="300"/>
      <c r="F165" s="158">
        <v>200</v>
      </c>
    </row>
    <row r="166" spans="1:7" ht="14.4">
      <c r="A166" s="164"/>
      <c r="B166" s="164"/>
      <c r="C166" s="164"/>
      <c r="D166" s="164"/>
      <c r="E166" s="164"/>
      <c r="F166" s="164"/>
      <c r="G166" s="164"/>
    </row>
    <row r="167" spans="1:7">
      <c r="A167" s="165"/>
    </row>
  </sheetData>
  <mergeCells count="90">
    <mergeCell ref="D11:F11"/>
    <mergeCell ref="D7:F7"/>
    <mergeCell ref="D8:F8"/>
    <mergeCell ref="D9:F9"/>
    <mergeCell ref="A23:D23"/>
    <mergeCell ref="A29:D29"/>
    <mergeCell ref="A24:D24"/>
    <mergeCell ref="E13:F13"/>
    <mergeCell ref="A16:F16"/>
    <mergeCell ref="A17:F17"/>
    <mergeCell ref="A18:F18"/>
    <mergeCell ref="C19:D19"/>
    <mergeCell ref="C20:D20"/>
    <mergeCell ref="F23:F24"/>
    <mergeCell ref="E23:E24"/>
    <mergeCell ref="A25:D25"/>
    <mergeCell ref="A26:D26"/>
    <mergeCell ref="A101:A102"/>
    <mergeCell ref="B101:B102"/>
    <mergeCell ref="C101:C102"/>
    <mergeCell ref="D101:E101"/>
    <mergeCell ref="A54:F54"/>
    <mergeCell ref="A56:F56"/>
    <mergeCell ref="A57:F68"/>
    <mergeCell ref="A75:F75"/>
    <mergeCell ref="A76:F94"/>
    <mergeCell ref="A95:F98"/>
    <mergeCell ref="A99:F99"/>
    <mergeCell ref="A103:F103"/>
    <mergeCell ref="A105:A111"/>
    <mergeCell ref="B105:B111"/>
    <mergeCell ref="C105:C111"/>
    <mergeCell ref="D105:D111"/>
    <mergeCell ref="E105:E111"/>
    <mergeCell ref="A112:F112"/>
    <mergeCell ref="A115:F115"/>
    <mergeCell ref="A120:A121"/>
    <mergeCell ref="B120:B121"/>
    <mergeCell ref="C120:C121"/>
    <mergeCell ref="E120:E121"/>
    <mergeCell ref="F120:F121"/>
    <mergeCell ref="A129:A130"/>
    <mergeCell ref="B129:B130"/>
    <mergeCell ref="A122:F122"/>
    <mergeCell ref="A124:A125"/>
    <mergeCell ref="B124:B125"/>
    <mergeCell ref="D124:D125"/>
    <mergeCell ref="E124:E125"/>
    <mergeCell ref="F124:F125"/>
    <mergeCell ref="D160:D162"/>
    <mergeCell ref="E160:E162"/>
    <mergeCell ref="F160:F161"/>
    <mergeCell ref="A144:A146"/>
    <mergeCell ref="C144:C145"/>
    <mergeCell ref="D144:D146"/>
    <mergeCell ref="E144:E146"/>
    <mergeCell ref="F144:F145"/>
    <mergeCell ref="A153:A155"/>
    <mergeCell ref="C153:C154"/>
    <mergeCell ref="D153:D155"/>
    <mergeCell ref="E153:E155"/>
    <mergeCell ref="F153:F154"/>
    <mergeCell ref="A160:A162"/>
    <mergeCell ref="C160:C161"/>
    <mergeCell ref="A163:A165"/>
    <mergeCell ref="C163:C164"/>
    <mergeCell ref="D163:D165"/>
    <mergeCell ref="E163:E165"/>
    <mergeCell ref="F163:F164"/>
    <mergeCell ref="A38:E38"/>
    <mergeCell ref="A157:F157"/>
    <mergeCell ref="A131:A136"/>
    <mergeCell ref="C131:C132"/>
    <mergeCell ref="D131:D136"/>
    <mergeCell ref="E131:E136"/>
    <mergeCell ref="F131:F132"/>
    <mergeCell ref="A137:A140"/>
    <mergeCell ref="C137:C138"/>
    <mergeCell ref="D137:D140"/>
    <mergeCell ref="E137:E140"/>
    <mergeCell ref="F137:F138"/>
    <mergeCell ref="A127:A128"/>
    <mergeCell ref="B127:B128"/>
    <mergeCell ref="C127:C128"/>
    <mergeCell ref="D127:E127"/>
    <mergeCell ref="A31:D31"/>
    <mergeCell ref="A32:D32"/>
    <mergeCell ref="A35:D35"/>
    <mergeCell ref="A36:E36"/>
    <mergeCell ref="A37:D37"/>
  </mergeCells>
  <pageMargins left="0.70866141732283472" right="0.51181102362204722" top="0.59055118110236227" bottom="0.32333333333333331" header="0" footer="0"/>
  <pageSetup paperSize="9" scale="97" orientation="portrait" blackAndWhite="1" r:id="rId1"/>
  <rowBreaks count="3" manualBreakCount="3">
    <brk id="53" max="16383" man="1"/>
    <brk id="82" max="5" man="1"/>
    <brk id="98" max="5"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CU65"/>
  <sheetViews>
    <sheetView view="pageBreakPreview" topLeftCell="A43" zoomScaleSheetLayoutView="100" workbookViewId="0">
      <selection activeCell="A57" sqref="A57"/>
    </sheetView>
  </sheetViews>
  <sheetFormatPr defaultColWidth="1.109375" defaultRowHeight="13.2"/>
  <cols>
    <col min="1" max="1" width="3.6640625" style="190" customWidth="1"/>
    <col min="2" max="55" width="1.109375" style="190"/>
    <col min="56" max="56" width="4" style="190" customWidth="1"/>
    <col min="57" max="79" width="1.109375" style="190"/>
    <col min="80" max="80" width="3.5546875" style="190" customWidth="1"/>
    <col min="81" max="81" width="2.109375" style="190" customWidth="1"/>
    <col min="82" max="95" width="1.109375" style="190"/>
    <col min="96" max="96" width="16.33203125" style="190" hidden="1" customWidth="1"/>
    <col min="97" max="97" width="1.109375" style="190"/>
    <col min="98" max="98" width="19.6640625" style="190" customWidth="1"/>
    <col min="99" max="99" width="30.109375" style="190" customWidth="1"/>
    <col min="100" max="256" width="1.109375" style="190"/>
    <col min="257" max="257" width="3.6640625" style="190" customWidth="1"/>
    <col min="258" max="311" width="1.109375" style="190"/>
    <col min="312" max="312" width="4" style="190" customWidth="1"/>
    <col min="313" max="335" width="1.109375" style="190"/>
    <col min="336" max="336" width="3.5546875" style="190" customWidth="1"/>
    <col min="337" max="337" width="2.109375" style="190" customWidth="1"/>
    <col min="338" max="351" width="1.109375" style="190"/>
    <col min="352" max="352" width="0" style="190" hidden="1" customWidth="1"/>
    <col min="353" max="353" width="1.109375" style="190"/>
    <col min="354" max="354" width="19.6640625" style="190" customWidth="1"/>
    <col min="355" max="355" width="30.109375" style="190" customWidth="1"/>
    <col min="356" max="512" width="1.109375" style="190"/>
    <col min="513" max="513" width="3.6640625" style="190" customWidth="1"/>
    <col min="514" max="567" width="1.109375" style="190"/>
    <col min="568" max="568" width="4" style="190" customWidth="1"/>
    <col min="569" max="591" width="1.109375" style="190"/>
    <col min="592" max="592" width="3.5546875" style="190" customWidth="1"/>
    <col min="593" max="593" width="2.109375" style="190" customWidth="1"/>
    <col min="594" max="607" width="1.109375" style="190"/>
    <col min="608" max="608" width="0" style="190" hidden="1" customWidth="1"/>
    <col min="609" max="609" width="1.109375" style="190"/>
    <col min="610" max="610" width="19.6640625" style="190" customWidth="1"/>
    <col min="611" max="611" width="30.109375" style="190" customWidth="1"/>
    <col min="612" max="768" width="1.109375" style="190"/>
    <col min="769" max="769" width="3.6640625" style="190" customWidth="1"/>
    <col min="770" max="823" width="1.109375" style="190"/>
    <col min="824" max="824" width="4" style="190" customWidth="1"/>
    <col min="825" max="847" width="1.109375" style="190"/>
    <col min="848" max="848" width="3.5546875" style="190" customWidth="1"/>
    <col min="849" max="849" width="2.109375" style="190" customWidth="1"/>
    <col min="850" max="863" width="1.109375" style="190"/>
    <col min="864" max="864" width="0" style="190" hidden="1" customWidth="1"/>
    <col min="865" max="865" width="1.109375" style="190"/>
    <col min="866" max="866" width="19.6640625" style="190" customWidth="1"/>
    <col min="867" max="867" width="30.109375" style="190" customWidth="1"/>
    <col min="868" max="1024" width="1.109375" style="190"/>
    <col min="1025" max="1025" width="3.6640625" style="190" customWidth="1"/>
    <col min="1026" max="1079" width="1.109375" style="190"/>
    <col min="1080" max="1080" width="4" style="190" customWidth="1"/>
    <col min="1081" max="1103" width="1.109375" style="190"/>
    <col min="1104" max="1104" width="3.5546875" style="190" customWidth="1"/>
    <col min="1105" max="1105" width="2.109375" style="190" customWidth="1"/>
    <col min="1106" max="1119" width="1.109375" style="190"/>
    <col min="1120" max="1120" width="0" style="190" hidden="1" customWidth="1"/>
    <col min="1121" max="1121" width="1.109375" style="190"/>
    <col min="1122" max="1122" width="19.6640625" style="190" customWidth="1"/>
    <col min="1123" max="1123" width="30.109375" style="190" customWidth="1"/>
    <col min="1124" max="1280" width="1.109375" style="190"/>
    <col min="1281" max="1281" width="3.6640625" style="190" customWidth="1"/>
    <col min="1282" max="1335" width="1.109375" style="190"/>
    <col min="1336" max="1336" width="4" style="190" customWidth="1"/>
    <col min="1337" max="1359" width="1.109375" style="190"/>
    <col min="1360" max="1360" width="3.5546875" style="190" customWidth="1"/>
    <col min="1361" max="1361" width="2.109375" style="190" customWidth="1"/>
    <col min="1362" max="1375" width="1.109375" style="190"/>
    <col min="1376" max="1376" width="0" style="190" hidden="1" customWidth="1"/>
    <col min="1377" max="1377" width="1.109375" style="190"/>
    <col min="1378" max="1378" width="19.6640625" style="190" customWidth="1"/>
    <col min="1379" max="1379" width="30.109375" style="190" customWidth="1"/>
    <col min="1380" max="1536" width="1.109375" style="190"/>
    <col min="1537" max="1537" width="3.6640625" style="190" customWidth="1"/>
    <col min="1538" max="1591" width="1.109375" style="190"/>
    <col min="1592" max="1592" width="4" style="190" customWidth="1"/>
    <col min="1593" max="1615" width="1.109375" style="190"/>
    <col min="1616" max="1616" width="3.5546875" style="190" customWidth="1"/>
    <col min="1617" max="1617" width="2.109375" style="190" customWidth="1"/>
    <col min="1618" max="1631" width="1.109375" style="190"/>
    <col min="1632" max="1632" width="0" style="190" hidden="1" customWidth="1"/>
    <col min="1633" max="1633" width="1.109375" style="190"/>
    <col min="1634" max="1634" width="19.6640625" style="190" customWidth="1"/>
    <col min="1635" max="1635" width="30.109375" style="190" customWidth="1"/>
    <col min="1636" max="1792" width="1.109375" style="190"/>
    <col min="1793" max="1793" width="3.6640625" style="190" customWidth="1"/>
    <col min="1794" max="1847" width="1.109375" style="190"/>
    <col min="1848" max="1848" width="4" style="190" customWidth="1"/>
    <col min="1849" max="1871" width="1.109375" style="190"/>
    <col min="1872" max="1872" width="3.5546875" style="190" customWidth="1"/>
    <col min="1873" max="1873" width="2.109375" style="190" customWidth="1"/>
    <col min="1874" max="1887" width="1.109375" style="190"/>
    <col min="1888" max="1888" width="0" style="190" hidden="1" customWidth="1"/>
    <col min="1889" max="1889" width="1.109375" style="190"/>
    <col min="1890" max="1890" width="19.6640625" style="190" customWidth="1"/>
    <col min="1891" max="1891" width="30.109375" style="190" customWidth="1"/>
    <col min="1892" max="2048" width="1.109375" style="190"/>
    <col min="2049" max="2049" width="3.6640625" style="190" customWidth="1"/>
    <col min="2050" max="2103" width="1.109375" style="190"/>
    <col min="2104" max="2104" width="4" style="190" customWidth="1"/>
    <col min="2105" max="2127" width="1.109375" style="190"/>
    <col min="2128" max="2128" width="3.5546875" style="190" customWidth="1"/>
    <col min="2129" max="2129" width="2.109375" style="190" customWidth="1"/>
    <col min="2130" max="2143" width="1.109375" style="190"/>
    <col min="2144" max="2144" width="0" style="190" hidden="1" customWidth="1"/>
    <col min="2145" max="2145" width="1.109375" style="190"/>
    <col min="2146" max="2146" width="19.6640625" style="190" customWidth="1"/>
    <col min="2147" max="2147" width="30.109375" style="190" customWidth="1"/>
    <col min="2148" max="2304" width="1.109375" style="190"/>
    <col min="2305" max="2305" width="3.6640625" style="190" customWidth="1"/>
    <col min="2306" max="2359" width="1.109375" style="190"/>
    <col min="2360" max="2360" width="4" style="190" customWidth="1"/>
    <col min="2361" max="2383" width="1.109375" style="190"/>
    <col min="2384" max="2384" width="3.5546875" style="190" customWidth="1"/>
    <col min="2385" max="2385" width="2.109375" style="190" customWidth="1"/>
    <col min="2386" max="2399" width="1.109375" style="190"/>
    <col min="2400" max="2400" width="0" style="190" hidden="1" customWidth="1"/>
    <col min="2401" max="2401" width="1.109375" style="190"/>
    <col min="2402" max="2402" width="19.6640625" style="190" customWidth="1"/>
    <col min="2403" max="2403" width="30.109375" style="190" customWidth="1"/>
    <col min="2404" max="2560" width="1.109375" style="190"/>
    <col min="2561" max="2561" width="3.6640625" style="190" customWidth="1"/>
    <col min="2562" max="2615" width="1.109375" style="190"/>
    <col min="2616" max="2616" width="4" style="190" customWidth="1"/>
    <col min="2617" max="2639" width="1.109375" style="190"/>
    <col min="2640" max="2640" width="3.5546875" style="190" customWidth="1"/>
    <col min="2641" max="2641" width="2.109375" style="190" customWidth="1"/>
    <col min="2642" max="2655" width="1.109375" style="190"/>
    <col min="2656" max="2656" width="0" style="190" hidden="1" customWidth="1"/>
    <col min="2657" max="2657" width="1.109375" style="190"/>
    <col min="2658" max="2658" width="19.6640625" style="190" customWidth="1"/>
    <col min="2659" max="2659" width="30.109375" style="190" customWidth="1"/>
    <col min="2660" max="2816" width="1.109375" style="190"/>
    <col min="2817" max="2817" width="3.6640625" style="190" customWidth="1"/>
    <col min="2818" max="2871" width="1.109375" style="190"/>
    <col min="2872" max="2872" width="4" style="190" customWidth="1"/>
    <col min="2873" max="2895" width="1.109375" style="190"/>
    <col min="2896" max="2896" width="3.5546875" style="190" customWidth="1"/>
    <col min="2897" max="2897" width="2.109375" style="190" customWidth="1"/>
    <col min="2898" max="2911" width="1.109375" style="190"/>
    <col min="2912" max="2912" width="0" style="190" hidden="1" customWidth="1"/>
    <col min="2913" max="2913" width="1.109375" style="190"/>
    <col min="2914" max="2914" width="19.6640625" style="190" customWidth="1"/>
    <col min="2915" max="2915" width="30.109375" style="190" customWidth="1"/>
    <col min="2916" max="3072" width="1.109375" style="190"/>
    <col min="3073" max="3073" width="3.6640625" style="190" customWidth="1"/>
    <col min="3074" max="3127" width="1.109375" style="190"/>
    <col min="3128" max="3128" width="4" style="190" customWidth="1"/>
    <col min="3129" max="3151" width="1.109375" style="190"/>
    <col min="3152" max="3152" width="3.5546875" style="190" customWidth="1"/>
    <col min="3153" max="3153" width="2.109375" style="190" customWidth="1"/>
    <col min="3154" max="3167" width="1.109375" style="190"/>
    <col min="3168" max="3168" width="0" style="190" hidden="1" customWidth="1"/>
    <col min="3169" max="3169" width="1.109375" style="190"/>
    <col min="3170" max="3170" width="19.6640625" style="190" customWidth="1"/>
    <col min="3171" max="3171" width="30.109375" style="190" customWidth="1"/>
    <col min="3172" max="3328" width="1.109375" style="190"/>
    <col min="3329" max="3329" width="3.6640625" style="190" customWidth="1"/>
    <col min="3330" max="3383" width="1.109375" style="190"/>
    <col min="3384" max="3384" width="4" style="190" customWidth="1"/>
    <col min="3385" max="3407" width="1.109375" style="190"/>
    <col min="3408" max="3408" width="3.5546875" style="190" customWidth="1"/>
    <col min="3409" max="3409" width="2.109375" style="190" customWidth="1"/>
    <col min="3410" max="3423" width="1.109375" style="190"/>
    <col min="3424" max="3424" width="0" style="190" hidden="1" customWidth="1"/>
    <col min="3425" max="3425" width="1.109375" style="190"/>
    <col min="3426" max="3426" width="19.6640625" style="190" customWidth="1"/>
    <col min="3427" max="3427" width="30.109375" style="190" customWidth="1"/>
    <col min="3428" max="3584" width="1.109375" style="190"/>
    <col min="3585" max="3585" width="3.6640625" style="190" customWidth="1"/>
    <col min="3586" max="3639" width="1.109375" style="190"/>
    <col min="3640" max="3640" width="4" style="190" customWidth="1"/>
    <col min="3641" max="3663" width="1.109375" style="190"/>
    <col min="3664" max="3664" width="3.5546875" style="190" customWidth="1"/>
    <col min="3665" max="3665" width="2.109375" style="190" customWidth="1"/>
    <col min="3666" max="3679" width="1.109375" style="190"/>
    <col min="3680" max="3680" width="0" style="190" hidden="1" customWidth="1"/>
    <col min="3681" max="3681" width="1.109375" style="190"/>
    <col min="3682" max="3682" width="19.6640625" style="190" customWidth="1"/>
    <col min="3683" max="3683" width="30.109375" style="190" customWidth="1"/>
    <col min="3684" max="3840" width="1.109375" style="190"/>
    <col min="3841" max="3841" width="3.6640625" style="190" customWidth="1"/>
    <col min="3842" max="3895" width="1.109375" style="190"/>
    <col min="3896" max="3896" width="4" style="190" customWidth="1"/>
    <col min="3897" max="3919" width="1.109375" style="190"/>
    <col min="3920" max="3920" width="3.5546875" style="190" customWidth="1"/>
    <col min="3921" max="3921" width="2.109375" style="190" customWidth="1"/>
    <col min="3922" max="3935" width="1.109375" style="190"/>
    <col min="3936" max="3936" width="0" style="190" hidden="1" customWidth="1"/>
    <col min="3937" max="3937" width="1.109375" style="190"/>
    <col min="3938" max="3938" width="19.6640625" style="190" customWidth="1"/>
    <col min="3939" max="3939" width="30.109375" style="190" customWidth="1"/>
    <col min="3940" max="4096" width="1.109375" style="190"/>
    <col min="4097" max="4097" width="3.6640625" style="190" customWidth="1"/>
    <col min="4098" max="4151" width="1.109375" style="190"/>
    <col min="4152" max="4152" width="4" style="190" customWidth="1"/>
    <col min="4153" max="4175" width="1.109375" style="190"/>
    <col min="4176" max="4176" width="3.5546875" style="190" customWidth="1"/>
    <col min="4177" max="4177" width="2.109375" style="190" customWidth="1"/>
    <col min="4178" max="4191" width="1.109375" style="190"/>
    <col min="4192" max="4192" width="0" style="190" hidden="1" customWidth="1"/>
    <col min="4193" max="4193" width="1.109375" style="190"/>
    <col min="4194" max="4194" width="19.6640625" style="190" customWidth="1"/>
    <col min="4195" max="4195" width="30.109375" style="190" customWidth="1"/>
    <col min="4196" max="4352" width="1.109375" style="190"/>
    <col min="4353" max="4353" width="3.6640625" style="190" customWidth="1"/>
    <col min="4354" max="4407" width="1.109375" style="190"/>
    <col min="4408" max="4408" width="4" style="190" customWidth="1"/>
    <col min="4409" max="4431" width="1.109375" style="190"/>
    <col min="4432" max="4432" width="3.5546875" style="190" customWidth="1"/>
    <col min="4433" max="4433" width="2.109375" style="190" customWidth="1"/>
    <col min="4434" max="4447" width="1.109375" style="190"/>
    <col min="4448" max="4448" width="0" style="190" hidden="1" customWidth="1"/>
    <col min="4449" max="4449" width="1.109375" style="190"/>
    <col min="4450" max="4450" width="19.6640625" style="190" customWidth="1"/>
    <col min="4451" max="4451" width="30.109375" style="190" customWidth="1"/>
    <col min="4452" max="4608" width="1.109375" style="190"/>
    <col min="4609" max="4609" width="3.6640625" style="190" customWidth="1"/>
    <col min="4610" max="4663" width="1.109375" style="190"/>
    <col min="4664" max="4664" width="4" style="190" customWidth="1"/>
    <col min="4665" max="4687" width="1.109375" style="190"/>
    <col min="4688" max="4688" width="3.5546875" style="190" customWidth="1"/>
    <col min="4689" max="4689" width="2.109375" style="190" customWidth="1"/>
    <col min="4690" max="4703" width="1.109375" style="190"/>
    <col min="4704" max="4704" width="0" style="190" hidden="1" customWidth="1"/>
    <col min="4705" max="4705" width="1.109375" style="190"/>
    <col min="4706" max="4706" width="19.6640625" style="190" customWidth="1"/>
    <col min="4707" max="4707" width="30.109375" style="190" customWidth="1"/>
    <col min="4708" max="4864" width="1.109375" style="190"/>
    <col min="4865" max="4865" width="3.6640625" style="190" customWidth="1"/>
    <col min="4866" max="4919" width="1.109375" style="190"/>
    <col min="4920" max="4920" width="4" style="190" customWidth="1"/>
    <col min="4921" max="4943" width="1.109375" style="190"/>
    <col min="4944" max="4944" width="3.5546875" style="190" customWidth="1"/>
    <col min="4945" max="4945" width="2.109375" style="190" customWidth="1"/>
    <col min="4946" max="4959" width="1.109375" style="190"/>
    <col min="4960" max="4960" width="0" style="190" hidden="1" customWidth="1"/>
    <col min="4961" max="4961" width="1.109375" style="190"/>
    <col min="4962" max="4962" width="19.6640625" style="190" customWidth="1"/>
    <col min="4963" max="4963" width="30.109375" style="190" customWidth="1"/>
    <col min="4964" max="5120" width="1.109375" style="190"/>
    <col min="5121" max="5121" width="3.6640625" style="190" customWidth="1"/>
    <col min="5122" max="5175" width="1.109375" style="190"/>
    <col min="5176" max="5176" width="4" style="190" customWidth="1"/>
    <col min="5177" max="5199" width="1.109375" style="190"/>
    <col min="5200" max="5200" width="3.5546875" style="190" customWidth="1"/>
    <col min="5201" max="5201" width="2.109375" style="190" customWidth="1"/>
    <col min="5202" max="5215" width="1.109375" style="190"/>
    <col min="5216" max="5216" width="0" style="190" hidden="1" customWidth="1"/>
    <col min="5217" max="5217" width="1.109375" style="190"/>
    <col min="5218" max="5218" width="19.6640625" style="190" customWidth="1"/>
    <col min="5219" max="5219" width="30.109375" style="190" customWidth="1"/>
    <col min="5220" max="5376" width="1.109375" style="190"/>
    <col min="5377" max="5377" width="3.6640625" style="190" customWidth="1"/>
    <col min="5378" max="5431" width="1.109375" style="190"/>
    <col min="5432" max="5432" width="4" style="190" customWidth="1"/>
    <col min="5433" max="5455" width="1.109375" style="190"/>
    <col min="5456" max="5456" width="3.5546875" style="190" customWidth="1"/>
    <col min="5457" max="5457" width="2.109375" style="190" customWidth="1"/>
    <col min="5458" max="5471" width="1.109375" style="190"/>
    <col min="5472" max="5472" width="0" style="190" hidden="1" customWidth="1"/>
    <col min="5473" max="5473" width="1.109375" style="190"/>
    <col min="5474" max="5474" width="19.6640625" style="190" customWidth="1"/>
    <col min="5475" max="5475" width="30.109375" style="190" customWidth="1"/>
    <col min="5476" max="5632" width="1.109375" style="190"/>
    <col min="5633" max="5633" width="3.6640625" style="190" customWidth="1"/>
    <col min="5634" max="5687" width="1.109375" style="190"/>
    <col min="5688" max="5688" width="4" style="190" customWidth="1"/>
    <col min="5689" max="5711" width="1.109375" style="190"/>
    <col min="5712" max="5712" width="3.5546875" style="190" customWidth="1"/>
    <col min="5713" max="5713" width="2.109375" style="190" customWidth="1"/>
    <col min="5714" max="5727" width="1.109375" style="190"/>
    <col min="5728" max="5728" width="0" style="190" hidden="1" customWidth="1"/>
    <col min="5729" max="5729" width="1.109375" style="190"/>
    <col min="5730" max="5730" width="19.6640625" style="190" customWidth="1"/>
    <col min="5731" max="5731" width="30.109375" style="190" customWidth="1"/>
    <col min="5732" max="5888" width="1.109375" style="190"/>
    <col min="5889" max="5889" width="3.6640625" style="190" customWidth="1"/>
    <col min="5890" max="5943" width="1.109375" style="190"/>
    <col min="5944" max="5944" width="4" style="190" customWidth="1"/>
    <col min="5945" max="5967" width="1.109375" style="190"/>
    <col min="5968" max="5968" width="3.5546875" style="190" customWidth="1"/>
    <col min="5969" max="5969" width="2.109375" style="190" customWidth="1"/>
    <col min="5970" max="5983" width="1.109375" style="190"/>
    <col min="5984" max="5984" width="0" style="190" hidden="1" customWidth="1"/>
    <col min="5985" max="5985" width="1.109375" style="190"/>
    <col min="5986" max="5986" width="19.6640625" style="190" customWidth="1"/>
    <col min="5987" max="5987" width="30.109375" style="190" customWidth="1"/>
    <col min="5988" max="6144" width="1.109375" style="190"/>
    <col min="6145" max="6145" width="3.6640625" style="190" customWidth="1"/>
    <col min="6146" max="6199" width="1.109375" style="190"/>
    <col min="6200" max="6200" width="4" style="190" customWidth="1"/>
    <col min="6201" max="6223" width="1.109375" style="190"/>
    <col min="6224" max="6224" width="3.5546875" style="190" customWidth="1"/>
    <col min="6225" max="6225" width="2.109375" style="190" customWidth="1"/>
    <col min="6226" max="6239" width="1.109375" style="190"/>
    <col min="6240" max="6240" width="0" style="190" hidden="1" customWidth="1"/>
    <col min="6241" max="6241" width="1.109375" style="190"/>
    <col min="6242" max="6242" width="19.6640625" style="190" customWidth="1"/>
    <col min="6243" max="6243" width="30.109375" style="190" customWidth="1"/>
    <col min="6244" max="6400" width="1.109375" style="190"/>
    <col min="6401" max="6401" width="3.6640625" style="190" customWidth="1"/>
    <col min="6402" max="6455" width="1.109375" style="190"/>
    <col min="6456" max="6456" width="4" style="190" customWidth="1"/>
    <col min="6457" max="6479" width="1.109375" style="190"/>
    <col min="6480" max="6480" width="3.5546875" style="190" customWidth="1"/>
    <col min="6481" max="6481" width="2.109375" style="190" customWidth="1"/>
    <col min="6482" max="6495" width="1.109375" style="190"/>
    <col min="6496" max="6496" width="0" style="190" hidden="1" customWidth="1"/>
    <col min="6497" max="6497" width="1.109375" style="190"/>
    <col min="6498" max="6498" width="19.6640625" style="190" customWidth="1"/>
    <col min="6499" max="6499" width="30.109375" style="190" customWidth="1"/>
    <col min="6500" max="6656" width="1.109375" style="190"/>
    <col min="6657" max="6657" width="3.6640625" style="190" customWidth="1"/>
    <col min="6658" max="6711" width="1.109375" style="190"/>
    <col min="6712" max="6712" width="4" style="190" customWidth="1"/>
    <col min="6713" max="6735" width="1.109375" style="190"/>
    <col min="6736" max="6736" width="3.5546875" style="190" customWidth="1"/>
    <col min="6737" max="6737" width="2.109375" style="190" customWidth="1"/>
    <col min="6738" max="6751" width="1.109375" style="190"/>
    <col min="6752" max="6752" width="0" style="190" hidden="1" customWidth="1"/>
    <col min="6753" max="6753" width="1.109375" style="190"/>
    <col min="6754" max="6754" width="19.6640625" style="190" customWidth="1"/>
    <col min="6755" max="6755" width="30.109375" style="190" customWidth="1"/>
    <col min="6756" max="6912" width="1.109375" style="190"/>
    <col min="6913" max="6913" width="3.6640625" style="190" customWidth="1"/>
    <col min="6914" max="6967" width="1.109375" style="190"/>
    <col min="6968" max="6968" width="4" style="190" customWidth="1"/>
    <col min="6969" max="6991" width="1.109375" style="190"/>
    <col min="6992" max="6992" width="3.5546875" style="190" customWidth="1"/>
    <col min="6993" max="6993" width="2.109375" style="190" customWidth="1"/>
    <col min="6994" max="7007" width="1.109375" style="190"/>
    <col min="7008" max="7008" width="0" style="190" hidden="1" customWidth="1"/>
    <col min="7009" max="7009" width="1.109375" style="190"/>
    <col min="7010" max="7010" width="19.6640625" style="190" customWidth="1"/>
    <col min="7011" max="7011" width="30.109375" style="190" customWidth="1"/>
    <col min="7012" max="7168" width="1.109375" style="190"/>
    <col min="7169" max="7169" width="3.6640625" style="190" customWidth="1"/>
    <col min="7170" max="7223" width="1.109375" style="190"/>
    <col min="7224" max="7224" width="4" style="190" customWidth="1"/>
    <col min="7225" max="7247" width="1.109375" style="190"/>
    <col min="7248" max="7248" width="3.5546875" style="190" customWidth="1"/>
    <col min="7249" max="7249" width="2.109375" style="190" customWidth="1"/>
    <col min="7250" max="7263" width="1.109375" style="190"/>
    <col min="7264" max="7264" width="0" style="190" hidden="1" customWidth="1"/>
    <col min="7265" max="7265" width="1.109375" style="190"/>
    <col min="7266" max="7266" width="19.6640625" style="190" customWidth="1"/>
    <col min="7267" max="7267" width="30.109375" style="190" customWidth="1"/>
    <col min="7268" max="7424" width="1.109375" style="190"/>
    <col min="7425" max="7425" width="3.6640625" style="190" customWidth="1"/>
    <col min="7426" max="7479" width="1.109375" style="190"/>
    <col min="7480" max="7480" width="4" style="190" customWidth="1"/>
    <col min="7481" max="7503" width="1.109375" style="190"/>
    <col min="7504" max="7504" width="3.5546875" style="190" customWidth="1"/>
    <col min="7505" max="7505" width="2.109375" style="190" customWidth="1"/>
    <col min="7506" max="7519" width="1.109375" style="190"/>
    <col min="7520" max="7520" width="0" style="190" hidden="1" customWidth="1"/>
    <col min="7521" max="7521" width="1.109375" style="190"/>
    <col min="7522" max="7522" width="19.6640625" style="190" customWidth="1"/>
    <col min="7523" max="7523" width="30.109375" style="190" customWidth="1"/>
    <col min="7524" max="7680" width="1.109375" style="190"/>
    <col min="7681" max="7681" width="3.6640625" style="190" customWidth="1"/>
    <col min="7682" max="7735" width="1.109375" style="190"/>
    <col min="7736" max="7736" width="4" style="190" customWidth="1"/>
    <col min="7737" max="7759" width="1.109375" style="190"/>
    <col min="7760" max="7760" width="3.5546875" style="190" customWidth="1"/>
    <col min="7761" max="7761" width="2.109375" style="190" customWidth="1"/>
    <col min="7762" max="7775" width="1.109375" style="190"/>
    <col min="7776" max="7776" width="0" style="190" hidden="1" customWidth="1"/>
    <col min="7777" max="7777" width="1.109375" style="190"/>
    <col min="7778" max="7778" width="19.6640625" style="190" customWidth="1"/>
    <col min="7779" max="7779" width="30.109375" style="190" customWidth="1"/>
    <col min="7780" max="7936" width="1.109375" style="190"/>
    <col min="7937" max="7937" width="3.6640625" style="190" customWidth="1"/>
    <col min="7938" max="7991" width="1.109375" style="190"/>
    <col min="7992" max="7992" width="4" style="190" customWidth="1"/>
    <col min="7993" max="8015" width="1.109375" style="190"/>
    <col min="8016" max="8016" width="3.5546875" style="190" customWidth="1"/>
    <col min="8017" max="8017" width="2.109375" style="190" customWidth="1"/>
    <col min="8018" max="8031" width="1.109375" style="190"/>
    <col min="8032" max="8032" width="0" style="190" hidden="1" customWidth="1"/>
    <col min="8033" max="8033" width="1.109375" style="190"/>
    <col min="8034" max="8034" width="19.6640625" style="190" customWidth="1"/>
    <col min="8035" max="8035" width="30.109375" style="190" customWidth="1"/>
    <col min="8036" max="8192" width="1.109375" style="190"/>
    <col min="8193" max="8193" width="3.6640625" style="190" customWidth="1"/>
    <col min="8194" max="8247" width="1.109375" style="190"/>
    <col min="8248" max="8248" width="4" style="190" customWidth="1"/>
    <col min="8249" max="8271" width="1.109375" style="190"/>
    <col min="8272" max="8272" width="3.5546875" style="190" customWidth="1"/>
    <col min="8273" max="8273" width="2.109375" style="190" customWidth="1"/>
    <col min="8274" max="8287" width="1.109375" style="190"/>
    <col min="8288" max="8288" width="0" style="190" hidden="1" customWidth="1"/>
    <col min="8289" max="8289" width="1.109375" style="190"/>
    <col min="8290" max="8290" width="19.6640625" style="190" customWidth="1"/>
    <col min="8291" max="8291" width="30.109375" style="190" customWidth="1"/>
    <col min="8292" max="8448" width="1.109375" style="190"/>
    <col min="8449" max="8449" width="3.6640625" style="190" customWidth="1"/>
    <col min="8450" max="8503" width="1.109375" style="190"/>
    <col min="8504" max="8504" width="4" style="190" customWidth="1"/>
    <col min="8505" max="8527" width="1.109375" style="190"/>
    <col min="8528" max="8528" width="3.5546875" style="190" customWidth="1"/>
    <col min="8529" max="8529" width="2.109375" style="190" customWidth="1"/>
    <col min="8530" max="8543" width="1.109375" style="190"/>
    <col min="8544" max="8544" width="0" style="190" hidden="1" customWidth="1"/>
    <col min="8545" max="8545" width="1.109375" style="190"/>
    <col min="8546" max="8546" width="19.6640625" style="190" customWidth="1"/>
    <col min="8547" max="8547" width="30.109375" style="190" customWidth="1"/>
    <col min="8548" max="8704" width="1.109375" style="190"/>
    <col min="8705" max="8705" width="3.6640625" style="190" customWidth="1"/>
    <col min="8706" max="8759" width="1.109375" style="190"/>
    <col min="8760" max="8760" width="4" style="190" customWidth="1"/>
    <col min="8761" max="8783" width="1.109375" style="190"/>
    <col min="8784" max="8784" width="3.5546875" style="190" customWidth="1"/>
    <col min="8785" max="8785" width="2.109375" style="190" customWidth="1"/>
    <col min="8786" max="8799" width="1.109375" style="190"/>
    <col min="8800" max="8800" width="0" style="190" hidden="1" customWidth="1"/>
    <col min="8801" max="8801" width="1.109375" style="190"/>
    <col min="8802" max="8802" width="19.6640625" style="190" customWidth="1"/>
    <col min="8803" max="8803" width="30.109375" style="190" customWidth="1"/>
    <col min="8804" max="8960" width="1.109375" style="190"/>
    <col min="8961" max="8961" width="3.6640625" style="190" customWidth="1"/>
    <col min="8962" max="9015" width="1.109375" style="190"/>
    <col min="9016" max="9016" width="4" style="190" customWidth="1"/>
    <col min="9017" max="9039" width="1.109375" style="190"/>
    <col min="9040" max="9040" width="3.5546875" style="190" customWidth="1"/>
    <col min="9041" max="9041" width="2.109375" style="190" customWidth="1"/>
    <col min="9042" max="9055" width="1.109375" style="190"/>
    <col min="9056" max="9056" width="0" style="190" hidden="1" customWidth="1"/>
    <col min="9057" max="9057" width="1.109375" style="190"/>
    <col min="9058" max="9058" width="19.6640625" style="190" customWidth="1"/>
    <col min="9059" max="9059" width="30.109375" style="190" customWidth="1"/>
    <col min="9060" max="9216" width="1.109375" style="190"/>
    <col min="9217" max="9217" width="3.6640625" style="190" customWidth="1"/>
    <col min="9218" max="9271" width="1.109375" style="190"/>
    <col min="9272" max="9272" width="4" style="190" customWidth="1"/>
    <col min="9273" max="9295" width="1.109375" style="190"/>
    <col min="9296" max="9296" width="3.5546875" style="190" customWidth="1"/>
    <col min="9297" max="9297" width="2.109375" style="190" customWidth="1"/>
    <col min="9298" max="9311" width="1.109375" style="190"/>
    <col min="9312" max="9312" width="0" style="190" hidden="1" customWidth="1"/>
    <col min="9313" max="9313" width="1.109375" style="190"/>
    <col min="9314" max="9314" width="19.6640625" style="190" customWidth="1"/>
    <col min="9315" max="9315" width="30.109375" style="190" customWidth="1"/>
    <col min="9316" max="9472" width="1.109375" style="190"/>
    <col min="9473" max="9473" width="3.6640625" style="190" customWidth="1"/>
    <col min="9474" max="9527" width="1.109375" style="190"/>
    <col min="9528" max="9528" width="4" style="190" customWidth="1"/>
    <col min="9529" max="9551" width="1.109375" style="190"/>
    <col min="9552" max="9552" width="3.5546875" style="190" customWidth="1"/>
    <col min="9553" max="9553" width="2.109375" style="190" customWidth="1"/>
    <col min="9554" max="9567" width="1.109375" style="190"/>
    <col min="9568" max="9568" width="0" style="190" hidden="1" customWidth="1"/>
    <col min="9569" max="9569" width="1.109375" style="190"/>
    <col min="9570" max="9570" width="19.6640625" style="190" customWidth="1"/>
    <col min="9571" max="9571" width="30.109375" style="190" customWidth="1"/>
    <col min="9572" max="9728" width="1.109375" style="190"/>
    <col min="9729" max="9729" width="3.6640625" style="190" customWidth="1"/>
    <col min="9730" max="9783" width="1.109375" style="190"/>
    <col min="9784" max="9784" width="4" style="190" customWidth="1"/>
    <col min="9785" max="9807" width="1.109375" style="190"/>
    <col min="9808" max="9808" width="3.5546875" style="190" customWidth="1"/>
    <col min="9809" max="9809" width="2.109375" style="190" customWidth="1"/>
    <col min="9810" max="9823" width="1.109375" style="190"/>
    <col min="9824" max="9824" width="0" style="190" hidden="1" customWidth="1"/>
    <col min="9825" max="9825" width="1.109375" style="190"/>
    <col min="9826" max="9826" width="19.6640625" style="190" customWidth="1"/>
    <col min="9827" max="9827" width="30.109375" style="190" customWidth="1"/>
    <col min="9828" max="9984" width="1.109375" style="190"/>
    <col min="9985" max="9985" width="3.6640625" style="190" customWidth="1"/>
    <col min="9986" max="10039" width="1.109375" style="190"/>
    <col min="10040" max="10040" width="4" style="190" customWidth="1"/>
    <col min="10041" max="10063" width="1.109375" style="190"/>
    <col min="10064" max="10064" width="3.5546875" style="190" customWidth="1"/>
    <col min="10065" max="10065" width="2.109375" style="190" customWidth="1"/>
    <col min="10066" max="10079" width="1.109375" style="190"/>
    <col min="10080" max="10080" width="0" style="190" hidden="1" customWidth="1"/>
    <col min="10081" max="10081" width="1.109375" style="190"/>
    <col min="10082" max="10082" width="19.6640625" style="190" customWidth="1"/>
    <col min="10083" max="10083" width="30.109375" style="190" customWidth="1"/>
    <col min="10084" max="10240" width="1.109375" style="190"/>
    <col min="10241" max="10241" width="3.6640625" style="190" customWidth="1"/>
    <col min="10242" max="10295" width="1.109375" style="190"/>
    <col min="10296" max="10296" width="4" style="190" customWidth="1"/>
    <col min="10297" max="10319" width="1.109375" style="190"/>
    <col min="10320" max="10320" width="3.5546875" style="190" customWidth="1"/>
    <col min="10321" max="10321" width="2.109375" style="190" customWidth="1"/>
    <col min="10322" max="10335" width="1.109375" style="190"/>
    <col min="10336" max="10336" width="0" style="190" hidden="1" customWidth="1"/>
    <col min="10337" max="10337" width="1.109375" style="190"/>
    <col min="10338" max="10338" width="19.6640625" style="190" customWidth="1"/>
    <col min="10339" max="10339" width="30.109375" style="190" customWidth="1"/>
    <col min="10340" max="10496" width="1.109375" style="190"/>
    <col min="10497" max="10497" width="3.6640625" style="190" customWidth="1"/>
    <col min="10498" max="10551" width="1.109375" style="190"/>
    <col min="10552" max="10552" width="4" style="190" customWidth="1"/>
    <col min="10553" max="10575" width="1.109375" style="190"/>
    <col min="10576" max="10576" width="3.5546875" style="190" customWidth="1"/>
    <col min="10577" max="10577" width="2.109375" style="190" customWidth="1"/>
    <col min="10578" max="10591" width="1.109375" style="190"/>
    <col min="10592" max="10592" width="0" style="190" hidden="1" customWidth="1"/>
    <col min="10593" max="10593" width="1.109375" style="190"/>
    <col min="10594" max="10594" width="19.6640625" style="190" customWidth="1"/>
    <col min="10595" max="10595" width="30.109375" style="190" customWidth="1"/>
    <col min="10596" max="10752" width="1.109375" style="190"/>
    <col min="10753" max="10753" width="3.6640625" style="190" customWidth="1"/>
    <col min="10754" max="10807" width="1.109375" style="190"/>
    <col min="10808" max="10808" width="4" style="190" customWidth="1"/>
    <col min="10809" max="10831" width="1.109375" style="190"/>
    <col min="10832" max="10832" width="3.5546875" style="190" customWidth="1"/>
    <col min="10833" max="10833" width="2.109375" style="190" customWidth="1"/>
    <col min="10834" max="10847" width="1.109375" style="190"/>
    <col min="10848" max="10848" width="0" style="190" hidden="1" customWidth="1"/>
    <col min="10849" max="10849" width="1.109375" style="190"/>
    <col min="10850" max="10850" width="19.6640625" style="190" customWidth="1"/>
    <col min="10851" max="10851" width="30.109375" style="190" customWidth="1"/>
    <col min="10852" max="11008" width="1.109375" style="190"/>
    <col min="11009" max="11009" width="3.6640625" style="190" customWidth="1"/>
    <col min="11010" max="11063" width="1.109375" style="190"/>
    <col min="11064" max="11064" width="4" style="190" customWidth="1"/>
    <col min="11065" max="11087" width="1.109375" style="190"/>
    <col min="11088" max="11088" width="3.5546875" style="190" customWidth="1"/>
    <col min="11089" max="11089" width="2.109375" style="190" customWidth="1"/>
    <col min="11090" max="11103" width="1.109375" style="190"/>
    <col min="11104" max="11104" width="0" style="190" hidden="1" customWidth="1"/>
    <col min="11105" max="11105" width="1.109375" style="190"/>
    <col min="11106" max="11106" width="19.6640625" style="190" customWidth="1"/>
    <col min="11107" max="11107" width="30.109375" style="190" customWidth="1"/>
    <col min="11108" max="11264" width="1.109375" style="190"/>
    <col min="11265" max="11265" width="3.6640625" style="190" customWidth="1"/>
    <col min="11266" max="11319" width="1.109375" style="190"/>
    <col min="11320" max="11320" width="4" style="190" customWidth="1"/>
    <col min="11321" max="11343" width="1.109375" style="190"/>
    <col min="11344" max="11344" width="3.5546875" style="190" customWidth="1"/>
    <col min="11345" max="11345" width="2.109375" style="190" customWidth="1"/>
    <col min="11346" max="11359" width="1.109375" style="190"/>
    <col min="11360" max="11360" width="0" style="190" hidden="1" customWidth="1"/>
    <col min="11361" max="11361" width="1.109375" style="190"/>
    <col min="11362" max="11362" width="19.6640625" style="190" customWidth="1"/>
    <col min="11363" max="11363" width="30.109375" style="190" customWidth="1"/>
    <col min="11364" max="11520" width="1.109375" style="190"/>
    <col min="11521" max="11521" width="3.6640625" style="190" customWidth="1"/>
    <col min="11522" max="11575" width="1.109375" style="190"/>
    <col min="11576" max="11576" width="4" style="190" customWidth="1"/>
    <col min="11577" max="11599" width="1.109375" style="190"/>
    <col min="11600" max="11600" width="3.5546875" style="190" customWidth="1"/>
    <col min="11601" max="11601" width="2.109375" style="190" customWidth="1"/>
    <col min="11602" max="11615" width="1.109375" style="190"/>
    <col min="11616" max="11616" width="0" style="190" hidden="1" customWidth="1"/>
    <col min="11617" max="11617" width="1.109375" style="190"/>
    <col min="11618" max="11618" width="19.6640625" style="190" customWidth="1"/>
    <col min="11619" max="11619" width="30.109375" style="190" customWidth="1"/>
    <col min="11620" max="11776" width="1.109375" style="190"/>
    <col min="11777" max="11777" width="3.6640625" style="190" customWidth="1"/>
    <col min="11778" max="11831" width="1.109375" style="190"/>
    <col min="11832" max="11832" width="4" style="190" customWidth="1"/>
    <col min="11833" max="11855" width="1.109375" style="190"/>
    <col min="11856" max="11856" width="3.5546875" style="190" customWidth="1"/>
    <col min="11857" max="11857" width="2.109375" style="190" customWidth="1"/>
    <col min="11858" max="11871" width="1.109375" style="190"/>
    <col min="11872" max="11872" width="0" style="190" hidden="1" customWidth="1"/>
    <col min="11873" max="11873" width="1.109375" style="190"/>
    <col min="11874" max="11874" width="19.6640625" style="190" customWidth="1"/>
    <col min="11875" max="11875" width="30.109375" style="190" customWidth="1"/>
    <col min="11876" max="12032" width="1.109375" style="190"/>
    <col min="12033" max="12033" width="3.6640625" style="190" customWidth="1"/>
    <col min="12034" max="12087" width="1.109375" style="190"/>
    <col min="12088" max="12088" width="4" style="190" customWidth="1"/>
    <col min="12089" max="12111" width="1.109375" style="190"/>
    <col min="12112" max="12112" width="3.5546875" style="190" customWidth="1"/>
    <col min="12113" max="12113" width="2.109375" style="190" customWidth="1"/>
    <col min="12114" max="12127" width="1.109375" style="190"/>
    <col min="12128" max="12128" width="0" style="190" hidden="1" customWidth="1"/>
    <col min="12129" max="12129" width="1.109375" style="190"/>
    <col min="12130" max="12130" width="19.6640625" style="190" customWidth="1"/>
    <col min="12131" max="12131" width="30.109375" style="190" customWidth="1"/>
    <col min="12132" max="12288" width="1.109375" style="190"/>
    <col min="12289" max="12289" width="3.6640625" style="190" customWidth="1"/>
    <col min="12290" max="12343" width="1.109375" style="190"/>
    <col min="12344" max="12344" width="4" style="190" customWidth="1"/>
    <col min="12345" max="12367" width="1.109375" style="190"/>
    <col min="12368" max="12368" width="3.5546875" style="190" customWidth="1"/>
    <col min="12369" max="12369" width="2.109375" style="190" customWidth="1"/>
    <col min="12370" max="12383" width="1.109375" style="190"/>
    <col min="12384" max="12384" width="0" style="190" hidden="1" customWidth="1"/>
    <col min="12385" max="12385" width="1.109375" style="190"/>
    <col min="12386" max="12386" width="19.6640625" style="190" customWidth="1"/>
    <col min="12387" max="12387" width="30.109375" style="190" customWidth="1"/>
    <col min="12388" max="12544" width="1.109375" style="190"/>
    <col min="12545" max="12545" width="3.6640625" style="190" customWidth="1"/>
    <col min="12546" max="12599" width="1.109375" style="190"/>
    <col min="12600" max="12600" width="4" style="190" customWidth="1"/>
    <col min="12601" max="12623" width="1.109375" style="190"/>
    <col min="12624" max="12624" width="3.5546875" style="190" customWidth="1"/>
    <col min="12625" max="12625" width="2.109375" style="190" customWidth="1"/>
    <col min="12626" max="12639" width="1.109375" style="190"/>
    <col min="12640" max="12640" width="0" style="190" hidden="1" customWidth="1"/>
    <col min="12641" max="12641" width="1.109375" style="190"/>
    <col min="12642" max="12642" width="19.6640625" style="190" customWidth="1"/>
    <col min="12643" max="12643" width="30.109375" style="190" customWidth="1"/>
    <col min="12644" max="12800" width="1.109375" style="190"/>
    <col min="12801" max="12801" width="3.6640625" style="190" customWidth="1"/>
    <col min="12802" max="12855" width="1.109375" style="190"/>
    <col min="12856" max="12856" width="4" style="190" customWidth="1"/>
    <col min="12857" max="12879" width="1.109375" style="190"/>
    <col min="12880" max="12880" width="3.5546875" style="190" customWidth="1"/>
    <col min="12881" max="12881" width="2.109375" style="190" customWidth="1"/>
    <col min="12882" max="12895" width="1.109375" style="190"/>
    <col min="12896" max="12896" width="0" style="190" hidden="1" customWidth="1"/>
    <col min="12897" max="12897" width="1.109375" style="190"/>
    <col min="12898" max="12898" width="19.6640625" style="190" customWidth="1"/>
    <col min="12899" max="12899" width="30.109375" style="190" customWidth="1"/>
    <col min="12900" max="13056" width="1.109375" style="190"/>
    <col min="13057" max="13057" width="3.6640625" style="190" customWidth="1"/>
    <col min="13058" max="13111" width="1.109375" style="190"/>
    <col min="13112" max="13112" width="4" style="190" customWidth="1"/>
    <col min="13113" max="13135" width="1.109375" style="190"/>
    <col min="13136" max="13136" width="3.5546875" style="190" customWidth="1"/>
    <col min="13137" max="13137" width="2.109375" style="190" customWidth="1"/>
    <col min="13138" max="13151" width="1.109375" style="190"/>
    <col min="13152" max="13152" width="0" style="190" hidden="1" customWidth="1"/>
    <col min="13153" max="13153" width="1.109375" style="190"/>
    <col min="13154" max="13154" width="19.6640625" style="190" customWidth="1"/>
    <col min="13155" max="13155" width="30.109375" style="190" customWidth="1"/>
    <col min="13156" max="13312" width="1.109375" style="190"/>
    <col min="13313" max="13313" width="3.6640625" style="190" customWidth="1"/>
    <col min="13314" max="13367" width="1.109375" style="190"/>
    <col min="13368" max="13368" width="4" style="190" customWidth="1"/>
    <col min="13369" max="13391" width="1.109375" style="190"/>
    <col min="13392" max="13392" width="3.5546875" style="190" customWidth="1"/>
    <col min="13393" max="13393" width="2.109375" style="190" customWidth="1"/>
    <col min="13394" max="13407" width="1.109375" style="190"/>
    <col min="13408" max="13408" width="0" style="190" hidden="1" customWidth="1"/>
    <col min="13409" max="13409" width="1.109375" style="190"/>
    <col min="13410" max="13410" width="19.6640625" style="190" customWidth="1"/>
    <col min="13411" max="13411" width="30.109375" style="190" customWidth="1"/>
    <col min="13412" max="13568" width="1.109375" style="190"/>
    <col min="13569" max="13569" width="3.6640625" style="190" customWidth="1"/>
    <col min="13570" max="13623" width="1.109375" style="190"/>
    <col min="13624" max="13624" width="4" style="190" customWidth="1"/>
    <col min="13625" max="13647" width="1.109375" style="190"/>
    <col min="13648" max="13648" width="3.5546875" style="190" customWidth="1"/>
    <col min="13649" max="13649" width="2.109375" style="190" customWidth="1"/>
    <col min="13650" max="13663" width="1.109375" style="190"/>
    <col min="13664" max="13664" width="0" style="190" hidden="1" customWidth="1"/>
    <col min="13665" max="13665" width="1.109375" style="190"/>
    <col min="13666" max="13666" width="19.6640625" style="190" customWidth="1"/>
    <col min="13667" max="13667" width="30.109375" style="190" customWidth="1"/>
    <col min="13668" max="13824" width="1.109375" style="190"/>
    <col min="13825" max="13825" width="3.6640625" style="190" customWidth="1"/>
    <col min="13826" max="13879" width="1.109375" style="190"/>
    <col min="13880" max="13880" width="4" style="190" customWidth="1"/>
    <col min="13881" max="13903" width="1.109375" style="190"/>
    <col min="13904" max="13904" width="3.5546875" style="190" customWidth="1"/>
    <col min="13905" max="13905" width="2.109375" style="190" customWidth="1"/>
    <col min="13906" max="13919" width="1.109375" style="190"/>
    <col min="13920" max="13920" width="0" style="190" hidden="1" customWidth="1"/>
    <col min="13921" max="13921" width="1.109375" style="190"/>
    <col min="13922" max="13922" width="19.6640625" style="190" customWidth="1"/>
    <col min="13923" max="13923" width="30.109375" style="190" customWidth="1"/>
    <col min="13924" max="14080" width="1.109375" style="190"/>
    <col min="14081" max="14081" width="3.6640625" style="190" customWidth="1"/>
    <col min="14082" max="14135" width="1.109375" style="190"/>
    <col min="14136" max="14136" width="4" style="190" customWidth="1"/>
    <col min="14137" max="14159" width="1.109375" style="190"/>
    <col min="14160" max="14160" width="3.5546875" style="190" customWidth="1"/>
    <col min="14161" max="14161" width="2.109375" style="190" customWidth="1"/>
    <col min="14162" max="14175" width="1.109375" style="190"/>
    <col min="14176" max="14176" width="0" style="190" hidden="1" customWidth="1"/>
    <col min="14177" max="14177" width="1.109375" style="190"/>
    <col min="14178" max="14178" width="19.6640625" style="190" customWidth="1"/>
    <col min="14179" max="14179" width="30.109375" style="190" customWidth="1"/>
    <col min="14180" max="14336" width="1.109375" style="190"/>
    <col min="14337" max="14337" width="3.6640625" style="190" customWidth="1"/>
    <col min="14338" max="14391" width="1.109375" style="190"/>
    <col min="14392" max="14392" width="4" style="190" customWidth="1"/>
    <col min="14393" max="14415" width="1.109375" style="190"/>
    <col min="14416" max="14416" width="3.5546875" style="190" customWidth="1"/>
    <col min="14417" max="14417" width="2.109375" style="190" customWidth="1"/>
    <col min="14418" max="14431" width="1.109375" style="190"/>
    <col min="14432" max="14432" width="0" style="190" hidden="1" customWidth="1"/>
    <col min="14433" max="14433" width="1.109375" style="190"/>
    <col min="14434" max="14434" width="19.6640625" style="190" customWidth="1"/>
    <col min="14435" max="14435" width="30.109375" style="190" customWidth="1"/>
    <col min="14436" max="14592" width="1.109375" style="190"/>
    <col min="14593" max="14593" width="3.6640625" style="190" customWidth="1"/>
    <col min="14594" max="14647" width="1.109375" style="190"/>
    <col min="14648" max="14648" width="4" style="190" customWidth="1"/>
    <col min="14649" max="14671" width="1.109375" style="190"/>
    <col min="14672" max="14672" width="3.5546875" style="190" customWidth="1"/>
    <col min="14673" max="14673" width="2.109375" style="190" customWidth="1"/>
    <col min="14674" max="14687" width="1.109375" style="190"/>
    <col min="14688" max="14688" width="0" style="190" hidden="1" customWidth="1"/>
    <col min="14689" max="14689" width="1.109375" style="190"/>
    <col min="14690" max="14690" width="19.6640625" style="190" customWidth="1"/>
    <col min="14691" max="14691" width="30.109375" style="190" customWidth="1"/>
    <col min="14692" max="14848" width="1.109375" style="190"/>
    <col min="14849" max="14849" width="3.6640625" style="190" customWidth="1"/>
    <col min="14850" max="14903" width="1.109375" style="190"/>
    <col min="14904" max="14904" width="4" style="190" customWidth="1"/>
    <col min="14905" max="14927" width="1.109375" style="190"/>
    <col min="14928" max="14928" width="3.5546875" style="190" customWidth="1"/>
    <col min="14929" max="14929" width="2.109375" style="190" customWidth="1"/>
    <col min="14930" max="14943" width="1.109375" style="190"/>
    <col min="14944" max="14944" width="0" style="190" hidden="1" customWidth="1"/>
    <col min="14945" max="14945" width="1.109375" style="190"/>
    <col min="14946" max="14946" width="19.6640625" style="190" customWidth="1"/>
    <col min="14947" max="14947" width="30.109375" style="190" customWidth="1"/>
    <col min="14948" max="15104" width="1.109375" style="190"/>
    <col min="15105" max="15105" width="3.6640625" style="190" customWidth="1"/>
    <col min="15106" max="15159" width="1.109375" style="190"/>
    <col min="15160" max="15160" width="4" style="190" customWidth="1"/>
    <col min="15161" max="15183" width="1.109375" style="190"/>
    <col min="15184" max="15184" width="3.5546875" style="190" customWidth="1"/>
    <col min="15185" max="15185" width="2.109375" style="190" customWidth="1"/>
    <col min="15186" max="15199" width="1.109375" style="190"/>
    <col min="15200" max="15200" width="0" style="190" hidden="1" customWidth="1"/>
    <col min="15201" max="15201" width="1.109375" style="190"/>
    <col min="15202" max="15202" width="19.6640625" style="190" customWidth="1"/>
    <col min="15203" max="15203" width="30.109375" style="190" customWidth="1"/>
    <col min="15204" max="15360" width="1.109375" style="190"/>
    <col min="15361" max="15361" width="3.6640625" style="190" customWidth="1"/>
    <col min="15362" max="15415" width="1.109375" style="190"/>
    <col min="15416" max="15416" width="4" style="190" customWidth="1"/>
    <col min="15417" max="15439" width="1.109375" style="190"/>
    <col min="15440" max="15440" width="3.5546875" style="190" customWidth="1"/>
    <col min="15441" max="15441" width="2.109375" style="190" customWidth="1"/>
    <col min="15442" max="15455" width="1.109375" style="190"/>
    <col min="15456" max="15456" width="0" style="190" hidden="1" customWidth="1"/>
    <col min="15457" max="15457" width="1.109375" style="190"/>
    <col min="15458" max="15458" width="19.6640625" style="190" customWidth="1"/>
    <col min="15459" max="15459" width="30.109375" style="190" customWidth="1"/>
    <col min="15460" max="15616" width="1.109375" style="190"/>
    <col min="15617" max="15617" width="3.6640625" style="190" customWidth="1"/>
    <col min="15618" max="15671" width="1.109375" style="190"/>
    <col min="15672" max="15672" width="4" style="190" customWidth="1"/>
    <col min="15673" max="15695" width="1.109375" style="190"/>
    <col min="15696" max="15696" width="3.5546875" style="190" customWidth="1"/>
    <col min="15697" max="15697" width="2.109375" style="190" customWidth="1"/>
    <col min="15698" max="15711" width="1.109375" style="190"/>
    <col min="15712" max="15712" width="0" style="190" hidden="1" customWidth="1"/>
    <col min="15713" max="15713" width="1.109375" style="190"/>
    <col min="15714" max="15714" width="19.6640625" style="190" customWidth="1"/>
    <col min="15715" max="15715" width="30.109375" style="190" customWidth="1"/>
    <col min="15716" max="15872" width="1.109375" style="190"/>
    <col min="15873" max="15873" width="3.6640625" style="190" customWidth="1"/>
    <col min="15874" max="15927" width="1.109375" style="190"/>
    <col min="15928" max="15928" width="4" style="190" customWidth="1"/>
    <col min="15929" max="15951" width="1.109375" style="190"/>
    <col min="15952" max="15952" width="3.5546875" style="190" customWidth="1"/>
    <col min="15953" max="15953" width="2.109375" style="190" customWidth="1"/>
    <col min="15954" max="15967" width="1.109375" style="190"/>
    <col min="15968" max="15968" width="0" style="190" hidden="1" customWidth="1"/>
    <col min="15969" max="15969" width="1.109375" style="190"/>
    <col min="15970" max="15970" width="19.6640625" style="190" customWidth="1"/>
    <col min="15971" max="15971" width="30.109375" style="190" customWidth="1"/>
    <col min="15972" max="16128" width="1.109375" style="190"/>
    <col min="16129" max="16129" width="3.6640625" style="190" customWidth="1"/>
    <col min="16130" max="16183" width="1.109375" style="190"/>
    <col min="16184" max="16184" width="4" style="190" customWidth="1"/>
    <col min="16185" max="16207" width="1.109375" style="190"/>
    <col min="16208" max="16208" width="3.5546875" style="190" customWidth="1"/>
    <col min="16209" max="16209" width="2.109375" style="190" customWidth="1"/>
    <col min="16210" max="16223" width="1.109375" style="190"/>
    <col min="16224" max="16224" width="0" style="190" hidden="1" customWidth="1"/>
    <col min="16225" max="16225" width="1.109375" style="190"/>
    <col min="16226" max="16226" width="19.6640625" style="190" customWidth="1"/>
    <col min="16227" max="16227" width="30.109375" style="190" customWidth="1"/>
    <col min="16228" max="16384" width="1.109375" style="190"/>
  </cols>
  <sheetData>
    <row r="1" spans="1:80" s="76" customFormat="1" ht="15.6">
      <c r="A1" s="827" t="s">
        <v>421</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827"/>
      <c r="BQ1" s="827"/>
      <c r="BR1" s="827"/>
      <c r="BS1" s="827"/>
      <c r="BT1" s="827"/>
      <c r="BU1" s="827"/>
      <c r="BV1" s="827"/>
      <c r="BW1" s="827"/>
      <c r="BX1" s="827"/>
      <c r="BY1" s="827"/>
      <c r="BZ1" s="827"/>
      <c r="CA1" s="827"/>
      <c r="CB1" s="827"/>
    </row>
    <row r="2" spans="1:80" s="80" customFormat="1" ht="7.8"/>
    <row r="3" spans="1:80">
      <c r="A3" s="823" t="s">
        <v>388</v>
      </c>
      <c r="B3" s="824"/>
      <c r="C3" s="824"/>
      <c r="D3" s="825"/>
      <c r="E3" s="823" t="s">
        <v>422</v>
      </c>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5"/>
      <c r="AJ3" s="823" t="s">
        <v>423</v>
      </c>
      <c r="AK3" s="824"/>
      <c r="AL3" s="824"/>
      <c r="AM3" s="824"/>
      <c r="AN3" s="824"/>
      <c r="AO3" s="824"/>
      <c r="AP3" s="824"/>
      <c r="AQ3" s="824"/>
      <c r="AR3" s="824"/>
      <c r="AS3" s="824"/>
      <c r="AT3" s="824"/>
      <c r="AU3" s="824"/>
      <c r="AV3" s="824"/>
      <c r="AW3" s="825"/>
      <c r="AX3" s="823" t="s">
        <v>424</v>
      </c>
      <c r="AY3" s="824"/>
      <c r="AZ3" s="824"/>
      <c r="BA3" s="824"/>
      <c r="BB3" s="824"/>
      <c r="BC3" s="824"/>
      <c r="BD3" s="824"/>
      <c r="BE3" s="824"/>
      <c r="BF3" s="825"/>
      <c r="BG3" s="823" t="s">
        <v>424</v>
      </c>
      <c r="BH3" s="824"/>
      <c r="BI3" s="824"/>
      <c r="BJ3" s="824"/>
      <c r="BK3" s="824"/>
      <c r="BL3" s="824"/>
      <c r="BM3" s="824"/>
      <c r="BN3" s="824"/>
      <c r="BO3" s="825"/>
      <c r="BP3" s="823" t="s">
        <v>269</v>
      </c>
      <c r="BQ3" s="824"/>
      <c r="BR3" s="824"/>
      <c r="BS3" s="824"/>
      <c r="BT3" s="824"/>
      <c r="BU3" s="824"/>
      <c r="BV3" s="824"/>
      <c r="BW3" s="824"/>
      <c r="BX3" s="824"/>
      <c r="BY3" s="824"/>
      <c r="BZ3" s="824"/>
      <c r="CA3" s="824"/>
      <c r="CB3" s="825"/>
    </row>
    <row r="4" spans="1:80">
      <c r="A4" s="820" t="s">
        <v>395</v>
      </c>
      <c r="B4" s="821"/>
      <c r="C4" s="821"/>
      <c r="D4" s="822"/>
      <c r="E4" s="820"/>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2"/>
      <c r="AJ4" s="820" t="s">
        <v>425</v>
      </c>
      <c r="AK4" s="821"/>
      <c r="AL4" s="821"/>
      <c r="AM4" s="821"/>
      <c r="AN4" s="821"/>
      <c r="AO4" s="821"/>
      <c r="AP4" s="821"/>
      <c r="AQ4" s="821"/>
      <c r="AR4" s="821"/>
      <c r="AS4" s="821"/>
      <c r="AT4" s="821"/>
      <c r="AU4" s="821"/>
      <c r="AV4" s="821"/>
      <c r="AW4" s="822"/>
      <c r="AX4" s="820" t="s">
        <v>426</v>
      </c>
      <c r="AY4" s="821"/>
      <c r="AZ4" s="821"/>
      <c r="BA4" s="821"/>
      <c r="BB4" s="821"/>
      <c r="BC4" s="821"/>
      <c r="BD4" s="821"/>
      <c r="BE4" s="821"/>
      <c r="BF4" s="822"/>
      <c r="BG4" s="820" t="s">
        <v>427</v>
      </c>
      <c r="BH4" s="821"/>
      <c r="BI4" s="821"/>
      <c r="BJ4" s="821"/>
      <c r="BK4" s="821"/>
      <c r="BL4" s="821"/>
      <c r="BM4" s="821"/>
      <c r="BN4" s="821"/>
      <c r="BO4" s="822"/>
      <c r="BP4" s="820" t="s">
        <v>428</v>
      </c>
      <c r="BQ4" s="821"/>
      <c r="BR4" s="821"/>
      <c r="BS4" s="821"/>
      <c r="BT4" s="821"/>
      <c r="BU4" s="821"/>
      <c r="BV4" s="821"/>
      <c r="BW4" s="821"/>
      <c r="BX4" s="821"/>
      <c r="BY4" s="821"/>
      <c r="BZ4" s="821"/>
      <c r="CA4" s="821"/>
      <c r="CB4" s="822"/>
    </row>
    <row r="5" spans="1:80">
      <c r="A5" s="820"/>
      <c r="B5" s="821"/>
      <c r="C5" s="821"/>
      <c r="D5" s="822"/>
      <c r="E5" s="820"/>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2"/>
      <c r="AJ5" s="820" t="s">
        <v>576</v>
      </c>
      <c r="AK5" s="821"/>
      <c r="AL5" s="821"/>
      <c r="AM5" s="821"/>
      <c r="AN5" s="821"/>
      <c r="AO5" s="821"/>
      <c r="AP5" s="821"/>
      <c r="AQ5" s="821"/>
      <c r="AR5" s="821"/>
      <c r="AS5" s="821"/>
      <c r="AT5" s="821"/>
      <c r="AU5" s="821"/>
      <c r="AV5" s="821"/>
      <c r="AW5" s="822"/>
      <c r="AX5" s="820" t="s">
        <v>229</v>
      </c>
      <c r="AY5" s="821"/>
      <c r="AZ5" s="821"/>
      <c r="BA5" s="821"/>
      <c r="BB5" s="821"/>
      <c r="BC5" s="821"/>
      <c r="BD5" s="821"/>
      <c r="BE5" s="821"/>
      <c r="BF5" s="822"/>
      <c r="BG5" s="820" t="s">
        <v>577</v>
      </c>
      <c r="BH5" s="821"/>
      <c r="BI5" s="821"/>
      <c r="BJ5" s="821"/>
      <c r="BK5" s="821"/>
      <c r="BL5" s="821"/>
      <c r="BM5" s="821"/>
      <c r="BN5" s="821"/>
      <c r="BO5" s="822"/>
      <c r="BP5" s="820"/>
      <c r="BQ5" s="821"/>
      <c r="BR5" s="821"/>
      <c r="BS5" s="821"/>
      <c r="BT5" s="821"/>
      <c r="BU5" s="821"/>
      <c r="BV5" s="821"/>
      <c r="BW5" s="821"/>
      <c r="BX5" s="821"/>
      <c r="BY5" s="821"/>
      <c r="BZ5" s="821"/>
      <c r="CA5" s="821"/>
      <c r="CB5" s="822"/>
    </row>
    <row r="6" spans="1:80">
      <c r="A6" s="853"/>
      <c r="B6" s="854"/>
      <c r="C6" s="854"/>
      <c r="D6" s="855"/>
      <c r="E6" s="853"/>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5"/>
      <c r="AJ6" s="853" t="s">
        <v>237</v>
      </c>
      <c r="AK6" s="854"/>
      <c r="AL6" s="854"/>
      <c r="AM6" s="854"/>
      <c r="AN6" s="854"/>
      <c r="AO6" s="854"/>
      <c r="AP6" s="854"/>
      <c r="AQ6" s="854"/>
      <c r="AR6" s="854"/>
      <c r="AS6" s="854"/>
      <c r="AT6" s="854"/>
      <c r="AU6" s="854"/>
      <c r="AV6" s="854"/>
      <c r="AW6" s="855"/>
      <c r="AX6" s="853"/>
      <c r="AY6" s="854"/>
      <c r="AZ6" s="854"/>
      <c r="BA6" s="854"/>
      <c r="BB6" s="854"/>
      <c r="BC6" s="854"/>
      <c r="BD6" s="854"/>
      <c r="BE6" s="854"/>
      <c r="BF6" s="855"/>
      <c r="BG6" s="853"/>
      <c r="BH6" s="854"/>
      <c r="BI6" s="854"/>
      <c r="BJ6" s="854"/>
      <c r="BK6" s="854"/>
      <c r="BL6" s="854"/>
      <c r="BM6" s="854"/>
      <c r="BN6" s="854"/>
      <c r="BO6" s="855"/>
      <c r="BP6" s="853"/>
      <c r="BQ6" s="854"/>
      <c r="BR6" s="854"/>
      <c r="BS6" s="854"/>
      <c r="BT6" s="854"/>
      <c r="BU6" s="854"/>
      <c r="BV6" s="854"/>
      <c r="BW6" s="854"/>
      <c r="BX6" s="854"/>
      <c r="BY6" s="854"/>
      <c r="BZ6" s="854"/>
      <c r="CA6" s="854"/>
      <c r="CB6" s="855"/>
    </row>
    <row r="7" spans="1:80">
      <c r="A7" s="853">
        <v>1</v>
      </c>
      <c r="B7" s="854"/>
      <c r="C7" s="854"/>
      <c r="D7" s="855"/>
      <c r="E7" s="853">
        <v>2</v>
      </c>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5"/>
      <c r="AJ7" s="853">
        <v>3</v>
      </c>
      <c r="AK7" s="854"/>
      <c r="AL7" s="854"/>
      <c r="AM7" s="854"/>
      <c r="AN7" s="854"/>
      <c r="AO7" s="854"/>
      <c r="AP7" s="854"/>
      <c r="AQ7" s="854"/>
      <c r="AR7" s="854"/>
      <c r="AS7" s="854"/>
      <c r="AT7" s="854"/>
      <c r="AU7" s="854"/>
      <c r="AV7" s="854"/>
      <c r="AW7" s="855"/>
      <c r="AX7" s="853">
        <v>4</v>
      </c>
      <c r="AY7" s="854"/>
      <c r="AZ7" s="854"/>
      <c r="BA7" s="854"/>
      <c r="BB7" s="854"/>
      <c r="BC7" s="854"/>
      <c r="BD7" s="854"/>
      <c r="BE7" s="854"/>
      <c r="BF7" s="855"/>
      <c r="BG7" s="853">
        <v>5</v>
      </c>
      <c r="BH7" s="854"/>
      <c r="BI7" s="854"/>
      <c r="BJ7" s="854"/>
      <c r="BK7" s="854"/>
      <c r="BL7" s="854"/>
      <c r="BM7" s="854"/>
      <c r="BN7" s="854"/>
      <c r="BO7" s="855"/>
      <c r="BP7" s="853">
        <v>6</v>
      </c>
      <c r="BQ7" s="854"/>
      <c r="BR7" s="854"/>
      <c r="BS7" s="854"/>
      <c r="BT7" s="854"/>
      <c r="BU7" s="854"/>
      <c r="BV7" s="854"/>
      <c r="BW7" s="854"/>
      <c r="BX7" s="854"/>
      <c r="BY7" s="854"/>
      <c r="BZ7" s="854"/>
      <c r="CA7" s="854"/>
      <c r="CB7" s="855"/>
    </row>
    <row r="8" spans="1:80">
      <c r="A8" s="929">
        <v>1</v>
      </c>
      <c r="B8" s="930"/>
      <c r="C8" s="930"/>
      <c r="D8" s="931"/>
      <c r="E8" s="920" t="s">
        <v>429</v>
      </c>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2"/>
      <c r="AJ8" s="862">
        <v>100</v>
      </c>
      <c r="AK8" s="863"/>
      <c r="AL8" s="863"/>
      <c r="AM8" s="863"/>
      <c r="AN8" s="863"/>
      <c r="AO8" s="863"/>
      <c r="AP8" s="863"/>
      <c r="AQ8" s="863"/>
      <c r="AR8" s="863"/>
      <c r="AS8" s="863"/>
      <c r="AT8" s="863"/>
      <c r="AU8" s="863"/>
      <c r="AV8" s="863"/>
      <c r="AW8" s="864"/>
      <c r="AX8" s="904">
        <v>6</v>
      </c>
      <c r="AY8" s="905"/>
      <c r="AZ8" s="905"/>
      <c r="BA8" s="905"/>
      <c r="BB8" s="905"/>
      <c r="BC8" s="905"/>
      <c r="BD8" s="905"/>
      <c r="BE8" s="905"/>
      <c r="BF8" s="906"/>
      <c r="BG8" s="932">
        <v>5</v>
      </c>
      <c r="BH8" s="933"/>
      <c r="BI8" s="933"/>
      <c r="BJ8" s="933"/>
      <c r="BK8" s="933"/>
      <c r="BL8" s="933"/>
      <c r="BM8" s="933"/>
      <c r="BN8" s="933"/>
      <c r="BO8" s="934"/>
      <c r="BP8" s="868">
        <f>AJ8*BG8*AX8</f>
        <v>3000</v>
      </c>
      <c r="BQ8" s="869"/>
      <c r="BR8" s="869"/>
      <c r="BS8" s="869"/>
      <c r="BT8" s="869"/>
      <c r="BU8" s="869"/>
      <c r="BV8" s="869"/>
      <c r="BW8" s="869"/>
      <c r="BX8" s="869"/>
      <c r="BY8" s="869"/>
      <c r="BZ8" s="869"/>
      <c r="CA8" s="869"/>
      <c r="CB8" s="870"/>
    </row>
    <row r="9" spans="1:80" s="218" customFormat="1">
      <c r="A9" s="929">
        <v>2</v>
      </c>
      <c r="B9" s="930"/>
      <c r="C9" s="930"/>
      <c r="D9" s="931"/>
      <c r="E9" s="883" t="s">
        <v>896</v>
      </c>
      <c r="F9" s="884"/>
      <c r="G9" s="884"/>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5"/>
      <c r="AJ9" s="868">
        <f>23600/AX9</f>
        <v>3933.3333333333335</v>
      </c>
      <c r="AK9" s="869"/>
      <c r="AL9" s="869"/>
      <c r="AM9" s="869"/>
      <c r="AN9" s="869"/>
      <c r="AO9" s="869"/>
      <c r="AP9" s="869"/>
      <c r="AQ9" s="869"/>
      <c r="AR9" s="869"/>
      <c r="AS9" s="869"/>
      <c r="AT9" s="869"/>
      <c r="AU9" s="869"/>
      <c r="AV9" s="869"/>
      <c r="AW9" s="870"/>
      <c r="AX9" s="904">
        <v>6</v>
      </c>
      <c r="AY9" s="905"/>
      <c r="AZ9" s="905"/>
      <c r="BA9" s="905"/>
      <c r="BB9" s="905"/>
      <c r="BC9" s="905"/>
      <c r="BD9" s="905"/>
      <c r="BE9" s="905"/>
      <c r="BF9" s="906"/>
      <c r="BG9" s="932"/>
      <c r="BH9" s="933"/>
      <c r="BI9" s="933"/>
      <c r="BJ9" s="933"/>
      <c r="BK9" s="933"/>
      <c r="BL9" s="933"/>
      <c r="BM9" s="933"/>
      <c r="BN9" s="933"/>
      <c r="BO9" s="934"/>
      <c r="BP9" s="868">
        <f>AJ9*AX9</f>
        <v>23600</v>
      </c>
      <c r="BQ9" s="869"/>
      <c r="BR9" s="869"/>
      <c r="BS9" s="869"/>
      <c r="BT9" s="869"/>
      <c r="BU9" s="869"/>
      <c r="BV9" s="869"/>
      <c r="BW9" s="869"/>
      <c r="BX9" s="869"/>
      <c r="BY9" s="869"/>
      <c r="BZ9" s="869"/>
      <c r="CA9" s="869"/>
      <c r="CB9" s="870"/>
    </row>
    <row r="10" spans="1:80">
      <c r="A10" s="883"/>
      <c r="B10" s="884"/>
      <c r="C10" s="884"/>
      <c r="D10" s="885"/>
      <c r="E10" s="808" t="s">
        <v>262</v>
      </c>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10"/>
      <c r="AJ10" s="814" t="s">
        <v>21</v>
      </c>
      <c r="AK10" s="815"/>
      <c r="AL10" s="815"/>
      <c r="AM10" s="815"/>
      <c r="AN10" s="815"/>
      <c r="AO10" s="815"/>
      <c r="AP10" s="815"/>
      <c r="AQ10" s="815"/>
      <c r="AR10" s="815"/>
      <c r="AS10" s="815"/>
      <c r="AT10" s="815"/>
      <c r="AU10" s="815"/>
      <c r="AV10" s="815"/>
      <c r="AW10" s="816"/>
      <c r="AX10" s="814" t="s">
        <v>21</v>
      </c>
      <c r="AY10" s="815"/>
      <c r="AZ10" s="815"/>
      <c r="BA10" s="815"/>
      <c r="BB10" s="815"/>
      <c r="BC10" s="815"/>
      <c r="BD10" s="815"/>
      <c r="BE10" s="815"/>
      <c r="BF10" s="816"/>
      <c r="BG10" s="926" t="s">
        <v>21</v>
      </c>
      <c r="BH10" s="927"/>
      <c r="BI10" s="927"/>
      <c r="BJ10" s="927"/>
      <c r="BK10" s="927"/>
      <c r="BL10" s="927"/>
      <c r="BM10" s="927"/>
      <c r="BN10" s="927"/>
      <c r="BO10" s="928"/>
      <c r="BP10" s="868">
        <f>SUM(BP8:CB9)</f>
        <v>26600</v>
      </c>
      <c r="BQ10" s="869"/>
      <c r="BR10" s="869"/>
      <c r="BS10" s="869"/>
      <c r="BT10" s="869"/>
      <c r="BU10" s="869"/>
      <c r="BV10" s="869"/>
      <c r="BW10" s="869"/>
      <c r="BX10" s="869"/>
      <c r="BY10" s="869"/>
      <c r="BZ10" s="869"/>
      <c r="CA10" s="869"/>
      <c r="CB10" s="870"/>
    </row>
    <row r="11" spans="1:80" s="79" customFormat="1" ht="15.6">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row>
    <row r="12" spans="1:80" s="76" customFormat="1" ht="15.6">
      <c r="A12" s="827" t="s">
        <v>430</v>
      </c>
      <c r="B12" s="827"/>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7"/>
      <c r="BR12" s="827"/>
      <c r="BS12" s="827"/>
      <c r="BT12" s="827"/>
      <c r="BU12" s="827"/>
      <c r="BV12" s="827"/>
      <c r="BW12" s="827"/>
      <c r="BX12" s="827"/>
      <c r="BY12" s="827"/>
      <c r="BZ12" s="827"/>
      <c r="CA12" s="827"/>
      <c r="CB12" s="827"/>
    </row>
    <row r="13" spans="1:80" s="80" customFormat="1" ht="7.8"/>
    <row r="14" spans="1:80">
      <c r="A14" s="823" t="s">
        <v>388</v>
      </c>
      <c r="B14" s="824"/>
      <c r="C14" s="824"/>
      <c r="D14" s="825"/>
      <c r="E14" s="823" t="s">
        <v>422</v>
      </c>
      <c r="F14" s="824"/>
      <c r="G14" s="824"/>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5"/>
      <c r="AJ14" s="823" t="s">
        <v>431</v>
      </c>
      <c r="AK14" s="824"/>
      <c r="AL14" s="824"/>
      <c r="AM14" s="824"/>
      <c r="AN14" s="824"/>
      <c r="AO14" s="824"/>
      <c r="AP14" s="824"/>
      <c r="AQ14" s="824"/>
      <c r="AR14" s="824"/>
      <c r="AS14" s="824"/>
      <c r="AT14" s="825"/>
      <c r="AU14" s="823" t="s">
        <v>424</v>
      </c>
      <c r="AV14" s="824"/>
      <c r="AW14" s="824"/>
      <c r="AX14" s="824"/>
      <c r="AY14" s="824"/>
      <c r="AZ14" s="824"/>
      <c r="BA14" s="824"/>
      <c r="BB14" s="824"/>
      <c r="BC14" s="824"/>
      <c r="BD14" s="825"/>
      <c r="BE14" s="823" t="s">
        <v>432</v>
      </c>
      <c r="BF14" s="824"/>
      <c r="BG14" s="824"/>
      <c r="BH14" s="824"/>
      <c r="BI14" s="824"/>
      <c r="BJ14" s="824"/>
      <c r="BK14" s="824"/>
      <c r="BL14" s="824"/>
      <c r="BM14" s="824"/>
      <c r="BN14" s="824"/>
      <c r="BO14" s="825"/>
      <c r="BP14" s="823" t="s">
        <v>269</v>
      </c>
      <c r="BQ14" s="824"/>
      <c r="BR14" s="824"/>
      <c r="BS14" s="824"/>
      <c r="BT14" s="824"/>
      <c r="BU14" s="824"/>
      <c r="BV14" s="824"/>
      <c r="BW14" s="824"/>
      <c r="BX14" s="824"/>
      <c r="BY14" s="824"/>
      <c r="BZ14" s="824"/>
      <c r="CA14" s="824"/>
      <c r="CB14" s="825"/>
    </row>
    <row r="15" spans="1:80">
      <c r="A15" s="820" t="s">
        <v>395</v>
      </c>
      <c r="B15" s="821"/>
      <c r="C15" s="821"/>
      <c r="D15" s="822"/>
      <c r="E15" s="820"/>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2"/>
      <c r="AJ15" s="820" t="s">
        <v>426</v>
      </c>
      <c r="AK15" s="821"/>
      <c r="AL15" s="821"/>
      <c r="AM15" s="821"/>
      <c r="AN15" s="821"/>
      <c r="AO15" s="821"/>
      <c r="AP15" s="821"/>
      <c r="AQ15" s="821"/>
      <c r="AR15" s="821"/>
      <c r="AS15" s="821"/>
      <c r="AT15" s="822"/>
      <c r="AU15" s="820" t="s">
        <v>433</v>
      </c>
      <c r="AV15" s="821"/>
      <c r="AW15" s="821"/>
      <c r="AX15" s="821"/>
      <c r="AY15" s="821"/>
      <c r="AZ15" s="821"/>
      <c r="BA15" s="821"/>
      <c r="BB15" s="821"/>
      <c r="BC15" s="821"/>
      <c r="BD15" s="822"/>
      <c r="BE15" s="820" t="s">
        <v>434</v>
      </c>
      <c r="BF15" s="821"/>
      <c r="BG15" s="821"/>
      <c r="BH15" s="821"/>
      <c r="BI15" s="821"/>
      <c r="BJ15" s="821"/>
      <c r="BK15" s="821"/>
      <c r="BL15" s="821"/>
      <c r="BM15" s="821"/>
      <c r="BN15" s="821"/>
      <c r="BO15" s="822"/>
      <c r="BP15" s="820" t="s">
        <v>428</v>
      </c>
      <c r="BQ15" s="821"/>
      <c r="BR15" s="821"/>
      <c r="BS15" s="821"/>
      <c r="BT15" s="821"/>
      <c r="BU15" s="821"/>
      <c r="BV15" s="821"/>
      <c r="BW15" s="821"/>
      <c r="BX15" s="821"/>
      <c r="BY15" s="821"/>
      <c r="BZ15" s="821"/>
      <c r="CA15" s="821"/>
      <c r="CB15" s="822"/>
    </row>
    <row r="16" spans="1:80">
      <c r="A16" s="820"/>
      <c r="B16" s="821"/>
      <c r="C16" s="821"/>
      <c r="D16" s="822"/>
      <c r="E16" s="820"/>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2"/>
      <c r="AJ16" s="820" t="s">
        <v>435</v>
      </c>
      <c r="AK16" s="821"/>
      <c r="AL16" s="821"/>
      <c r="AM16" s="821"/>
      <c r="AN16" s="821"/>
      <c r="AO16" s="821"/>
      <c r="AP16" s="821"/>
      <c r="AQ16" s="821"/>
      <c r="AR16" s="821"/>
      <c r="AS16" s="821"/>
      <c r="AT16" s="822"/>
      <c r="AU16" s="820" t="s">
        <v>436</v>
      </c>
      <c r="AV16" s="821"/>
      <c r="AW16" s="821"/>
      <c r="AX16" s="821"/>
      <c r="AY16" s="821"/>
      <c r="AZ16" s="821"/>
      <c r="BA16" s="821"/>
      <c r="BB16" s="821"/>
      <c r="BC16" s="821"/>
      <c r="BD16" s="822"/>
      <c r="BE16" s="820" t="s">
        <v>437</v>
      </c>
      <c r="BF16" s="821"/>
      <c r="BG16" s="821"/>
      <c r="BH16" s="821"/>
      <c r="BI16" s="821"/>
      <c r="BJ16" s="821"/>
      <c r="BK16" s="821"/>
      <c r="BL16" s="821"/>
      <c r="BM16" s="821"/>
      <c r="BN16" s="821"/>
      <c r="BO16" s="822"/>
      <c r="BP16" s="820"/>
      <c r="BQ16" s="821"/>
      <c r="BR16" s="821"/>
      <c r="BS16" s="821"/>
      <c r="BT16" s="821"/>
      <c r="BU16" s="821"/>
      <c r="BV16" s="821"/>
      <c r="BW16" s="821"/>
      <c r="BX16" s="821"/>
      <c r="BY16" s="821"/>
      <c r="BZ16" s="821"/>
      <c r="CA16" s="821"/>
      <c r="CB16" s="822"/>
    </row>
    <row r="17" spans="1:80">
      <c r="A17" s="853"/>
      <c r="B17" s="854"/>
      <c r="C17" s="854"/>
      <c r="D17" s="855"/>
      <c r="E17" s="853"/>
      <c r="F17" s="854"/>
      <c r="G17" s="854"/>
      <c r="H17" s="854"/>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5"/>
      <c r="AJ17" s="853" t="s">
        <v>438</v>
      </c>
      <c r="AK17" s="854"/>
      <c r="AL17" s="854"/>
      <c r="AM17" s="854"/>
      <c r="AN17" s="854"/>
      <c r="AO17" s="854"/>
      <c r="AP17" s="854"/>
      <c r="AQ17" s="854"/>
      <c r="AR17" s="854"/>
      <c r="AS17" s="854"/>
      <c r="AT17" s="855"/>
      <c r="AU17" s="853" t="s">
        <v>439</v>
      </c>
      <c r="AV17" s="854"/>
      <c r="AW17" s="854"/>
      <c r="AX17" s="854"/>
      <c r="AY17" s="854"/>
      <c r="AZ17" s="854"/>
      <c r="BA17" s="854"/>
      <c r="BB17" s="854"/>
      <c r="BC17" s="854"/>
      <c r="BD17" s="855"/>
      <c r="BE17" s="853" t="s">
        <v>440</v>
      </c>
      <c r="BF17" s="854"/>
      <c r="BG17" s="854"/>
      <c r="BH17" s="854"/>
      <c r="BI17" s="854"/>
      <c r="BJ17" s="854"/>
      <c r="BK17" s="854"/>
      <c r="BL17" s="854"/>
      <c r="BM17" s="854"/>
      <c r="BN17" s="854"/>
      <c r="BO17" s="855"/>
      <c r="BP17" s="853"/>
      <c r="BQ17" s="854"/>
      <c r="BR17" s="854"/>
      <c r="BS17" s="854"/>
      <c r="BT17" s="854"/>
      <c r="BU17" s="854"/>
      <c r="BV17" s="854"/>
      <c r="BW17" s="854"/>
      <c r="BX17" s="854"/>
      <c r="BY17" s="854"/>
      <c r="BZ17" s="854"/>
      <c r="CA17" s="854"/>
      <c r="CB17" s="855"/>
    </row>
    <row r="18" spans="1:80">
      <c r="A18" s="853">
        <v>1</v>
      </c>
      <c r="B18" s="854"/>
      <c r="C18" s="854"/>
      <c r="D18" s="855"/>
      <c r="E18" s="853">
        <v>2</v>
      </c>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5"/>
      <c r="AJ18" s="853">
        <v>3</v>
      </c>
      <c r="AK18" s="854"/>
      <c r="AL18" s="854"/>
      <c r="AM18" s="854"/>
      <c r="AN18" s="854"/>
      <c r="AO18" s="854"/>
      <c r="AP18" s="854"/>
      <c r="AQ18" s="854"/>
      <c r="AR18" s="854"/>
      <c r="AS18" s="854"/>
      <c r="AT18" s="855"/>
      <c r="AU18" s="853">
        <v>4</v>
      </c>
      <c r="AV18" s="854"/>
      <c r="AW18" s="854"/>
      <c r="AX18" s="854"/>
      <c r="AY18" s="854"/>
      <c r="AZ18" s="854"/>
      <c r="BA18" s="854"/>
      <c r="BB18" s="854"/>
      <c r="BC18" s="854"/>
      <c r="BD18" s="855"/>
      <c r="BE18" s="853">
        <v>5</v>
      </c>
      <c r="BF18" s="854"/>
      <c r="BG18" s="854"/>
      <c r="BH18" s="854"/>
      <c r="BI18" s="854"/>
      <c r="BJ18" s="854"/>
      <c r="BK18" s="854"/>
      <c r="BL18" s="854"/>
      <c r="BM18" s="854"/>
      <c r="BN18" s="854"/>
      <c r="BO18" s="855"/>
      <c r="BP18" s="853">
        <v>6</v>
      </c>
      <c r="BQ18" s="854"/>
      <c r="BR18" s="854"/>
      <c r="BS18" s="854"/>
      <c r="BT18" s="854"/>
      <c r="BU18" s="854"/>
      <c r="BV18" s="854"/>
      <c r="BW18" s="854"/>
      <c r="BX18" s="854"/>
      <c r="BY18" s="854"/>
      <c r="BZ18" s="854"/>
      <c r="CA18" s="854"/>
      <c r="CB18" s="855"/>
    </row>
    <row r="19" spans="1:80">
      <c r="A19" s="814">
        <v>1</v>
      </c>
      <c r="B19" s="815"/>
      <c r="C19" s="815"/>
      <c r="D19" s="816"/>
      <c r="E19" s="920" t="s">
        <v>441</v>
      </c>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2"/>
      <c r="AJ19" s="904"/>
      <c r="AK19" s="905"/>
      <c r="AL19" s="905"/>
      <c r="AM19" s="905"/>
      <c r="AN19" s="905"/>
      <c r="AO19" s="905"/>
      <c r="AP19" s="905"/>
      <c r="AQ19" s="905"/>
      <c r="AR19" s="905"/>
      <c r="AS19" s="905"/>
      <c r="AT19" s="906"/>
      <c r="AU19" s="904"/>
      <c r="AV19" s="905"/>
      <c r="AW19" s="905"/>
      <c r="AX19" s="905"/>
      <c r="AY19" s="905"/>
      <c r="AZ19" s="905"/>
      <c r="BA19" s="905"/>
      <c r="BB19" s="905"/>
      <c r="BC19" s="905"/>
      <c r="BD19" s="906"/>
      <c r="BE19" s="923"/>
      <c r="BF19" s="924"/>
      <c r="BG19" s="924"/>
      <c r="BH19" s="924"/>
      <c r="BI19" s="924"/>
      <c r="BJ19" s="924"/>
      <c r="BK19" s="924"/>
      <c r="BL19" s="924"/>
      <c r="BM19" s="924"/>
      <c r="BN19" s="924"/>
      <c r="BO19" s="925"/>
      <c r="BP19" s="868">
        <f>AJ19*AU19*BE19</f>
        <v>0</v>
      </c>
      <c r="BQ19" s="869"/>
      <c r="BR19" s="869"/>
      <c r="BS19" s="869"/>
      <c r="BT19" s="869"/>
      <c r="BU19" s="869"/>
      <c r="BV19" s="869"/>
      <c r="BW19" s="869"/>
      <c r="BX19" s="869"/>
      <c r="BY19" s="869"/>
      <c r="BZ19" s="869"/>
      <c r="CA19" s="869"/>
      <c r="CB19" s="870"/>
    </row>
    <row r="20" spans="1:80" hidden="1">
      <c r="A20" s="814">
        <v>2</v>
      </c>
      <c r="B20" s="815"/>
      <c r="C20" s="815"/>
      <c r="D20" s="816"/>
      <c r="E20" s="883" t="s">
        <v>441</v>
      </c>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5"/>
      <c r="AJ20" s="904">
        <v>0</v>
      </c>
      <c r="AK20" s="905"/>
      <c r="AL20" s="905"/>
      <c r="AM20" s="905"/>
      <c r="AN20" s="905"/>
      <c r="AO20" s="905"/>
      <c r="AP20" s="905"/>
      <c r="AQ20" s="905"/>
      <c r="AR20" s="905"/>
      <c r="AS20" s="905"/>
      <c r="AT20" s="906"/>
      <c r="AU20" s="904">
        <v>0</v>
      </c>
      <c r="AV20" s="905"/>
      <c r="AW20" s="905"/>
      <c r="AX20" s="905"/>
      <c r="AY20" s="905"/>
      <c r="AZ20" s="905"/>
      <c r="BA20" s="905"/>
      <c r="BB20" s="905"/>
      <c r="BC20" s="905"/>
      <c r="BD20" s="906"/>
      <c r="BE20" s="904"/>
      <c r="BF20" s="905"/>
      <c r="BG20" s="905"/>
      <c r="BH20" s="905"/>
      <c r="BI20" s="905"/>
      <c r="BJ20" s="905"/>
      <c r="BK20" s="905"/>
      <c r="BL20" s="905"/>
      <c r="BM20" s="905"/>
      <c r="BN20" s="905"/>
      <c r="BO20" s="906"/>
      <c r="BP20" s="862">
        <f>AJ20*AU20*BE20</f>
        <v>0</v>
      </c>
      <c r="BQ20" s="863"/>
      <c r="BR20" s="863"/>
      <c r="BS20" s="863"/>
      <c r="BT20" s="863"/>
      <c r="BU20" s="863"/>
      <c r="BV20" s="863"/>
      <c r="BW20" s="863"/>
      <c r="BX20" s="863"/>
      <c r="BY20" s="863"/>
      <c r="BZ20" s="863"/>
      <c r="CA20" s="863"/>
      <c r="CB20" s="864"/>
    </row>
    <row r="21" spans="1:80" hidden="1">
      <c r="A21" s="814">
        <v>3</v>
      </c>
      <c r="B21" s="815"/>
      <c r="C21" s="815"/>
      <c r="D21" s="816"/>
      <c r="E21" s="883" t="s">
        <v>441</v>
      </c>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5"/>
      <c r="AJ21" s="904">
        <v>0</v>
      </c>
      <c r="AK21" s="905"/>
      <c r="AL21" s="905"/>
      <c r="AM21" s="905"/>
      <c r="AN21" s="905"/>
      <c r="AO21" s="905"/>
      <c r="AP21" s="905"/>
      <c r="AQ21" s="905"/>
      <c r="AR21" s="905"/>
      <c r="AS21" s="905"/>
      <c r="AT21" s="906"/>
      <c r="AU21" s="904">
        <v>0</v>
      </c>
      <c r="AV21" s="905"/>
      <c r="AW21" s="905"/>
      <c r="AX21" s="905"/>
      <c r="AY21" s="905"/>
      <c r="AZ21" s="905"/>
      <c r="BA21" s="905"/>
      <c r="BB21" s="905"/>
      <c r="BC21" s="905"/>
      <c r="BD21" s="906"/>
      <c r="BE21" s="904"/>
      <c r="BF21" s="905"/>
      <c r="BG21" s="905"/>
      <c r="BH21" s="905"/>
      <c r="BI21" s="905"/>
      <c r="BJ21" s="905"/>
      <c r="BK21" s="905"/>
      <c r="BL21" s="905"/>
      <c r="BM21" s="905"/>
      <c r="BN21" s="905"/>
      <c r="BO21" s="906"/>
      <c r="BP21" s="862">
        <f>AJ21*AU21*BE21</f>
        <v>0</v>
      </c>
      <c r="BQ21" s="863"/>
      <c r="BR21" s="863"/>
      <c r="BS21" s="863"/>
      <c r="BT21" s="863"/>
      <c r="BU21" s="863"/>
      <c r="BV21" s="863"/>
      <c r="BW21" s="863"/>
      <c r="BX21" s="863"/>
      <c r="BY21" s="863"/>
      <c r="BZ21" s="863"/>
      <c r="CA21" s="863"/>
      <c r="CB21" s="864"/>
    </row>
    <row r="22" spans="1:80">
      <c r="A22" s="883"/>
      <c r="B22" s="884"/>
      <c r="C22" s="884"/>
      <c r="D22" s="885"/>
      <c r="E22" s="808" t="s">
        <v>262</v>
      </c>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10"/>
      <c r="AJ22" s="814" t="s">
        <v>21</v>
      </c>
      <c r="AK22" s="815"/>
      <c r="AL22" s="815"/>
      <c r="AM22" s="815"/>
      <c r="AN22" s="815"/>
      <c r="AO22" s="815"/>
      <c r="AP22" s="815"/>
      <c r="AQ22" s="815"/>
      <c r="AR22" s="815"/>
      <c r="AS22" s="815"/>
      <c r="AT22" s="816"/>
      <c r="AU22" s="814" t="s">
        <v>21</v>
      </c>
      <c r="AV22" s="815"/>
      <c r="AW22" s="815"/>
      <c r="AX22" s="815"/>
      <c r="AY22" s="815"/>
      <c r="AZ22" s="815"/>
      <c r="BA22" s="815"/>
      <c r="BB22" s="815"/>
      <c r="BC22" s="815"/>
      <c r="BD22" s="816"/>
      <c r="BE22" s="814" t="s">
        <v>21</v>
      </c>
      <c r="BF22" s="815"/>
      <c r="BG22" s="815"/>
      <c r="BH22" s="815"/>
      <c r="BI22" s="815"/>
      <c r="BJ22" s="815"/>
      <c r="BK22" s="815"/>
      <c r="BL22" s="815"/>
      <c r="BM22" s="815"/>
      <c r="BN22" s="815"/>
      <c r="BO22" s="816"/>
      <c r="BP22" s="862">
        <f>SUM(BP19:CB21)</f>
        <v>0</v>
      </c>
      <c r="BQ22" s="863"/>
      <c r="BR22" s="863"/>
      <c r="BS22" s="863"/>
      <c r="BT22" s="863"/>
      <c r="BU22" s="863"/>
      <c r="BV22" s="863"/>
      <c r="BW22" s="863"/>
      <c r="BX22" s="863"/>
      <c r="BY22" s="863"/>
      <c r="BZ22" s="863"/>
      <c r="CA22" s="863"/>
      <c r="CB22" s="864"/>
    </row>
    <row r="23" spans="1:80" s="79" customFormat="1" ht="15.6"/>
    <row r="24" spans="1:80" s="76" customFormat="1" ht="15.6">
      <c r="A24" s="827" t="s">
        <v>442</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27"/>
      <c r="BI24" s="827"/>
      <c r="BJ24" s="827"/>
      <c r="BK24" s="827"/>
      <c r="BL24" s="827"/>
      <c r="BM24" s="827"/>
      <c r="BN24" s="827"/>
      <c r="BO24" s="827"/>
      <c r="BP24" s="827"/>
      <c r="BQ24" s="827"/>
      <c r="BR24" s="827"/>
      <c r="BS24" s="827"/>
      <c r="BT24" s="827"/>
      <c r="BU24" s="827"/>
      <c r="BV24" s="827"/>
      <c r="BW24" s="827"/>
      <c r="BX24" s="827"/>
      <c r="BY24" s="827"/>
      <c r="BZ24" s="827"/>
      <c r="CA24" s="827"/>
      <c r="CB24" s="827"/>
    </row>
    <row r="25" spans="1:80" ht="15.6">
      <c r="A25" s="827" t="s">
        <v>443</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827"/>
      <c r="BK25" s="827"/>
      <c r="BL25" s="827"/>
      <c r="BM25" s="827"/>
      <c r="BN25" s="827"/>
      <c r="BO25" s="827"/>
      <c r="BP25" s="827"/>
      <c r="BQ25" s="827"/>
      <c r="BR25" s="827"/>
      <c r="BS25" s="827"/>
      <c r="BT25" s="827"/>
      <c r="BU25" s="827"/>
      <c r="BV25" s="827"/>
      <c r="BW25" s="827"/>
      <c r="BX25" s="827"/>
      <c r="BY25" s="827"/>
      <c r="BZ25" s="827"/>
      <c r="CA25" s="827"/>
      <c r="CB25" s="827"/>
    </row>
    <row r="26" spans="1:80" ht="15.6">
      <c r="A26" s="827" t="s">
        <v>444</v>
      </c>
      <c r="B26" s="827"/>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827"/>
      <c r="BG26" s="827"/>
      <c r="BH26" s="827"/>
      <c r="BI26" s="827"/>
      <c r="BJ26" s="827"/>
      <c r="BK26" s="827"/>
      <c r="BL26" s="827"/>
      <c r="BM26" s="827"/>
      <c r="BN26" s="827"/>
      <c r="BO26" s="827"/>
      <c r="BP26" s="827"/>
      <c r="BQ26" s="827"/>
      <c r="BR26" s="827"/>
      <c r="BS26" s="827"/>
      <c r="BT26" s="827"/>
      <c r="BU26" s="827"/>
      <c r="BV26" s="827"/>
      <c r="BW26" s="827"/>
      <c r="BX26" s="827"/>
      <c r="BY26" s="827"/>
      <c r="BZ26" s="827"/>
      <c r="CA26" s="827"/>
      <c r="CB26" s="827"/>
    </row>
    <row r="27" spans="1:80" s="80" customFormat="1" ht="7.8"/>
    <row r="28" spans="1:80">
      <c r="A28" s="823" t="s">
        <v>388</v>
      </c>
      <c r="B28" s="824"/>
      <c r="C28" s="824"/>
      <c r="D28" s="825"/>
      <c r="E28" s="823" t="s">
        <v>445</v>
      </c>
      <c r="F28" s="824"/>
      <c r="G28" s="824"/>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c r="BC28" s="824"/>
      <c r="BD28" s="825"/>
      <c r="BE28" s="919" t="s">
        <v>446</v>
      </c>
      <c r="BF28" s="887"/>
      <c r="BG28" s="887"/>
      <c r="BH28" s="887"/>
      <c r="BI28" s="887"/>
      <c r="BJ28" s="887"/>
      <c r="BK28" s="887"/>
      <c r="BL28" s="887"/>
      <c r="BM28" s="887"/>
      <c r="BN28" s="887"/>
      <c r="BO28" s="887"/>
      <c r="BP28" s="888"/>
      <c r="BQ28" s="823" t="s">
        <v>447</v>
      </c>
      <c r="BR28" s="824"/>
      <c r="BS28" s="824"/>
      <c r="BT28" s="824"/>
      <c r="BU28" s="824"/>
      <c r="BV28" s="824"/>
      <c r="BW28" s="824"/>
      <c r="BX28" s="824"/>
      <c r="BY28" s="824"/>
      <c r="BZ28" s="824"/>
      <c r="CA28" s="824"/>
      <c r="CB28" s="825"/>
    </row>
    <row r="29" spans="1:80">
      <c r="A29" s="820" t="s">
        <v>395</v>
      </c>
      <c r="B29" s="821"/>
      <c r="C29" s="821"/>
      <c r="D29" s="822"/>
      <c r="E29" s="820"/>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821"/>
      <c r="AN29" s="821"/>
      <c r="AO29" s="821"/>
      <c r="AP29" s="821"/>
      <c r="AQ29" s="821"/>
      <c r="AR29" s="821"/>
      <c r="AS29" s="821"/>
      <c r="AT29" s="821"/>
      <c r="AU29" s="821"/>
      <c r="AV29" s="821"/>
      <c r="AW29" s="821"/>
      <c r="AX29" s="821"/>
      <c r="AY29" s="821"/>
      <c r="AZ29" s="821"/>
      <c r="BA29" s="821"/>
      <c r="BB29" s="821"/>
      <c r="BC29" s="821"/>
      <c r="BD29" s="822"/>
      <c r="BE29" s="916" t="s">
        <v>448</v>
      </c>
      <c r="BF29" s="917"/>
      <c r="BG29" s="917"/>
      <c r="BH29" s="917"/>
      <c r="BI29" s="917"/>
      <c r="BJ29" s="917"/>
      <c r="BK29" s="917"/>
      <c r="BL29" s="917"/>
      <c r="BM29" s="917"/>
      <c r="BN29" s="917"/>
      <c r="BO29" s="917"/>
      <c r="BP29" s="918"/>
      <c r="BQ29" s="820" t="s">
        <v>237</v>
      </c>
      <c r="BR29" s="821"/>
      <c r="BS29" s="821"/>
      <c r="BT29" s="821"/>
      <c r="BU29" s="821"/>
      <c r="BV29" s="821"/>
      <c r="BW29" s="821"/>
      <c r="BX29" s="821"/>
      <c r="BY29" s="821"/>
      <c r="BZ29" s="821"/>
      <c r="CA29" s="821"/>
      <c r="CB29" s="822"/>
    </row>
    <row r="30" spans="1:80">
      <c r="A30" s="820"/>
      <c r="B30" s="821"/>
      <c r="C30" s="821"/>
      <c r="D30" s="822"/>
      <c r="E30" s="820"/>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1"/>
      <c r="AY30" s="821"/>
      <c r="AZ30" s="821"/>
      <c r="BA30" s="821"/>
      <c r="BB30" s="821"/>
      <c r="BC30" s="821"/>
      <c r="BD30" s="822"/>
      <c r="BE30" s="916" t="s">
        <v>449</v>
      </c>
      <c r="BF30" s="917"/>
      <c r="BG30" s="917"/>
      <c r="BH30" s="917"/>
      <c r="BI30" s="917"/>
      <c r="BJ30" s="917"/>
      <c r="BK30" s="917"/>
      <c r="BL30" s="917"/>
      <c r="BM30" s="917"/>
      <c r="BN30" s="917"/>
      <c r="BO30" s="917"/>
      <c r="BP30" s="918"/>
      <c r="BQ30" s="820"/>
      <c r="BR30" s="821"/>
      <c r="BS30" s="821"/>
      <c r="BT30" s="821"/>
      <c r="BU30" s="821"/>
      <c r="BV30" s="821"/>
      <c r="BW30" s="821"/>
      <c r="BX30" s="821"/>
      <c r="BY30" s="821"/>
      <c r="BZ30" s="821"/>
      <c r="CA30" s="821"/>
      <c r="CB30" s="822"/>
    </row>
    <row r="31" spans="1:80">
      <c r="A31" s="853"/>
      <c r="B31" s="854"/>
      <c r="C31" s="854"/>
      <c r="D31" s="855"/>
      <c r="E31" s="853"/>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855"/>
      <c r="BE31" s="814" t="s">
        <v>450</v>
      </c>
      <c r="BF31" s="815"/>
      <c r="BG31" s="815"/>
      <c r="BH31" s="815"/>
      <c r="BI31" s="815"/>
      <c r="BJ31" s="815"/>
      <c r="BK31" s="815"/>
      <c r="BL31" s="815"/>
      <c r="BM31" s="815"/>
      <c r="BN31" s="815"/>
      <c r="BO31" s="815"/>
      <c r="BP31" s="816"/>
      <c r="BQ31" s="853"/>
      <c r="BR31" s="854"/>
      <c r="BS31" s="854"/>
      <c r="BT31" s="854"/>
      <c r="BU31" s="854"/>
      <c r="BV31" s="854"/>
      <c r="BW31" s="854"/>
      <c r="BX31" s="854"/>
      <c r="BY31" s="854"/>
      <c r="BZ31" s="854"/>
      <c r="CA31" s="854"/>
      <c r="CB31" s="855"/>
    </row>
    <row r="32" spans="1:80">
      <c r="A32" s="817">
        <v>1</v>
      </c>
      <c r="B32" s="818"/>
      <c r="C32" s="818"/>
      <c r="D32" s="819"/>
      <c r="E32" s="817">
        <v>2</v>
      </c>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818"/>
      <c r="AZ32" s="818"/>
      <c r="BA32" s="818"/>
      <c r="BB32" s="818"/>
      <c r="BC32" s="818"/>
      <c r="BD32" s="819"/>
      <c r="BE32" s="802">
        <v>3</v>
      </c>
      <c r="BF32" s="803"/>
      <c r="BG32" s="803"/>
      <c r="BH32" s="803"/>
      <c r="BI32" s="803"/>
      <c r="BJ32" s="803"/>
      <c r="BK32" s="803"/>
      <c r="BL32" s="803"/>
      <c r="BM32" s="803"/>
      <c r="BN32" s="803"/>
      <c r="BO32" s="803"/>
      <c r="BP32" s="804"/>
      <c r="BQ32" s="817">
        <v>4</v>
      </c>
      <c r="BR32" s="818"/>
      <c r="BS32" s="818"/>
      <c r="BT32" s="818"/>
      <c r="BU32" s="818"/>
      <c r="BV32" s="818"/>
      <c r="BW32" s="818"/>
      <c r="BX32" s="818"/>
      <c r="BY32" s="818"/>
      <c r="BZ32" s="818"/>
      <c r="CA32" s="818"/>
      <c r="CB32" s="819"/>
    </row>
    <row r="33" spans="1:98">
      <c r="A33" s="802">
        <v>1</v>
      </c>
      <c r="B33" s="803"/>
      <c r="C33" s="803"/>
      <c r="D33" s="804"/>
      <c r="E33" s="907" t="s">
        <v>451</v>
      </c>
      <c r="F33" s="908"/>
      <c r="G33" s="908"/>
      <c r="H33" s="908"/>
      <c r="I33" s="908"/>
      <c r="J33" s="908"/>
      <c r="K33" s="908"/>
      <c r="L33" s="908"/>
      <c r="M33" s="908"/>
      <c r="N33" s="908"/>
      <c r="O33" s="908"/>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8"/>
      <c r="BC33" s="908"/>
      <c r="BD33" s="909"/>
      <c r="BE33" s="802" t="s">
        <v>21</v>
      </c>
      <c r="BF33" s="803"/>
      <c r="BG33" s="803"/>
      <c r="BH33" s="803"/>
      <c r="BI33" s="803"/>
      <c r="BJ33" s="803"/>
      <c r="BK33" s="803"/>
      <c r="BL33" s="803"/>
      <c r="BM33" s="803"/>
      <c r="BN33" s="803"/>
      <c r="BO33" s="803"/>
      <c r="BP33" s="804"/>
      <c r="BQ33" s="831">
        <f>BQ34+BQ36+BQ37</f>
        <v>3372656.88</v>
      </c>
      <c r="BR33" s="832"/>
      <c r="BS33" s="832"/>
      <c r="BT33" s="832"/>
      <c r="BU33" s="832"/>
      <c r="BV33" s="832"/>
      <c r="BW33" s="832"/>
      <c r="BX33" s="832"/>
      <c r="BY33" s="832"/>
      <c r="BZ33" s="832"/>
      <c r="CA33" s="832"/>
      <c r="CB33" s="833"/>
      <c r="CT33" s="113"/>
    </row>
    <row r="34" spans="1:98">
      <c r="A34" s="823" t="s">
        <v>452</v>
      </c>
      <c r="B34" s="824"/>
      <c r="C34" s="824"/>
      <c r="D34" s="825"/>
      <c r="E34" s="856" t="s">
        <v>27</v>
      </c>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c r="BA34" s="857"/>
      <c r="BB34" s="857"/>
      <c r="BC34" s="857"/>
      <c r="BD34" s="858"/>
      <c r="BE34" s="877">
        <f>'Расч 1ц'!DF21+'Расч 1ц'!DF37+'Расч 1ц'!DF56</f>
        <v>15330539.9</v>
      </c>
      <c r="BF34" s="878"/>
      <c r="BG34" s="878"/>
      <c r="BH34" s="878"/>
      <c r="BI34" s="878"/>
      <c r="BJ34" s="878"/>
      <c r="BK34" s="878"/>
      <c r="BL34" s="878"/>
      <c r="BM34" s="878"/>
      <c r="BN34" s="878"/>
      <c r="BO34" s="878"/>
      <c r="BP34" s="879"/>
      <c r="BQ34" s="910">
        <f>ROUND(BE34*0.22,2)-61.9</f>
        <v>3372656.88</v>
      </c>
      <c r="BR34" s="911"/>
      <c r="BS34" s="911"/>
      <c r="BT34" s="911"/>
      <c r="BU34" s="911"/>
      <c r="BV34" s="911"/>
      <c r="BW34" s="911"/>
      <c r="BX34" s="911"/>
      <c r="BY34" s="911"/>
      <c r="BZ34" s="911"/>
      <c r="CA34" s="911"/>
      <c r="CB34" s="912"/>
    </row>
    <row r="35" spans="1:98">
      <c r="A35" s="853"/>
      <c r="B35" s="854"/>
      <c r="C35" s="854"/>
      <c r="D35" s="855"/>
      <c r="E35" s="871" t="s">
        <v>453</v>
      </c>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2"/>
      <c r="BA35" s="872"/>
      <c r="BB35" s="872"/>
      <c r="BC35" s="872"/>
      <c r="BD35" s="873"/>
      <c r="BE35" s="880"/>
      <c r="BF35" s="881"/>
      <c r="BG35" s="881"/>
      <c r="BH35" s="881"/>
      <c r="BI35" s="881"/>
      <c r="BJ35" s="881"/>
      <c r="BK35" s="881"/>
      <c r="BL35" s="881"/>
      <c r="BM35" s="881"/>
      <c r="BN35" s="881"/>
      <c r="BO35" s="881"/>
      <c r="BP35" s="882"/>
      <c r="BQ35" s="913"/>
      <c r="BR35" s="914"/>
      <c r="BS35" s="914"/>
      <c r="BT35" s="914"/>
      <c r="BU35" s="914"/>
      <c r="BV35" s="914"/>
      <c r="BW35" s="914"/>
      <c r="BX35" s="914"/>
      <c r="BY35" s="914"/>
      <c r="BZ35" s="914"/>
      <c r="CA35" s="914"/>
      <c r="CB35" s="915"/>
    </row>
    <row r="36" spans="1:98">
      <c r="A36" s="802" t="s">
        <v>454</v>
      </c>
      <c r="B36" s="803"/>
      <c r="C36" s="803"/>
      <c r="D36" s="804"/>
      <c r="E36" s="898" t="s">
        <v>455</v>
      </c>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899"/>
      <c r="AZ36" s="899"/>
      <c r="BA36" s="899"/>
      <c r="BB36" s="899"/>
      <c r="BC36" s="899"/>
      <c r="BD36" s="900"/>
      <c r="BE36" s="808"/>
      <c r="BF36" s="809"/>
      <c r="BG36" s="809"/>
      <c r="BH36" s="809"/>
      <c r="BI36" s="809"/>
      <c r="BJ36" s="809"/>
      <c r="BK36" s="809"/>
      <c r="BL36" s="809"/>
      <c r="BM36" s="809"/>
      <c r="BN36" s="809"/>
      <c r="BO36" s="809"/>
      <c r="BP36" s="810"/>
      <c r="BQ36" s="831"/>
      <c r="BR36" s="832"/>
      <c r="BS36" s="832"/>
      <c r="BT36" s="832"/>
      <c r="BU36" s="832"/>
      <c r="BV36" s="832"/>
      <c r="BW36" s="832"/>
      <c r="BX36" s="832"/>
      <c r="BY36" s="832"/>
      <c r="BZ36" s="832"/>
      <c r="CA36" s="832"/>
      <c r="CB36" s="833"/>
    </row>
    <row r="37" spans="1:98">
      <c r="A37" s="823" t="s">
        <v>456</v>
      </c>
      <c r="B37" s="824"/>
      <c r="C37" s="824"/>
      <c r="D37" s="825"/>
      <c r="E37" s="856" t="s">
        <v>457</v>
      </c>
      <c r="F37" s="857"/>
      <c r="G37" s="857"/>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c r="BA37" s="857"/>
      <c r="BB37" s="857"/>
      <c r="BC37" s="857"/>
      <c r="BD37" s="858"/>
      <c r="BE37" s="901"/>
      <c r="BF37" s="902"/>
      <c r="BG37" s="902"/>
      <c r="BH37" s="902"/>
      <c r="BI37" s="902"/>
      <c r="BJ37" s="902"/>
      <c r="BK37" s="902"/>
      <c r="BL37" s="902"/>
      <c r="BM37" s="902"/>
      <c r="BN37" s="902"/>
      <c r="BO37" s="902"/>
      <c r="BP37" s="903"/>
      <c r="BQ37" s="865"/>
      <c r="BR37" s="866"/>
      <c r="BS37" s="866"/>
      <c r="BT37" s="866"/>
      <c r="BU37" s="866"/>
      <c r="BV37" s="866"/>
      <c r="BW37" s="866"/>
      <c r="BX37" s="866"/>
      <c r="BY37" s="866"/>
      <c r="BZ37" s="866"/>
      <c r="CA37" s="866"/>
      <c r="CB37" s="867"/>
    </row>
    <row r="38" spans="1:98">
      <c r="A38" s="853"/>
      <c r="B38" s="854"/>
      <c r="C38" s="854"/>
      <c r="D38" s="855"/>
      <c r="E38" s="871" t="s">
        <v>458</v>
      </c>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3"/>
      <c r="BE38" s="904"/>
      <c r="BF38" s="905"/>
      <c r="BG38" s="905"/>
      <c r="BH38" s="905"/>
      <c r="BI38" s="905"/>
      <c r="BJ38" s="905"/>
      <c r="BK38" s="905"/>
      <c r="BL38" s="905"/>
      <c r="BM38" s="905"/>
      <c r="BN38" s="905"/>
      <c r="BO38" s="905"/>
      <c r="BP38" s="906"/>
      <c r="BQ38" s="868"/>
      <c r="BR38" s="869"/>
      <c r="BS38" s="869"/>
      <c r="BT38" s="869"/>
      <c r="BU38" s="869"/>
      <c r="BV38" s="869"/>
      <c r="BW38" s="869"/>
      <c r="BX38" s="869"/>
      <c r="BY38" s="869"/>
      <c r="BZ38" s="869"/>
      <c r="CA38" s="869"/>
      <c r="CB38" s="870"/>
      <c r="CR38" s="190">
        <f>BE34*0.302</f>
        <v>4629823.0498000002</v>
      </c>
    </row>
    <row r="39" spans="1:98">
      <c r="A39" s="823">
        <v>2</v>
      </c>
      <c r="B39" s="824"/>
      <c r="C39" s="824"/>
      <c r="D39" s="825"/>
      <c r="E39" s="874" t="s">
        <v>459</v>
      </c>
      <c r="F39" s="875"/>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75"/>
      <c r="AU39" s="875"/>
      <c r="AV39" s="875"/>
      <c r="AW39" s="875"/>
      <c r="AX39" s="875"/>
      <c r="AY39" s="875"/>
      <c r="AZ39" s="875"/>
      <c r="BA39" s="875"/>
      <c r="BB39" s="875"/>
      <c r="BC39" s="875"/>
      <c r="BD39" s="876"/>
      <c r="BE39" s="886" t="s">
        <v>21</v>
      </c>
      <c r="BF39" s="887"/>
      <c r="BG39" s="887"/>
      <c r="BH39" s="887"/>
      <c r="BI39" s="887"/>
      <c r="BJ39" s="887"/>
      <c r="BK39" s="887"/>
      <c r="BL39" s="887"/>
      <c r="BM39" s="887"/>
      <c r="BN39" s="887"/>
      <c r="BO39" s="887"/>
      <c r="BP39" s="888"/>
      <c r="BQ39" s="865">
        <f>BQ41+BQ46</f>
        <v>475246.73710000003</v>
      </c>
      <c r="BR39" s="866"/>
      <c r="BS39" s="866"/>
      <c r="BT39" s="866"/>
      <c r="BU39" s="866"/>
      <c r="BV39" s="866"/>
      <c r="BW39" s="866"/>
      <c r="BX39" s="866"/>
      <c r="BY39" s="866"/>
      <c r="BZ39" s="866"/>
      <c r="CA39" s="866"/>
      <c r="CB39" s="867"/>
    </row>
    <row r="40" spans="1:98">
      <c r="A40" s="853"/>
      <c r="B40" s="854"/>
      <c r="C40" s="854"/>
      <c r="D40" s="855"/>
      <c r="E40" s="883" t="s">
        <v>460</v>
      </c>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4"/>
      <c r="AY40" s="884"/>
      <c r="AZ40" s="884"/>
      <c r="BA40" s="884"/>
      <c r="BB40" s="884"/>
      <c r="BC40" s="884"/>
      <c r="BD40" s="885"/>
      <c r="BE40" s="814"/>
      <c r="BF40" s="815"/>
      <c r="BG40" s="815"/>
      <c r="BH40" s="815"/>
      <c r="BI40" s="815"/>
      <c r="BJ40" s="815"/>
      <c r="BK40" s="815"/>
      <c r="BL40" s="815"/>
      <c r="BM40" s="815"/>
      <c r="BN40" s="815"/>
      <c r="BO40" s="815"/>
      <c r="BP40" s="816"/>
      <c r="BQ40" s="868"/>
      <c r="BR40" s="869"/>
      <c r="BS40" s="869"/>
      <c r="BT40" s="869"/>
      <c r="BU40" s="869"/>
      <c r="BV40" s="869"/>
      <c r="BW40" s="869"/>
      <c r="BX40" s="869"/>
      <c r="BY40" s="869"/>
      <c r="BZ40" s="869"/>
      <c r="CA40" s="869"/>
      <c r="CB40" s="870"/>
      <c r="CT40" s="113"/>
    </row>
    <row r="41" spans="1:98">
      <c r="A41" s="823" t="s">
        <v>461</v>
      </c>
      <c r="B41" s="824"/>
      <c r="C41" s="824"/>
      <c r="D41" s="825"/>
      <c r="E41" s="856" t="s">
        <v>27</v>
      </c>
      <c r="F41" s="857"/>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c r="BA41" s="857"/>
      <c r="BB41" s="857"/>
      <c r="BC41" s="857"/>
      <c r="BD41" s="858"/>
      <c r="BE41" s="877">
        <f>BE34</f>
        <v>15330539.9</v>
      </c>
      <c r="BF41" s="878"/>
      <c r="BG41" s="878"/>
      <c r="BH41" s="878"/>
      <c r="BI41" s="878"/>
      <c r="BJ41" s="878"/>
      <c r="BK41" s="878"/>
      <c r="BL41" s="878"/>
      <c r="BM41" s="878"/>
      <c r="BN41" s="878"/>
      <c r="BO41" s="878"/>
      <c r="BP41" s="879"/>
      <c r="BQ41" s="865">
        <f>BE41*0.029</f>
        <v>444585.65710000001</v>
      </c>
      <c r="BR41" s="866"/>
      <c r="BS41" s="866"/>
      <c r="BT41" s="866"/>
      <c r="BU41" s="866"/>
      <c r="BV41" s="866"/>
      <c r="BW41" s="866"/>
      <c r="BX41" s="866"/>
      <c r="BY41" s="866"/>
      <c r="BZ41" s="866"/>
      <c r="CA41" s="866"/>
      <c r="CB41" s="867"/>
    </row>
    <row r="42" spans="1:98">
      <c r="A42" s="820"/>
      <c r="B42" s="821"/>
      <c r="C42" s="821"/>
      <c r="D42" s="822"/>
      <c r="E42" s="895" t="s">
        <v>462</v>
      </c>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896"/>
      <c r="BD42" s="897"/>
      <c r="BE42" s="889"/>
      <c r="BF42" s="890"/>
      <c r="BG42" s="890"/>
      <c r="BH42" s="890"/>
      <c r="BI42" s="890"/>
      <c r="BJ42" s="890"/>
      <c r="BK42" s="890"/>
      <c r="BL42" s="890"/>
      <c r="BM42" s="890"/>
      <c r="BN42" s="890"/>
      <c r="BO42" s="890"/>
      <c r="BP42" s="891"/>
      <c r="BQ42" s="892"/>
      <c r="BR42" s="893"/>
      <c r="BS42" s="893"/>
      <c r="BT42" s="893"/>
      <c r="BU42" s="893"/>
      <c r="BV42" s="893"/>
      <c r="BW42" s="893"/>
      <c r="BX42" s="893"/>
      <c r="BY42" s="893"/>
      <c r="BZ42" s="893"/>
      <c r="CA42" s="893"/>
      <c r="CB42" s="894"/>
    </row>
    <row r="43" spans="1:98">
      <c r="A43" s="853"/>
      <c r="B43" s="854"/>
      <c r="C43" s="854"/>
      <c r="D43" s="855"/>
      <c r="E43" s="871" t="s">
        <v>463</v>
      </c>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2"/>
      <c r="AY43" s="872"/>
      <c r="AZ43" s="872"/>
      <c r="BA43" s="872"/>
      <c r="BB43" s="872"/>
      <c r="BC43" s="872"/>
      <c r="BD43" s="873"/>
      <c r="BE43" s="880"/>
      <c r="BF43" s="881"/>
      <c r="BG43" s="881"/>
      <c r="BH43" s="881"/>
      <c r="BI43" s="881"/>
      <c r="BJ43" s="881"/>
      <c r="BK43" s="881"/>
      <c r="BL43" s="881"/>
      <c r="BM43" s="881"/>
      <c r="BN43" s="881"/>
      <c r="BO43" s="881"/>
      <c r="BP43" s="882"/>
      <c r="BQ43" s="868"/>
      <c r="BR43" s="869"/>
      <c r="BS43" s="869"/>
      <c r="BT43" s="869"/>
      <c r="BU43" s="869"/>
      <c r="BV43" s="869"/>
      <c r="BW43" s="869"/>
      <c r="BX43" s="869"/>
      <c r="BY43" s="869"/>
      <c r="BZ43" s="869"/>
      <c r="CA43" s="869"/>
      <c r="CB43" s="870"/>
    </row>
    <row r="44" spans="1:98">
      <c r="A44" s="823" t="s">
        <v>464</v>
      </c>
      <c r="B44" s="824"/>
      <c r="C44" s="824"/>
      <c r="D44" s="825"/>
      <c r="E44" s="856" t="s">
        <v>465</v>
      </c>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c r="BA44" s="857"/>
      <c r="BB44" s="857"/>
      <c r="BC44" s="857"/>
      <c r="BD44" s="858"/>
      <c r="BE44" s="859"/>
      <c r="BF44" s="860"/>
      <c r="BG44" s="860"/>
      <c r="BH44" s="860"/>
      <c r="BI44" s="860"/>
      <c r="BJ44" s="860"/>
      <c r="BK44" s="860"/>
      <c r="BL44" s="860"/>
      <c r="BM44" s="860"/>
      <c r="BN44" s="860"/>
      <c r="BO44" s="860"/>
      <c r="BP44" s="861"/>
      <c r="BQ44" s="865"/>
      <c r="BR44" s="866"/>
      <c r="BS44" s="866"/>
      <c r="BT44" s="866"/>
      <c r="BU44" s="866"/>
      <c r="BV44" s="866"/>
      <c r="BW44" s="866"/>
      <c r="BX44" s="866"/>
      <c r="BY44" s="866"/>
      <c r="BZ44" s="866"/>
      <c r="CA44" s="866"/>
      <c r="CB44" s="867"/>
    </row>
    <row r="45" spans="1:98">
      <c r="A45" s="853"/>
      <c r="B45" s="854"/>
      <c r="C45" s="854"/>
      <c r="D45" s="855"/>
      <c r="E45" s="871" t="s">
        <v>466</v>
      </c>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872"/>
      <c r="AY45" s="872"/>
      <c r="AZ45" s="872"/>
      <c r="BA45" s="872"/>
      <c r="BB45" s="872"/>
      <c r="BC45" s="872"/>
      <c r="BD45" s="873"/>
      <c r="BE45" s="862"/>
      <c r="BF45" s="863"/>
      <c r="BG45" s="863"/>
      <c r="BH45" s="863"/>
      <c r="BI45" s="863"/>
      <c r="BJ45" s="863"/>
      <c r="BK45" s="863"/>
      <c r="BL45" s="863"/>
      <c r="BM45" s="863"/>
      <c r="BN45" s="863"/>
      <c r="BO45" s="863"/>
      <c r="BP45" s="864"/>
      <c r="BQ45" s="868"/>
      <c r="BR45" s="869"/>
      <c r="BS45" s="869"/>
      <c r="BT45" s="869"/>
      <c r="BU45" s="869"/>
      <c r="BV45" s="869"/>
      <c r="BW45" s="869"/>
      <c r="BX45" s="869"/>
      <c r="BY45" s="869"/>
      <c r="BZ45" s="869"/>
      <c r="CA45" s="869"/>
      <c r="CB45" s="870"/>
    </row>
    <row r="46" spans="1:98">
      <c r="A46" s="823" t="s">
        <v>467</v>
      </c>
      <c r="B46" s="824"/>
      <c r="C46" s="824"/>
      <c r="D46" s="825"/>
      <c r="E46" s="856" t="s">
        <v>468</v>
      </c>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c r="BA46" s="857"/>
      <c r="BB46" s="857"/>
      <c r="BC46" s="857"/>
      <c r="BD46" s="858"/>
      <c r="BE46" s="877">
        <f>BE34</f>
        <v>15330539.9</v>
      </c>
      <c r="BF46" s="878"/>
      <c r="BG46" s="878"/>
      <c r="BH46" s="878"/>
      <c r="BI46" s="878"/>
      <c r="BJ46" s="878"/>
      <c r="BK46" s="878"/>
      <c r="BL46" s="878"/>
      <c r="BM46" s="878"/>
      <c r="BN46" s="878"/>
      <c r="BO46" s="878"/>
      <c r="BP46" s="879"/>
      <c r="BQ46" s="865">
        <f>ROUND(BE46*0.002,2)</f>
        <v>30661.08</v>
      </c>
      <c r="BR46" s="866"/>
      <c r="BS46" s="866"/>
      <c r="BT46" s="866"/>
      <c r="BU46" s="866"/>
      <c r="BV46" s="866"/>
      <c r="BW46" s="866"/>
      <c r="BX46" s="866"/>
      <c r="BY46" s="866"/>
      <c r="BZ46" s="866"/>
      <c r="CA46" s="866"/>
      <c r="CB46" s="867"/>
    </row>
    <row r="47" spans="1:98">
      <c r="A47" s="853"/>
      <c r="B47" s="854"/>
      <c r="C47" s="854"/>
      <c r="D47" s="855"/>
      <c r="E47" s="871" t="s">
        <v>469</v>
      </c>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872"/>
      <c r="AW47" s="872"/>
      <c r="AX47" s="872"/>
      <c r="AY47" s="872"/>
      <c r="AZ47" s="872"/>
      <c r="BA47" s="872"/>
      <c r="BB47" s="872"/>
      <c r="BC47" s="872"/>
      <c r="BD47" s="873"/>
      <c r="BE47" s="880"/>
      <c r="BF47" s="881"/>
      <c r="BG47" s="881"/>
      <c r="BH47" s="881"/>
      <c r="BI47" s="881"/>
      <c r="BJ47" s="881"/>
      <c r="BK47" s="881"/>
      <c r="BL47" s="881"/>
      <c r="BM47" s="881"/>
      <c r="BN47" s="881"/>
      <c r="BO47" s="881"/>
      <c r="BP47" s="882"/>
      <c r="BQ47" s="868"/>
      <c r="BR47" s="869"/>
      <c r="BS47" s="869"/>
      <c r="BT47" s="869"/>
      <c r="BU47" s="869"/>
      <c r="BV47" s="869"/>
      <c r="BW47" s="869"/>
      <c r="BX47" s="869"/>
      <c r="BY47" s="869"/>
      <c r="BZ47" s="869"/>
      <c r="CA47" s="869"/>
      <c r="CB47" s="870"/>
    </row>
    <row r="48" spans="1:98">
      <c r="A48" s="823" t="s">
        <v>470</v>
      </c>
      <c r="B48" s="824"/>
      <c r="C48" s="824"/>
      <c r="D48" s="825"/>
      <c r="E48" s="856" t="s">
        <v>468</v>
      </c>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c r="BA48" s="857"/>
      <c r="BB48" s="857"/>
      <c r="BC48" s="857"/>
      <c r="BD48" s="858"/>
      <c r="BE48" s="859"/>
      <c r="BF48" s="860"/>
      <c r="BG48" s="860"/>
      <c r="BH48" s="860"/>
      <c r="BI48" s="860"/>
      <c r="BJ48" s="860"/>
      <c r="BK48" s="860"/>
      <c r="BL48" s="860"/>
      <c r="BM48" s="860"/>
      <c r="BN48" s="860"/>
      <c r="BO48" s="860"/>
      <c r="BP48" s="861"/>
      <c r="BQ48" s="865"/>
      <c r="BR48" s="866"/>
      <c r="BS48" s="866"/>
      <c r="BT48" s="866"/>
      <c r="BU48" s="866"/>
      <c r="BV48" s="866"/>
      <c r="BW48" s="866"/>
      <c r="BX48" s="866"/>
      <c r="BY48" s="866"/>
      <c r="BZ48" s="866"/>
      <c r="CA48" s="866"/>
      <c r="CB48" s="867"/>
    </row>
    <row r="49" spans="1:99" ht="12.75" customHeight="1">
      <c r="A49" s="853"/>
      <c r="B49" s="854"/>
      <c r="C49" s="854"/>
      <c r="D49" s="855"/>
      <c r="E49" s="871" t="s">
        <v>471</v>
      </c>
      <c r="F49" s="872"/>
      <c r="G49" s="872"/>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2"/>
      <c r="AY49" s="872"/>
      <c r="AZ49" s="872"/>
      <c r="BA49" s="872"/>
      <c r="BB49" s="872"/>
      <c r="BC49" s="872"/>
      <c r="BD49" s="873"/>
      <c r="BE49" s="862"/>
      <c r="BF49" s="863"/>
      <c r="BG49" s="863"/>
      <c r="BH49" s="863"/>
      <c r="BI49" s="863"/>
      <c r="BJ49" s="863"/>
      <c r="BK49" s="863"/>
      <c r="BL49" s="863"/>
      <c r="BM49" s="863"/>
      <c r="BN49" s="863"/>
      <c r="BO49" s="863"/>
      <c r="BP49" s="864"/>
      <c r="BQ49" s="868"/>
      <c r="BR49" s="869"/>
      <c r="BS49" s="869"/>
      <c r="BT49" s="869"/>
      <c r="BU49" s="869"/>
      <c r="BV49" s="869"/>
      <c r="BW49" s="869"/>
      <c r="BX49" s="869"/>
      <c r="BY49" s="869"/>
      <c r="BZ49" s="869"/>
      <c r="CA49" s="869"/>
      <c r="CB49" s="870"/>
    </row>
    <row r="50" spans="1:99">
      <c r="A50" s="823" t="s">
        <v>472</v>
      </c>
      <c r="B50" s="824"/>
      <c r="C50" s="824"/>
      <c r="D50" s="825"/>
      <c r="E50" s="856" t="s">
        <v>468</v>
      </c>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8"/>
      <c r="BE50" s="859"/>
      <c r="BF50" s="860"/>
      <c r="BG50" s="860"/>
      <c r="BH50" s="860"/>
      <c r="BI50" s="860"/>
      <c r="BJ50" s="860"/>
      <c r="BK50" s="860"/>
      <c r="BL50" s="860"/>
      <c r="BM50" s="860"/>
      <c r="BN50" s="860"/>
      <c r="BO50" s="860"/>
      <c r="BP50" s="861"/>
      <c r="BQ50" s="865"/>
      <c r="BR50" s="866"/>
      <c r="BS50" s="866"/>
      <c r="BT50" s="866"/>
      <c r="BU50" s="866"/>
      <c r="BV50" s="866"/>
      <c r="BW50" s="866"/>
      <c r="BX50" s="866"/>
      <c r="BY50" s="866"/>
      <c r="BZ50" s="866"/>
      <c r="CA50" s="866"/>
      <c r="CB50" s="867"/>
    </row>
    <row r="51" spans="1:99" ht="12.75" customHeight="1">
      <c r="A51" s="853"/>
      <c r="B51" s="854"/>
      <c r="C51" s="854"/>
      <c r="D51" s="855"/>
      <c r="E51" s="871" t="s">
        <v>471</v>
      </c>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2"/>
      <c r="AI51" s="872"/>
      <c r="AJ51" s="872"/>
      <c r="AK51" s="872"/>
      <c r="AL51" s="872"/>
      <c r="AM51" s="872"/>
      <c r="AN51" s="872"/>
      <c r="AO51" s="872"/>
      <c r="AP51" s="872"/>
      <c r="AQ51" s="872"/>
      <c r="AR51" s="872"/>
      <c r="AS51" s="872"/>
      <c r="AT51" s="872"/>
      <c r="AU51" s="872"/>
      <c r="AV51" s="872"/>
      <c r="AW51" s="872"/>
      <c r="AX51" s="872"/>
      <c r="AY51" s="872"/>
      <c r="AZ51" s="872"/>
      <c r="BA51" s="872"/>
      <c r="BB51" s="872"/>
      <c r="BC51" s="872"/>
      <c r="BD51" s="873"/>
      <c r="BE51" s="862"/>
      <c r="BF51" s="863"/>
      <c r="BG51" s="863"/>
      <c r="BH51" s="863"/>
      <c r="BI51" s="863"/>
      <c r="BJ51" s="863"/>
      <c r="BK51" s="863"/>
      <c r="BL51" s="863"/>
      <c r="BM51" s="863"/>
      <c r="BN51" s="863"/>
      <c r="BO51" s="863"/>
      <c r="BP51" s="864"/>
      <c r="BQ51" s="868"/>
      <c r="BR51" s="869"/>
      <c r="BS51" s="869"/>
      <c r="BT51" s="869"/>
      <c r="BU51" s="869"/>
      <c r="BV51" s="869"/>
      <c r="BW51" s="869"/>
      <c r="BX51" s="869"/>
      <c r="BY51" s="869"/>
      <c r="BZ51" s="869"/>
      <c r="CA51" s="869"/>
      <c r="CB51" s="870"/>
    </row>
    <row r="52" spans="1:99">
      <c r="A52" s="823">
        <v>3</v>
      </c>
      <c r="B52" s="824"/>
      <c r="C52" s="824"/>
      <c r="D52" s="825"/>
      <c r="E52" s="874" t="s">
        <v>473</v>
      </c>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875"/>
      <c r="AR52" s="875"/>
      <c r="AS52" s="875"/>
      <c r="AT52" s="875"/>
      <c r="AU52" s="875"/>
      <c r="AV52" s="875"/>
      <c r="AW52" s="875"/>
      <c r="AX52" s="875"/>
      <c r="AY52" s="875"/>
      <c r="AZ52" s="875"/>
      <c r="BA52" s="875"/>
      <c r="BB52" s="875"/>
      <c r="BC52" s="875"/>
      <c r="BD52" s="876"/>
      <c r="BE52" s="877">
        <f>BE34</f>
        <v>15330539.9</v>
      </c>
      <c r="BF52" s="878"/>
      <c r="BG52" s="878"/>
      <c r="BH52" s="878"/>
      <c r="BI52" s="878"/>
      <c r="BJ52" s="878"/>
      <c r="BK52" s="878"/>
      <c r="BL52" s="878"/>
      <c r="BM52" s="878"/>
      <c r="BN52" s="878"/>
      <c r="BO52" s="878"/>
      <c r="BP52" s="879"/>
      <c r="BQ52" s="865">
        <f>ROUND(BE52*0.051,2)</f>
        <v>781857.53</v>
      </c>
      <c r="BR52" s="866"/>
      <c r="BS52" s="866"/>
      <c r="BT52" s="866"/>
      <c r="BU52" s="866"/>
      <c r="BV52" s="866"/>
      <c r="BW52" s="866"/>
      <c r="BX52" s="866"/>
      <c r="BY52" s="866"/>
      <c r="BZ52" s="866"/>
      <c r="CA52" s="866"/>
      <c r="CB52" s="867"/>
      <c r="CU52" s="82"/>
    </row>
    <row r="53" spans="1:99">
      <c r="A53" s="853"/>
      <c r="B53" s="854"/>
      <c r="C53" s="854"/>
      <c r="D53" s="855"/>
      <c r="E53" s="883" t="s">
        <v>474</v>
      </c>
      <c r="F53" s="884"/>
      <c r="G53" s="884"/>
      <c r="H53" s="884"/>
      <c r="I53" s="884"/>
      <c r="J53" s="884"/>
      <c r="K53" s="884"/>
      <c r="L53" s="884"/>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884"/>
      <c r="AL53" s="884"/>
      <c r="AM53" s="884"/>
      <c r="AN53" s="884"/>
      <c r="AO53" s="884"/>
      <c r="AP53" s="884"/>
      <c r="AQ53" s="884"/>
      <c r="AR53" s="884"/>
      <c r="AS53" s="884"/>
      <c r="AT53" s="884"/>
      <c r="AU53" s="884"/>
      <c r="AV53" s="884"/>
      <c r="AW53" s="884"/>
      <c r="AX53" s="884"/>
      <c r="AY53" s="884"/>
      <c r="AZ53" s="884"/>
      <c r="BA53" s="884"/>
      <c r="BB53" s="884"/>
      <c r="BC53" s="884"/>
      <c r="BD53" s="885"/>
      <c r="BE53" s="880"/>
      <c r="BF53" s="881"/>
      <c r="BG53" s="881"/>
      <c r="BH53" s="881"/>
      <c r="BI53" s="881"/>
      <c r="BJ53" s="881"/>
      <c r="BK53" s="881"/>
      <c r="BL53" s="881"/>
      <c r="BM53" s="881"/>
      <c r="BN53" s="881"/>
      <c r="BO53" s="881"/>
      <c r="BP53" s="882"/>
      <c r="BQ53" s="868"/>
      <c r="BR53" s="869"/>
      <c r="BS53" s="869"/>
      <c r="BT53" s="869"/>
      <c r="BU53" s="869"/>
      <c r="BV53" s="869"/>
      <c r="BW53" s="869"/>
      <c r="BX53" s="869"/>
      <c r="BY53" s="869"/>
      <c r="BZ53" s="869"/>
      <c r="CA53" s="869"/>
      <c r="CB53" s="870"/>
    </row>
    <row r="54" spans="1:99">
      <c r="A54" s="802"/>
      <c r="B54" s="803"/>
      <c r="C54" s="803"/>
      <c r="D54" s="804"/>
      <c r="E54" s="808" t="s">
        <v>262</v>
      </c>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09"/>
      <c r="AZ54" s="809"/>
      <c r="BA54" s="809"/>
      <c r="BB54" s="809"/>
      <c r="BC54" s="809"/>
      <c r="BD54" s="810"/>
      <c r="BE54" s="802" t="s">
        <v>21</v>
      </c>
      <c r="BF54" s="803"/>
      <c r="BG54" s="803"/>
      <c r="BH54" s="803"/>
      <c r="BI54" s="803"/>
      <c r="BJ54" s="803"/>
      <c r="BK54" s="803"/>
      <c r="BL54" s="803"/>
      <c r="BM54" s="803"/>
      <c r="BN54" s="803"/>
      <c r="BO54" s="803"/>
      <c r="BP54" s="804"/>
      <c r="BQ54" s="831">
        <f>BQ52+BQ39+BQ33</f>
        <v>4629761.1470999997</v>
      </c>
      <c r="BR54" s="832"/>
      <c r="BS54" s="832"/>
      <c r="BT54" s="832"/>
      <c r="BU54" s="832"/>
      <c r="BV54" s="832"/>
      <c r="BW54" s="832"/>
      <c r="BX54" s="832"/>
      <c r="BY54" s="832"/>
      <c r="BZ54" s="832"/>
      <c r="CA54" s="832"/>
      <c r="CB54" s="833"/>
      <c r="CR54" s="82">
        <f>BQ54-'[1]Пок по пост и выб'!D25</f>
        <v>103928.51709999982</v>
      </c>
      <c r="CT54" s="82"/>
    </row>
    <row r="55" spans="1:99">
      <c r="A55" s="184"/>
      <c r="B55" s="184"/>
      <c r="C55" s="184"/>
      <c r="D55" s="184"/>
      <c r="E55" s="184"/>
      <c r="F55" s="184"/>
      <c r="G55" s="184"/>
      <c r="H55" s="184"/>
      <c r="I55" s="184"/>
      <c r="J55" s="184"/>
      <c r="K55" s="184"/>
      <c r="L55" s="184"/>
      <c r="M55" s="184"/>
      <c r="N55" s="184"/>
      <c r="O55" s="184"/>
      <c r="P55" s="184"/>
      <c r="Q55" s="184"/>
      <c r="R55" s="184"/>
      <c r="CT55" s="82"/>
    </row>
    <row r="56" spans="1:99" ht="28.95" customHeight="1">
      <c r="A56" s="851" t="s">
        <v>1069</v>
      </c>
      <c r="B56" s="851"/>
      <c r="C56" s="851"/>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1"/>
      <c r="AY56" s="851"/>
      <c r="AZ56" s="851"/>
      <c r="BA56" s="851"/>
      <c r="BB56" s="851"/>
      <c r="BC56" s="851"/>
      <c r="BD56" s="851"/>
      <c r="BE56" s="851"/>
      <c r="BF56" s="851"/>
      <c r="BG56" s="851"/>
      <c r="BH56" s="851"/>
      <c r="BI56" s="851"/>
      <c r="BJ56" s="851"/>
      <c r="BK56" s="851"/>
      <c r="BL56" s="851"/>
      <c r="BM56" s="851"/>
      <c r="BN56" s="851"/>
      <c r="BO56" s="851"/>
      <c r="BP56" s="851"/>
      <c r="BQ56" s="851"/>
      <c r="BR56" s="851"/>
      <c r="BS56" s="851"/>
      <c r="BT56" s="851"/>
      <c r="BU56" s="851"/>
      <c r="BV56" s="851"/>
      <c r="BW56" s="851"/>
      <c r="BX56" s="851"/>
      <c r="BY56" s="851"/>
      <c r="BZ56" s="851"/>
      <c r="CA56" s="851"/>
      <c r="CB56" s="851"/>
      <c r="CC56" s="198"/>
    </row>
    <row r="57" spans="1:99">
      <c r="CT57" s="82"/>
    </row>
    <row r="58" spans="1:99" s="83" customFormat="1" ht="10.199999999999999">
      <c r="A58" s="852" t="s">
        <v>475</v>
      </c>
      <c r="B58" s="852"/>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852"/>
      <c r="BB58" s="852"/>
      <c r="BC58" s="852"/>
      <c r="BD58" s="852"/>
      <c r="BE58" s="852"/>
      <c r="BF58" s="852"/>
      <c r="BG58" s="852"/>
      <c r="BH58" s="852"/>
      <c r="BI58" s="852"/>
      <c r="BJ58" s="852"/>
      <c r="BK58" s="852"/>
      <c r="BL58" s="852"/>
      <c r="BM58" s="852"/>
      <c r="BN58" s="852"/>
      <c r="BO58" s="852"/>
      <c r="BP58" s="852"/>
      <c r="BQ58" s="852"/>
      <c r="BR58" s="852"/>
      <c r="BS58" s="852"/>
      <c r="BT58" s="852"/>
      <c r="BU58" s="852"/>
      <c r="BV58" s="852"/>
      <c r="BW58" s="852"/>
      <c r="BX58" s="852"/>
      <c r="BY58" s="852"/>
      <c r="BZ58" s="852"/>
      <c r="CA58" s="852"/>
      <c r="CB58" s="852"/>
      <c r="CT58" s="199"/>
    </row>
    <row r="59" spans="1:99" s="83" customFormat="1" ht="10.199999999999999">
      <c r="A59" s="852"/>
      <c r="B59" s="852"/>
      <c r="C59" s="852"/>
      <c r="D59" s="852"/>
      <c r="E59" s="852"/>
      <c r="F59" s="852"/>
      <c r="G59" s="852"/>
      <c r="H59" s="852"/>
      <c r="I59" s="852"/>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2"/>
      <c r="AT59" s="852"/>
      <c r="AU59" s="852"/>
      <c r="AV59" s="852"/>
      <c r="AW59" s="852"/>
      <c r="AX59" s="852"/>
      <c r="AY59" s="852"/>
      <c r="AZ59" s="852"/>
      <c r="BA59" s="852"/>
      <c r="BB59" s="852"/>
      <c r="BC59" s="852"/>
      <c r="BD59" s="852"/>
      <c r="BE59" s="852"/>
      <c r="BF59" s="852"/>
      <c r="BG59" s="852"/>
      <c r="BH59" s="852"/>
      <c r="BI59" s="852"/>
      <c r="BJ59" s="852"/>
      <c r="BK59" s="852"/>
      <c r="BL59" s="852"/>
      <c r="BM59" s="852"/>
      <c r="BN59" s="852"/>
      <c r="BO59" s="852"/>
      <c r="BP59" s="852"/>
      <c r="BQ59" s="852"/>
      <c r="BR59" s="852"/>
      <c r="BS59" s="852"/>
      <c r="BT59" s="852"/>
      <c r="BU59" s="852"/>
      <c r="BV59" s="852"/>
      <c r="BW59" s="852"/>
      <c r="BX59" s="852"/>
      <c r="BY59" s="852"/>
      <c r="BZ59" s="852"/>
      <c r="CA59" s="852"/>
      <c r="CB59" s="852"/>
    </row>
    <row r="60" spans="1:99" s="83" customFormat="1" ht="10.199999999999999">
      <c r="A60" s="852"/>
      <c r="B60" s="852"/>
      <c r="C60" s="852"/>
      <c r="D60" s="852"/>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2"/>
      <c r="AT60" s="852"/>
      <c r="AU60" s="852"/>
      <c r="AV60" s="852"/>
      <c r="AW60" s="852"/>
      <c r="AX60" s="852"/>
      <c r="AY60" s="852"/>
      <c r="AZ60" s="852"/>
      <c r="BA60" s="852"/>
      <c r="BB60" s="852"/>
      <c r="BC60" s="852"/>
      <c r="BD60" s="852"/>
      <c r="BE60" s="852"/>
      <c r="BF60" s="852"/>
      <c r="BG60" s="852"/>
      <c r="BH60" s="852"/>
      <c r="BI60" s="852"/>
      <c r="BJ60" s="852"/>
      <c r="BK60" s="852"/>
      <c r="BL60" s="852"/>
      <c r="BM60" s="852"/>
      <c r="BN60" s="852"/>
      <c r="BO60" s="852"/>
      <c r="BP60" s="852"/>
      <c r="BQ60" s="852"/>
      <c r="BR60" s="852"/>
      <c r="BS60" s="852"/>
      <c r="BT60" s="852"/>
      <c r="BU60" s="852"/>
      <c r="BV60" s="852"/>
      <c r="BW60" s="852"/>
      <c r="BX60" s="852"/>
      <c r="BY60" s="852"/>
      <c r="BZ60" s="852"/>
      <c r="CA60" s="852"/>
      <c r="CB60" s="852"/>
    </row>
    <row r="63" spans="1:99">
      <c r="CT63" s="82"/>
    </row>
    <row r="65" spans="98:98">
      <c r="CT65" s="82"/>
    </row>
  </sheetData>
  <mergeCells count="187">
    <mergeCell ref="A9:D9"/>
    <mergeCell ref="E9:AI9"/>
    <mergeCell ref="AJ9:AW9"/>
    <mergeCell ref="AX9:BF9"/>
    <mergeCell ref="BG9:BO9"/>
    <mergeCell ref="BP9:CB9"/>
    <mergeCell ref="A4:D4"/>
    <mergeCell ref="E4:AI4"/>
    <mergeCell ref="AJ4:AW4"/>
    <mergeCell ref="AX4:BF4"/>
    <mergeCell ref="BG4:BO4"/>
    <mergeCell ref="BP4:CB4"/>
    <mergeCell ref="A8:D8"/>
    <mergeCell ref="E8:AI8"/>
    <mergeCell ref="AJ8:AW8"/>
    <mergeCell ref="AX8:BF8"/>
    <mergeCell ref="BG8:BO8"/>
    <mergeCell ref="BP8:CB8"/>
    <mergeCell ref="A7:D7"/>
    <mergeCell ref="E7:AI7"/>
    <mergeCell ref="AJ7:AW7"/>
    <mergeCell ref="AX7:BF7"/>
    <mergeCell ref="BG7:BO7"/>
    <mergeCell ref="BP7:CB7"/>
    <mergeCell ref="A1:CB1"/>
    <mergeCell ref="A3:D3"/>
    <mergeCell ref="E3:AI3"/>
    <mergeCell ref="AJ3:AW3"/>
    <mergeCell ref="AX3:BF3"/>
    <mergeCell ref="BG3:BO3"/>
    <mergeCell ref="BP3:CB3"/>
    <mergeCell ref="A6:D6"/>
    <mergeCell ref="E6:AI6"/>
    <mergeCell ref="AJ6:AW6"/>
    <mergeCell ref="AX6:BF6"/>
    <mergeCell ref="BG6:BO6"/>
    <mergeCell ref="BP6:CB6"/>
    <mergeCell ref="A5:D5"/>
    <mergeCell ref="E5:AI5"/>
    <mergeCell ref="AJ5:AW5"/>
    <mergeCell ref="AX5:BF5"/>
    <mergeCell ref="BG5:BO5"/>
    <mergeCell ref="BP5:CB5"/>
    <mergeCell ref="A10:D10"/>
    <mergeCell ref="E10:AI10"/>
    <mergeCell ref="AJ10:AW10"/>
    <mergeCell ref="AX10:BF10"/>
    <mergeCell ref="BG10:BO10"/>
    <mergeCell ref="BP10:CB10"/>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7:D17"/>
    <mergeCell ref="E17:AI17"/>
    <mergeCell ref="AJ17:AT17"/>
    <mergeCell ref="AU17:BD17"/>
    <mergeCell ref="BE17:BO17"/>
    <mergeCell ref="BP17:CB17"/>
    <mergeCell ref="A16:D16"/>
    <mergeCell ref="E16:AI16"/>
    <mergeCell ref="AJ16:AT16"/>
    <mergeCell ref="AU16:BD16"/>
    <mergeCell ref="BE16:BO16"/>
    <mergeCell ref="BP16:CB16"/>
    <mergeCell ref="A19:D19"/>
    <mergeCell ref="E19:AI19"/>
    <mergeCell ref="AJ19:AT19"/>
    <mergeCell ref="AU19:BD19"/>
    <mergeCell ref="BE19:BO19"/>
    <mergeCell ref="BP19:CB19"/>
    <mergeCell ref="A18:D18"/>
    <mergeCell ref="E18:AI18"/>
    <mergeCell ref="AJ18:AT18"/>
    <mergeCell ref="AU18:BD18"/>
    <mergeCell ref="BE18:BO18"/>
    <mergeCell ref="BP18:CB18"/>
    <mergeCell ref="A21:D21"/>
    <mergeCell ref="E21:AI21"/>
    <mergeCell ref="AJ21:AT21"/>
    <mergeCell ref="AU21:BD21"/>
    <mergeCell ref="BE21:BO21"/>
    <mergeCell ref="BP21:CB21"/>
    <mergeCell ref="A20:D20"/>
    <mergeCell ref="E20:AI20"/>
    <mergeCell ref="AJ20:AT20"/>
    <mergeCell ref="AU20:BD20"/>
    <mergeCell ref="BE20:BO20"/>
    <mergeCell ref="BP20:CB20"/>
    <mergeCell ref="A24:CB24"/>
    <mergeCell ref="A25:CB25"/>
    <mergeCell ref="A26:CB26"/>
    <mergeCell ref="A28:D28"/>
    <mergeCell ref="E28:BD28"/>
    <mergeCell ref="BE28:BP28"/>
    <mergeCell ref="BQ28:CB28"/>
    <mergeCell ref="A22:D22"/>
    <mergeCell ref="E22:AI22"/>
    <mergeCell ref="AJ22:AT22"/>
    <mergeCell ref="AU22:BD22"/>
    <mergeCell ref="BE22:BO22"/>
    <mergeCell ref="BP22:CB22"/>
    <mergeCell ref="A31:D31"/>
    <mergeCell ref="E31:BD31"/>
    <mergeCell ref="BE31:BP31"/>
    <mergeCell ref="BQ31:CB31"/>
    <mergeCell ref="A32:D32"/>
    <mergeCell ref="E32:BD32"/>
    <mergeCell ref="BE32:BP32"/>
    <mergeCell ref="BQ32:CB32"/>
    <mergeCell ref="A29:D29"/>
    <mergeCell ref="E29:BD29"/>
    <mergeCell ref="BE29:BP29"/>
    <mergeCell ref="BQ29:CB29"/>
    <mergeCell ref="A30:D30"/>
    <mergeCell ref="E30:BD30"/>
    <mergeCell ref="BE30:BP30"/>
    <mergeCell ref="BQ30:CB30"/>
    <mergeCell ref="A33:D33"/>
    <mergeCell ref="E33:BD33"/>
    <mergeCell ref="BE33:BP33"/>
    <mergeCell ref="BQ33:CB33"/>
    <mergeCell ref="A34:D35"/>
    <mergeCell ref="E34:BD34"/>
    <mergeCell ref="BE34:BP35"/>
    <mergeCell ref="BQ34:CB35"/>
    <mergeCell ref="E35:BD35"/>
    <mergeCell ref="A36:D36"/>
    <mergeCell ref="E36:BD36"/>
    <mergeCell ref="BE36:BP36"/>
    <mergeCell ref="BQ36:CB36"/>
    <mergeCell ref="A37:D38"/>
    <mergeCell ref="E37:BD37"/>
    <mergeCell ref="BE37:BP38"/>
    <mergeCell ref="BQ37:CB38"/>
    <mergeCell ref="E38:BD38"/>
    <mergeCell ref="E43:BD43"/>
    <mergeCell ref="A44:D45"/>
    <mergeCell ref="E44:BD44"/>
    <mergeCell ref="BE44:BP45"/>
    <mergeCell ref="BQ44:CB45"/>
    <mergeCell ref="E45:BD45"/>
    <mergeCell ref="A39:D40"/>
    <mergeCell ref="E39:BD39"/>
    <mergeCell ref="BE39:BP40"/>
    <mergeCell ref="BQ39:CB40"/>
    <mergeCell ref="E40:BD40"/>
    <mergeCell ref="A41:D43"/>
    <mergeCell ref="E41:BD41"/>
    <mergeCell ref="BE41:BP43"/>
    <mergeCell ref="BQ41:CB43"/>
    <mergeCell ref="E42:BD42"/>
    <mergeCell ref="A46:D47"/>
    <mergeCell ref="E46:BD46"/>
    <mergeCell ref="BE46:BP47"/>
    <mergeCell ref="BQ46:CB47"/>
    <mergeCell ref="E47:BD47"/>
    <mergeCell ref="A48:D49"/>
    <mergeCell ref="E48:BD48"/>
    <mergeCell ref="BE48:BP49"/>
    <mergeCell ref="BQ48:CB49"/>
    <mergeCell ref="E49:BD49"/>
    <mergeCell ref="A54:D54"/>
    <mergeCell ref="E54:BD54"/>
    <mergeCell ref="BE54:BP54"/>
    <mergeCell ref="BQ54:CB54"/>
    <mergeCell ref="A56:CB56"/>
    <mergeCell ref="A58:CB60"/>
    <mergeCell ref="A50:D51"/>
    <mergeCell ref="E50:BD50"/>
    <mergeCell ref="BE50:BP51"/>
    <mergeCell ref="BQ50:CB51"/>
    <mergeCell ref="E51:BD51"/>
    <mergeCell ref="A52:D53"/>
    <mergeCell ref="E52:BD52"/>
    <mergeCell ref="BE52:BP53"/>
    <mergeCell ref="BQ52:CB53"/>
    <mergeCell ref="E53:BD53"/>
  </mergeCells>
  <pageMargins left="0.78740157480314965" right="0.39370078740157483" top="0.59055118110236227" bottom="0.39370078740157483" header="0.27559055118110237" footer="0.27559055118110237"/>
  <pageSetup paperSize="9" scale="91" orientation="portrait" blackAndWhite="1" r:id="rId1"/>
  <headerFooter alignWithMargins="0"/>
</worksheet>
</file>

<file path=xl/worksheets/sheet11.xml><?xml version="1.0" encoding="utf-8"?>
<worksheet xmlns="http://schemas.openxmlformats.org/spreadsheetml/2006/main" xmlns:r="http://schemas.openxmlformats.org/officeDocument/2006/relationships">
  <sheetPr>
    <tabColor theme="9" tint="0.39997558519241921"/>
  </sheetPr>
  <dimension ref="A1:CQ69"/>
  <sheetViews>
    <sheetView view="pageBreakPreview" topLeftCell="A49" zoomScaleSheetLayoutView="100" workbookViewId="0">
      <selection activeCell="BJ36" sqref="BJ36:CB36"/>
    </sheetView>
  </sheetViews>
  <sheetFormatPr defaultColWidth="1.109375" defaultRowHeight="13.2"/>
  <cols>
    <col min="1" max="17" width="1.109375" style="114"/>
    <col min="18" max="18" width="3.6640625" style="114" customWidth="1"/>
    <col min="19" max="38" width="1.109375" style="114"/>
    <col min="39" max="39" width="4.109375" style="114" customWidth="1"/>
    <col min="40" max="60" width="1.109375" style="114"/>
    <col min="61" max="62" width="1.109375" style="114" customWidth="1"/>
    <col min="63" max="63" width="0.21875" style="114" customWidth="1"/>
    <col min="64" max="64" width="0.77734375" style="114" hidden="1" customWidth="1"/>
    <col min="65" max="65" width="1.109375" style="114" hidden="1" customWidth="1"/>
    <col min="66" max="87" width="1.109375" style="114"/>
    <col min="88" max="88" width="18.33203125" style="114" customWidth="1"/>
    <col min="89" max="89" width="7.88671875" style="114" customWidth="1"/>
    <col min="90" max="90" width="15.5546875" style="114" customWidth="1"/>
    <col min="91" max="94" width="1.109375" style="114"/>
    <col min="95" max="95" width="19.6640625" style="114" hidden="1" customWidth="1"/>
    <col min="96" max="273" width="1.109375" style="114"/>
    <col min="274" max="274" width="3.6640625" style="114" customWidth="1"/>
    <col min="275" max="344" width="1.109375" style="114"/>
    <col min="345" max="345" width="7.88671875" style="114" customWidth="1"/>
    <col min="346" max="346" width="15.5546875" style="114" customWidth="1"/>
    <col min="347" max="350" width="1.109375" style="114"/>
    <col min="351" max="351" width="0" style="114" hidden="1" customWidth="1"/>
    <col min="352" max="529" width="1.109375" style="114"/>
    <col min="530" max="530" width="3.6640625" style="114" customWidth="1"/>
    <col min="531" max="600" width="1.109375" style="114"/>
    <col min="601" max="601" width="7.88671875" style="114" customWidth="1"/>
    <col min="602" max="602" width="15.5546875" style="114" customWidth="1"/>
    <col min="603" max="606" width="1.109375" style="114"/>
    <col min="607" max="607" width="0" style="114" hidden="1" customWidth="1"/>
    <col min="608" max="785" width="1.109375" style="114"/>
    <col min="786" max="786" width="3.6640625" style="114" customWidth="1"/>
    <col min="787" max="856" width="1.109375" style="114"/>
    <col min="857" max="857" width="7.88671875" style="114" customWidth="1"/>
    <col min="858" max="858" width="15.5546875" style="114" customWidth="1"/>
    <col min="859" max="862" width="1.109375" style="114"/>
    <col min="863" max="863" width="0" style="114" hidden="1" customWidth="1"/>
    <col min="864" max="1041" width="1.109375" style="114"/>
    <col min="1042" max="1042" width="3.6640625" style="114" customWidth="1"/>
    <col min="1043" max="1112" width="1.109375" style="114"/>
    <col min="1113" max="1113" width="7.88671875" style="114" customWidth="1"/>
    <col min="1114" max="1114" width="15.5546875" style="114" customWidth="1"/>
    <col min="1115" max="1118" width="1.109375" style="114"/>
    <col min="1119" max="1119" width="0" style="114" hidden="1" customWidth="1"/>
    <col min="1120" max="1297" width="1.109375" style="114"/>
    <col min="1298" max="1298" width="3.6640625" style="114" customWidth="1"/>
    <col min="1299" max="1368" width="1.109375" style="114"/>
    <col min="1369" max="1369" width="7.88671875" style="114" customWidth="1"/>
    <col min="1370" max="1370" width="15.5546875" style="114" customWidth="1"/>
    <col min="1371" max="1374" width="1.109375" style="114"/>
    <col min="1375" max="1375" width="0" style="114" hidden="1" customWidth="1"/>
    <col min="1376" max="1553" width="1.109375" style="114"/>
    <col min="1554" max="1554" width="3.6640625" style="114" customWidth="1"/>
    <col min="1555" max="1624" width="1.109375" style="114"/>
    <col min="1625" max="1625" width="7.88671875" style="114" customWidth="1"/>
    <col min="1626" max="1626" width="15.5546875" style="114" customWidth="1"/>
    <col min="1627" max="1630" width="1.109375" style="114"/>
    <col min="1631" max="1631" width="0" style="114" hidden="1" customWidth="1"/>
    <col min="1632" max="1809" width="1.109375" style="114"/>
    <col min="1810" max="1810" width="3.6640625" style="114" customWidth="1"/>
    <col min="1811" max="1880" width="1.109375" style="114"/>
    <col min="1881" max="1881" width="7.88671875" style="114" customWidth="1"/>
    <col min="1882" max="1882" width="15.5546875" style="114" customWidth="1"/>
    <col min="1883" max="1886" width="1.109375" style="114"/>
    <col min="1887" max="1887" width="0" style="114" hidden="1" customWidth="1"/>
    <col min="1888" max="2065" width="1.109375" style="114"/>
    <col min="2066" max="2066" width="3.6640625" style="114" customWidth="1"/>
    <col min="2067" max="2136" width="1.109375" style="114"/>
    <col min="2137" max="2137" width="7.88671875" style="114" customWidth="1"/>
    <col min="2138" max="2138" width="15.5546875" style="114" customWidth="1"/>
    <col min="2139" max="2142" width="1.109375" style="114"/>
    <col min="2143" max="2143" width="0" style="114" hidden="1" customWidth="1"/>
    <col min="2144" max="2321" width="1.109375" style="114"/>
    <col min="2322" max="2322" width="3.6640625" style="114" customWidth="1"/>
    <col min="2323" max="2392" width="1.109375" style="114"/>
    <col min="2393" max="2393" width="7.88671875" style="114" customWidth="1"/>
    <col min="2394" max="2394" width="15.5546875" style="114" customWidth="1"/>
    <col min="2395" max="2398" width="1.109375" style="114"/>
    <col min="2399" max="2399" width="0" style="114" hidden="1" customWidth="1"/>
    <col min="2400" max="2577" width="1.109375" style="114"/>
    <col min="2578" max="2578" width="3.6640625" style="114" customWidth="1"/>
    <col min="2579" max="2648" width="1.109375" style="114"/>
    <col min="2649" max="2649" width="7.88671875" style="114" customWidth="1"/>
    <col min="2650" max="2650" width="15.5546875" style="114" customWidth="1"/>
    <col min="2651" max="2654" width="1.109375" style="114"/>
    <col min="2655" max="2655" width="0" style="114" hidden="1" customWidth="1"/>
    <col min="2656" max="2833" width="1.109375" style="114"/>
    <col min="2834" max="2834" width="3.6640625" style="114" customWidth="1"/>
    <col min="2835" max="2904" width="1.109375" style="114"/>
    <col min="2905" max="2905" width="7.88671875" style="114" customWidth="1"/>
    <col min="2906" max="2906" width="15.5546875" style="114" customWidth="1"/>
    <col min="2907" max="2910" width="1.109375" style="114"/>
    <col min="2911" max="2911" width="0" style="114" hidden="1" customWidth="1"/>
    <col min="2912" max="3089" width="1.109375" style="114"/>
    <col min="3090" max="3090" width="3.6640625" style="114" customWidth="1"/>
    <col min="3091" max="3160" width="1.109375" style="114"/>
    <col min="3161" max="3161" width="7.88671875" style="114" customWidth="1"/>
    <col min="3162" max="3162" width="15.5546875" style="114" customWidth="1"/>
    <col min="3163" max="3166" width="1.109375" style="114"/>
    <col min="3167" max="3167" width="0" style="114" hidden="1" customWidth="1"/>
    <col min="3168" max="3345" width="1.109375" style="114"/>
    <col min="3346" max="3346" width="3.6640625" style="114" customWidth="1"/>
    <col min="3347" max="3416" width="1.109375" style="114"/>
    <col min="3417" max="3417" width="7.88671875" style="114" customWidth="1"/>
    <col min="3418" max="3418" width="15.5546875" style="114" customWidth="1"/>
    <col min="3419" max="3422" width="1.109375" style="114"/>
    <col min="3423" max="3423" width="0" style="114" hidden="1" customWidth="1"/>
    <col min="3424" max="3601" width="1.109375" style="114"/>
    <col min="3602" max="3602" width="3.6640625" style="114" customWidth="1"/>
    <col min="3603" max="3672" width="1.109375" style="114"/>
    <col min="3673" max="3673" width="7.88671875" style="114" customWidth="1"/>
    <col min="3674" max="3674" width="15.5546875" style="114" customWidth="1"/>
    <col min="3675" max="3678" width="1.109375" style="114"/>
    <col min="3679" max="3679" width="0" style="114" hidden="1" customWidth="1"/>
    <col min="3680" max="3857" width="1.109375" style="114"/>
    <col min="3858" max="3858" width="3.6640625" style="114" customWidth="1"/>
    <col min="3859" max="3928" width="1.109375" style="114"/>
    <col min="3929" max="3929" width="7.88671875" style="114" customWidth="1"/>
    <col min="3930" max="3930" width="15.5546875" style="114" customWidth="1"/>
    <col min="3931" max="3934" width="1.109375" style="114"/>
    <col min="3935" max="3935" width="0" style="114" hidden="1" customWidth="1"/>
    <col min="3936" max="4113" width="1.109375" style="114"/>
    <col min="4114" max="4114" width="3.6640625" style="114" customWidth="1"/>
    <col min="4115" max="4184" width="1.109375" style="114"/>
    <col min="4185" max="4185" width="7.88671875" style="114" customWidth="1"/>
    <col min="4186" max="4186" width="15.5546875" style="114" customWidth="1"/>
    <col min="4187" max="4190" width="1.109375" style="114"/>
    <col min="4191" max="4191" width="0" style="114" hidden="1" customWidth="1"/>
    <col min="4192" max="4369" width="1.109375" style="114"/>
    <col min="4370" max="4370" width="3.6640625" style="114" customWidth="1"/>
    <col min="4371" max="4440" width="1.109375" style="114"/>
    <col min="4441" max="4441" width="7.88671875" style="114" customWidth="1"/>
    <col min="4442" max="4442" width="15.5546875" style="114" customWidth="1"/>
    <col min="4443" max="4446" width="1.109375" style="114"/>
    <col min="4447" max="4447" width="0" style="114" hidden="1" customWidth="1"/>
    <col min="4448" max="4625" width="1.109375" style="114"/>
    <col min="4626" max="4626" width="3.6640625" style="114" customWidth="1"/>
    <col min="4627" max="4696" width="1.109375" style="114"/>
    <col min="4697" max="4697" width="7.88671875" style="114" customWidth="1"/>
    <col min="4698" max="4698" width="15.5546875" style="114" customWidth="1"/>
    <col min="4699" max="4702" width="1.109375" style="114"/>
    <col min="4703" max="4703" width="0" style="114" hidden="1" customWidth="1"/>
    <col min="4704" max="4881" width="1.109375" style="114"/>
    <col min="4882" max="4882" width="3.6640625" style="114" customWidth="1"/>
    <col min="4883" max="4952" width="1.109375" style="114"/>
    <col min="4953" max="4953" width="7.88671875" style="114" customWidth="1"/>
    <col min="4954" max="4954" width="15.5546875" style="114" customWidth="1"/>
    <col min="4955" max="4958" width="1.109375" style="114"/>
    <col min="4959" max="4959" width="0" style="114" hidden="1" customWidth="1"/>
    <col min="4960" max="5137" width="1.109375" style="114"/>
    <col min="5138" max="5138" width="3.6640625" style="114" customWidth="1"/>
    <col min="5139" max="5208" width="1.109375" style="114"/>
    <col min="5209" max="5209" width="7.88671875" style="114" customWidth="1"/>
    <col min="5210" max="5210" width="15.5546875" style="114" customWidth="1"/>
    <col min="5211" max="5214" width="1.109375" style="114"/>
    <col min="5215" max="5215" width="0" style="114" hidden="1" customWidth="1"/>
    <col min="5216" max="5393" width="1.109375" style="114"/>
    <col min="5394" max="5394" width="3.6640625" style="114" customWidth="1"/>
    <col min="5395" max="5464" width="1.109375" style="114"/>
    <col min="5465" max="5465" width="7.88671875" style="114" customWidth="1"/>
    <col min="5466" max="5466" width="15.5546875" style="114" customWidth="1"/>
    <col min="5467" max="5470" width="1.109375" style="114"/>
    <col min="5471" max="5471" width="0" style="114" hidden="1" customWidth="1"/>
    <col min="5472" max="5649" width="1.109375" style="114"/>
    <col min="5650" max="5650" width="3.6640625" style="114" customWidth="1"/>
    <col min="5651" max="5720" width="1.109375" style="114"/>
    <col min="5721" max="5721" width="7.88671875" style="114" customWidth="1"/>
    <col min="5722" max="5722" width="15.5546875" style="114" customWidth="1"/>
    <col min="5723" max="5726" width="1.109375" style="114"/>
    <col min="5727" max="5727" width="0" style="114" hidden="1" customWidth="1"/>
    <col min="5728" max="5905" width="1.109375" style="114"/>
    <col min="5906" max="5906" width="3.6640625" style="114" customWidth="1"/>
    <col min="5907" max="5976" width="1.109375" style="114"/>
    <col min="5977" max="5977" width="7.88671875" style="114" customWidth="1"/>
    <col min="5978" max="5978" width="15.5546875" style="114" customWidth="1"/>
    <col min="5979" max="5982" width="1.109375" style="114"/>
    <col min="5983" max="5983" width="0" style="114" hidden="1" customWidth="1"/>
    <col min="5984" max="6161" width="1.109375" style="114"/>
    <col min="6162" max="6162" width="3.6640625" style="114" customWidth="1"/>
    <col min="6163" max="6232" width="1.109375" style="114"/>
    <col min="6233" max="6233" width="7.88671875" style="114" customWidth="1"/>
    <col min="6234" max="6234" width="15.5546875" style="114" customWidth="1"/>
    <col min="6235" max="6238" width="1.109375" style="114"/>
    <col min="6239" max="6239" width="0" style="114" hidden="1" customWidth="1"/>
    <col min="6240" max="6417" width="1.109375" style="114"/>
    <col min="6418" max="6418" width="3.6640625" style="114" customWidth="1"/>
    <col min="6419" max="6488" width="1.109375" style="114"/>
    <col min="6489" max="6489" width="7.88671875" style="114" customWidth="1"/>
    <col min="6490" max="6490" width="15.5546875" style="114" customWidth="1"/>
    <col min="6491" max="6494" width="1.109375" style="114"/>
    <col min="6495" max="6495" width="0" style="114" hidden="1" customWidth="1"/>
    <col min="6496" max="6673" width="1.109375" style="114"/>
    <col min="6674" max="6674" width="3.6640625" style="114" customWidth="1"/>
    <col min="6675" max="6744" width="1.109375" style="114"/>
    <col min="6745" max="6745" width="7.88671875" style="114" customWidth="1"/>
    <col min="6746" max="6746" width="15.5546875" style="114" customWidth="1"/>
    <col min="6747" max="6750" width="1.109375" style="114"/>
    <col min="6751" max="6751" width="0" style="114" hidden="1" customWidth="1"/>
    <col min="6752" max="6929" width="1.109375" style="114"/>
    <col min="6930" max="6930" width="3.6640625" style="114" customWidth="1"/>
    <col min="6931" max="7000" width="1.109375" style="114"/>
    <col min="7001" max="7001" width="7.88671875" style="114" customWidth="1"/>
    <col min="7002" max="7002" width="15.5546875" style="114" customWidth="1"/>
    <col min="7003" max="7006" width="1.109375" style="114"/>
    <col min="7007" max="7007" width="0" style="114" hidden="1" customWidth="1"/>
    <col min="7008" max="7185" width="1.109375" style="114"/>
    <col min="7186" max="7186" width="3.6640625" style="114" customWidth="1"/>
    <col min="7187" max="7256" width="1.109375" style="114"/>
    <col min="7257" max="7257" width="7.88671875" style="114" customWidth="1"/>
    <col min="7258" max="7258" width="15.5546875" style="114" customWidth="1"/>
    <col min="7259" max="7262" width="1.109375" style="114"/>
    <col min="7263" max="7263" width="0" style="114" hidden="1" customWidth="1"/>
    <col min="7264" max="7441" width="1.109375" style="114"/>
    <col min="7442" max="7442" width="3.6640625" style="114" customWidth="1"/>
    <col min="7443" max="7512" width="1.109375" style="114"/>
    <col min="7513" max="7513" width="7.88671875" style="114" customWidth="1"/>
    <col min="7514" max="7514" width="15.5546875" style="114" customWidth="1"/>
    <col min="7515" max="7518" width="1.109375" style="114"/>
    <col min="7519" max="7519" width="0" style="114" hidden="1" customWidth="1"/>
    <col min="7520" max="7697" width="1.109375" style="114"/>
    <col min="7698" max="7698" width="3.6640625" style="114" customWidth="1"/>
    <col min="7699" max="7768" width="1.109375" style="114"/>
    <col min="7769" max="7769" width="7.88671875" style="114" customWidth="1"/>
    <col min="7770" max="7770" width="15.5546875" style="114" customWidth="1"/>
    <col min="7771" max="7774" width="1.109375" style="114"/>
    <col min="7775" max="7775" width="0" style="114" hidden="1" customWidth="1"/>
    <col min="7776" max="7953" width="1.109375" style="114"/>
    <col min="7954" max="7954" width="3.6640625" style="114" customWidth="1"/>
    <col min="7955" max="8024" width="1.109375" style="114"/>
    <col min="8025" max="8025" width="7.88671875" style="114" customWidth="1"/>
    <col min="8026" max="8026" width="15.5546875" style="114" customWidth="1"/>
    <col min="8027" max="8030" width="1.109375" style="114"/>
    <col min="8031" max="8031" width="0" style="114" hidden="1" customWidth="1"/>
    <col min="8032" max="8209" width="1.109375" style="114"/>
    <col min="8210" max="8210" width="3.6640625" style="114" customWidth="1"/>
    <col min="8211" max="8280" width="1.109375" style="114"/>
    <col min="8281" max="8281" width="7.88671875" style="114" customWidth="1"/>
    <col min="8282" max="8282" width="15.5546875" style="114" customWidth="1"/>
    <col min="8283" max="8286" width="1.109375" style="114"/>
    <col min="8287" max="8287" width="0" style="114" hidden="1" customWidth="1"/>
    <col min="8288" max="8465" width="1.109375" style="114"/>
    <col min="8466" max="8466" width="3.6640625" style="114" customWidth="1"/>
    <col min="8467" max="8536" width="1.109375" style="114"/>
    <col min="8537" max="8537" width="7.88671875" style="114" customWidth="1"/>
    <col min="8538" max="8538" width="15.5546875" style="114" customWidth="1"/>
    <col min="8539" max="8542" width="1.109375" style="114"/>
    <col min="8543" max="8543" width="0" style="114" hidden="1" customWidth="1"/>
    <col min="8544" max="8721" width="1.109375" style="114"/>
    <col min="8722" max="8722" width="3.6640625" style="114" customWidth="1"/>
    <col min="8723" max="8792" width="1.109375" style="114"/>
    <col min="8793" max="8793" width="7.88671875" style="114" customWidth="1"/>
    <col min="8794" max="8794" width="15.5546875" style="114" customWidth="1"/>
    <col min="8795" max="8798" width="1.109375" style="114"/>
    <col min="8799" max="8799" width="0" style="114" hidden="1" customWidth="1"/>
    <col min="8800" max="8977" width="1.109375" style="114"/>
    <col min="8978" max="8978" width="3.6640625" style="114" customWidth="1"/>
    <col min="8979" max="9048" width="1.109375" style="114"/>
    <col min="9049" max="9049" width="7.88671875" style="114" customWidth="1"/>
    <col min="9050" max="9050" width="15.5546875" style="114" customWidth="1"/>
    <col min="9051" max="9054" width="1.109375" style="114"/>
    <col min="9055" max="9055" width="0" style="114" hidden="1" customWidth="1"/>
    <col min="9056" max="9233" width="1.109375" style="114"/>
    <col min="9234" max="9234" width="3.6640625" style="114" customWidth="1"/>
    <col min="9235" max="9304" width="1.109375" style="114"/>
    <col min="9305" max="9305" width="7.88671875" style="114" customWidth="1"/>
    <col min="9306" max="9306" width="15.5546875" style="114" customWidth="1"/>
    <col min="9307" max="9310" width="1.109375" style="114"/>
    <col min="9311" max="9311" width="0" style="114" hidden="1" customWidth="1"/>
    <col min="9312" max="9489" width="1.109375" style="114"/>
    <col min="9490" max="9490" width="3.6640625" style="114" customWidth="1"/>
    <col min="9491" max="9560" width="1.109375" style="114"/>
    <col min="9561" max="9561" width="7.88671875" style="114" customWidth="1"/>
    <col min="9562" max="9562" width="15.5546875" style="114" customWidth="1"/>
    <col min="9563" max="9566" width="1.109375" style="114"/>
    <col min="9567" max="9567" width="0" style="114" hidden="1" customWidth="1"/>
    <col min="9568" max="9745" width="1.109375" style="114"/>
    <col min="9746" max="9746" width="3.6640625" style="114" customWidth="1"/>
    <col min="9747" max="9816" width="1.109375" style="114"/>
    <col min="9817" max="9817" width="7.88671875" style="114" customWidth="1"/>
    <col min="9818" max="9818" width="15.5546875" style="114" customWidth="1"/>
    <col min="9819" max="9822" width="1.109375" style="114"/>
    <col min="9823" max="9823" width="0" style="114" hidden="1" customWidth="1"/>
    <col min="9824" max="10001" width="1.109375" style="114"/>
    <col min="10002" max="10002" width="3.6640625" style="114" customWidth="1"/>
    <col min="10003" max="10072" width="1.109375" style="114"/>
    <col min="10073" max="10073" width="7.88671875" style="114" customWidth="1"/>
    <col min="10074" max="10074" width="15.5546875" style="114" customWidth="1"/>
    <col min="10075" max="10078" width="1.109375" style="114"/>
    <col min="10079" max="10079" width="0" style="114" hidden="1" customWidth="1"/>
    <col min="10080" max="10257" width="1.109375" style="114"/>
    <col min="10258" max="10258" width="3.6640625" style="114" customWidth="1"/>
    <col min="10259" max="10328" width="1.109375" style="114"/>
    <col min="10329" max="10329" width="7.88671875" style="114" customWidth="1"/>
    <col min="10330" max="10330" width="15.5546875" style="114" customWidth="1"/>
    <col min="10331" max="10334" width="1.109375" style="114"/>
    <col min="10335" max="10335" width="0" style="114" hidden="1" customWidth="1"/>
    <col min="10336" max="10513" width="1.109375" style="114"/>
    <col min="10514" max="10514" width="3.6640625" style="114" customWidth="1"/>
    <col min="10515" max="10584" width="1.109375" style="114"/>
    <col min="10585" max="10585" width="7.88671875" style="114" customWidth="1"/>
    <col min="10586" max="10586" width="15.5546875" style="114" customWidth="1"/>
    <col min="10587" max="10590" width="1.109375" style="114"/>
    <col min="10591" max="10591" width="0" style="114" hidden="1" customWidth="1"/>
    <col min="10592" max="10769" width="1.109375" style="114"/>
    <col min="10770" max="10770" width="3.6640625" style="114" customWidth="1"/>
    <col min="10771" max="10840" width="1.109375" style="114"/>
    <col min="10841" max="10841" width="7.88671875" style="114" customWidth="1"/>
    <col min="10842" max="10842" width="15.5546875" style="114" customWidth="1"/>
    <col min="10843" max="10846" width="1.109375" style="114"/>
    <col min="10847" max="10847" width="0" style="114" hidden="1" customWidth="1"/>
    <col min="10848" max="11025" width="1.109375" style="114"/>
    <col min="11026" max="11026" width="3.6640625" style="114" customWidth="1"/>
    <col min="11027" max="11096" width="1.109375" style="114"/>
    <col min="11097" max="11097" width="7.88671875" style="114" customWidth="1"/>
    <col min="11098" max="11098" width="15.5546875" style="114" customWidth="1"/>
    <col min="11099" max="11102" width="1.109375" style="114"/>
    <col min="11103" max="11103" width="0" style="114" hidden="1" customWidth="1"/>
    <col min="11104" max="11281" width="1.109375" style="114"/>
    <col min="11282" max="11282" width="3.6640625" style="114" customWidth="1"/>
    <col min="11283" max="11352" width="1.109375" style="114"/>
    <col min="11353" max="11353" width="7.88671875" style="114" customWidth="1"/>
    <col min="11354" max="11354" width="15.5546875" style="114" customWidth="1"/>
    <col min="11355" max="11358" width="1.109375" style="114"/>
    <col min="11359" max="11359" width="0" style="114" hidden="1" customWidth="1"/>
    <col min="11360" max="11537" width="1.109375" style="114"/>
    <col min="11538" max="11538" width="3.6640625" style="114" customWidth="1"/>
    <col min="11539" max="11608" width="1.109375" style="114"/>
    <col min="11609" max="11609" width="7.88671875" style="114" customWidth="1"/>
    <col min="11610" max="11610" width="15.5546875" style="114" customWidth="1"/>
    <col min="11611" max="11614" width="1.109375" style="114"/>
    <col min="11615" max="11615" width="0" style="114" hidden="1" customWidth="1"/>
    <col min="11616" max="11793" width="1.109375" style="114"/>
    <col min="11794" max="11794" width="3.6640625" style="114" customWidth="1"/>
    <col min="11795" max="11864" width="1.109375" style="114"/>
    <col min="11865" max="11865" width="7.88671875" style="114" customWidth="1"/>
    <col min="11866" max="11866" width="15.5546875" style="114" customWidth="1"/>
    <col min="11867" max="11870" width="1.109375" style="114"/>
    <col min="11871" max="11871" width="0" style="114" hidden="1" customWidth="1"/>
    <col min="11872" max="12049" width="1.109375" style="114"/>
    <col min="12050" max="12050" width="3.6640625" style="114" customWidth="1"/>
    <col min="12051" max="12120" width="1.109375" style="114"/>
    <col min="12121" max="12121" width="7.88671875" style="114" customWidth="1"/>
    <col min="12122" max="12122" width="15.5546875" style="114" customWidth="1"/>
    <col min="12123" max="12126" width="1.109375" style="114"/>
    <col min="12127" max="12127" width="0" style="114" hidden="1" customWidth="1"/>
    <col min="12128" max="12305" width="1.109375" style="114"/>
    <col min="12306" max="12306" width="3.6640625" style="114" customWidth="1"/>
    <col min="12307" max="12376" width="1.109375" style="114"/>
    <col min="12377" max="12377" width="7.88671875" style="114" customWidth="1"/>
    <col min="12378" max="12378" width="15.5546875" style="114" customWidth="1"/>
    <col min="12379" max="12382" width="1.109375" style="114"/>
    <col min="12383" max="12383" width="0" style="114" hidden="1" customWidth="1"/>
    <col min="12384" max="12561" width="1.109375" style="114"/>
    <col min="12562" max="12562" width="3.6640625" style="114" customWidth="1"/>
    <col min="12563" max="12632" width="1.109375" style="114"/>
    <col min="12633" max="12633" width="7.88671875" style="114" customWidth="1"/>
    <col min="12634" max="12634" width="15.5546875" style="114" customWidth="1"/>
    <col min="12635" max="12638" width="1.109375" style="114"/>
    <col min="12639" max="12639" width="0" style="114" hidden="1" customWidth="1"/>
    <col min="12640" max="12817" width="1.109375" style="114"/>
    <col min="12818" max="12818" width="3.6640625" style="114" customWidth="1"/>
    <col min="12819" max="12888" width="1.109375" style="114"/>
    <col min="12889" max="12889" width="7.88671875" style="114" customWidth="1"/>
    <col min="12890" max="12890" width="15.5546875" style="114" customWidth="1"/>
    <col min="12891" max="12894" width="1.109375" style="114"/>
    <col min="12895" max="12895" width="0" style="114" hidden="1" customWidth="1"/>
    <col min="12896" max="13073" width="1.109375" style="114"/>
    <col min="13074" max="13074" width="3.6640625" style="114" customWidth="1"/>
    <col min="13075" max="13144" width="1.109375" style="114"/>
    <col min="13145" max="13145" width="7.88671875" style="114" customWidth="1"/>
    <col min="13146" max="13146" width="15.5546875" style="114" customWidth="1"/>
    <col min="13147" max="13150" width="1.109375" style="114"/>
    <col min="13151" max="13151" width="0" style="114" hidden="1" customWidth="1"/>
    <col min="13152" max="13329" width="1.109375" style="114"/>
    <col min="13330" max="13330" width="3.6640625" style="114" customWidth="1"/>
    <col min="13331" max="13400" width="1.109375" style="114"/>
    <col min="13401" max="13401" width="7.88671875" style="114" customWidth="1"/>
    <col min="13402" max="13402" width="15.5546875" style="114" customWidth="1"/>
    <col min="13403" max="13406" width="1.109375" style="114"/>
    <col min="13407" max="13407" width="0" style="114" hidden="1" customWidth="1"/>
    <col min="13408" max="13585" width="1.109375" style="114"/>
    <col min="13586" max="13586" width="3.6640625" style="114" customWidth="1"/>
    <col min="13587" max="13656" width="1.109375" style="114"/>
    <col min="13657" max="13657" width="7.88671875" style="114" customWidth="1"/>
    <col min="13658" max="13658" width="15.5546875" style="114" customWidth="1"/>
    <col min="13659" max="13662" width="1.109375" style="114"/>
    <col min="13663" max="13663" width="0" style="114" hidden="1" customWidth="1"/>
    <col min="13664" max="13841" width="1.109375" style="114"/>
    <col min="13842" max="13842" width="3.6640625" style="114" customWidth="1"/>
    <col min="13843" max="13912" width="1.109375" style="114"/>
    <col min="13913" max="13913" width="7.88671875" style="114" customWidth="1"/>
    <col min="13914" max="13914" width="15.5546875" style="114" customWidth="1"/>
    <col min="13915" max="13918" width="1.109375" style="114"/>
    <col min="13919" max="13919" width="0" style="114" hidden="1" customWidth="1"/>
    <col min="13920" max="14097" width="1.109375" style="114"/>
    <col min="14098" max="14098" width="3.6640625" style="114" customWidth="1"/>
    <col min="14099" max="14168" width="1.109375" style="114"/>
    <col min="14169" max="14169" width="7.88671875" style="114" customWidth="1"/>
    <col min="14170" max="14170" width="15.5546875" style="114" customWidth="1"/>
    <col min="14171" max="14174" width="1.109375" style="114"/>
    <col min="14175" max="14175" width="0" style="114" hidden="1" customWidth="1"/>
    <col min="14176" max="14353" width="1.109375" style="114"/>
    <col min="14354" max="14354" width="3.6640625" style="114" customWidth="1"/>
    <col min="14355" max="14424" width="1.109375" style="114"/>
    <col min="14425" max="14425" width="7.88671875" style="114" customWidth="1"/>
    <col min="14426" max="14426" width="15.5546875" style="114" customWidth="1"/>
    <col min="14427" max="14430" width="1.109375" style="114"/>
    <col min="14431" max="14431" width="0" style="114" hidden="1" customWidth="1"/>
    <col min="14432" max="14609" width="1.109375" style="114"/>
    <col min="14610" max="14610" width="3.6640625" style="114" customWidth="1"/>
    <col min="14611" max="14680" width="1.109375" style="114"/>
    <col min="14681" max="14681" width="7.88671875" style="114" customWidth="1"/>
    <col min="14682" max="14682" width="15.5546875" style="114" customWidth="1"/>
    <col min="14683" max="14686" width="1.109375" style="114"/>
    <col min="14687" max="14687" width="0" style="114" hidden="1" customWidth="1"/>
    <col min="14688" max="14865" width="1.109375" style="114"/>
    <col min="14866" max="14866" width="3.6640625" style="114" customWidth="1"/>
    <col min="14867" max="14936" width="1.109375" style="114"/>
    <col min="14937" max="14937" width="7.88671875" style="114" customWidth="1"/>
    <col min="14938" max="14938" width="15.5546875" style="114" customWidth="1"/>
    <col min="14939" max="14942" width="1.109375" style="114"/>
    <col min="14943" max="14943" width="0" style="114" hidden="1" customWidth="1"/>
    <col min="14944" max="15121" width="1.109375" style="114"/>
    <col min="15122" max="15122" width="3.6640625" style="114" customWidth="1"/>
    <col min="15123" max="15192" width="1.109375" style="114"/>
    <col min="15193" max="15193" width="7.88671875" style="114" customWidth="1"/>
    <col min="15194" max="15194" width="15.5546875" style="114" customWidth="1"/>
    <col min="15195" max="15198" width="1.109375" style="114"/>
    <col min="15199" max="15199" width="0" style="114" hidden="1" customWidth="1"/>
    <col min="15200" max="15377" width="1.109375" style="114"/>
    <col min="15378" max="15378" width="3.6640625" style="114" customWidth="1"/>
    <col min="15379" max="15448" width="1.109375" style="114"/>
    <col min="15449" max="15449" width="7.88671875" style="114" customWidth="1"/>
    <col min="15450" max="15450" width="15.5546875" style="114" customWidth="1"/>
    <col min="15451" max="15454" width="1.109375" style="114"/>
    <col min="15455" max="15455" width="0" style="114" hidden="1" customWidth="1"/>
    <col min="15456" max="15633" width="1.109375" style="114"/>
    <col min="15634" max="15634" width="3.6640625" style="114" customWidth="1"/>
    <col min="15635" max="15704" width="1.109375" style="114"/>
    <col min="15705" max="15705" width="7.88671875" style="114" customWidth="1"/>
    <col min="15706" max="15706" width="15.5546875" style="114" customWidth="1"/>
    <col min="15707" max="15710" width="1.109375" style="114"/>
    <col min="15711" max="15711" width="0" style="114" hidden="1" customWidth="1"/>
    <col min="15712" max="15889" width="1.109375" style="114"/>
    <col min="15890" max="15890" width="3.6640625" style="114" customWidth="1"/>
    <col min="15891" max="15960" width="1.109375" style="114"/>
    <col min="15961" max="15961" width="7.88671875" style="114" customWidth="1"/>
    <col min="15962" max="15962" width="15.5546875" style="114" customWidth="1"/>
    <col min="15963" max="15966" width="1.109375" style="114"/>
    <col min="15967" max="15967" width="0" style="114" hidden="1" customWidth="1"/>
    <col min="15968" max="16145" width="1.109375" style="114"/>
    <col min="16146" max="16146" width="3.6640625" style="114" customWidth="1"/>
    <col min="16147" max="16216" width="1.109375" style="114"/>
    <col min="16217" max="16217" width="7.88671875" style="114" customWidth="1"/>
    <col min="16218" max="16218" width="15.5546875" style="114" customWidth="1"/>
    <col min="16219" max="16222" width="1.109375" style="114"/>
    <col min="16223" max="16223" width="0" style="114" hidden="1" customWidth="1"/>
    <col min="16224" max="16384" width="1.109375" style="114"/>
  </cols>
  <sheetData>
    <row r="1" spans="1:80" s="200" customFormat="1" ht="15.6">
      <c r="A1" s="959" t="s">
        <v>476</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c r="BJ1" s="959"/>
      <c r="BK1" s="959"/>
      <c r="BL1" s="959"/>
      <c r="BM1" s="959"/>
      <c r="BN1" s="959"/>
      <c r="BO1" s="959"/>
      <c r="BP1" s="959"/>
      <c r="BQ1" s="959"/>
      <c r="BR1" s="959"/>
      <c r="BS1" s="959"/>
      <c r="BT1" s="959"/>
      <c r="BU1" s="959"/>
      <c r="BV1" s="959"/>
      <c r="BW1" s="959"/>
      <c r="BX1" s="959"/>
      <c r="BY1" s="959"/>
      <c r="BZ1" s="959"/>
      <c r="CA1" s="959"/>
      <c r="CB1" s="959"/>
    </row>
    <row r="2" spans="1:80" s="202" customFormat="1" ht="4.5" customHeigh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row>
    <row r="3" spans="1:80" s="200" customFormat="1" ht="15.6">
      <c r="A3" s="200" t="s">
        <v>383</v>
      </c>
      <c r="B3" s="203"/>
      <c r="C3" s="203"/>
      <c r="D3" s="203"/>
      <c r="E3" s="203"/>
      <c r="F3" s="203"/>
      <c r="G3" s="203"/>
      <c r="H3" s="203"/>
      <c r="I3" s="203"/>
      <c r="J3" s="203"/>
      <c r="K3" s="203"/>
      <c r="L3" s="203"/>
      <c r="M3" s="203"/>
      <c r="N3" s="203"/>
      <c r="O3" s="203"/>
      <c r="P3" s="203"/>
      <c r="Q3" s="203"/>
      <c r="R3" s="203"/>
      <c r="S3" s="960" t="s">
        <v>1132</v>
      </c>
      <c r="T3" s="960"/>
      <c r="U3" s="960"/>
      <c r="V3" s="960"/>
      <c r="W3" s="960"/>
      <c r="X3" s="960"/>
      <c r="Y3" s="960"/>
      <c r="Z3" s="960"/>
      <c r="AA3" s="960"/>
      <c r="AB3" s="960"/>
      <c r="AC3" s="960"/>
      <c r="AD3" s="960"/>
      <c r="AE3" s="960"/>
      <c r="AF3" s="960"/>
      <c r="AG3" s="960"/>
      <c r="AH3" s="960"/>
      <c r="AI3" s="960"/>
      <c r="AJ3" s="960"/>
      <c r="AK3" s="960"/>
      <c r="AL3" s="960"/>
      <c r="AM3" s="960"/>
      <c r="AN3" s="960"/>
      <c r="AO3" s="960"/>
      <c r="AP3" s="960"/>
      <c r="AQ3" s="960"/>
      <c r="AR3" s="960"/>
      <c r="AS3" s="960"/>
      <c r="AT3" s="960"/>
      <c r="AU3" s="960"/>
      <c r="AV3" s="960"/>
      <c r="AW3" s="960"/>
      <c r="AX3" s="960"/>
      <c r="AY3" s="960"/>
      <c r="AZ3" s="960"/>
      <c r="BA3" s="960"/>
      <c r="BB3" s="960"/>
      <c r="BC3" s="960"/>
      <c r="BD3" s="960"/>
      <c r="BE3" s="960"/>
      <c r="BF3" s="960"/>
      <c r="BG3" s="960"/>
      <c r="BH3" s="960"/>
      <c r="BI3" s="960"/>
      <c r="BJ3" s="960"/>
      <c r="BK3" s="960"/>
      <c r="BL3" s="960"/>
      <c r="BM3" s="960"/>
      <c r="BN3" s="960"/>
      <c r="BO3" s="960"/>
      <c r="BP3" s="960"/>
      <c r="BQ3" s="960"/>
      <c r="BR3" s="960"/>
      <c r="BS3" s="960"/>
      <c r="BT3" s="960"/>
      <c r="BU3" s="960"/>
      <c r="BV3" s="960"/>
      <c r="BW3" s="960"/>
      <c r="BX3" s="960"/>
      <c r="BY3" s="960"/>
      <c r="BZ3" s="960"/>
      <c r="CA3" s="960"/>
      <c r="CB3" s="960"/>
    </row>
    <row r="4" spans="1:80" s="202" customFormat="1" ht="7.8">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row>
    <row r="5" spans="1:80" s="200" customFormat="1" ht="15.6">
      <c r="A5" s="200" t="s">
        <v>385</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961" t="s">
        <v>578</v>
      </c>
      <c r="AI5" s="961"/>
      <c r="AJ5" s="961"/>
      <c r="AK5" s="961"/>
      <c r="AL5" s="961"/>
      <c r="AM5" s="961"/>
      <c r="AN5" s="961"/>
      <c r="AO5" s="961"/>
      <c r="AP5" s="961"/>
      <c r="AQ5" s="961"/>
      <c r="AR5" s="961"/>
      <c r="AS5" s="961"/>
      <c r="AT5" s="961"/>
      <c r="AU5" s="961"/>
      <c r="AV5" s="961"/>
      <c r="AW5" s="961"/>
      <c r="AX5" s="961"/>
      <c r="AY5" s="961"/>
      <c r="AZ5" s="961"/>
      <c r="BA5" s="961"/>
      <c r="BB5" s="961"/>
      <c r="BC5" s="961"/>
      <c r="BD5" s="961"/>
      <c r="BE5" s="961"/>
      <c r="BF5" s="961"/>
      <c r="BG5" s="961"/>
      <c r="BH5" s="961"/>
      <c r="BI5" s="961"/>
      <c r="BJ5" s="961"/>
      <c r="BK5" s="961"/>
      <c r="BL5" s="961"/>
      <c r="BM5" s="961"/>
      <c r="BN5" s="961"/>
      <c r="BO5" s="961"/>
      <c r="BP5" s="961"/>
      <c r="BQ5" s="961"/>
      <c r="BR5" s="961"/>
      <c r="BS5" s="961"/>
      <c r="BT5" s="961"/>
      <c r="BU5" s="961"/>
      <c r="BV5" s="961"/>
      <c r="BW5" s="961"/>
      <c r="BX5" s="961"/>
      <c r="BY5" s="961"/>
      <c r="BZ5" s="961"/>
      <c r="CA5" s="961"/>
      <c r="CB5" s="961"/>
    </row>
    <row r="6" spans="1:80" ht="6" customHeight="1"/>
    <row r="7" spans="1:80">
      <c r="A7" s="962" t="s">
        <v>388</v>
      </c>
      <c r="B7" s="963"/>
      <c r="C7" s="963"/>
      <c r="D7" s="964"/>
      <c r="E7" s="962" t="s">
        <v>0</v>
      </c>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4"/>
      <c r="AN7" s="962" t="s">
        <v>478</v>
      </c>
      <c r="AO7" s="963"/>
      <c r="AP7" s="963"/>
      <c r="AQ7" s="963"/>
      <c r="AR7" s="963"/>
      <c r="AS7" s="963"/>
      <c r="AT7" s="963"/>
      <c r="AU7" s="963"/>
      <c r="AV7" s="963"/>
      <c r="AW7" s="963"/>
      <c r="AX7" s="963"/>
      <c r="AY7" s="963"/>
      <c r="AZ7" s="963"/>
      <c r="BA7" s="964"/>
      <c r="BB7" s="962" t="s">
        <v>424</v>
      </c>
      <c r="BC7" s="963"/>
      <c r="BD7" s="963"/>
      <c r="BE7" s="963"/>
      <c r="BF7" s="963"/>
      <c r="BG7" s="963"/>
      <c r="BH7" s="963"/>
      <c r="BI7" s="963"/>
      <c r="BJ7" s="963"/>
      <c r="BK7" s="963"/>
      <c r="BL7" s="963"/>
      <c r="BM7" s="964"/>
      <c r="BN7" s="962" t="s">
        <v>479</v>
      </c>
      <c r="BO7" s="963"/>
      <c r="BP7" s="963"/>
      <c r="BQ7" s="963"/>
      <c r="BR7" s="963"/>
      <c r="BS7" s="963"/>
      <c r="BT7" s="963"/>
      <c r="BU7" s="963"/>
      <c r="BV7" s="963"/>
      <c r="BW7" s="963"/>
      <c r="BX7" s="963"/>
      <c r="BY7" s="963"/>
      <c r="BZ7" s="963"/>
      <c r="CA7" s="963"/>
      <c r="CB7" s="964"/>
    </row>
    <row r="8" spans="1:80">
      <c r="A8" s="956" t="s">
        <v>395</v>
      </c>
      <c r="B8" s="957"/>
      <c r="C8" s="957"/>
      <c r="D8" s="958"/>
      <c r="E8" s="956"/>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8"/>
      <c r="AN8" s="956" t="s">
        <v>480</v>
      </c>
      <c r="AO8" s="957"/>
      <c r="AP8" s="957"/>
      <c r="AQ8" s="957"/>
      <c r="AR8" s="957"/>
      <c r="AS8" s="957"/>
      <c r="AT8" s="957"/>
      <c r="AU8" s="957"/>
      <c r="AV8" s="957"/>
      <c r="AW8" s="957"/>
      <c r="AX8" s="957"/>
      <c r="AY8" s="957"/>
      <c r="AZ8" s="957"/>
      <c r="BA8" s="958"/>
      <c r="BB8" s="956" t="s">
        <v>433</v>
      </c>
      <c r="BC8" s="957"/>
      <c r="BD8" s="957"/>
      <c r="BE8" s="957"/>
      <c r="BF8" s="957"/>
      <c r="BG8" s="957"/>
      <c r="BH8" s="957"/>
      <c r="BI8" s="957"/>
      <c r="BJ8" s="957"/>
      <c r="BK8" s="957"/>
      <c r="BL8" s="957"/>
      <c r="BM8" s="958"/>
      <c r="BN8" s="956" t="s">
        <v>481</v>
      </c>
      <c r="BO8" s="957"/>
      <c r="BP8" s="957"/>
      <c r="BQ8" s="957"/>
      <c r="BR8" s="957"/>
      <c r="BS8" s="957"/>
      <c r="BT8" s="957"/>
      <c r="BU8" s="957"/>
      <c r="BV8" s="957"/>
      <c r="BW8" s="957"/>
      <c r="BX8" s="957"/>
      <c r="BY8" s="957"/>
      <c r="BZ8" s="957"/>
      <c r="CA8" s="957"/>
      <c r="CB8" s="958"/>
    </row>
    <row r="9" spans="1:80">
      <c r="A9" s="956"/>
      <c r="B9" s="957"/>
      <c r="C9" s="957"/>
      <c r="D9" s="958"/>
      <c r="E9" s="956"/>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8"/>
      <c r="AN9" s="956"/>
      <c r="AO9" s="957"/>
      <c r="AP9" s="957"/>
      <c r="AQ9" s="957"/>
      <c r="AR9" s="957"/>
      <c r="AS9" s="957"/>
      <c r="AT9" s="957"/>
      <c r="AU9" s="957"/>
      <c r="AV9" s="957"/>
      <c r="AW9" s="957"/>
      <c r="AX9" s="957"/>
      <c r="AY9" s="957"/>
      <c r="AZ9" s="957"/>
      <c r="BA9" s="958"/>
      <c r="BB9" s="956"/>
      <c r="BC9" s="957"/>
      <c r="BD9" s="957"/>
      <c r="BE9" s="957"/>
      <c r="BF9" s="957"/>
      <c r="BG9" s="957"/>
      <c r="BH9" s="957"/>
      <c r="BI9" s="957"/>
      <c r="BJ9" s="957"/>
      <c r="BK9" s="957"/>
      <c r="BL9" s="957"/>
      <c r="BM9" s="958"/>
      <c r="BN9" s="956" t="s">
        <v>482</v>
      </c>
      <c r="BO9" s="957"/>
      <c r="BP9" s="957"/>
      <c r="BQ9" s="957"/>
      <c r="BR9" s="957"/>
      <c r="BS9" s="957"/>
      <c r="BT9" s="957"/>
      <c r="BU9" s="957"/>
      <c r="BV9" s="957"/>
      <c r="BW9" s="957"/>
      <c r="BX9" s="957"/>
      <c r="BY9" s="957"/>
      <c r="BZ9" s="957"/>
      <c r="CA9" s="957"/>
      <c r="CB9" s="958"/>
    </row>
    <row r="10" spans="1:80">
      <c r="A10" s="953">
        <v>1</v>
      </c>
      <c r="B10" s="954"/>
      <c r="C10" s="954"/>
      <c r="D10" s="955"/>
      <c r="E10" s="953">
        <v>2</v>
      </c>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5"/>
      <c r="AN10" s="953">
        <v>3</v>
      </c>
      <c r="AO10" s="954"/>
      <c r="AP10" s="954"/>
      <c r="AQ10" s="954"/>
      <c r="AR10" s="954"/>
      <c r="AS10" s="954"/>
      <c r="AT10" s="954"/>
      <c r="AU10" s="954"/>
      <c r="AV10" s="954"/>
      <c r="AW10" s="954"/>
      <c r="AX10" s="954"/>
      <c r="AY10" s="954"/>
      <c r="AZ10" s="954"/>
      <c r="BA10" s="955"/>
      <c r="BB10" s="953">
        <v>4</v>
      </c>
      <c r="BC10" s="954"/>
      <c r="BD10" s="954"/>
      <c r="BE10" s="954"/>
      <c r="BF10" s="954"/>
      <c r="BG10" s="954"/>
      <c r="BH10" s="954"/>
      <c r="BI10" s="954"/>
      <c r="BJ10" s="954"/>
      <c r="BK10" s="954"/>
      <c r="BL10" s="954"/>
      <c r="BM10" s="955"/>
      <c r="BN10" s="953">
        <v>5</v>
      </c>
      <c r="BO10" s="954"/>
      <c r="BP10" s="954"/>
      <c r="BQ10" s="954"/>
      <c r="BR10" s="954"/>
      <c r="BS10" s="954"/>
      <c r="BT10" s="954"/>
      <c r="BU10" s="954"/>
      <c r="BV10" s="954"/>
      <c r="BW10" s="954"/>
      <c r="BX10" s="954"/>
      <c r="BY10" s="954"/>
      <c r="BZ10" s="954"/>
      <c r="CA10" s="954"/>
      <c r="CB10" s="955"/>
    </row>
    <row r="11" spans="1:80" hidden="1">
      <c r="A11" s="926">
        <v>1</v>
      </c>
      <c r="B11" s="927"/>
      <c r="C11" s="927"/>
      <c r="D11" s="928"/>
      <c r="E11" s="920" t="s">
        <v>483</v>
      </c>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21"/>
      <c r="AL11" s="921"/>
      <c r="AM11" s="922"/>
      <c r="AN11" s="932"/>
      <c r="AO11" s="933"/>
      <c r="AP11" s="933"/>
      <c r="AQ11" s="933"/>
      <c r="AR11" s="933"/>
      <c r="AS11" s="933"/>
      <c r="AT11" s="933"/>
      <c r="AU11" s="933"/>
      <c r="AV11" s="933"/>
      <c r="AW11" s="933"/>
      <c r="AX11" s="933"/>
      <c r="AY11" s="933"/>
      <c r="AZ11" s="933"/>
      <c r="BA11" s="934"/>
      <c r="BB11" s="839"/>
      <c r="BC11" s="840"/>
      <c r="BD11" s="840"/>
      <c r="BE11" s="840"/>
      <c r="BF11" s="840"/>
      <c r="BG11" s="840"/>
      <c r="BH11" s="840"/>
      <c r="BI11" s="840"/>
      <c r="BJ11" s="840"/>
      <c r="BK11" s="840"/>
      <c r="BL11" s="840"/>
      <c r="BM11" s="841"/>
      <c r="BN11" s="974">
        <f>AN11*BB11</f>
        <v>0</v>
      </c>
      <c r="BO11" s="975"/>
      <c r="BP11" s="975"/>
      <c r="BQ11" s="975"/>
      <c r="BR11" s="975"/>
      <c r="BS11" s="975"/>
      <c r="BT11" s="975"/>
      <c r="BU11" s="975"/>
      <c r="BV11" s="975"/>
      <c r="BW11" s="975"/>
      <c r="BX11" s="975"/>
      <c r="BY11" s="975"/>
      <c r="BZ11" s="975"/>
      <c r="CA11" s="975"/>
      <c r="CB11" s="976"/>
    </row>
    <row r="12" spans="1:80" hidden="1">
      <c r="A12" s="926">
        <v>2</v>
      </c>
      <c r="B12" s="927"/>
      <c r="C12" s="927"/>
      <c r="D12" s="928"/>
      <c r="E12" s="920" t="s">
        <v>484</v>
      </c>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21"/>
      <c r="AL12" s="921"/>
      <c r="AM12" s="922"/>
      <c r="AN12" s="932"/>
      <c r="AO12" s="933"/>
      <c r="AP12" s="933"/>
      <c r="AQ12" s="933"/>
      <c r="AR12" s="933"/>
      <c r="AS12" s="933"/>
      <c r="AT12" s="933"/>
      <c r="AU12" s="933"/>
      <c r="AV12" s="933"/>
      <c r="AW12" s="933"/>
      <c r="AX12" s="933"/>
      <c r="AY12" s="933"/>
      <c r="AZ12" s="933"/>
      <c r="BA12" s="934"/>
      <c r="BB12" s="839"/>
      <c r="BC12" s="840"/>
      <c r="BD12" s="840"/>
      <c r="BE12" s="840"/>
      <c r="BF12" s="840"/>
      <c r="BG12" s="840"/>
      <c r="BH12" s="840"/>
      <c r="BI12" s="840"/>
      <c r="BJ12" s="840"/>
      <c r="BK12" s="840"/>
      <c r="BL12" s="840"/>
      <c r="BM12" s="841"/>
      <c r="BN12" s="974">
        <f>AN12*BB12</f>
        <v>0</v>
      </c>
      <c r="BO12" s="975"/>
      <c r="BP12" s="975"/>
      <c r="BQ12" s="975"/>
      <c r="BR12" s="975"/>
      <c r="BS12" s="975"/>
      <c r="BT12" s="975"/>
      <c r="BU12" s="975"/>
      <c r="BV12" s="975"/>
      <c r="BW12" s="975"/>
      <c r="BX12" s="975"/>
      <c r="BY12" s="975"/>
      <c r="BZ12" s="975"/>
      <c r="CA12" s="975"/>
      <c r="CB12" s="976"/>
    </row>
    <row r="13" spans="1:80" hidden="1">
      <c r="A13" s="926">
        <v>3</v>
      </c>
      <c r="B13" s="927"/>
      <c r="C13" s="927"/>
      <c r="D13" s="928"/>
      <c r="E13" s="920" t="s">
        <v>485</v>
      </c>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2"/>
      <c r="AN13" s="932"/>
      <c r="AO13" s="933"/>
      <c r="AP13" s="933"/>
      <c r="AQ13" s="933"/>
      <c r="AR13" s="933"/>
      <c r="AS13" s="933"/>
      <c r="AT13" s="933"/>
      <c r="AU13" s="933"/>
      <c r="AV13" s="933"/>
      <c r="AW13" s="933"/>
      <c r="AX13" s="933"/>
      <c r="AY13" s="933"/>
      <c r="AZ13" s="933"/>
      <c r="BA13" s="934"/>
      <c r="BB13" s="839"/>
      <c r="BC13" s="840"/>
      <c r="BD13" s="840"/>
      <c r="BE13" s="840"/>
      <c r="BF13" s="840"/>
      <c r="BG13" s="840"/>
      <c r="BH13" s="840"/>
      <c r="BI13" s="840"/>
      <c r="BJ13" s="840"/>
      <c r="BK13" s="840"/>
      <c r="BL13" s="840"/>
      <c r="BM13" s="841"/>
      <c r="BN13" s="974">
        <f>AN13*BB13</f>
        <v>0</v>
      </c>
      <c r="BO13" s="975"/>
      <c r="BP13" s="975"/>
      <c r="BQ13" s="975"/>
      <c r="BR13" s="975"/>
      <c r="BS13" s="975"/>
      <c r="BT13" s="975"/>
      <c r="BU13" s="975"/>
      <c r="BV13" s="975"/>
      <c r="BW13" s="975"/>
      <c r="BX13" s="975"/>
      <c r="BY13" s="975"/>
      <c r="BZ13" s="975"/>
      <c r="CA13" s="975"/>
      <c r="CB13" s="976"/>
    </row>
    <row r="14" spans="1:80" hidden="1">
      <c r="A14" s="926"/>
      <c r="B14" s="927"/>
      <c r="C14" s="927"/>
      <c r="D14" s="928"/>
      <c r="E14" s="977" t="s">
        <v>486</v>
      </c>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9"/>
      <c r="AN14" s="932"/>
      <c r="AO14" s="933"/>
      <c r="AP14" s="933"/>
      <c r="AQ14" s="933"/>
      <c r="AR14" s="933"/>
      <c r="AS14" s="933"/>
      <c r="AT14" s="933"/>
      <c r="AU14" s="933"/>
      <c r="AV14" s="933"/>
      <c r="AW14" s="933"/>
      <c r="AX14" s="933"/>
      <c r="AY14" s="933"/>
      <c r="AZ14" s="933"/>
      <c r="BA14" s="934"/>
      <c r="BB14" s="839"/>
      <c r="BC14" s="840"/>
      <c r="BD14" s="840"/>
      <c r="BE14" s="840"/>
      <c r="BF14" s="840"/>
      <c r="BG14" s="840"/>
      <c r="BH14" s="840"/>
      <c r="BI14" s="840"/>
      <c r="BJ14" s="840"/>
      <c r="BK14" s="840"/>
      <c r="BL14" s="840"/>
      <c r="BM14" s="841"/>
      <c r="BN14" s="974">
        <f>AN14*BB14</f>
        <v>0</v>
      </c>
      <c r="BO14" s="975"/>
      <c r="BP14" s="975"/>
      <c r="BQ14" s="975"/>
      <c r="BR14" s="975"/>
      <c r="BS14" s="975"/>
      <c r="BT14" s="975"/>
      <c r="BU14" s="975"/>
      <c r="BV14" s="975"/>
      <c r="BW14" s="975"/>
      <c r="BX14" s="975"/>
      <c r="BY14" s="975"/>
      <c r="BZ14" s="975"/>
      <c r="CA14" s="975"/>
      <c r="CB14" s="976"/>
    </row>
    <row r="15" spans="1:80" hidden="1">
      <c r="A15" s="926">
        <v>4</v>
      </c>
      <c r="B15" s="927"/>
      <c r="C15" s="927"/>
      <c r="D15" s="928"/>
      <c r="E15" s="920" t="s">
        <v>483</v>
      </c>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2"/>
      <c r="AN15" s="932"/>
      <c r="AO15" s="933"/>
      <c r="AP15" s="933"/>
      <c r="AQ15" s="933"/>
      <c r="AR15" s="933"/>
      <c r="AS15" s="933"/>
      <c r="AT15" s="933"/>
      <c r="AU15" s="933"/>
      <c r="AV15" s="933"/>
      <c r="AW15" s="933"/>
      <c r="AX15" s="933"/>
      <c r="AY15" s="933"/>
      <c r="AZ15" s="933"/>
      <c r="BA15" s="934"/>
      <c r="BB15" s="839">
        <v>9</v>
      </c>
      <c r="BC15" s="840"/>
      <c r="BD15" s="840"/>
      <c r="BE15" s="840"/>
      <c r="BF15" s="840"/>
      <c r="BG15" s="840"/>
      <c r="BH15" s="840"/>
      <c r="BI15" s="840"/>
      <c r="BJ15" s="840"/>
      <c r="BK15" s="840"/>
      <c r="BL15" s="840"/>
      <c r="BM15" s="841"/>
      <c r="BN15" s="974">
        <f>AN15*BB15</f>
        <v>0</v>
      </c>
      <c r="BO15" s="975"/>
      <c r="BP15" s="975"/>
      <c r="BQ15" s="975"/>
      <c r="BR15" s="975"/>
      <c r="BS15" s="975"/>
      <c r="BT15" s="975"/>
      <c r="BU15" s="975"/>
      <c r="BV15" s="975"/>
      <c r="BW15" s="975"/>
      <c r="BX15" s="975"/>
      <c r="BY15" s="975"/>
      <c r="BZ15" s="975"/>
      <c r="CA15" s="975"/>
      <c r="CB15" s="976"/>
    </row>
    <row r="16" spans="1:80" hidden="1">
      <c r="A16" s="950">
        <v>5</v>
      </c>
      <c r="B16" s="951"/>
      <c r="C16" s="951"/>
      <c r="D16" s="952"/>
      <c r="E16" s="920" t="s">
        <v>484</v>
      </c>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21"/>
      <c r="AL16" s="921"/>
      <c r="AM16" s="922"/>
      <c r="AN16" s="932"/>
      <c r="AO16" s="933"/>
      <c r="AP16" s="933"/>
      <c r="AQ16" s="933"/>
      <c r="AR16" s="933"/>
      <c r="AS16" s="933"/>
      <c r="AT16" s="933"/>
      <c r="AU16" s="933"/>
      <c r="AV16" s="933"/>
      <c r="AW16" s="933"/>
      <c r="AX16" s="933"/>
      <c r="AY16" s="933"/>
      <c r="AZ16" s="933"/>
      <c r="BA16" s="934"/>
      <c r="BB16" s="839"/>
      <c r="BC16" s="840"/>
      <c r="BD16" s="840"/>
      <c r="BE16" s="840"/>
      <c r="BF16" s="840"/>
      <c r="BG16" s="840"/>
      <c r="BH16" s="840"/>
      <c r="BI16" s="840"/>
      <c r="BJ16" s="840"/>
      <c r="BK16" s="840"/>
      <c r="BL16" s="840"/>
      <c r="BM16" s="841"/>
      <c r="BN16" s="974"/>
      <c r="BO16" s="975"/>
      <c r="BP16" s="975"/>
      <c r="BQ16" s="975"/>
      <c r="BR16" s="975"/>
      <c r="BS16" s="975"/>
      <c r="BT16" s="975"/>
      <c r="BU16" s="975"/>
      <c r="BV16" s="975"/>
      <c r="BW16" s="975"/>
      <c r="BX16" s="975"/>
      <c r="BY16" s="975"/>
      <c r="BZ16" s="975"/>
      <c r="CA16" s="975"/>
      <c r="CB16" s="976"/>
    </row>
    <row r="17" spans="1:95" hidden="1">
      <c r="A17" s="950">
        <v>6</v>
      </c>
      <c r="B17" s="951"/>
      <c r="C17" s="951"/>
      <c r="D17" s="952"/>
      <c r="E17" s="920" t="s">
        <v>485</v>
      </c>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2"/>
      <c r="AN17" s="932"/>
      <c r="AO17" s="933"/>
      <c r="AP17" s="933"/>
      <c r="AQ17" s="933"/>
      <c r="AR17" s="933"/>
      <c r="AS17" s="933"/>
      <c r="AT17" s="933"/>
      <c r="AU17" s="933"/>
      <c r="AV17" s="933"/>
      <c r="AW17" s="933"/>
      <c r="AX17" s="933"/>
      <c r="AY17" s="933"/>
      <c r="AZ17" s="933"/>
      <c r="BA17" s="934"/>
      <c r="BB17" s="839"/>
      <c r="BC17" s="840"/>
      <c r="BD17" s="840"/>
      <c r="BE17" s="840"/>
      <c r="BF17" s="840"/>
      <c r="BG17" s="840"/>
      <c r="BH17" s="840"/>
      <c r="BI17" s="840"/>
      <c r="BJ17" s="840"/>
      <c r="BK17" s="840"/>
      <c r="BL17" s="840"/>
      <c r="BM17" s="841"/>
      <c r="BN17" s="974"/>
      <c r="BO17" s="975"/>
      <c r="BP17" s="975"/>
      <c r="BQ17" s="975"/>
      <c r="BR17" s="975"/>
      <c r="BS17" s="975"/>
      <c r="BT17" s="975"/>
      <c r="BU17" s="975"/>
      <c r="BV17" s="975"/>
      <c r="BW17" s="975"/>
      <c r="BX17" s="975"/>
      <c r="BY17" s="975"/>
      <c r="BZ17" s="975"/>
      <c r="CA17" s="975"/>
      <c r="CB17" s="976"/>
    </row>
    <row r="18" spans="1:95" hidden="1">
      <c r="A18" s="926"/>
      <c r="B18" s="927"/>
      <c r="C18" s="927"/>
      <c r="D18" s="928"/>
      <c r="E18" s="920"/>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2"/>
      <c r="AN18" s="932"/>
      <c r="AO18" s="933"/>
      <c r="AP18" s="933"/>
      <c r="AQ18" s="933"/>
      <c r="AR18" s="933"/>
      <c r="AS18" s="933"/>
      <c r="AT18" s="933"/>
      <c r="AU18" s="933"/>
      <c r="AV18" s="933"/>
      <c r="AW18" s="933"/>
      <c r="AX18" s="933"/>
      <c r="AY18" s="933"/>
      <c r="AZ18" s="933"/>
      <c r="BA18" s="934"/>
      <c r="BB18" s="839"/>
      <c r="BC18" s="840"/>
      <c r="BD18" s="840"/>
      <c r="BE18" s="840"/>
      <c r="BF18" s="840"/>
      <c r="BG18" s="840"/>
      <c r="BH18" s="840"/>
      <c r="BI18" s="840"/>
      <c r="BJ18" s="840"/>
      <c r="BK18" s="840"/>
      <c r="BL18" s="840"/>
      <c r="BM18" s="841"/>
      <c r="BN18" s="974"/>
      <c r="BO18" s="975"/>
      <c r="BP18" s="975"/>
      <c r="BQ18" s="975"/>
      <c r="BR18" s="975"/>
      <c r="BS18" s="975"/>
      <c r="BT18" s="975"/>
      <c r="BU18" s="975"/>
      <c r="BV18" s="975"/>
      <c r="BW18" s="975"/>
      <c r="BX18" s="975"/>
      <c r="BY18" s="975"/>
      <c r="BZ18" s="975"/>
      <c r="CA18" s="975"/>
      <c r="CB18" s="976"/>
    </row>
    <row r="19" spans="1:95">
      <c r="A19" s="926">
        <v>1</v>
      </c>
      <c r="B19" s="927"/>
      <c r="C19" s="927"/>
      <c r="D19" s="928"/>
      <c r="E19" s="920" t="s">
        <v>487</v>
      </c>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c r="AL19" s="921"/>
      <c r="AM19" s="922"/>
      <c r="AN19" s="935">
        <v>25000</v>
      </c>
      <c r="AO19" s="936"/>
      <c r="AP19" s="936"/>
      <c r="AQ19" s="936"/>
      <c r="AR19" s="936"/>
      <c r="AS19" s="936"/>
      <c r="AT19" s="936"/>
      <c r="AU19" s="936"/>
      <c r="AV19" s="936"/>
      <c r="AW19" s="936"/>
      <c r="AX19" s="936"/>
      <c r="AY19" s="936"/>
      <c r="AZ19" s="936"/>
      <c r="BA19" s="937"/>
      <c r="BB19" s="938">
        <v>20</v>
      </c>
      <c r="BC19" s="939"/>
      <c r="BD19" s="939"/>
      <c r="BE19" s="939"/>
      <c r="BF19" s="939"/>
      <c r="BG19" s="939"/>
      <c r="BH19" s="939"/>
      <c r="BI19" s="939"/>
      <c r="BJ19" s="939"/>
      <c r="BK19" s="939"/>
      <c r="BL19" s="939"/>
      <c r="BM19" s="940"/>
      <c r="BN19" s="935">
        <f>ROUND(AN19*BB19,2)</f>
        <v>500000</v>
      </c>
      <c r="BO19" s="936"/>
      <c r="BP19" s="936"/>
      <c r="BQ19" s="936"/>
      <c r="BR19" s="936"/>
      <c r="BS19" s="936"/>
      <c r="BT19" s="936"/>
      <c r="BU19" s="936"/>
      <c r="BV19" s="936"/>
      <c r="BW19" s="936"/>
      <c r="BX19" s="936"/>
      <c r="BY19" s="936"/>
      <c r="BZ19" s="936"/>
      <c r="CA19" s="936"/>
      <c r="CB19" s="937"/>
    </row>
    <row r="20" spans="1:95" s="284" customFormat="1">
      <c r="A20" s="926">
        <v>2</v>
      </c>
      <c r="B20" s="927"/>
      <c r="C20" s="927"/>
      <c r="D20" s="928"/>
      <c r="E20" s="920" t="s">
        <v>981</v>
      </c>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21"/>
      <c r="AL20" s="921"/>
      <c r="AM20" s="922"/>
      <c r="AN20" s="935">
        <v>0</v>
      </c>
      <c r="AO20" s="936"/>
      <c r="AP20" s="936"/>
      <c r="AQ20" s="936"/>
      <c r="AR20" s="936"/>
      <c r="AS20" s="936"/>
      <c r="AT20" s="936"/>
      <c r="AU20" s="936"/>
      <c r="AV20" s="936"/>
      <c r="AW20" s="936"/>
      <c r="AX20" s="936"/>
      <c r="AY20" s="936"/>
      <c r="AZ20" s="936"/>
      <c r="BA20" s="937"/>
      <c r="BB20" s="938">
        <v>2</v>
      </c>
      <c r="BC20" s="939"/>
      <c r="BD20" s="939"/>
      <c r="BE20" s="939"/>
      <c r="BF20" s="939"/>
      <c r="BG20" s="939"/>
      <c r="BH20" s="939"/>
      <c r="BI20" s="939"/>
      <c r="BJ20" s="939"/>
      <c r="BK20" s="939"/>
      <c r="BL20" s="939"/>
      <c r="BM20" s="940"/>
      <c r="BN20" s="935">
        <f>ROUND(AN20*BB20,2)</f>
        <v>0</v>
      </c>
      <c r="BO20" s="936"/>
      <c r="BP20" s="936"/>
      <c r="BQ20" s="936"/>
      <c r="BR20" s="936"/>
      <c r="BS20" s="936"/>
      <c r="BT20" s="936"/>
      <c r="BU20" s="936"/>
      <c r="BV20" s="936"/>
      <c r="BW20" s="936"/>
      <c r="BX20" s="936"/>
      <c r="BY20" s="936"/>
      <c r="BZ20" s="936"/>
      <c r="CA20" s="936"/>
      <c r="CB20" s="937"/>
    </row>
    <row r="21" spans="1:95">
      <c r="A21" s="926">
        <v>3</v>
      </c>
      <c r="B21" s="927"/>
      <c r="C21" s="927"/>
      <c r="D21" s="928"/>
      <c r="E21" s="920" t="s">
        <v>1133</v>
      </c>
      <c r="F21" s="921"/>
      <c r="G21" s="921"/>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2"/>
      <c r="AN21" s="935">
        <v>1000</v>
      </c>
      <c r="AO21" s="936"/>
      <c r="AP21" s="936"/>
      <c r="AQ21" s="936"/>
      <c r="AR21" s="936"/>
      <c r="AS21" s="936"/>
      <c r="AT21" s="936"/>
      <c r="AU21" s="936"/>
      <c r="AV21" s="936"/>
      <c r="AW21" s="936"/>
      <c r="AX21" s="936"/>
      <c r="AY21" s="936"/>
      <c r="AZ21" s="936"/>
      <c r="BA21" s="937"/>
      <c r="BB21" s="938">
        <v>10</v>
      </c>
      <c r="BC21" s="939"/>
      <c r="BD21" s="939"/>
      <c r="BE21" s="939"/>
      <c r="BF21" s="939"/>
      <c r="BG21" s="939"/>
      <c r="BH21" s="939"/>
      <c r="BI21" s="939"/>
      <c r="BJ21" s="939"/>
      <c r="BK21" s="939"/>
      <c r="BL21" s="939"/>
      <c r="BM21" s="940"/>
      <c r="BN21" s="935">
        <f>ROUND(AN21*BB21,2)</f>
        <v>10000</v>
      </c>
      <c r="BO21" s="936"/>
      <c r="BP21" s="936"/>
      <c r="BQ21" s="936"/>
      <c r="BR21" s="936"/>
      <c r="BS21" s="936"/>
      <c r="BT21" s="936"/>
      <c r="BU21" s="936"/>
      <c r="BV21" s="936"/>
      <c r="BW21" s="936"/>
      <c r="BX21" s="936"/>
      <c r="BY21" s="936"/>
      <c r="BZ21" s="936"/>
      <c r="CA21" s="936"/>
      <c r="CB21" s="937"/>
    </row>
    <row r="22" spans="1:95">
      <c r="A22" s="926"/>
      <c r="B22" s="927"/>
      <c r="C22" s="927"/>
      <c r="D22" s="928"/>
      <c r="E22" s="839" t="s">
        <v>262</v>
      </c>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1"/>
      <c r="AN22" s="926" t="s">
        <v>21</v>
      </c>
      <c r="AO22" s="927"/>
      <c r="AP22" s="927"/>
      <c r="AQ22" s="927"/>
      <c r="AR22" s="927"/>
      <c r="AS22" s="927"/>
      <c r="AT22" s="927"/>
      <c r="AU22" s="927"/>
      <c r="AV22" s="927"/>
      <c r="AW22" s="927"/>
      <c r="AX22" s="927"/>
      <c r="AY22" s="927"/>
      <c r="AZ22" s="927"/>
      <c r="BA22" s="928"/>
      <c r="BB22" s="950" t="s">
        <v>21</v>
      </c>
      <c r="BC22" s="951"/>
      <c r="BD22" s="951"/>
      <c r="BE22" s="951"/>
      <c r="BF22" s="951"/>
      <c r="BG22" s="951"/>
      <c r="BH22" s="951"/>
      <c r="BI22" s="951"/>
      <c r="BJ22" s="951"/>
      <c r="BK22" s="951"/>
      <c r="BL22" s="951"/>
      <c r="BM22" s="952"/>
      <c r="BN22" s="868">
        <f>SUM(BN11:CB21)</f>
        <v>510000</v>
      </c>
      <c r="BO22" s="869"/>
      <c r="BP22" s="869"/>
      <c r="BQ22" s="869"/>
      <c r="BR22" s="869"/>
      <c r="BS22" s="869"/>
      <c r="BT22" s="869"/>
      <c r="BU22" s="869"/>
      <c r="BV22" s="869"/>
      <c r="BW22" s="869"/>
      <c r="BX22" s="869"/>
      <c r="BY22" s="869"/>
      <c r="BZ22" s="869"/>
      <c r="CA22" s="869"/>
      <c r="CB22" s="870"/>
      <c r="CQ22" s="115">
        <f>'[2]Пок по пост и выб'!D37</f>
        <v>500000</v>
      </c>
    </row>
    <row r="23" spans="1:95" s="112" customFormat="1" ht="9" customHeight="1">
      <c r="CQ23" s="204">
        <f>CQ22-BN22</f>
        <v>-10000</v>
      </c>
    </row>
    <row r="24" spans="1:95" s="200" customFormat="1" ht="15.6">
      <c r="A24" s="959" t="s">
        <v>488</v>
      </c>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959"/>
      <c r="AW24" s="959"/>
      <c r="AX24" s="959"/>
      <c r="AY24" s="959"/>
      <c r="AZ24" s="959"/>
      <c r="BA24" s="959"/>
      <c r="BB24" s="959"/>
      <c r="BC24" s="959"/>
      <c r="BD24" s="959"/>
      <c r="BE24" s="959"/>
      <c r="BF24" s="959"/>
      <c r="BG24" s="959"/>
      <c r="BH24" s="959"/>
      <c r="BI24" s="959"/>
      <c r="BJ24" s="959"/>
      <c r="BK24" s="959"/>
      <c r="BL24" s="959"/>
      <c r="BM24" s="959"/>
      <c r="BN24" s="959"/>
      <c r="BO24" s="959"/>
      <c r="BP24" s="959"/>
      <c r="BQ24" s="959"/>
      <c r="BR24" s="959"/>
      <c r="BS24" s="959"/>
      <c r="BT24" s="959"/>
      <c r="BU24" s="959"/>
      <c r="BV24" s="959"/>
      <c r="BW24" s="959"/>
      <c r="BX24" s="959"/>
      <c r="BY24" s="959"/>
      <c r="BZ24" s="959"/>
      <c r="CA24" s="959"/>
      <c r="CB24" s="959"/>
    </row>
    <row r="25" spans="1:95" s="202" customFormat="1" ht="7.8">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row>
    <row r="26" spans="1:95" s="200" customFormat="1" ht="15.6">
      <c r="A26" s="200" t="s">
        <v>383</v>
      </c>
      <c r="B26" s="203"/>
      <c r="C26" s="203"/>
      <c r="D26" s="203"/>
      <c r="E26" s="203"/>
      <c r="F26" s="203"/>
      <c r="G26" s="203"/>
      <c r="H26" s="203"/>
      <c r="I26" s="203"/>
      <c r="J26" s="203"/>
      <c r="K26" s="203"/>
      <c r="L26" s="203"/>
      <c r="M26" s="203"/>
      <c r="N26" s="203"/>
      <c r="O26" s="203"/>
      <c r="P26" s="203"/>
      <c r="Q26" s="203"/>
      <c r="R26" s="203"/>
      <c r="S26" s="960" t="s">
        <v>1040</v>
      </c>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0"/>
      <c r="AQ26" s="960"/>
      <c r="AR26" s="960"/>
      <c r="AS26" s="960"/>
      <c r="AT26" s="960"/>
      <c r="AU26" s="960"/>
      <c r="AV26" s="960"/>
      <c r="AW26" s="960"/>
      <c r="AX26" s="960"/>
      <c r="AY26" s="960"/>
      <c r="AZ26" s="960"/>
      <c r="BA26" s="960"/>
      <c r="BB26" s="960"/>
      <c r="BC26" s="960"/>
      <c r="BD26" s="960"/>
      <c r="BE26" s="960"/>
      <c r="BF26" s="960"/>
      <c r="BG26" s="960"/>
      <c r="BH26" s="960"/>
      <c r="BI26" s="960"/>
      <c r="BJ26" s="960"/>
      <c r="BK26" s="960"/>
      <c r="BL26" s="960"/>
      <c r="BM26" s="960"/>
      <c r="BN26" s="960"/>
      <c r="BO26" s="960"/>
      <c r="BP26" s="960"/>
      <c r="BQ26" s="960"/>
      <c r="BR26" s="960"/>
      <c r="BS26" s="960"/>
      <c r="BT26" s="960"/>
      <c r="BU26" s="960"/>
      <c r="BV26" s="960"/>
      <c r="BW26" s="960"/>
      <c r="BX26" s="960"/>
      <c r="BY26" s="960"/>
      <c r="BZ26" s="960"/>
      <c r="CA26" s="960"/>
      <c r="CB26" s="960"/>
    </row>
    <row r="27" spans="1:95" s="202" customFormat="1" ht="7.8">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row>
    <row r="28" spans="1:95" s="200" customFormat="1" ht="15.6">
      <c r="A28" s="200" t="s">
        <v>385</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961" t="s">
        <v>578</v>
      </c>
      <c r="AI28" s="961"/>
      <c r="AJ28" s="961"/>
      <c r="AK28" s="961"/>
      <c r="AL28" s="961"/>
      <c r="AM28" s="961"/>
      <c r="AN28" s="961"/>
      <c r="AO28" s="961"/>
      <c r="AP28" s="961"/>
      <c r="AQ28" s="961"/>
      <c r="AR28" s="961"/>
      <c r="AS28" s="961"/>
      <c r="AT28" s="961"/>
      <c r="AU28" s="961"/>
      <c r="AV28" s="961"/>
      <c r="AW28" s="961"/>
      <c r="AX28" s="961"/>
      <c r="AY28" s="961"/>
      <c r="AZ28" s="961"/>
      <c r="BA28" s="961"/>
      <c r="BB28" s="961"/>
      <c r="BC28" s="961"/>
      <c r="BD28" s="961"/>
      <c r="BE28" s="961"/>
      <c r="BF28" s="961"/>
      <c r="BG28" s="961"/>
      <c r="BH28" s="961"/>
      <c r="BI28" s="961"/>
      <c r="BJ28" s="961"/>
      <c r="BK28" s="961"/>
      <c r="BL28" s="961"/>
      <c r="BM28" s="961"/>
      <c r="BN28" s="961"/>
      <c r="BO28" s="961"/>
      <c r="BP28" s="961"/>
      <c r="BQ28" s="961"/>
      <c r="BR28" s="961"/>
      <c r="BS28" s="961"/>
      <c r="BT28" s="961"/>
      <c r="BU28" s="961"/>
      <c r="BV28" s="961"/>
      <c r="BW28" s="961"/>
      <c r="BX28" s="961"/>
      <c r="BY28" s="961"/>
      <c r="BZ28" s="961"/>
      <c r="CA28" s="961"/>
      <c r="CB28" s="961"/>
    </row>
    <row r="29" spans="1:95" ht="5.25" customHeight="1"/>
    <row r="30" spans="1:95">
      <c r="A30" s="962" t="s">
        <v>388</v>
      </c>
      <c r="B30" s="963"/>
      <c r="C30" s="963"/>
      <c r="D30" s="964"/>
      <c r="E30" s="962" t="s">
        <v>422</v>
      </c>
      <c r="F30" s="963"/>
      <c r="G30" s="963"/>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M30" s="964"/>
      <c r="AN30" s="962" t="s">
        <v>489</v>
      </c>
      <c r="AO30" s="963"/>
      <c r="AP30" s="963"/>
      <c r="AQ30" s="963"/>
      <c r="AR30" s="963"/>
      <c r="AS30" s="963"/>
      <c r="AT30" s="963"/>
      <c r="AU30" s="963"/>
      <c r="AV30" s="963"/>
      <c r="AW30" s="963"/>
      <c r="AX30" s="963"/>
      <c r="AY30" s="963"/>
      <c r="AZ30" s="963"/>
      <c r="BA30" s="964"/>
      <c r="BB30" s="962" t="s">
        <v>490</v>
      </c>
      <c r="BC30" s="963"/>
      <c r="BD30" s="963"/>
      <c r="BE30" s="963"/>
      <c r="BF30" s="963"/>
      <c r="BG30" s="963"/>
      <c r="BH30" s="963"/>
      <c r="BI30" s="964"/>
      <c r="BJ30" s="962" t="s">
        <v>491</v>
      </c>
      <c r="BK30" s="963"/>
      <c r="BL30" s="963"/>
      <c r="BM30" s="963"/>
      <c r="BN30" s="963"/>
      <c r="BO30" s="963"/>
      <c r="BP30" s="963"/>
      <c r="BQ30" s="963"/>
      <c r="BR30" s="963"/>
      <c r="BS30" s="963"/>
      <c r="BT30" s="963"/>
      <c r="BU30" s="963"/>
      <c r="BV30" s="963"/>
      <c r="BW30" s="963"/>
      <c r="BX30" s="963"/>
      <c r="BY30" s="963"/>
      <c r="BZ30" s="963"/>
      <c r="CA30" s="963"/>
      <c r="CB30" s="964"/>
    </row>
    <row r="31" spans="1:95">
      <c r="A31" s="956" t="s">
        <v>395</v>
      </c>
      <c r="B31" s="957"/>
      <c r="C31" s="957"/>
      <c r="D31" s="958"/>
      <c r="E31" s="956"/>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8"/>
      <c r="AN31" s="956" t="s">
        <v>492</v>
      </c>
      <c r="AO31" s="957"/>
      <c r="AP31" s="957"/>
      <c r="AQ31" s="957"/>
      <c r="AR31" s="957"/>
      <c r="AS31" s="957"/>
      <c r="AT31" s="957"/>
      <c r="AU31" s="957"/>
      <c r="AV31" s="957"/>
      <c r="AW31" s="957"/>
      <c r="AX31" s="957"/>
      <c r="AY31" s="957"/>
      <c r="AZ31" s="957"/>
      <c r="BA31" s="958"/>
      <c r="BB31" s="956" t="s">
        <v>493</v>
      </c>
      <c r="BC31" s="957"/>
      <c r="BD31" s="957"/>
      <c r="BE31" s="957"/>
      <c r="BF31" s="957"/>
      <c r="BG31" s="957"/>
      <c r="BH31" s="957"/>
      <c r="BI31" s="958"/>
      <c r="BJ31" s="956" t="s">
        <v>494</v>
      </c>
      <c r="BK31" s="957"/>
      <c r="BL31" s="957"/>
      <c r="BM31" s="957"/>
      <c r="BN31" s="957"/>
      <c r="BO31" s="957"/>
      <c r="BP31" s="957"/>
      <c r="BQ31" s="957"/>
      <c r="BR31" s="957"/>
      <c r="BS31" s="957"/>
      <c r="BT31" s="957"/>
      <c r="BU31" s="957"/>
      <c r="BV31" s="957"/>
      <c r="BW31" s="957"/>
      <c r="BX31" s="957"/>
      <c r="BY31" s="957"/>
      <c r="BZ31" s="957"/>
      <c r="CA31" s="957"/>
      <c r="CB31" s="958"/>
    </row>
    <row r="32" spans="1:95">
      <c r="A32" s="956"/>
      <c r="B32" s="957"/>
      <c r="C32" s="957"/>
      <c r="D32" s="958"/>
      <c r="E32" s="956"/>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8"/>
      <c r="AN32" s="956"/>
      <c r="AO32" s="957"/>
      <c r="AP32" s="957"/>
      <c r="AQ32" s="957"/>
      <c r="AR32" s="957"/>
      <c r="AS32" s="957"/>
      <c r="AT32" s="957"/>
      <c r="AU32" s="957"/>
      <c r="AV32" s="957"/>
      <c r="AW32" s="957"/>
      <c r="AX32" s="957"/>
      <c r="AY32" s="957"/>
      <c r="AZ32" s="957"/>
      <c r="BA32" s="958"/>
      <c r="BB32" s="956"/>
      <c r="BC32" s="957"/>
      <c r="BD32" s="957"/>
      <c r="BE32" s="957"/>
      <c r="BF32" s="957"/>
      <c r="BG32" s="957"/>
      <c r="BH32" s="957"/>
      <c r="BI32" s="958"/>
      <c r="BJ32" s="956" t="s">
        <v>495</v>
      </c>
      <c r="BK32" s="957"/>
      <c r="BL32" s="957"/>
      <c r="BM32" s="957"/>
      <c r="BN32" s="957"/>
      <c r="BO32" s="957"/>
      <c r="BP32" s="957"/>
      <c r="BQ32" s="957"/>
      <c r="BR32" s="957"/>
      <c r="BS32" s="957"/>
      <c r="BT32" s="957"/>
      <c r="BU32" s="957"/>
      <c r="BV32" s="957"/>
      <c r="BW32" s="957"/>
      <c r="BX32" s="957"/>
      <c r="BY32" s="957"/>
      <c r="BZ32" s="957"/>
      <c r="CA32" s="957"/>
      <c r="CB32" s="958"/>
    </row>
    <row r="33" spans="1:95">
      <c r="A33" s="956"/>
      <c r="B33" s="957"/>
      <c r="C33" s="957"/>
      <c r="D33" s="958"/>
      <c r="E33" s="956"/>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8"/>
      <c r="AN33" s="956"/>
      <c r="AO33" s="957"/>
      <c r="AP33" s="957"/>
      <c r="AQ33" s="957"/>
      <c r="AR33" s="957"/>
      <c r="AS33" s="957"/>
      <c r="AT33" s="957"/>
      <c r="AU33" s="957"/>
      <c r="AV33" s="957"/>
      <c r="AW33" s="957"/>
      <c r="AX33" s="957"/>
      <c r="AY33" s="957"/>
      <c r="AZ33" s="957"/>
      <c r="BA33" s="958"/>
      <c r="BB33" s="956"/>
      <c r="BC33" s="957"/>
      <c r="BD33" s="957"/>
      <c r="BE33" s="957"/>
      <c r="BF33" s="957"/>
      <c r="BG33" s="957"/>
      <c r="BH33" s="957"/>
      <c r="BI33" s="958"/>
      <c r="BJ33" s="956" t="s">
        <v>496</v>
      </c>
      <c r="BK33" s="957"/>
      <c r="BL33" s="957"/>
      <c r="BM33" s="957"/>
      <c r="BN33" s="957"/>
      <c r="BO33" s="957"/>
      <c r="BP33" s="957"/>
      <c r="BQ33" s="957"/>
      <c r="BR33" s="957"/>
      <c r="BS33" s="957"/>
      <c r="BT33" s="957"/>
      <c r="BU33" s="957"/>
      <c r="BV33" s="957"/>
      <c r="BW33" s="957"/>
      <c r="BX33" s="957"/>
      <c r="BY33" s="957"/>
      <c r="BZ33" s="957"/>
      <c r="CA33" s="957"/>
      <c r="CB33" s="958"/>
    </row>
    <row r="34" spans="1:95">
      <c r="A34" s="953">
        <v>1</v>
      </c>
      <c r="B34" s="954"/>
      <c r="C34" s="954"/>
      <c r="D34" s="955"/>
      <c r="E34" s="953">
        <v>2</v>
      </c>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5"/>
      <c r="AN34" s="953">
        <v>3</v>
      </c>
      <c r="AO34" s="954"/>
      <c r="AP34" s="954"/>
      <c r="AQ34" s="954"/>
      <c r="AR34" s="954"/>
      <c r="AS34" s="954"/>
      <c r="AT34" s="954"/>
      <c r="AU34" s="954"/>
      <c r="AV34" s="954"/>
      <c r="AW34" s="954"/>
      <c r="AX34" s="954"/>
      <c r="AY34" s="954"/>
      <c r="AZ34" s="954"/>
      <c r="BA34" s="955"/>
      <c r="BB34" s="953">
        <v>4</v>
      </c>
      <c r="BC34" s="954"/>
      <c r="BD34" s="954"/>
      <c r="BE34" s="954"/>
      <c r="BF34" s="954"/>
      <c r="BG34" s="954"/>
      <c r="BH34" s="954"/>
      <c r="BI34" s="955"/>
      <c r="BJ34" s="953">
        <v>5</v>
      </c>
      <c r="BK34" s="954"/>
      <c r="BL34" s="954"/>
      <c r="BM34" s="954"/>
      <c r="BN34" s="954"/>
      <c r="BO34" s="954"/>
      <c r="BP34" s="954"/>
      <c r="BQ34" s="954"/>
      <c r="BR34" s="954"/>
      <c r="BS34" s="954"/>
      <c r="BT34" s="954"/>
      <c r="BU34" s="954"/>
      <c r="BV34" s="954"/>
      <c r="BW34" s="954"/>
      <c r="BX34" s="954"/>
      <c r="BY34" s="954"/>
      <c r="BZ34" s="954"/>
      <c r="CA34" s="954"/>
      <c r="CB34" s="955"/>
    </row>
    <row r="35" spans="1:95" ht="25.95" customHeight="1">
      <c r="A35" s="926">
        <v>1</v>
      </c>
      <c r="B35" s="927"/>
      <c r="C35" s="927"/>
      <c r="D35" s="928"/>
      <c r="E35" s="968" t="s">
        <v>497</v>
      </c>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70"/>
      <c r="AN35" s="932">
        <v>0</v>
      </c>
      <c r="AO35" s="933"/>
      <c r="AP35" s="933"/>
      <c r="AQ35" s="933"/>
      <c r="AR35" s="933"/>
      <c r="AS35" s="933"/>
      <c r="AT35" s="933"/>
      <c r="AU35" s="933"/>
      <c r="AV35" s="933"/>
      <c r="AW35" s="933"/>
      <c r="AX35" s="933"/>
      <c r="AY35" s="933"/>
      <c r="AZ35" s="933"/>
      <c r="BA35" s="934"/>
      <c r="BB35" s="839">
        <v>0</v>
      </c>
      <c r="BC35" s="840"/>
      <c r="BD35" s="840"/>
      <c r="BE35" s="840"/>
      <c r="BF35" s="840"/>
      <c r="BG35" s="840"/>
      <c r="BH35" s="840"/>
      <c r="BI35" s="841"/>
      <c r="BJ35" s="868">
        <v>0</v>
      </c>
      <c r="BK35" s="933"/>
      <c r="BL35" s="933"/>
      <c r="BM35" s="933"/>
      <c r="BN35" s="933"/>
      <c r="BO35" s="933"/>
      <c r="BP35" s="933"/>
      <c r="BQ35" s="933"/>
      <c r="BR35" s="933"/>
      <c r="BS35" s="933"/>
      <c r="BT35" s="933"/>
      <c r="BU35" s="933"/>
      <c r="BV35" s="933"/>
      <c r="BW35" s="933"/>
      <c r="BX35" s="933"/>
      <c r="BY35" s="933"/>
      <c r="BZ35" s="933"/>
      <c r="CA35" s="933"/>
      <c r="CB35" s="934"/>
    </row>
    <row r="36" spans="1:95" ht="25.5" customHeight="1">
      <c r="A36" s="926">
        <v>2</v>
      </c>
      <c r="B36" s="927"/>
      <c r="C36" s="927"/>
      <c r="D36" s="928"/>
      <c r="E36" s="968" t="s">
        <v>498</v>
      </c>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70"/>
      <c r="AN36" s="868" t="s">
        <v>995</v>
      </c>
      <c r="AO36" s="869"/>
      <c r="AP36" s="869"/>
      <c r="AQ36" s="869"/>
      <c r="AR36" s="869"/>
      <c r="AS36" s="869"/>
      <c r="AT36" s="869"/>
      <c r="AU36" s="869"/>
      <c r="AV36" s="869"/>
      <c r="AW36" s="869"/>
      <c r="AX36" s="869"/>
      <c r="AY36" s="869"/>
      <c r="AZ36" s="869"/>
      <c r="BA36" s="870"/>
      <c r="BB36" s="831">
        <v>2.2000000000000002</v>
      </c>
      <c r="BC36" s="832"/>
      <c r="BD36" s="832"/>
      <c r="BE36" s="832"/>
      <c r="BF36" s="832"/>
      <c r="BG36" s="832"/>
      <c r="BH36" s="832"/>
      <c r="BI36" s="833"/>
      <c r="BJ36" s="935">
        <f>496850+43819</f>
        <v>540669</v>
      </c>
      <c r="BK36" s="936"/>
      <c r="BL36" s="936"/>
      <c r="BM36" s="936"/>
      <c r="BN36" s="936"/>
      <c r="BO36" s="936"/>
      <c r="BP36" s="936"/>
      <c r="BQ36" s="936"/>
      <c r="BR36" s="936"/>
      <c r="BS36" s="936"/>
      <c r="BT36" s="936"/>
      <c r="BU36" s="936"/>
      <c r="BV36" s="936"/>
      <c r="BW36" s="936"/>
      <c r="BX36" s="936"/>
      <c r="BY36" s="936"/>
      <c r="BZ36" s="936"/>
      <c r="CA36" s="936"/>
      <c r="CB36" s="937"/>
      <c r="CJ36" s="114" t="s">
        <v>996</v>
      </c>
      <c r="CK36" s="114" t="s">
        <v>897</v>
      </c>
    </row>
    <row r="37" spans="1:95" ht="25.2" customHeight="1">
      <c r="A37" s="926">
        <v>3</v>
      </c>
      <c r="B37" s="927"/>
      <c r="C37" s="927"/>
      <c r="D37" s="928"/>
      <c r="E37" s="968" t="s">
        <v>898</v>
      </c>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70"/>
      <c r="AN37" s="868">
        <v>0</v>
      </c>
      <c r="AO37" s="869"/>
      <c r="AP37" s="869"/>
      <c r="AQ37" s="869"/>
      <c r="AR37" s="869"/>
      <c r="AS37" s="869"/>
      <c r="AT37" s="869"/>
      <c r="AU37" s="869"/>
      <c r="AV37" s="869"/>
      <c r="AW37" s="869"/>
      <c r="AX37" s="869"/>
      <c r="AY37" s="869"/>
      <c r="AZ37" s="869"/>
      <c r="BA37" s="870"/>
      <c r="BB37" s="831">
        <v>0</v>
      </c>
      <c r="BC37" s="832"/>
      <c r="BD37" s="832"/>
      <c r="BE37" s="832"/>
      <c r="BF37" s="832"/>
      <c r="BG37" s="832"/>
      <c r="BH37" s="832"/>
      <c r="BI37" s="833"/>
      <c r="BJ37" s="935">
        <v>1000</v>
      </c>
      <c r="BK37" s="936"/>
      <c r="BL37" s="936"/>
      <c r="BM37" s="936"/>
      <c r="BN37" s="936"/>
      <c r="BO37" s="936"/>
      <c r="BP37" s="936"/>
      <c r="BQ37" s="936"/>
      <c r="BR37" s="936"/>
      <c r="BS37" s="936"/>
      <c r="BT37" s="936"/>
      <c r="BU37" s="936"/>
      <c r="BV37" s="936"/>
      <c r="BW37" s="936"/>
      <c r="BX37" s="936"/>
      <c r="BY37" s="936"/>
      <c r="BZ37" s="936"/>
      <c r="CA37" s="936"/>
      <c r="CB37" s="937"/>
      <c r="CJ37" s="114">
        <v>3000</v>
      </c>
      <c r="CK37" s="114" t="s">
        <v>899</v>
      </c>
    </row>
    <row r="38" spans="1:95">
      <c r="A38" s="926"/>
      <c r="B38" s="927"/>
      <c r="C38" s="927"/>
      <c r="D38" s="928"/>
      <c r="E38" s="839" t="s">
        <v>262</v>
      </c>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1"/>
      <c r="AN38" s="831"/>
      <c r="AO38" s="832"/>
      <c r="AP38" s="832"/>
      <c r="AQ38" s="832"/>
      <c r="AR38" s="832"/>
      <c r="AS38" s="832"/>
      <c r="AT38" s="832"/>
      <c r="AU38" s="832"/>
      <c r="AV38" s="832"/>
      <c r="AW38" s="832"/>
      <c r="AX38" s="832"/>
      <c r="AY38" s="832"/>
      <c r="AZ38" s="832"/>
      <c r="BA38" s="833"/>
      <c r="BB38" s="971" t="s">
        <v>21</v>
      </c>
      <c r="BC38" s="972"/>
      <c r="BD38" s="972"/>
      <c r="BE38" s="972"/>
      <c r="BF38" s="972"/>
      <c r="BG38" s="972"/>
      <c r="BH38" s="972"/>
      <c r="BI38" s="973"/>
      <c r="BJ38" s="868">
        <f>BJ37+BJ35+BJ36</f>
        <v>541669</v>
      </c>
      <c r="BK38" s="869"/>
      <c r="BL38" s="869"/>
      <c r="BM38" s="869"/>
      <c r="BN38" s="869"/>
      <c r="BO38" s="869"/>
      <c r="BP38" s="869"/>
      <c r="BQ38" s="869"/>
      <c r="BR38" s="869"/>
      <c r="BS38" s="869"/>
      <c r="BT38" s="869"/>
      <c r="BU38" s="869"/>
      <c r="BV38" s="869"/>
      <c r="BW38" s="869"/>
      <c r="BX38" s="869"/>
      <c r="BY38" s="869"/>
      <c r="BZ38" s="869"/>
      <c r="CA38" s="869"/>
      <c r="CB38" s="870"/>
    </row>
    <row r="39" spans="1:95" s="112" customFormat="1" ht="6.75" customHeight="1"/>
    <row r="40" spans="1:95" s="200" customFormat="1" ht="15.6">
      <c r="A40" s="959" t="s">
        <v>499</v>
      </c>
      <c r="B40" s="959"/>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59"/>
      <c r="AY40" s="959"/>
      <c r="AZ40" s="959"/>
      <c r="BA40" s="959"/>
      <c r="BB40" s="959"/>
      <c r="BC40" s="959"/>
      <c r="BD40" s="959"/>
      <c r="BE40" s="959"/>
      <c r="BF40" s="959"/>
      <c r="BG40" s="959"/>
      <c r="BH40" s="959"/>
      <c r="BI40" s="959"/>
      <c r="BJ40" s="959"/>
      <c r="BK40" s="959"/>
      <c r="BL40" s="959"/>
      <c r="BM40" s="959"/>
      <c r="BN40" s="959"/>
      <c r="BO40" s="959"/>
      <c r="BP40" s="959"/>
      <c r="BQ40" s="959"/>
      <c r="BR40" s="959"/>
      <c r="BS40" s="959"/>
      <c r="BT40" s="959"/>
      <c r="BU40" s="959"/>
      <c r="BV40" s="959"/>
      <c r="BW40" s="959"/>
      <c r="BX40" s="959"/>
      <c r="BY40" s="959"/>
      <c r="BZ40" s="959"/>
      <c r="CA40" s="959"/>
      <c r="CB40" s="959"/>
      <c r="CQ40" s="200">
        <f>BJ38*100/2.2</f>
        <v>24621318.18181818</v>
      </c>
    </row>
    <row r="41" spans="1:95" s="202" customFormat="1" ht="5.25" customHeight="1">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row>
    <row r="42" spans="1:95" s="200" customFormat="1" ht="15.6">
      <c r="A42" s="200" t="s">
        <v>383</v>
      </c>
      <c r="B42" s="203"/>
      <c r="C42" s="203"/>
      <c r="D42" s="203"/>
      <c r="E42" s="203"/>
      <c r="F42" s="203"/>
      <c r="G42" s="203"/>
      <c r="H42" s="203"/>
      <c r="I42" s="203"/>
      <c r="J42" s="203"/>
      <c r="K42" s="203"/>
      <c r="L42" s="203"/>
      <c r="M42" s="203"/>
      <c r="N42" s="203"/>
      <c r="O42" s="203"/>
      <c r="P42" s="203"/>
      <c r="Q42" s="203"/>
      <c r="R42" s="203"/>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0"/>
      <c r="AY42" s="960"/>
      <c r="AZ42" s="960"/>
      <c r="BA42" s="960"/>
      <c r="BB42" s="960"/>
      <c r="BC42" s="960"/>
      <c r="BD42" s="960"/>
      <c r="BE42" s="960"/>
      <c r="BF42" s="960"/>
      <c r="BG42" s="960"/>
      <c r="BH42" s="960"/>
      <c r="BI42" s="960"/>
      <c r="BJ42" s="960"/>
      <c r="BK42" s="960"/>
      <c r="BL42" s="960"/>
      <c r="BM42" s="960"/>
      <c r="BN42" s="960"/>
      <c r="BO42" s="960"/>
      <c r="BP42" s="960"/>
      <c r="BQ42" s="960"/>
      <c r="BR42" s="960"/>
      <c r="BS42" s="960"/>
      <c r="BT42" s="960"/>
      <c r="BU42" s="960"/>
      <c r="BV42" s="960"/>
      <c r="BW42" s="960"/>
      <c r="BX42" s="960"/>
      <c r="BY42" s="960"/>
      <c r="BZ42" s="960"/>
      <c r="CA42" s="960"/>
      <c r="CB42" s="960"/>
      <c r="CQ42" s="200" t="e">
        <f>AN36*2.2</f>
        <v>#VALUE!</v>
      </c>
    </row>
    <row r="43" spans="1:95" s="202" customFormat="1" ht="5.25" customHeight="1">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row>
    <row r="44" spans="1:95" s="200" customFormat="1" ht="15.6">
      <c r="A44" s="200" t="s">
        <v>385</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961"/>
      <c r="AI44" s="961"/>
      <c r="AJ44" s="961"/>
      <c r="AK44" s="961"/>
      <c r="AL44" s="961"/>
      <c r="AM44" s="961"/>
      <c r="AN44" s="961"/>
      <c r="AO44" s="961"/>
      <c r="AP44" s="961"/>
      <c r="AQ44" s="961"/>
      <c r="AR44" s="961"/>
      <c r="AS44" s="961"/>
      <c r="AT44" s="961"/>
      <c r="AU44" s="961"/>
      <c r="AV44" s="961"/>
      <c r="AW44" s="961"/>
      <c r="AX44" s="961"/>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row>
    <row r="45" spans="1:95" ht="5.25" customHeight="1"/>
    <row r="46" spans="1:95">
      <c r="A46" s="962" t="s">
        <v>388</v>
      </c>
      <c r="B46" s="963"/>
      <c r="C46" s="963"/>
      <c r="D46" s="964"/>
      <c r="E46" s="962" t="s">
        <v>0</v>
      </c>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4"/>
      <c r="AN46" s="962" t="s">
        <v>478</v>
      </c>
      <c r="AO46" s="963"/>
      <c r="AP46" s="963"/>
      <c r="AQ46" s="963"/>
      <c r="AR46" s="963"/>
      <c r="AS46" s="963"/>
      <c r="AT46" s="963"/>
      <c r="AU46" s="963"/>
      <c r="AV46" s="963"/>
      <c r="AW46" s="963"/>
      <c r="AX46" s="963"/>
      <c r="AY46" s="963"/>
      <c r="AZ46" s="963"/>
      <c r="BA46" s="964"/>
      <c r="BB46" s="962" t="s">
        <v>424</v>
      </c>
      <c r="BC46" s="963"/>
      <c r="BD46" s="963"/>
      <c r="BE46" s="963"/>
      <c r="BF46" s="963"/>
      <c r="BG46" s="963"/>
      <c r="BH46" s="963"/>
      <c r="BI46" s="963"/>
      <c r="BJ46" s="963"/>
      <c r="BK46" s="963"/>
      <c r="BL46" s="963"/>
      <c r="BM46" s="964"/>
      <c r="BN46" s="962" t="s">
        <v>479</v>
      </c>
      <c r="BO46" s="963"/>
      <c r="BP46" s="963"/>
      <c r="BQ46" s="963"/>
      <c r="BR46" s="963"/>
      <c r="BS46" s="963"/>
      <c r="BT46" s="963"/>
      <c r="BU46" s="963"/>
      <c r="BV46" s="963"/>
      <c r="BW46" s="963"/>
      <c r="BX46" s="963"/>
      <c r="BY46" s="963"/>
      <c r="BZ46" s="963"/>
      <c r="CA46" s="963"/>
      <c r="CB46" s="964"/>
    </row>
    <row r="47" spans="1:95">
      <c r="A47" s="956" t="s">
        <v>395</v>
      </c>
      <c r="B47" s="957"/>
      <c r="C47" s="957"/>
      <c r="D47" s="958"/>
      <c r="E47" s="956"/>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8"/>
      <c r="AN47" s="956" t="s">
        <v>480</v>
      </c>
      <c r="AO47" s="957"/>
      <c r="AP47" s="957"/>
      <c r="AQ47" s="957"/>
      <c r="AR47" s="957"/>
      <c r="AS47" s="957"/>
      <c r="AT47" s="957"/>
      <c r="AU47" s="957"/>
      <c r="AV47" s="957"/>
      <c r="AW47" s="957"/>
      <c r="AX47" s="957"/>
      <c r="AY47" s="957"/>
      <c r="AZ47" s="957"/>
      <c r="BA47" s="958"/>
      <c r="BB47" s="956" t="s">
        <v>433</v>
      </c>
      <c r="BC47" s="957"/>
      <c r="BD47" s="957"/>
      <c r="BE47" s="957"/>
      <c r="BF47" s="957"/>
      <c r="BG47" s="957"/>
      <c r="BH47" s="957"/>
      <c r="BI47" s="957"/>
      <c r="BJ47" s="957"/>
      <c r="BK47" s="957"/>
      <c r="BL47" s="957"/>
      <c r="BM47" s="958"/>
      <c r="BN47" s="956" t="s">
        <v>481</v>
      </c>
      <c r="BO47" s="957"/>
      <c r="BP47" s="957"/>
      <c r="BQ47" s="957"/>
      <c r="BR47" s="957"/>
      <c r="BS47" s="957"/>
      <c r="BT47" s="957"/>
      <c r="BU47" s="957"/>
      <c r="BV47" s="957"/>
      <c r="BW47" s="957"/>
      <c r="BX47" s="957"/>
      <c r="BY47" s="957"/>
      <c r="BZ47" s="957"/>
      <c r="CA47" s="957"/>
      <c r="CB47" s="958"/>
    </row>
    <row r="48" spans="1:95">
      <c r="A48" s="956"/>
      <c r="B48" s="957"/>
      <c r="C48" s="957"/>
      <c r="D48" s="958"/>
      <c r="E48" s="956"/>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8"/>
      <c r="AN48" s="956"/>
      <c r="AO48" s="957"/>
      <c r="AP48" s="957"/>
      <c r="AQ48" s="957"/>
      <c r="AR48" s="957"/>
      <c r="AS48" s="957"/>
      <c r="AT48" s="957"/>
      <c r="AU48" s="957"/>
      <c r="AV48" s="957"/>
      <c r="AW48" s="957"/>
      <c r="AX48" s="957"/>
      <c r="AY48" s="957"/>
      <c r="AZ48" s="957"/>
      <c r="BA48" s="958"/>
      <c r="BB48" s="956"/>
      <c r="BC48" s="957"/>
      <c r="BD48" s="957"/>
      <c r="BE48" s="957"/>
      <c r="BF48" s="957"/>
      <c r="BG48" s="957"/>
      <c r="BH48" s="957"/>
      <c r="BI48" s="957"/>
      <c r="BJ48" s="957"/>
      <c r="BK48" s="957"/>
      <c r="BL48" s="957"/>
      <c r="BM48" s="958"/>
      <c r="BN48" s="956" t="s">
        <v>482</v>
      </c>
      <c r="BO48" s="957"/>
      <c r="BP48" s="957"/>
      <c r="BQ48" s="957"/>
      <c r="BR48" s="957"/>
      <c r="BS48" s="957"/>
      <c r="BT48" s="957"/>
      <c r="BU48" s="957"/>
      <c r="BV48" s="957"/>
      <c r="BW48" s="957"/>
      <c r="BX48" s="957"/>
      <c r="BY48" s="957"/>
      <c r="BZ48" s="957"/>
      <c r="CA48" s="957"/>
      <c r="CB48" s="958"/>
    </row>
    <row r="49" spans="1:80">
      <c r="A49" s="953">
        <v>1</v>
      </c>
      <c r="B49" s="954"/>
      <c r="C49" s="954"/>
      <c r="D49" s="955"/>
      <c r="E49" s="953">
        <v>2</v>
      </c>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5"/>
      <c r="AN49" s="953">
        <v>3</v>
      </c>
      <c r="AO49" s="954"/>
      <c r="AP49" s="954"/>
      <c r="AQ49" s="954"/>
      <c r="AR49" s="954"/>
      <c r="AS49" s="954"/>
      <c r="AT49" s="954"/>
      <c r="AU49" s="954"/>
      <c r="AV49" s="954"/>
      <c r="AW49" s="954"/>
      <c r="AX49" s="954"/>
      <c r="AY49" s="954"/>
      <c r="AZ49" s="954"/>
      <c r="BA49" s="955"/>
      <c r="BB49" s="953">
        <v>4</v>
      </c>
      <c r="BC49" s="954"/>
      <c r="BD49" s="954"/>
      <c r="BE49" s="954"/>
      <c r="BF49" s="954"/>
      <c r="BG49" s="954"/>
      <c r="BH49" s="954"/>
      <c r="BI49" s="954"/>
      <c r="BJ49" s="954"/>
      <c r="BK49" s="954"/>
      <c r="BL49" s="954"/>
      <c r="BM49" s="955"/>
      <c r="BN49" s="953">
        <v>5</v>
      </c>
      <c r="BO49" s="954"/>
      <c r="BP49" s="954"/>
      <c r="BQ49" s="954"/>
      <c r="BR49" s="954"/>
      <c r="BS49" s="954"/>
      <c r="BT49" s="954"/>
      <c r="BU49" s="954"/>
      <c r="BV49" s="954"/>
      <c r="BW49" s="954"/>
      <c r="BX49" s="954"/>
      <c r="BY49" s="954"/>
      <c r="BZ49" s="954"/>
      <c r="CA49" s="954"/>
      <c r="CB49" s="955"/>
    </row>
    <row r="50" spans="1:80" ht="14.25" customHeight="1">
      <c r="A50" s="920"/>
      <c r="B50" s="921"/>
      <c r="C50" s="921"/>
      <c r="D50" s="922"/>
      <c r="E50" s="965"/>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7"/>
      <c r="AN50" s="932"/>
      <c r="AO50" s="933"/>
      <c r="AP50" s="933"/>
      <c r="AQ50" s="933"/>
      <c r="AR50" s="933"/>
      <c r="AS50" s="933"/>
      <c r="AT50" s="933"/>
      <c r="AU50" s="933"/>
      <c r="AV50" s="933"/>
      <c r="AW50" s="933"/>
      <c r="AX50" s="933"/>
      <c r="AY50" s="933"/>
      <c r="AZ50" s="933"/>
      <c r="BA50" s="934"/>
      <c r="BB50" s="839"/>
      <c r="BC50" s="840"/>
      <c r="BD50" s="840"/>
      <c r="BE50" s="840"/>
      <c r="BF50" s="840"/>
      <c r="BG50" s="840"/>
      <c r="BH50" s="840"/>
      <c r="BI50" s="840"/>
      <c r="BJ50" s="840"/>
      <c r="BK50" s="840"/>
      <c r="BL50" s="840"/>
      <c r="BM50" s="841"/>
      <c r="BN50" s="932"/>
      <c r="BO50" s="933"/>
      <c r="BP50" s="933"/>
      <c r="BQ50" s="933"/>
      <c r="BR50" s="933"/>
      <c r="BS50" s="933"/>
      <c r="BT50" s="933"/>
      <c r="BU50" s="933"/>
      <c r="BV50" s="933"/>
      <c r="BW50" s="933"/>
      <c r="BX50" s="933"/>
      <c r="BY50" s="933"/>
      <c r="BZ50" s="933"/>
      <c r="CA50" s="933"/>
      <c r="CB50" s="934"/>
    </row>
    <row r="51" spans="1:80">
      <c r="A51" s="920"/>
      <c r="B51" s="921"/>
      <c r="C51" s="921"/>
      <c r="D51" s="922"/>
      <c r="E51" s="920"/>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2"/>
      <c r="AN51" s="932"/>
      <c r="AO51" s="933"/>
      <c r="AP51" s="933"/>
      <c r="AQ51" s="933"/>
      <c r="AR51" s="933"/>
      <c r="AS51" s="933"/>
      <c r="AT51" s="933"/>
      <c r="AU51" s="933"/>
      <c r="AV51" s="933"/>
      <c r="AW51" s="933"/>
      <c r="AX51" s="933"/>
      <c r="AY51" s="933"/>
      <c r="AZ51" s="933"/>
      <c r="BA51" s="934"/>
      <c r="BB51" s="839"/>
      <c r="BC51" s="840"/>
      <c r="BD51" s="840"/>
      <c r="BE51" s="840"/>
      <c r="BF51" s="840"/>
      <c r="BG51" s="840"/>
      <c r="BH51" s="840"/>
      <c r="BI51" s="840"/>
      <c r="BJ51" s="840"/>
      <c r="BK51" s="840"/>
      <c r="BL51" s="840"/>
      <c r="BM51" s="841"/>
      <c r="BN51" s="932"/>
      <c r="BO51" s="933"/>
      <c r="BP51" s="933"/>
      <c r="BQ51" s="933"/>
      <c r="BR51" s="933"/>
      <c r="BS51" s="933"/>
      <c r="BT51" s="933"/>
      <c r="BU51" s="933"/>
      <c r="BV51" s="933"/>
      <c r="BW51" s="933"/>
      <c r="BX51" s="933"/>
      <c r="BY51" s="933"/>
      <c r="BZ51" s="933"/>
      <c r="CA51" s="933"/>
      <c r="CB51" s="934"/>
    </row>
    <row r="52" spans="1:80">
      <c r="A52" s="920"/>
      <c r="B52" s="921"/>
      <c r="C52" s="921"/>
      <c r="D52" s="922"/>
      <c r="E52" s="839" t="s">
        <v>262</v>
      </c>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1"/>
      <c r="AN52" s="926" t="s">
        <v>21</v>
      </c>
      <c r="AO52" s="927"/>
      <c r="AP52" s="927"/>
      <c r="AQ52" s="927"/>
      <c r="AR52" s="927"/>
      <c r="AS52" s="927"/>
      <c r="AT52" s="927"/>
      <c r="AU52" s="927"/>
      <c r="AV52" s="927"/>
      <c r="AW52" s="927"/>
      <c r="AX52" s="927"/>
      <c r="AY52" s="927"/>
      <c r="AZ52" s="927"/>
      <c r="BA52" s="928"/>
      <c r="BB52" s="950" t="s">
        <v>21</v>
      </c>
      <c r="BC52" s="951"/>
      <c r="BD52" s="951"/>
      <c r="BE52" s="951"/>
      <c r="BF52" s="951"/>
      <c r="BG52" s="951"/>
      <c r="BH52" s="951"/>
      <c r="BI52" s="951"/>
      <c r="BJ52" s="951"/>
      <c r="BK52" s="951"/>
      <c r="BL52" s="951"/>
      <c r="BM52" s="952"/>
      <c r="BN52" s="932"/>
      <c r="BO52" s="933"/>
      <c r="BP52" s="933"/>
      <c r="BQ52" s="933"/>
      <c r="BR52" s="933"/>
      <c r="BS52" s="933"/>
      <c r="BT52" s="933"/>
      <c r="BU52" s="933"/>
      <c r="BV52" s="933"/>
      <c r="BW52" s="933"/>
      <c r="BX52" s="933"/>
      <c r="BY52" s="933"/>
      <c r="BZ52" s="933"/>
      <c r="CA52" s="933"/>
      <c r="CB52" s="934"/>
    </row>
    <row r="53" spans="1:80" s="112" customFormat="1" ht="8.25" customHeight="1"/>
    <row r="54" spans="1:80" s="200" customFormat="1" ht="15.6">
      <c r="A54" s="959" t="s">
        <v>579</v>
      </c>
      <c r="B54" s="959"/>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59"/>
      <c r="AE54" s="959"/>
      <c r="AF54" s="959"/>
      <c r="AG54" s="959"/>
      <c r="AH54" s="959"/>
      <c r="AI54" s="959"/>
      <c r="AJ54" s="959"/>
      <c r="AK54" s="959"/>
      <c r="AL54" s="959"/>
      <c r="AM54" s="959"/>
      <c r="AN54" s="959"/>
      <c r="AO54" s="959"/>
      <c r="AP54" s="959"/>
      <c r="AQ54" s="959"/>
      <c r="AR54" s="959"/>
      <c r="AS54" s="959"/>
      <c r="AT54" s="959"/>
      <c r="AU54" s="959"/>
      <c r="AV54" s="959"/>
      <c r="AW54" s="959"/>
      <c r="AX54" s="959"/>
      <c r="AY54" s="959"/>
      <c r="AZ54" s="959"/>
      <c r="BA54" s="959"/>
      <c r="BB54" s="959"/>
      <c r="BC54" s="959"/>
      <c r="BD54" s="959"/>
      <c r="BE54" s="959"/>
      <c r="BF54" s="959"/>
      <c r="BG54" s="959"/>
      <c r="BH54" s="959"/>
      <c r="BI54" s="959"/>
      <c r="BJ54" s="959"/>
      <c r="BK54" s="959"/>
      <c r="BL54" s="959"/>
      <c r="BM54" s="959"/>
      <c r="BN54" s="959"/>
      <c r="BO54" s="959"/>
      <c r="BP54" s="959"/>
      <c r="BQ54" s="959"/>
      <c r="BR54" s="959"/>
      <c r="BS54" s="959"/>
      <c r="BT54" s="959"/>
      <c r="BU54" s="959"/>
      <c r="BV54" s="959"/>
      <c r="BW54" s="959"/>
      <c r="BX54" s="959"/>
      <c r="BY54" s="959"/>
      <c r="BZ54" s="959"/>
      <c r="CA54" s="959"/>
      <c r="CB54" s="959"/>
    </row>
    <row r="55" spans="1:80" s="200" customFormat="1" ht="15.6">
      <c r="A55" s="959"/>
      <c r="B55" s="959"/>
      <c r="C55" s="959"/>
      <c r="D55" s="959"/>
      <c r="E55" s="959"/>
      <c r="F55" s="959"/>
      <c r="G55" s="959"/>
      <c r="H55" s="959"/>
      <c r="I55" s="959"/>
      <c r="J55" s="959"/>
      <c r="K55" s="959"/>
      <c r="L55" s="959"/>
      <c r="M55" s="959"/>
      <c r="N55" s="959"/>
      <c r="O55" s="959"/>
      <c r="P55" s="959"/>
      <c r="Q55" s="959"/>
      <c r="R55" s="959"/>
      <c r="S55" s="959"/>
      <c r="T55" s="959"/>
      <c r="U55" s="959"/>
      <c r="V55" s="959"/>
      <c r="W55" s="959"/>
      <c r="X55" s="959"/>
      <c r="Y55" s="959"/>
      <c r="Z55" s="959"/>
      <c r="AA55" s="959"/>
      <c r="AB55" s="959"/>
      <c r="AC55" s="959"/>
      <c r="AD55" s="959"/>
      <c r="AE55" s="959"/>
      <c r="AF55" s="959"/>
      <c r="AG55" s="959"/>
      <c r="AH55" s="959"/>
      <c r="AI55" s="959"/>
      <c r="AJ55" s="959"/>
      <c r="AK55" s="959"/>
      <c r="AL55" s="959"/>
      <c r="AM55" s="959"/>
      <c r="AN55" s="959"/>
      <c r="AO55" s="959"/>
      <c r="AP55" s="959"/>
      <c r="AQ55" s="959"/>
      <c r="AR55" s="959"/>
      <c r="AS55" s="959"/>
      <c r="AT55" s="959"/>
      <c r="AU55" s="959"/>
      <c r="AV55" s="959"/>
      <c r="AW55" s="959"/>
      <c r="AX55" s="959"/>
      <c r="AY55" s="959"/>
      <c r="AZ55" s="959"/>
      <c r="BA55" s="959"/>
      <c r="BB55" s="959"/>
      <c r="BC55" s="959"/>
      <c r="BD55" s="959"/>
      <c r="BE55" s="959"/>
      <c r="BF55" s="959"/>
      <c r="BG55" s="959"/>
      <c r="BH55" s="959"/>
      <c r="BI55" s="959"/>
      <c r="BJ55" s="959"/>
      <c r="BK55" s="959"/>
      <c r="BL55" s="959"/>
      <c r="BM55" s="959"/>
      <c r="BN55" s="959"/>
      <c r="BO55" s="959"/>
      <c r="BP55" s="959"/>
      <c r="BQ55" s="959"/>
      <c r="BR55" s="959"/>
      <c r="BS55" s="959"/>
      <c r="BT55" s="959"/>
      <c r="BU55" s="959"/>
      <c r="BV55" s="959"/>
      <c r="BW55" s="959"/>
      <c r="BX55" s="959"/>
      <c r="BY55" s="959"/>
      <c r="BZ55" s="959"/>
      <c r="CA55" s="959"/>
      <c r="CB55" s="959"/>
    </row>
    <row r="56" spans="1:80" s="202" customFormat="1" ht="7.8">
      <c r="A56" s="20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row>
    <row r="57" spans="1:80" s="200" customFormat="1" ht="15.6">
      <c r="A57" s="200" t="s">
        <v>383</v>
      </c>
      <c r="B57" s="203"/>
      <c r="C57" s="203"/>
      <c r="D57" s="203"/>
      <c r="E57" s="203"/>
      <c r="F57" s="203"/>
      <c r="G57" s="203"/>
      <c r="H57" s="203"/>
      <c r="I57" s="203"/>
      <c r="J57" s="203"/>
      <c r="K57" s="203"/>
      <c r="L57" s="203"/>
      <c r="M57" s="203"/>
      <c r="N57" s="203"/>
      <c r="O57" s="203"/>
      <c r="P57" s="203"/>
      <c r="Q57" s="203"/>
      <c r="R57" s="203"/>
      <c r="S57" s="960" t="s">
        <v>109</v>
      </c>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0"/>
      <c r="AY57" s="960"/>
      <c r="AZ57" s="960"/>
      <c r="BA57" s="960"/>
      <c r="BB57" s="960"/>
      <c r="BC57" s="960"/>
      <c r="BD57" s="960"/>
      <c r="BE57" s="960"/>
      <c r="BF57" s="960"/>
      <c r="BG57" s="960"/>
      <c r="BH57" s="960"/>
      <c r="BI57" s="960"/>
      <c r="BJ57" s="960"/>
      <c r="BK57" s="960"/>
      <c r="BL57" s="960"/>
      <c r="BM57" s="960"/>
      <c r="BN57" s="960"/>
      <c r="BO57" s="960"/>
      <c r="BP57" s="960"/>
      <c r="BQ57" s="960"/>
      <c r="BR57" s="960"/>
      <c r="BS57" s="960"/>
      <c r="BT57" s="960"/>
      <c r="BU57" s="960"/>
      <c r="BV57" s="960"/>
      <c r="BW57" s="960"/>
      <c r="BX57" s="960"/>
      <c r="BY57" s="960"/>
      <c r="BZ57" s="960"/>
      <c r="CA57" s="960"/>
      <c r="CB57" s="960"/>
    </row>
    <row r="58" spans="1:80" s="202" customFormat="1" ht="7.8">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row>
    <row r="59" spans="1:80" s="200" customFormat="1" ht="15.6">
      <c r="A59" s="200" t="s">
        <v>385</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961" t="s">
        <v>575</v>
      </c>
      <c r="AI59" s="961"/>
      <c r="AJ59" s="961"/>
      <c r="AK59" s="961"/>
      <c r="AL59" s="961"/>
      <c r="AM59" s="961"/>
      <c r="AN59" s="961"/>
      <c r="AO59" s="961"/>
      <c r="AP59" s="961"/>
      <c r="AQ59" s="961"/>
      <c r="AR59" s="961"/>
      <c r="AS59" s="961"/>
      <c r="AT59" s="961"/>
      <c r="AU59" s="961"/>
      <c r="AV59" s="961"/>
      <c r="AW59" s="961"/>
      <c r="AX59" s="961"/>
      <c r="AY59" s="961"/>
      <c r="AZ59" s="961"/>
      <c r="BA59" s="961"/>
      <c r="BB59" s="961"/>
      <c r="BC59" s="961"/>
      <c r="BD59" s="961"/>
      <c r="BE59" s="961"/>
      <c r="BF59" s="961"/>
      <c r="BG59" s="961"/>
      <c r="BH59" s="961"/>
      <c r="BI59" s="961"/>
      <c r="BJ59" s="961"/>
      <c r="BK59" s="961"/>
      <c r="BL59" s="961"/>
      <c r="BM59" s="961"/>
      <c r="BN59" s="961"/>
      <c r="BO59" s="961"/>
      <c r="BP59" s="961"/>
      <c r="BQ59" s="961"/>
      <c r="BR59" s="961"/>
      <c r="BS59" s="961"/>
      <c r="BT59" s="961"/>
      <c r="BU59" s="961"/>
      <c r="BV59" s="961"/>
      <c r="BW59" s="961"/>
      <c r="BX59" s="961"/>
      <c r="BY59" s="961"/>
      <c r="BZ59" s="961"/>
      <c r="CA59" s="961"/>
      <c r="CB59" s="961"/>
    </row>
    <row r="60" spans="1:80" ht="6" customHeight="1"/>
    <row r="61" spans="1:80">
      <c r="A61" s="962" t="s">
        <v>388</v>
      </c>
      <c r="B61" s="963"/>
      <c r="C61" s="963"/>
      <c r="D61" s="964"/>
      <c r="E61" s="962" t="s">
        <v>0</v>
      </c>
      <c r="F61" s="963"/>
      <c r="G61" s="963"/>
      <c r="H61" s="963"/>
      <c r="I61" s="963"/>
      <c r="J61" s="963"/>
      <c r="K61" s="963"/>
      <c r="L61" s="963"/>
      <c r="M61" s="963"/>
      <c r="N61" s="963"/>
      <c r="O61" s="963"/>
      <c r="P61" s="963"/>
      <c r="Q61" s="963"/>
      <c r="R61" s="963"/>
      <c r="S61" s="963"/>
      <c r="T61" s="963"/>
      <c r="U61" s="963"/>
      <c r="V61" s="963"/>
      <c r="W61" s="963"/>
      <c r="X61" s="963"/>
      <c r="Y61" s="963"/>
      <c r="Z61" s="963"/>
      <c r="AA61" s="963"/>
      <c r="AB61" s="963"/>
      <c r="AC61" s="963"/>
      <c r="AD61" s="963"/>
      <c r="AE61" s="963"/>
      <c r="AF61" s="963"/>
      <c r="AG61" s="963"/>
      <c r="AH61" s="963"/>
      <c r="AI61" s="963"/>
      <c r="AJ61" s="963"/>
      <c r="AK61" s="963"/>
      <c r="AL61" s="963"/>
      <c r="AM61" s="964"/>
      <c r="AN61" s="962" t="s">
        <v>478</v>
      </c>
      <c r="AO61" s="963"/>
      <c r="AP61" s="963"/>
      <c r="AQ61" s="963"/>
      <c r="AR61" s="963"/>
      <c r="AS61" s="963"/>
      <c r="AT61" s="963"/>
      <c r="AU61" s="963"/>
      <c r="AV61" s="963"/>
      <c r="AW61" s="963"/>
      <c r="AX61" s="963"/>
      <c r="AY61" s="963"/>
      <c r="AZ61" s="963"/>
      <c r="BA61" s="964"/>
      <c r="BB61" s="962" t="s">
        <v>424</v>
      </c>
      <c r="BC61" s="963"/>
      <c r="BD61" s="963"/>
      <c r="BE61" s="963"/>
      <c r="BF61" s="963"/>
      <c r="BG61" s="963"/>
      <c r="BH61" s="963"/>
      <c r="BI61" s="963"/>
      <c r="BJ61" s="963"/>
      <c r="BK61" s="963"/>
      <c r="BL61" s="963"/>
      <c r="BM61" s="964"/>
      <c r="BN61" s="962" t="s">
        <v>479</v>
      </c>
      <c r="BO61" s="963"/>
      <c r="BP61" s="963"/>
      <c r="BQ61" s="963"/>
      <c r="BR61" s="963"/>
      <c r="BS61" s="963"/>
      <c r="BT61" s="963"/>
      <c r="BU61" s="963"/>
      <c r="BV61" s="963"/>
      <c r="BW61" s="963"/>
      <c r="BX61" s="963"/>
      <c r="BY61" s="963"/>
      <c r="BZ61" s="963"/>
      <c r="CA61" s="963"/>
      <c r="CB61" s="964"/>
    </row>
    <row r="62" spans="1:80">
      <c r="A62" s="956" t="s">
        <v>395</v>
      </c>
      <c r="B62" s="957"/>
      <c r="C62" s="957"/>
      <c r="D62" s="958"/>
      <c r="E62" s="956"/>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957"/>
      <c r="AL62" s="957"/>
      <c r="AM62" s="958"/>
      <c r="AN62" s="956" t="s">
        <v>480</v>
      </c>
      <c r="AO62" s="957"/>
      <c r="AP62" s="957"/>
      <c r="AQ62" s="957"/>
      <c r="AR62" s="957"/>
      <c r="AS62" s="957"/>
      <c r="AT62" s="957"/>
      <c r="AU62" s="957"/>
      <c r="AV62" s="957"/>
      <c r="AW62" s="957"/>
      <c r="AX62" s="957"/>
      <c r="AY62" s="957"/>
      <c r="AZ62" s="957"/>
      <c r="BA62" s="958"/>
      <c r="BB62" s="956" t="s">
        <v>433</v>
      </c>
      <c r="BC62" s="957"/>
      <c r="BD62" s="957"/>
      <c r="BE62" s="957"/>
      <c r="BF62" s="957"/>
      <c r="BG62" s="957"/>
      <c r="BH62" s="957"/>
      <c r="BI62" s="957"/>
      <c r="BJ62" s="957"/>
      <c r="BK62" s="957"/>
      <c r="BL62" s="957"/>
      <c r="BM62" s="958"/>
      <c r="BN62" s="956" t="s">
        <v>481</v>
      </c>
      <c r="BO62" s="957"/>
      <c r="BP62" s="957"/>
      <c r="BQ62" s="957"/>
      <c r="BR62" s="957"/>
      <c r="BS62" s="957"/>
      <c r="BT62" s="957"/>
      <c r="BU62" s="957"/>
      <c r="BV62" s="957"/>
      <c r="BW62" s="957"/>
      <c r="BX62" s="957"/>
      <c r="BY62" s="957"/>
      <c r="BZ62" s="957"/>
      <c r="CA62" s="957"/>
      <c r="CB62" s="958"/>
    </row>
    <row r="63" spans="1:80">
      <c r="A63" s="956"/>
      <c r="B63" s="957"/>
      <c r="C63" s="957"/>
      <c r="D63" s="958"/>
      <c r="E63" s="956"/>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8"/>
      <c r="AN63" s="956"/>
      <c r="AO63" s="957"/>
      <c r="AP63" s="957"/>
      <c r="AQ63" s="957"/>
      <c r="AR63" s="957"/>
      <c r="AS63" s="957"/>
      <c r="AT63" s="957"/>
      <c r="AU63" s="957"/>
      <c r="AV63" s="957"/>
      <c r="AW63" s="957"/>
      <c r="AX63" s="957"/>
      <c r="AY63" s="957"/>
      <c r="AZ63" s="957"/>
      <c r="BA63" s="958"/>
      <c r="BB63" s="956"/>
      <c r="BC63" s="957"/>
      <c r="BD63" s="957"/>
      <c r="BE63" s="957"/>
      <c r="BF63" s="957"/>
      <c r="BG63" s="957"/>
      <c r="BH63" s="957"/>
      <c r="BI63" s="957"/>
      <c r="BJ63" s="957"/>
      <c r="BK63" s="957"/>
      <c r="BL63" s="957"/>
      <c r="BM63" s="958"/>
      <c r="BN63" s="956" t="s">
        <v>482</v>
      </c>
      <c r="BO63" s="957"/>
      <c r="BP63" s="957"/>
      <c r="BQ63" s="957"/>
      <c r="BR63" s="957"/>
      <c r="BS63" s="957"/>
      <c r="BT63" s="957"/>
      <c r="BU63" s="957"/>
      <c r="BV63" s="957"/>
      <c r="BW63" s="957"/>
      <c r="BX63" s="957"/>
      <c r="BY63" s="957"/>
      <c r="BZ63" s="957"/>
      <c r="CA63" s="957"/>
      <c r="CB63" s="958"/>
    </row>
    <row r="64" spans="1:80">
      <c r="A64" s="953">
        <v>1</v>
      </c>
      <c r="B64" s="954"/>
      <c r="C64" s="954"/>
      <c r="D64" s="955"/>
      <c r="E64" s="953">
        <v>2</v>
      </c>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5"/>
      <c r="AN64" s="953">
        <v>3</v>
      </c>
      <c r="AO64" s="954"/>
      <c r="AP64" s="954"/>
      <c r="AQ64" s="954"/>
      <c r="AR64" s="954"/>
      <c r="AS64" s="954"/>
      <c r="AT64" s="954"/>
      <c r="AU64" s="954"/>
      <c r="AV64" s="954"/>
      <c r="AW64" s="954"/>
      <c r="AX64" s="954"/>
      <c r="AY64" s="954"/>
      <c r="AZ64" s="954"/>
      <c r="BA64" s="955"/>
      <c r="BB64" s="953">
        <v>4</v>
      </c>
      <c r="BC64" s="954"/>
      <c r="BD64" s="954"/>
      <c r="BE64" s="954"/>
      <c r="BF64" s="954"/>
      <c r="BG64" s="954"/>
      <c r="BH64" s="954"/>
      <c r="BI64" s="954"/>
      <c r="BJ64" s="954"/>
      <c r="BK64" s="954"/>
      <c r="BL64" s="954"/>
      <c r="BM64" s="955"/>
      <c r="BN64" s="953">
        <v>5</v>
      </c>
      <c r="BO64" s="954"/>
      <c r="BP64" s="954"/>
      <c r="BQ64" s="954"/>
      <c r="BR64" s="954"/>
      <c r="BS64" s="954"/>
      <c r="BT64" s="954"/>
      <c r="BU64" s="954"/>
      <c r="BV64" s="954"/>
      <c r="BW64" s="954"/>
      <c r="BX64" s="954"/>
      <c r="BY64" s="954"/>
      <c r="BZ64" s="954"/>
      <c r="CA64" s="954"/>
      <c r="CB64" s="955"/>
    </row>
    <row r="65" spans="1:95">
      <c r="A65" s="926">
        <v>1</v>
      </c>
      <c r="B65" s="927"/>
      <c r="C65" s="927"/>
      <c r="D65" s="928"/>
      <c r="E65" s="920" t="s">
        <v>580</v>
      </c>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2"/>
      <c r="AN65" s="944">
        <v>500</v>
      </c>
      <c r="AO65" s="945"/>
      <c r="AP65" s="945"/>
      <c r="AQ65" s="945"/>
      <c r="AR65" s="945"/>
      <c r="AS65" s="945"/>
      <c r="AT65" s="945"/>
      <c r="AU65" s="945"/>
      <c r="AV65" s="945"/>
      <c r="AW65" s="945"/>
      <c r="AX65" s="945"/>
      <c r="AY65" s="945"/>
      <c r="AZ65" s="945"/>
      <c r="BA65" s="946"/>
      <c r="BB65" s="831">
        <v>10</v>
      </c>
      <c r="BC65" s="832"/>
      <c r="BD65" s="832"/>
      <c r="BE65" s="832"/>
      <c r="BF65" s="832"/>
      <c r="BG65" s="832"/>
      <c r="BH65" s="832"/>
      <c r="BI65" s="832"/>
      <c r="BJ65" s="832"/>
      <c r="BK65" s="832"/>
      <c r="BL65" s="832"/>
      <c r="BM65" s="833"/>
      <c r="BN65" s="947">
        <f>AN65*BB65</f>
        <v>5000</v>
      </c>
      <c r="BO65" s="948"/>
      <c r="BP65" s="948"/>
      <c r="BQ65" s="948"/>
      <c r="BR65" s="948"/>
      <c r="BS65" s="948"/>
      <c r="BT65" s="948"/>
      <c r="BU65" s="948"/>
      <c r="BV65" s="948"/>
      <c r="BW65" s="948"/>
      <c r="BX65" s="948"/>
      <c r="BY65" s="948"/>
      <c r="BZ65" s="948"/>
      <c r="CA65" s="948"/>
      <c r="CB65" s="949"/>
    </row>
    <row r="66" spans="1:95">
      <c r="A66" s="926">
        <v>2</v>
      </c>
      <c r="B66" s="927"/>
      <c r="C66" s="927"/>
      <c r="D66" s="928"/>
      <c r="E66" s="920" t="s">
        <v>786</v>
      </c>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1"/>
      <c r="AI66" s="921"/>
      <c r="AJ66" s="921"/>
      <c r="AK66" s="921"/>
      <c r="AL66" s="921"/>
      <c r="AM66" s="922"/>
      <c r="AN66" s="944"/>
      <c r="AO66" s="945"/>
      <c r="AP66" s="945"/>
      <c r="AQ66" s="945"/>
      <c r="AR66" s="945"/>
      <c r="AS66" s="945"/>
      <c r="AT66" s="945"/>
      <c r="AU66" s="945"/>
      <c r="AV66" s="945"/>
      <c r="AW66" s="945"/>
      <c r="AX66" s="945"/>
      <c r="AY66" s="945"/>
      <c r="AZ66" s="945"/>
      <c r="BA66" s="946"/>
      <c r="BB66" s="839"/>
      <c r="BC66" s="840"/>
      <c r="BD66" s="840"/>
      <c r="BE66" s="840"/>
      <c r="BF66" s="840"/>
      <c r="BG66" s="840"/>
      <c r="BH66" s="840"/>
      <c r="BI66" s="840"/>
      <c r="BJ66" s="840"/>
      <c r="BK66" s="840"/>
      <c r="BL66" s="840"/>
      <c r="BM66" s="841"/>
      <c r="BN66" s="947">
        <f>BN67+BN68</f>
        <v>14767.37</v>
      </c>
      <c r="BO66" s="948"/>
      <c r="BP66" s="948"/>
      <c r="BQ66" s="948"/>
      <c r="BR66" s="948"/>
      <c r="BS66" s="948"/>
      <c r="BT66" s="948"/>
      <c r="BU66" s="948"/>
      <c r="BV66" s="948"/>
      <c r="BW66" s="948"/>
      <c r="BX66" s="948"/>
      <c r="BY66" s="948"/>
      <c r="BZ66" s="948"/>
      <c r="CA66" s="948"/>
      <c r="CB66" s="949"/>
    </row>
    <row r="67" spans="1:95">
      <c r="A67" s="941" t="s">
        <v>461</v>
      </c>
      <c r="B67" s="942"/>
      <c r="C67" s="942"/>
      <c r="D67" s="943"/>
      <c r="E67" s="920" t="s">
        <v>901</v>
      </c>
      <c r="F67" s="921"/>
      <c r="G67" s="921"/>
      <c r="H67" s="921"/>
      <c r="I67" s="921"/>
      <c r="J67" s="921"/>
      <c r="K67" s="921"/>
      <c r="L67" s="921"/>
      <c r="M67" s="921"/>
      <c r="N67" s="921"/>
      <c r="O67" s="921"/>
      <c r="P67" s="921"/>
      <c r="Q67" s="921"/>
      <c r="R67" s="921"/>
      <c r="S67" s="921"/>
      <c r="T67" s="921"/>
      <c r="U67" s="921"/>
      <c r="V67" s="921"/>
      <c r="W67" s="921"/>
      <c r="X67" s="921"/>
      <c r="Y67" s="921"/>
      <c r="Z67" s="921"/>
      <c r="AA67" s="921"/>
      <c r="AB67" s="921"/>
      <c r="AC67" s="921"/>
      <c r="AD67" s="921"/>
      <c r="AE67" s="921"/>
      <c r="AF67" s="921"/>
      <c r="AG67" s="921"/>
      <c r="AH67" s="921"/>
      <c r="AI67" s="921"/>
      <c r="AJ67" s="921"/>
      <c r="AK67" s="921"/>
      <c r="AL67" s="921"/>
      <c r="AM67" s="922"/>
      <c r="AN67" s="944">
        <v>1200</v>
      </c>
      <c r="AO67" s="945"/>
      <c r="AP67" s="945"/>
      <c r="AQ67" s="945"/>
      <c r="AR67" s="945"/>
      <c r="AS67" s="945"/>
      <c r="AT67" s="945"/>
      <c r="AU67" s="945"/>
      <c r="AV67" s="945"/>
      <c r="AW67" s="945"/>
      <c r="AX67" s="945"/>
      <c r="AY67" s="945"/>
      <c r="AZ67" s="945"/>
      <c r="BA67" s="946"/>
      <c r="BB67" s="839">
        <v>12</v>
      </c>
      <c r="BC67" s="840"/>
      <c r="BD67" s="840"/>
      <c r="BE67" s="840"/>
      <c r="BF67" s="840"/>
      <c r="BG67" s="840"/>
      <c r="BH67" s="840"/>
      <c r="BI67" s="840"/>
      <c r="BJ67" s="840"/>
      <c r="BK67" s="840"/>
      <c r="BL67" s="840"/>
      <c r="BM67" s="841"/>
      <c r="BN67" s="947">
        <f>AN67*BB67</f>
        <v>14400</v>
      </c>
      <c r="BO67" s="948"/>
      <c r="BP67" s="948"/>
      <c r="BQ67" s="948"/>
      <c r="BR67" s="948"/>
      <c r="BS67" s="948"/>
      <c r="BT67" s="948"/>
      <c r="BU67" s="948"/>
      <c r="BV67" s="948"/>
      <c r="BW67" s="948"/>
      <c r="BX67" s="948"/>
      <c r="BY67" s="948"/>
      <c r="BZ67" s="948"/>
      <c r="CA67" s="948"/>
      <c r="CB67" s="949"/>
    </row>
    <row r="68" spans="1:95">
      <c r="A68" s="941" t="s">
        <v>903</v>
      </c>
      <c r="B68" s="942"/>
      <c r="C68" s="942"/>
      <c r="D68" s="943"/>
      <c r="E68" s="920" t="s">
        <v>906</v>
      </c>
      <c r="F68" s="921"/>
      <c r="G68" s="921"/>
      <c r="H68" s="921"/>
      <c r="I68" s="921"/>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2"/>
      <c r="AN68" s="944">
        <v>367.37</v>
      </c>
      <c r="AO68" s="945"/>
      <c r="AP68" s="945"/>
      <c r="AQ68" s="945"/>
      <c r="AR68" s="945"/>
      <c r="AS68" s="945"/>
      <c r="AT68" s="945"/>
      <c r="AU68" s="945"/>
      <c r="AV68" s="945"/>
      <c r="AW68" s="945"/>
      <c r="AX68" s="945"/>
      <c r="AY68" s="945"/>
      <c r="AZ68" s="945"/>
      <c r="BA68" s="946"/>
      <c r="BB68" s="839">
        <v>1</v>
      </c>
      <c r="BC68" s="840"/>
      <c r="BD68" s="840"/>
      <c r="BE68" s="840"/>
      <c r="BF68" s="840"/>
      <c r="BG68" s="840"/>
      <c r="BH68" s="840"/>
      <c r="BI68" s="840"/>
      <c r="BJ68" s="840"/>
      <c r="BK68" s="840"/>
      <c r="BL68" s="840"/>
      <c r="BM68" s="841"/>
      <c r="BN68" s="947">
        <f>AN68*BB68</f>
        <v>367.37</v>
      </c>
      <c r="BO68" s="948"/>
      <c r="BP68" s="948"/>
      <c r="BQ68" s="948"/>
      <c r="BR68" s="948"/>
      <c r="BS68" s="948"/>
      <c r="BT68" s="948"/>
      <c r="BU68" s="948"/>
      <c r="BV68" s="948"/>
      <c r="BW68" s="948"/>
      <c r="BX68" s="948"/>
      <c r="BY68" s="948"/>
      <c r="BZ68" s="948"/>
      <c r="CA68" s="948"/>
      <c r="CB68" s="949"/>
    </row>
    <row r="69" spans="1:95">
      <c r="A69" s="920"/>
      <c r="B69" s="921"/>
      <c r="C69" s="921"/>
      <c r="D69" s="922"/>
      <c r="E69" s="839" t="s">
        <v>262</v>
      </c>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c r="AG69" s="840"/>
      <c r="AH69" s="840"/>
      <c r="AI69" s="840"/>
      <c r="AJ69" s="840"/>
      <c r="AK69" s="840"/>
      <c r="AL69" s="840"/>
      <c r="AM69" s="841"/>
      <c r="AN69" s="926" t="s">
        <v>21</v>
      </c>
      <c r="AO69" s="927"/>
      <c r="AP69" s="927"/>
      <c r="AQ69" s="927"/>
      <c r="AR69" s="927"/>
      <c r="AS69" s="927"/>
      <c r="AT69" s="927"/>
      <c r="AU69" s="927"/>
      <c r="AV69" s="927"/>
      <c r="AW69" s="927"/>
      <c r="AX69" s="927"/>
      <c r="AY69" s="927"/>
      <c r="AZ69" s="927"/>
      <c r="BA69" s="928"/>
      <c r="BB69" s="950" t="s">
        <v>21</v>
      </c>
      <c r="BC69" s="951"/>
      <c r="BD69" s="951"/>
      <c r="BE69" s="951"/>
      <c r="BF69" s="951"/>
      <c r="BG69" s="951"/>
      <c r="BH69" s="951"/>
      <c r="BI69" s="951"/>
      <c r="BJ69" s="951"/>
      <c r="BK69" s="951"/>
      <c r="BL69" s="951"/>
      <c r="BM69" s="952"/>
      <c r="BN69" s="947">
        <f>BN66+BN65</f>
        <v>19767.370000000003</v>
      </c>
      <c r="BO69" s="948"/>
      <c r="BP69" s="948"/>
      <c r="BQ69" s="948"/>
      <c r="BR69" s="948"/>
      <c r="BS69" s="948"/>
      <c r="BT69" s="948"/>
      <c r="BU69" s="948"/>
      <c r="BV69" s="948"/>
      <c r="BW69" s="948"/>
      <c r="BX69" s="948"/>
      <c r="BY69" s="948"/>
      <c r="BZ69" s="948"/>
      <c r="CA69" s="948"/>
      <c r="CB69" s="949"/>
      <c r="CQ69" s="114">
        <f>7000/150</f>
        <v>46.666666666666664</v>
      </c>
    </row>
  </sheetData>
  <mergeCells count="218">
    <mergeCell ref="BN67:CB67"/>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2:D12"/>
    <mergeCell ref="E12:AM12"/>
    <mergeCell ref="AN12:BA12"/>
    <mergeCell ref="BB12:BM12"/>
    <mergeCell ref="BN12:CB12"/>
    <mergeCell ref="A13:D13"/>
    <mergeCell ref="E13:AM13"/>
    <mergeCell ref="AN13:BA13"/>
    <mergeCell ref="BB13:BM13"/>
    <mergeCell ref="BN13:CB13"/>
    <mergeCell ref="A14:D14"/>
    <mergeCell ref="E14:AM14"/>
    <mergeCell ref="AN14:BA14"/>
    <mergeCell ref="BB14:BM14"/>
    <mergeCell ref="BN14:CB14"/>
    <mergeCell ref="A15:D15"/>
    <mergeCell ref="E15:AM15"/>
    <mergeCell ref="AN15:BA15"/>
    <mergeCell ref="BB15:BM15"/>
    <mergeCell ref="BN15:CB15"/>
    <mergeCell ref="A16:D16"/>
    <mergeCell ref="E16:AM16"/>
    <mergeCell ref="AN16:BA16"/>
    <mergeCell ref="BB16:BM16"/>
    <mergeCell ref="BN16:CB16"/>
    <mergeCell ref="A17:D17"/>
    <mergeCell ref="E17:AM17"/>
    <mergeCell ref="AN17:BA17"/>
    <mergeCell ref="BB17:BM17"/>
    <mergeCell ref="BN17:CB17"/>
    <mergeCell ref="A18:D18"/>
    <mergeCell ref="E18:AM18"/>
    <mergeCell ref="AN18:BA18"/>
    <mergeCell ref="BB18:BM18"/>
    <mergeCell ref="BN18:CB18"/>
    <mergeCell ref="A19:D19"/>
    <mergeCell ref="E19:AM19"/>
    <mergeCell ref="AN19:BA19"/>
    <mergeCell ref="BB19:BM19"/>
    <mergeCell ref="BN19:CB19"/>
    <mergeCell ref="A24:CB24"/>
    <mergeCell ref="S26:CB26"/>
    <mergeCell ref="AH28:CB28"/>
    <mergeCell ref="A30:D30"/>
    <mergeCell ref="E30:AM30"/>
    <mergeCell ref="AN30:BA30"/>
    <mergeCell ref="BB30:BI30"/>
    <mergeCell ref="BJ30:CB30"/>
    <mergeCell ref="A21:D21"/>
    <mergeCell ref="E21:AM21"/>
    <mergeCell ref="AN21:BA21"/>
    <mergeCell ref="BB21:BM21"/>
    <mergeCell ref="BN21:CB21"/>
    <mergeCell ref="A22:D22"/>
    <mergeCell ref="E22:AM22"/>
    <mergeCell ref="AN22:BA22"/>
    <mergeCell ref="BB22:BM22"/>
    <mergeCell ref="BN22:CB22"/>
    <mergeCell ref="A20:D20"/>
    <mergeCell ref="A31:D31"/>
    <mergeCell ref="E31:AM31"/>
    <mergeCell ref="AN31:BA31"/>
    <mergeCell ref="BB31:BI31"/>
    <mergeCell ref="BJ31:CB31"/>
    <mergeCell ref="A32:D32"/>
    <mergeCell ref="E32:AM32"/>
    <mergeCell ref="AN32:BA32"/>
    <mergeCell ref="BB32:BI32"/>
    <mergeCell ref="BJ32:CB32"/>
    <mergeCell ref="A33:D33"/>
    <mergeCell ref="E33:AM33"/>
    <mergeCell ref="AN33:BA33"/>
    <mergeCell ref="BB33:BI33"/>
    <mergeCell ref="BJ33:CB33"/>
    <mergeCell ref="A34:D34"/>
    <mergeCell ref="E34:AM34"/>
    <mergeCell ref="AN34:BA34"/>
    <mergeCell ref="BB34:BI34"/>
    <mergeCell ref="BJ34:CB34"/>
    <mergeCell ref="A35:D35"/>
    <mergeCell ref="E35:AM35"/>
    <mergeCell ref="AN35:BA35"/>
    <mergeCell ref="BB35:BI35"/>
    <mergeCell ref="BJ35:CB35"/>
    <mergeCell ref="A36:D36"/>
    <mergeCell ref="E36:AM36"/>
    <mergeCell ref="AN36:BA36"/>
    <mergeCell ref="BB36:BI36"/>
    <mergeCell ref="BJ36:CB36"/>
    <mergeCell ref="A40:CB40"/>
    <mergeCell ref="S42:CB42"/>
    <mergeCell ref="AH44:CB44"/>
    <mergeCell ref="A46:D46"/>
    <mergeCell ref="E46:AM46"/>
    <mergeCell ref="AN46:BA46"/>
    <mergeCell ref="BB46:BM46"/>
    <mergeCell ref="BN46:CB46"/>
    <mergeCell ref="A37:D37"/>
    <mergeCell ref="E37:AM37"/>
    <mergeCell ref="AN37:BA37"/>
    <mergeCell ref="BB37:BI37"/>
    <mergeCell ref="BJ37:CB37"/>
    <mergeCell ref="A38:D38"/>
    <mergeCell ref="E38:AM38"/>
    <mergeCell ref="AN38:BA38"/>
    <mergeCell ref="BB38:BI38"/>
    <mergeCell ref="BJ38:CB38"/>
    <mergeCell ref="A47:D47"/>
    <mergeCell ref="E47:AM47"/>
    <mergeCell ref="AN47:BA47"/>
    <mergeCell ref="BB47:BM47"/>
    <mergeCell ref="BN47:CB47"/>
    <mergeCell ref="A48:D48"/>
    <mergeCell ref="E48:AM48"/>
    <mergeCell ref="AN48:BA48"/>
    <mergeCell ref="BB48:BM48"/>
    <mergeCell ref="BN48:CB48"/>
    <mergeCell ref="A49:D49"/>
    <mergeCell ref="E49:AM49"/>
    <mergeCell ref="AN49:BA49"/>
    <mergeCell ref="BB49:BM49"/>
    <mergeCell ref="BN49:CB49"/>
    <mergeCell ref="A50:D50"/>
    <mergeCell ref="E50:AM50"/>
    <mergeCell ref="AN50:BA50"/>
    <mergeCell ref="BB50:BM50"/>
    <mergeCell ref="BN50:CB50"/>
    <mergeCell ref="E61:AM61"/>
    <mergeCell ref="AN61:BA61"/>
    <mergeCell ref="BB61:BM61"/>
    <mergeCell ref="BN61:CB61"/>
    <mergeCell ref="A51:D51"/>
    <mergeCell ref="E51:AM51"/>
    <mergeCell ref="AN51:BA51"/>
    <mergeCell ref="BB51:BM51"/>
    <mergeCell ref="BN51:CB51"/>
    <mergeCell ref="A52:D52"/>
    <mergeCell ref="E52:AM52"/>
    <mergeCell ref="AN52:BA52"/>
    <mergeCell ref="BB52:BM52"/>
    <mergeCell ref="BN52:CB52"/>
    <mergeCell ref="A69:D69"/>
    <mergeCell ref="E69:AM69"/>
    <mergeCell ref="AN69:BA69"/>
    <mergeCell ref="BB69:BM69"/>
    <mergeCell ref="BN69:CB69"/>
    <mergeCell ref="A64:D64"/>
    <mergeCell ref="E64:AM64"/>
    <mergeCell ref="AN64:BA64"/>
    <mergeCell ref="BB64:BM64"/>
    <mergeCell ref="BN64:CB64"/>
    <mergeCell ref="A65:D65"/>
    <mergeCell ref="E65:AM65"/>
    <mergeCell ref="AN65:BA65"/>
    <mergeCell ref="BB65:BM65"/>
    <mergeCell ref="BN65:CB65"/>
    <mergeCell ref="A66:D66"/>
    <mergeCell ref="E66:AM66"/>
    <mergeCell ref="AN66:BA66"/>
    <mergeCell ref="BB66:BM66"/>
    <mergeCell ref="BN66:CB66"/>
    <mergeCell ref="A67:D67"/>
    <mergeCell ref="E67:AM67"/>
    <mergeCell ref="AN67:BA67"/>
    <mergeCell ref="BB67:BM67"/>
    <mergeCell ref="E20:AM20"/>
    <mergeCell ref="AN20:BA20"/>
    <mergeCell ref="BB20:BM20"/>
    <mergeCell ref="BN20:CB20"/>
    <mergeCell ref="A68:D68"/>
    <mergeCell ref="E68:AM68"/>
    <mergeCell ref="AN68:BA68"/>
    <mergeCell ref="BB68:BM68"/>
    <mergeCell ref="BN68:CB68"/>
    <mergeCell ref="A62:D62"/>
    <mergeCell ref="E62:AM62"/>
    <mergeCell ref="AN62:BA62"/>
    <mergeCell ref="BB62:BM62"/>
    <mergeCell ref="BN62:CB62"/>
    <mergeCell ref="A63:D63"/>
    <mergeCell ref="E63:AM63"/>
    <mergeCell ref="AN63:BA63"/>
    <mergeCell ref="BB63:BM63"/>
    <mergeCell ref="BN63:CB63"/>
    <mergeCell ref="A54:CB54"/>
    <mergeCell ref="A55:CB55"/>
    <mergeCell ref="S57:CB57"/>
    <mergeCell ref="AH59:CB59"/>
    <mergeCell ref="A61:D61"/>
  </mergeCells>
  <pageMargins left="0.78740157480314965" right="0.39370078740157483" top="0.59055118110236227" bottom="0.39370078740157483"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sheetPr>
    <tabColor theme="9" tint="0.39997558519241921"/>
  </sheetPr>
  <dimension ref="A1:CQ64"/>
  <sheetViews>
    <sheetView view="pageBreakPreview" topLeftCell="A48" zoomScaleSheetLayoutView="100" workbookViewId="0">
      <selection activeCell="F68" sqref="F68"/>
    </sheetView>
  </sheetViews>
  <sheetFormatPr defaultColWidth="1.109375" defaultRowHeight="13.2"/>
  <cols>
    <col min="1" max="3" width="1.109375" style="190"/>
    <col min="4" max="4" width="0.6640625" style="190" customWidth="1"/>
    <col min="5" max="34" width="1.109375" style="190"/>
    <col min="35" max="35" width="12.88671875" style="190" customWidth="1"/>
    <col min="36" max="38" width="1.109375" style="190"/>
    <col min="39" max="39" width="2.77734375" style="190" customWidth="1"/>
    <col min="40" max="66" width="1.109375" style="190"/>
    <col min="67" max="67" width="0.33203125" style="190" customWidth="1"/>
    <col min="68" max="80" width="1.109375" style="190"/>
    <col min="81" max="82" width="1.109375" style="190" hidden="1" customWidth="1"/>
    <col min="83" max="83" width="11.88671875" style="190" customWidth="1"/>
    <col min="84" max="84" width="12" style="190" customWidth="1"/>
    <col min="85" max="85" width="15.33203125" style="190" customWidth="1"/>
    <col min="86" max="86" width="13.21875" style="190" customWidth="1"/>
    <col min="87" max="87" width="1.109375" style="190"/>
    <col min="88" max="88" width="1.44140625" style="190" customWidth="1"/>
    <col min="89" max="89" width="5.109375" style="190" bestFit="1" customWidth="1"/>
    <col min="90" max="94" width="1.109375" style="190"/>
    <col min="95" max="95" width="24.44140625" style="190" hidden="1" customWidth="1"/>
    <col min="96" max="97" width="1.109375" style="190"/>
    <col min="98" max="98" width="8.6640625" style="190" customWidth="1"/>
    <col min="99" max="259" width="1.109375" style="190"/>
    <col min="260" max="260" width="0.6640625" style="190" customWidth="1"/>
    <col min="261" max="290" width="1.109375" style="190"/>
    <col min="291" max="291" width="12.88671875" style="190" customWidth="1"/>
    <col min="292" max="336" width="1.109375" style="190"/>
    <col min="337" max="338" width="0" style="190" hidden="1" customWidth="1"/>
    <col min="339" max="339" width="11.88671875" style="190" customWidth="1"/>
    <col min="340" max="340" width="10.5546875" style="190" customWidth="1"/>
    <col min="341" max="341" width="15.33203125" style="190" customWidth="1"/>
    <col min="342" max="343" width="1.109375" style="190"/>
    <col min="344" max="344" width="1.44140625" style="190" customWidth="1"/>
    <col min="345" max="345" width="5.109375" style="190" bestFit="1" customWidth="1"/>
    <col min="346" max="350" width="1.109375" style="190"/>
    <col min="351" max="351" width="0" style="190" hidden="1" customWidth="1"/>
    <col min="352" max="353" width="1.109375" style="190"/>
    <col min="354" max="354" width="8.6640625" style="190" customWidth="1"/>
    <col min="355" max="515" width="1.109375" style="190"/>
    <col min="516" max="516" width="0.6640625" style="190" customWidth="1"/>
    <col min="517" max="546" width="1.109375" style="190"/>
    <col min="547" max="547" width="12.88671875" style="190" customWidth="1"/>
    <col min="548" max="592" width="1.109375" style="190"/>
    <col min="593" max="594" width="0" style="190" hidden="1" customWidth="1"/>
    <col min="595" max="595" width="11.88671875" style="190" customWidth="1"/>
    <col min="596" max="596" width="10.5546875" style="190" customWidth="1"/>
    <col min="597" max="597" width="15.33203125" style="190" customWidth="1"/>
    <col min="598" max="599" width="1.109375" style="190"/>
    <col min="600" max="600" width="1.44140625" style="190" customWidth="1"/>
    <col min="601" max="601" width="5.109375" style="190" bestFit="1" customWidth="1"/>
    <col min="602" max="606" width="1.109375" style="190"/>
    <col min="607" max="607" width="0" style="190" hidden="1" customWidth="1"/>
    <col min="608" max="609" width="1.109375" style="190"/>
    <col min="610" max="610" width="8.6640625" style="190" customWidth="1"/>
    <col min="611" max="771" width="1.109375" style="190"/>
    <col min="772" max="772" width="0.6640625" style="190" customWidth="1"/>
    <col min="773" max="802" width="1.109375" style="190"/>
    <col min="803" max="803" width="12.88671875" style="190" customWidth="1"/>
    <col min="804" max="848" width="1.109375" style="190"/>
    <col min="849" max="850" width="0" style="190" hidden="1" customWidth="1"/>
    <col min="851" max="851" width="11.88671875" style="190" customWidth="1"/>
    <col min="852" max="852" width="10.5546875" style="190" customWidth="1"/>
    <col min="853" max="853" width="15.33203125" style="190" customWidth="1"/>
    <col min="854" max="855" width="1.109375" style="190"/>
    <col min="856" max="856" width="1.44140625" style="190" customWidth="1"/>
    <col min="857" max="857" width="5.109375" style="190" bestFit="1" customWidth="1"/>
    <col min="858" max="862" width="1.109375" style="190"/>
    <col min="863" max="863" width="0" style="190" hidden="1" customWidth="1"/>
    <col min="864" max="865" width="1.109375" style="190"/>
    <col min="866" max="866" width="8.6640625" style="190" customWidth="1"/>
    <col min="867" max="1027" width="1.109375" style="190"/>
    <col min="1028" max="1028" width="0.6640625" style="190" customWidth="1"/>
    <col min="1029" max="1058" width="1.109375" style="190"/>
    <col min="1059" max="1059" width="12.88671875" style="190" customWidth="1"/>
    <col min="1060" max="1104" width="1.109375" style="190"/>
    <col min="1105" max="1106" width="0" style="190" hidden="1" customWidth="1"/>
    <col min="1107" max="1107" width="11.88671875" style="190" customWidth="1"/>
    <col min="1108" max="1108" width="10.5546875" style="190" customWidth="1"/>
    <col min="1109" max="1109" width="15.33203125" style="190" customWidth="1"/>
    <col min="1110" max="1111" width="1.109375" style="190"/>
    <col min="1112" max="1112" width="1.44140625" style="190" customWidth="1"/>
    <col min="1113" max="1113" width="5.109375" style="190" bestFit="1" customWidth="1"/>
    <col min="1114" max="1118" width="1.109375" style="190"/>
    <col min="1119" max="1119" width="0" style="190" hidden="1" customWidth="1"/>
    <col min="1120" max="1121" width="1.109375" style="190"/>
    <col min="1122" max="1122" width="8.6640625" style="190" customWidth="1"/>
    <col min="1123" max="1283" width="1.109375" style="190"/>
    <col min="1284" max="1284" width="0.6640625" style="190" customWidth="1"/>
    <col min="1285" max="1314" width="1.109375" style="190"/>
    <col min="1315" max="1315" width="12.88671875" style="190" customWidth="1"/>
    <col min="1316" max="1360" width="1.109375" style="190"/>
    <col min="1361" max="1362" width="0" style="190" hidden="1" customWidth="1"/>
    <col min="1363" max="1363" width="11.88671875" style="190" customWidth="1"/>
    <col min="1364" max="1364" width="10.5546875" style="190" customWidth="1"/>
    <col min="1365" max="1365" width="15.33203125" style="190" customWidth="1"/>
    <col min="1366" max="1367" width="1.109375" style="190"/>
    <col min="1368" max="1368" width="1.44140625" style="190" customWidth="1"/>
    <col min="1369" max="1369" width="5.109375" style="190" bestFit="1" customWidth="1"/>
    <col min="1370" max="1374" width="1.109375" style="190"/>
    <col min="1375" max="1375" width="0" style="190" hidden="1" customWidth="1"/>
    <col min="1376" max="1377" width="1.109375" style="190"/>
    <col min="1378" max="1378" width="8.6640625" style="190" customWidth="1"/>
    <col min="1379" max="1539" width="1.109375" style="190"/>
    <col min="1540" max="1540" width="0.6640625" style="190" customWidth="1"/>
    <col min="1541" max="1570" width="1.109375" style="190"/>
    <col min="1571" max="1571" width="12.88671875" style="190" customWidth="1"/>
    <col min="1572" max="1616" width="1.109375" style="190"/>
    <col min="1617" max="1618" width="0" style="190" hidden="1" customWidth="1"/>
    <col min="1619" max="1619" width="11.88671875" style="190" customWidth="1"/>
    <col min="1620" max="1620" width="10.5546875" style="190" customWidth="1"/>
    <col min="1621" max="1621" width="15.33203125" style="190" customWidth="1"/>
    <col min="1622" max="1623" width="1.109375" style="190"/>
    <col min="1624" max="1624" width="1.44140625" style="190" customWidth="1"/>
    <col min="1625" max="1625" width="5.109375" style="190" bestFit="1" customWidth="1"/>
    <col min="1626" max="1630" width="1.109375" style="190"/>
    <col min="1631" max="1631" width="0" style="190" hidden="1" customWidth="1"/>
    <col min="1632" max="1633" width="1.109375" style="190"/>
    <col min="1634" max="1634" width="8.6640625" style="190" customWidth="1"/>
    <col min="1635" max="1795" width="1.109375" style="190"/>
    <col min="1796" max="1796" width="0.6640625" style="190" customWidth="1"/>
    <col min="1797" max="1826" width="1.109375" style="190"/>
    <col min="1827" max="1827" width="12.88671875" style="190" customWidth="1"/>
    <col min="1828" max="1872" width="1.109375" style="190"/>
    <col min="1873" max="1874" width="0" style="190" hidden="1" customWidth="1"/>
    <col min="1875" max="1875" width="11.88671875" style="190" customWidth="1"/>
    <col min="1876" max="1876" width="10.5546875" style="190" customWidth="1"/>
    <col min="1877" max="1877" width="15.33203125" style="190" customWidth="1"/>
    <col min="1878" max="1879" width="1.109375" style="190"/>
    <col min="1880" max="1880" width="1.44140625" style="190" customWidth="1"/>
    <col min="1881" max="1881" width="5.109375" style="190" bestFit="1" customWidth="1"/>
    <col min="1882" max="1886" width="1.109375" style="190"/>
    <col min="1887" max="1887" width="0" style="190" hidden="1" customWidth="1"/>
    <col min="1888" max="1889" width="1.109375" style="190"/>
    <col min="1890" max="1890" width="8.6640625" style="190" customWidth="1"/>
    <col min="1891" max="2051" width="1.109375" style="190"/>
    <col min="2052" max="2052" width="0.6640625" style="190" customWidth="1"/>
    <col min="2053" max="2082" width="1.109375" style="190"/>
    <col min="2083" max="2083" width="12.88671875" style="190" customWidth="1"/>
    <col min="2084" max="2128" width="1.109375" style="190"/>
    <col min="2129" max="2130" width="0" style="190" hidden="1" customWidth="1"/>
    <col min="2131" max="2131" width="11.88671875" style="190" customWidth="1"/>
    <col min="2132" max="2132" width="10.5546875" style="190" customWidth="1"/>
    <col min="2133" max="2133" width="15.33203125" style="190" customWidth="1"/>
    <col min="2134" max="2135" width="1.109375" style="190"/>
    <col min="2136" max="2136" width="1.44140625" style="190" customWidth="1"/>
    <col min="2137" max="2137" width="5.109375" style="190" bestFit="1" customWidth="1"/>
    <col min="2138" max="2142" width="1.109375" style="190"/>
    <col min="2143" max="2143" width="0" style="190" hidden="1" customWidth="1"/>
    <col min="2144" max="2145" width="1.109375" style="190"/>
    <col min="2146" max="2146" width="8.6640625" style="190" customWidth="1"/>
    <col min="2147" max="2307" width="1.109375" style="190"/>
    <col min="2308" max="2308" width="0.6640625" style="190" customWidth="1"/>
    <col min="2309" max="2338" width="1.109375" style="190"/>
    <col min="2339" max="2339" width="12.88671875" style="190" customWidth="1"/>
    <col min="2340" max="2384" width="1.109375" style="190"/>
    <col min="2385" max="2386" width="0" style="190" hidden="1" customWidth="1"/>
    <col min="2387" max="2387" width="11.88671875" style="190" customWidth="1"/>
    <col min="2388" max="2388" width="10.5546875" style="190" customWidth="1"/>
    <col min="2389" max="2389" width="15.33203125" style="190" customWidth="1"/>
    <col min="2390" max="2391" width="1.109375" style="190"/>
    <col min="2392" max="2392" width="1.44140625" style="190" customWidth="1"/>
    <col min="2393" max="2393" width="5.109375" style="190" bestFit="1" customWidth="1"/>
    <col min="2394" max="2398" width="1.109375" style="190"/>
    <col min="2399" max="2399" width="0" style="190" hidden="1" customWidth="1"/>
    <col min="2400" max="2401" width="1.109375" style="190"/>
    <col min="2402" max="2402" width="8.6640625" style="190" customWidth="1"/>
    <col min="2403" max="2563" width="1.109375" style="190"/>
    <col min="2564" max="2564" width="0.6640625" style="190" customWidth="1"/>
    <col min="2565" max="2594" width="1.109375" style="190"/>
    <col min="2595" max="2595" width="12.88671875" style="190" customWidth="1"/>
    <col min="2596" max="2640" width="1.109375" style="190"/>
    <col min="2641" max="2642" width="0" style="190" hidden="1" customWidth="1"/>
    <col min="2643" max="2643" width="11.88671875" style="190" customWidth="1"/>
    <col min="2644" max="2644" width="10.5546875" style="190" customWidth="1"/>
    <col min="2645" max="2645" width="15.33203125" style="190" customWidth="1"/>
    <col min="2646" max="2647" width="1.109375" style="190"/>
    <col min="2648" max="2648" width="1.44140625" style="190" customWidth="1"/>
    <col min="2649" max="2649" width="5.109375" style="190" bestFit="1" customWidth="1"/>
    <col min="2650" max="2654" width="1.109375" style="190"/>
    <col min="2655" max="2655" width="0" style="190" hidden="1" customWidth="1"/>
    <col min="2656" max="2657" width="1.109375" style="190"/>
    <col min="2658" max="2658" width="8.6640625" style="190" customWidth="1"/>
    <col min="2659" max="2819" width="1.109375" style="190"/>
    <col min="2820" max="2820" width="0.6640625" style="190" customWidth="1"/>
    <col min="2821" max="2850" width="1.109375" style="190"/>
    <col min="2851" max="2851" width="12.88671875" style="190" customWidth="1"/>
    <col min="2852" max="2896" width="1.109375" style="190"/>
    <col min="2897" max="2898" width="0" style="190" hidden="1" customWidth="1"/>
    <col min="2899" max="2899" width="11.88671875" style="190" customWidth="1"/>
    <col min="2900" max="2900" width="10.5546875" style="190" customWidth="1"/>
    <col min="2901" max="2901" width="15.33203125" style="190" customWidth="1"/>
    <col min="2902" max="2903" width="1.109375" style="190"/>
    <col min="2904" max="2904" width="1.44140625" style="190" customWidth="1"/>
    <col min="2905" max="2905" width="5.109375" style="190" bestFit="1" customWidth="1"/>
    <col min="2906" max="2910" width="1.109375" style="190"/>
    <col min="2911" max="2911" width="0" style="190" hidden="1" customWidth="1"/>
    <col min="2912" max="2913" width="1.109375" style="190"/>
    <col min="2914" max="2914" width="8.6640625" style="190" customWidth="1"/>
    <col min="2915" max="3075" width="1.109375" style="190"/>
    <col min="3076" max="3076" width="0.6640625" style="190" customWidth="1"/>
    <col min="3077" max="3106" width="1.109375" style="190"/>
    <col min="3107" max="3107" width="12.88671875" style="190" customWidth="1"/>
    <col min="3108" max="3152" width="1.109375" style="190"/>
    <col min="3153" max="3154" width="0" style="190" hidden="1" customWidth="1"/>
    <col min="3155" max="3155" width="11.88671875" style="190" customWidth="1"/>
    <col min="3156" max="3156" width="10.5546875" style="190" customWidth="1"/>
    <col min="3157" max="3157" width="15.33203125" style="190" customWidth="1"/>
    <col min="3158" max="3159" width="1.109375" style="190"/>
    <col min="3160" max="3160" width="1.44140625" style="190" customWidth="1"/>
    <col min="3161" max="3161" width="5.109375" style="190" bestFit="1" customWidth="1"/>
    <col min="3162" max="3166" width="1.109375" style="190"/>
    <col min="3167" max="3167" width="0" style="190" hidden="1" customWidth="1"/>
    <col min="3168" max="3169" width="1.109375" style="190"/>
    <col min="3170" max="3170" width="8.6640625" style="190" customWidth="1"/>
    <col min="3171" max="3331" width="1.109375" style="190"/>
    <col min="3332" max="3332" width="0.6640625" style="190" customWidth="1"/>
    <col min="3333" max="3362" width="1.109375" style="190"/>
    <col min="3363" max="3363" width="12.88671875" style="190" customWidth="1"/>
    <col min="3364" max="3408" width="1.109375" style="190"/>
    <col min="3409" max="3410" width="0" style="190" hidden="1" customWidth="1"/>
    <col min="3411" max="3411" width="11.88671875" style="190" customWidth="1"/>
    <col min="3412" max="3412" width="10.5546875" style="190" customWidth="1"/>
    <col min="3413" max="3413" width="15.33203125" style="190" customWidth="1"/>
    <col min="3414" max="3415" width="1.109375" style="190"/>
    <col min="3416" max="3416" width="1.44140625" style="190" customWidth="1"/>
    <col min="3417" max="3417" width="5.109375" style="190" bestFit="1" customWidth="1"/>
    <col min="3418" max="3422" width="1.109375" style="190"/>
    <col min="3423" max="3423" width="0" style="190" hidden="1" customWidth="1"/>
    <col min="3424" max="3425" width="1.109375" style="190"/>
    <col min="3426" max="3426" width="8.6640625" style="190" customWidth="1"/>
    <col min="3427" max="3587" width="1.109375" style="190"/>
    <col min="3588" max="3588" width="0.6640625" style="190" customWidth="1"/>
    <col min="3589" max="3618" width="1.109375" style="190"/>
    <col min="3619" max="3619" width="12.88671875" style="190" customWidth="1"/>
    <col min="3620" max="3664" width="1.109375" style="190"/>
    <col min="3665" max="3666" width="0" style="190" hidden="1" customWidth="1"/>
    <col min="3667" max="3667" width="11.88671875" style="190" customWidth="1"/>
    <col min="3668" max="3668" width="10.5546875" style="190" customWidth="1"/>
    <col min="3669" max="3669" width="15.33203125" style="190" customWidth="1"/>
    <col min="3670" max="3671" width="1.109375" style="190"/>
    <col min="3672" max="3672" width="1.44140625" style="190" customWidth="1"/>
    <col min="3673" max="3673" width="5.109375" style="190" bestFit="1" customWidth="1"/>
    <col min="3674" max="3678" width="1.109375" style="190"/>
    <col min="3679" max="3679" width="0" style="190" hidden="1" customWidth="1"/>
    <col min="3680" max="3681" width="1.109375" style="190"/>
    <col min="3682" max="3682" width="8.6640625" style="190" customWidth="1"/>
    <col min="3683" max="3843" width="1.109375" style="190"/>
    <col min="3844" max="3844" width="0.6640625" style="190" customWidth="1"/>
    <col min="3845" max="3874" width="1.109375" style="190"/>
    <col min="3875" max="3875" width="12.88671875" style="190" customWidth="1"/>
    <col min="3876" max="3920" width="1.109375" style="190"/>
    <col min="3921" max="3922" width="0" style="190" hidden="1" customWidth="1"/>
    <col min="3923" max="3923" width="11.88671875" style="190" customWidth="1"/>
    <col min="3924" max="3924" width="10.5546875" style="190" customWidth="1"/>
    <col min="3925" max="3925" width="15.33203125" style="190" customWidth="1"/>
    <col min="3926" max="3927" width="1.109375" style="190"/>
    <col min="3928" max="3928" width="1.44140625" style="190" customWidth="1"/>
    <col min="3929" max="3929" width="5.109375" style="190" bestFit="1" customWidth="1"/>
    <col min="3930" max="3934" width="1.109375" style="190"/>
    <col min="3935" max="3935" width="0" style="190" hidden="1" customWidth="1"/>
    <col min="3936" max="3937" width="1.109375" style="190"/>
    <col min="3938" max="3938" width="8.6640625" style="190" customWidth="1"/>
    <col min="3939" max="4099" width="1.109375" style="190"/>
    <col min="4100" max="4100" width="0.6640625" style="190" customWidth="1"/>
    <col min="4101" max="4130" width="1.109375" style="190"/>
    <col min="4131" max="4131" width="12.88671875" style="190" customWidth="1"/>
    <col min="4132" max="4176" width="1.109375" style="190"/>
    <col min="4177" max="4178" width="0" style="190" hidden="1" customWidth="1"/>
    <col min="4179" max="4179" width="11.88671875" style="190" customWidth="1"/>
    <col min="4180" max="4180" width="10.5546875" style="190" customWidth="1"/>
    <col min="4181" max="4181" width="15.33203125" style="190" customWidth="1"/>
    <col min="4182" max="4183" width="1.109375" style="190"/>
    <col min="4184" max="4184" width="1.44140625" style="190" customWidth="1"/>
    <col min="4185" max="4185" width="5.109375" style="190" bestFit="1" customWidth="1"/>
    <col min="4186" max="4190" width="1.109375" style="190"/>
    <col min="4191" max="4191" width="0" style="190" hidden="1" customWidth="1"/>
    <col min="4192" max="4193" width="1.109375" style="190"/>
    <col min="4194" max="4194" width="8.6640625" style="190" customWidth="1"/>
    <col min="4195" max="4355" width="1.109375" style="190"/>
    <col min="4356" max="4356" width="0.6640625" style="190" customWidth="1"/>
    <col min="4357" max="4386" width="1.109375" style="190"/>
    <col min="4387" max="4387" width="12.88671875" style="190" customWidth="1"/>
    <col min="4388" max="4432" width="1.109375" style="190"/>
    <col min="4433" max="4434" width="0" style="190" hidden="1" customWidth="1"/>
    <col min="4435" max="4435" width="11.88671875" style="190" customWidth="1"/>
    <col min="4436" max="4436" width="10.5546875" style="190" customWidth="1"/>
    <col min="4437" max="4437" width="15.33203125" style="190" customWidth="1"/>
    <col min="4438" max="4439" width="1.109375" style="190"/>
    <col min="4440" max="4440" width="1.44140625" style="190" customWidth="1"/>
    <col min="4441" max="4441" width="5.109375" style="190" bestFit="1" customWidth="1"/>
    <col min="4442" max="4446" width="1.109375" style="190"/>
    <col min="4447" max="4447" width="0" style="190" hidden="1" customWidth="1"/>
    <col min="4448" max="4449" width="1.109375" style="190"/>
    <col min="4450" max="4450" width="8.6640625" style="190" customWidth="1"/>
    <col min="4451" max="4611" width="1.109375" style="190"/>
    <col min="4612" max="4612" width="0.6640625" style="190" customWidth="1"/>
    <col min="4613" max="4642" width="1.109375" style="190"/>
    <col min="4643" max="4643" width="12.88671875" style="190" customWidth="1"/>
    <col min="4644" max="4688" width="1.109375" style="190"/>
    <col min="4689" max="4690" width="0" style="190" hidden="1" customWidth="1"/>
    <col min="4691" max="4691" width="11.88671875" style="190" customWidth="1"/>
    <col min="4692" max="4692" width="10.5546875" style="190" customWidth="1"/>
    <col min="4693" max="4693" width="15.33203125" style="190" customWidth="1"/>
    <col min="4694" max="4695" width="1.109375" style="190"/>
    <col min="4696" max="4696" width="1.44140625" style="190" customWidth="1"/>
    <col min="4697" max="4697" width="5.109375" style="190" bestFit="1" customWidth="1"/>
    <col min="4698" max="4702" width="1.109375" style="190"/>
    <col min="4703" max="4703" width="0" style="190" hidden="1" customWidth="1"/>
    <col min="4704" max="4705" width="1.109375" style="190"/>
    <col min="4706" max="4706" width="8.6640625" style="190" customWidth="1"/>
    <col min="4707" max="4867" width="1.109375" style="190"/>
    <col min="4868" max="4868" width="0.6640625" style="190" customWidth="1"/>
    <col min="4869" max="4898" width="1.109375" style="190"/>
    <col min="4899" max="4899" width="12.88671875" style="190" customWidth="1"/>
    <col min="4900" max="4944" width="1.109375" style="190"/>
    <col min="4945" max="4946" width="0" style="190" hidden="1" customWidth="1"/>
    <col min="4947" max="4947" width="11.88671875" style="190" customWidth="1"/>
    <col min="4948" max="4948" width="10.5546875" style="190" customWidth="1"/>
    <col min="4949" max="4949" width="15.33203125" style="190" customWidth="1"/>
    <col min="4950" max="4951" width="1.109375" style="190"/>
    <col min="4952" max="4952" width="1.44140625" style="190" customWidth="1"/>
    <col min="4953" max="4953" width="5.109375" style="190" bestFit="1" customWidth="1"/>
    <col min="4954" max="4958" width="1.109375" style="190"/>
    <col min="4959" max="4959" width="0" style="190" hidden="1" customWidth="1"/>
    <col min="4960" max="4961" width="1.109375" style="190"/>
    <col min="4962" max="4962" width="8.6640625" style="190" customWidth="1"/>
    <col min="4963" max="5123" width="1.109375" style="190"/>
    <col min="5124" max="5124" width="0.6640625" style="190" customWidth="1"/>
    <col min="5125" max="5154" width="1.109375" style="190"/>
    <col min="5155" max="5155" width="12.88671875" style="190" customWidth="1"/>
    <col min="5156" max="5200" width="1.109375" style="190"/>
    <col min="5201" max="5202" width="0" style="190" hidden="1" customWidth="1"/>
    <col min="5203" max="5203" width="11.88671875" style="190" customWidth="1"/>
    <col min="5204" max="5204" width="10.5546875" style="190" customWidth="1"/>
    <col min="5205" max="5205" width="15.33203125" style="190" customWidth="1"/>
    <col min="5206" max="5207" width="1.109375" style="190"/>
    <col min="5208" max="5208" width="1.44140625" style="190" customWidth="1"/>
    <col min="5209" max="5209" width="5.109375" style="190" bestFit="1" customWidth="1"/>
    <col min="5210" max="5214" width="1.109375" style="190"/>
    <col min="5215" max="5215" width="0" style="190" hidden="1" customWidth="1"/>
    <col min="5216" max="5217" width="1.109375" style="190"/>
    <col min="5218" max="5218" width="8.6640625" style="190" customWidth="1"/>
    <col min="5219" max="5379" width="1.109375" style="190"/>
    <col min="5380" max="5380" width="0.6640625" style="190" customWidth="1"/>
    <col min="5381" max="5410" width="1.109375" style="190"/>
    <col min="5411" max="5411" width="12.88671875" style="190" customWidth="1"/>
    <col min="5412" max="5456" width="1.109375" style="190"/>
    <col min="5457" max="5458" width="0" style="190" hidden="1" customWidth="1"/>
    <col min="5459" max="5459" width="11.88671875" style="190" customWidth="1"/>
    <col min="5460" max="5460" width="10.5546875" style="190" customWidth="1"/>
    <col min="5461" max="5461" width="15.33203125" style="190" customWidth="1"/>
    <col min="5462" max="5463" width="1.109375" style="190"/>
    <col min="5464" max="5464" width="1.44140625" style="190" customWidth="1"/>
    <col min="5465" max="5465" width="5.109375" style="190" bestFit="1" customWidth="1"/>
    <col min="5466" max="5470" width="1.109375" style="190"/>
    <col min="5471" max="5471" width="0" style="190" hidden="1" customWidth="1"/>
    <col min="5472" max="5473" width="1.109375" style="190"/>
    <col min="5474" max="5474" width="8.6640625" style="190" customWidth="1"/>
    <col min="5475" max="5635" width="1.109375" style="190"/>
    <col min="5636" max="5636" width="0.6640625" style="190" customWidth="1"/>
    <col min="5637" max="5666" width="1.109375" style="190"/>
    <col min="5667" max="5667" width="12.88671875" style="190" customWidth="1"/>
    <col min="5668" max="5712" width="1.109375" style="190"/>
    <col min="5713" max="5714" width="0" style="190" hidden="1" customWidth="1"/>
    <col min="5715" max="5715" width="11.88671875" style="190" customWidth="1"/>
    <col min="5716" max="5716" width="10.5546875" style="190" customWidth="1"/>
    <col min="5717" max="5717" width="15.33203125" style="190" customWidth="1"/>
    <col min="5718" max="5719" width="1.109375" style="190"/>
    <col min="5720" max="5720" width="1.44140625" style="190" customWidth="1"/>
    <col min="5721" max="5721" width="5.109375" style="190" bestFit="1" customWidth="1"/>
    <col min="5722" max="5726" width="1.109375" style="190"/>
    <col min="5727" max="5727" width="0" style="190" hidden="1" customWidth="1"/>
    <col min="5728" max="5729" width="1.109375" style="190"/>
    <col min="5730" max="5730" width="8.6640625" style="190" customWidth="1"/>
    <col min="5731" max="5891" width="1.109375" style="190"/>
    <col min="5892" max="5892" width="0.6640625" style="190" customWidth="1"/>
    <col min="5893" max="5922" width="1.109375" style="190"/>
    <col min="5923" max="5923" width="12.88671875" style="190" customWidth="1"/>
    <col min="5924" max="5968" width="1.109375" style="190"/>
    <col min="5969" max="5970" width="0" style="190" hidden="1" customWidth="1"/>
    <col min="5971" max="5971" width="11.88671875" style="190" customWidth="1"/>
    <col min="5972" max="5972" width="10.5546875" style="190" customWidth="1"/>
    <col min="5973" max="5973" width="15.33203125" style="190" customWidth="1"/>
    <col min="5974" max="5975" width="1.109375" style="190"/>
    <col min="5976" max="5976" width="1.44140625" style="190" customWidth="1"/>
    <col min="5977" max="5977" width="5.109375" style="190" bestFit="1" customWidth="1"/>
    <col min="5978" max="5982" width="1.109375" style="190"/>
    <col min="5983" max="5983" width="0" style="190" hidden="1" customWidth="1"/>
    <col min="5984" max="5985" width="1.109375" style="190"/>
    <col min="5986" max="5986" width="8.6640625" style="190" customWidth="1"/>
    <col min="5987" max="6147" width="1.109375" style="190"/>
    <col min="6148" max="6148" width="0.6640625" style="190" customWidth="1"/>
    <col min="6149" max="6178" width="1.109375" style="190"/>
    <col min="6179" max="6179" width="12.88671875" style="190" customWidth="1"/>
    <col min="6180" max="6224" width="1.109375" style="190"/>
    <col min="6225" max="6226" width="0" style="190" hidden="1" customWidth="1"/>
    <col min="6227" max="6227" width="11.88671875" style="190" customWidth="1"/>
    <col min="6228" max="6228" width="10.5546875" style="190" customWidth="1"/>
    <col min="6229" max="6229" width="15.33203125" style="190" customWidth="1"/>
    <col min="6230" max="6231" width="1.109375" style="190"/>
    <col min="6232" max="6232" width="1.44140625" style="190" customWidth="1"/>
    <col min="6233" max="6233" width="5.109375" style="190" bestFit="1" customWidth="1"/>
    <col min="6234" max="6238" width="1.109375" style="190"/>
    <col min="6239" max="6239" width="0" style="190" hidden="1" customWidth="1"/>
    <col min="6240" max="6241" width="1.109375" style="190"/>
    <col min="6242" max="6242" width="8.6640625" style="190" customWidth="1"/>
    <col min="6243" max="6403" width="1.109375" style="190"/>
    <col min="6404" max="6404" width="0.6640625" style="190" customWidth="1"/>
    <col min="6405" max="6434" width="1.109375" style="190"/>
    <col min="6435" max="6435" width="12.88671875" style="190" customWidth="1"/>
    <col min="6436" max="6480" width="1.109375" style="190"/>
    <col min="6481" max="6482" width="0" style="190" hidden="1" customWidth="1"/>
    <col min="6483" max="6483" width="11.88671875" style="190" customWidth="1"/>
    <col min="6484" max="6484" width="10.5546875" style="190" customWidth="1"/>
    <col min="6485" max="6485" width="15.33203125" style="190" customWidth="1"/>
    <col min="6486" max="6487" width="1.109375" style="190"/>
    <col min="6488" max="6488" width="1.44140625" style="190" customWidth="1"/>
    <col min="6489" max="6489" width="5.109375" style="190" bestFit="1" customWidth="1"/>
    <col min="6490" max="6494" width="1.109375" style="190"/>
    <col min="6495" max="6495" width="0" style="190" hidden="1" customWidth="1"/>
    <col min="6496" max="6497" width="1.109375" style="190"/>
    <col min="6498" max="6498" width="8.6640625" style="190" customWidth="1"/>
    <col min="6499" max="6659" width="1.109375" style="190"/>
    <col min="6660" max="6660" width="0.6640625" style="190" customWidth="1"/>
    <col min="6661" max="6690" width="1.109375" style="190"/>
    <col min="6691" max="6691" width="12.88671875" style="190" customWidth="1"/>
    <col min="6692" max="6736" width="1.109375" style="190"/>
    <col min="6737" max="6738" width="0" style="190" hidden="1" customWidth="1"/>
    <col min="6739" max="6739" width="11.88671875" style="190" customWidth="1"/>
    <col min="6740" max="6740" width="10.5546875" style="190" customWidth="1"/>
    <col min="6741" max="6741" width="15.33203125" style="190" customWidth="1"/>
    <col min="6742" max="6743" width="1.109375" style="190"/>
    <col min="6744" max="6744" width="1.44140625" style="190" customWidth="1"/>
    <col min="6745" max="6745" width="5.109375" style="190" bestFit="1" customWidth="1"/>
    <col min="6746" max="6750" width="1.109375" style="190"/>
    <col min="6751" max="6751" width="0" style="190" hidden="1" customWidth="1"/>
    <col min="6752" max="6753" width="1.109375" style="190"/>
    <col min="6754" max="6754" width="8.6640625" style="190" customWidth="1"/>
    <col min="6755" max="6915" width="1.109375" style="190"/>
    <col min="6916" max="6916" width="0.6640625" style="190" customWidth="1"/>
    <col min="6917" max="6946" width="1.109375" style="190"/>
    <col min="6947" max="6947" width="12.88671875" style="190" customWidth="1"/>
    <col min="6948" max="6992" width="1.109375" style="190"/>
    <col min="6993" max="6994" width="0" style="190" hidden="1" customWidth="1"/>
    <col min="6995" max="6995" width="11.88671875" style="190" customWidth="1"/>
    <col min="6996" max="6996" width="10.5546875" style="190" customWidth="1"/>
    <col min="6997" max="6997" width="15.33203125" style="190" customWidth="1"/>
    <col min="6998" max="6999" width="1.109375" style="190"/>
    <col min="7000" max="7000" width="1.44140625" style="190" customWidth="1"/>
    <col min="7001" max="7001" width="5.109375" style="190" bestFit="1" customWidth="1"/>
    <col min="7002" max="7006" width="1.109375" style="190"/>
    <col min="7007" max="7007" width="0" style="190" hidden="1" customWidth="1"/>
    <col min="7008" max="7009" width="1.109375" style="190"/>
    <col min="7010" max="7010" width="8.6640625" style="190" customWidth="1"/>
    <col min="7011" max="7171" width="1.109375" style="190"/>
    <col min="7172" max="7172" width="0.6640625" style="190" customWidth="1"/>
    <col min="7173" max="7202" width="1.109375" style="190"/>
    <col min="7203" max="7203" width="12.88671875" style="190" customWidth="1"/>
    <col min="7204" max="7248" width="1.109375" style="190"/>
    <col min="7249" max="7250" width="0" style="190" hidden="1" customWidth="1"/>
    <col min="7251" max="7251" width="11.88671875" style="190" customWidth="1"/>
    <col min="7252" max="7252" width="10.5546875" style="190" customWidth="1"/>
    <col min="7253" max="7253" width="15.33203125" style="190" customWidth="1"/>
    <col min="7254" max="7255" width="1.109375" style="190"/>
    <col min="7256" max="7256" width="1.44140625" style="190" customWidth="1"/>
    <col min="7257" max="7257" width="5.109375" style="190" bestFit="1" customWidth="1"/>
    <col min="7258" max="7262" width="1.109375" style="190"/>
    <col min="7263" max="7263" width="0" style="190" hidden="1" customWidth="1"/>
    <col min="7264" max="7265" width="1.109375" style="190"/>
    <col min="7266" max="7266" width="8.6640625" style="190" customWidth="1"/>
    <col min="7267" max="7427" width="1.109375" style="190"/>
    <col min="7428" max="7428" width="0.6640625" style="190" customWidth="1"/>
    <col min="7429" max="7458" width="1.109375" style="190"/>
    <col min="7459" max="7459" width="12.88671875" style="190" customWidth="1"/>
    <col min="7460" max="7504" width="1.109375" style="190"/>
    <col min="7505" max="7506" width="0" style="190" hidden="1" customWidth="1"/>
    <col min="7507" max="7507" width="11.88671875" style="190" customWidth="1"/>
    <col min="7508" max="7508" width="10.5546875" style="190" customWidth="1"/>
    <col min="7509" max="7509" width="15.33203125" style="190" customWidth="1"/>
    <col min="7510" max="7511" width="1.109375" style="190"/>
    <col min="7512" max="7512" width="1.44140625" style="190" customWidth="1"/>
    <col min="7513" max="7513" width="5.109375" style="190" bestFit="1" customWidth="1"/>
    <col min="7514" max="7518" width="1.109375" style="190"/>
    <col min="7519" max="7519" width="0" style="190" hidden="1" customWidth="1"/>
    <col min="7520" max="7521" width="1.109375" style="190"/>
    <col min="7522" max="7522" width="8.6640625" style="190" customWidth="1"/>
    <col min="7523" max="7683" width="1.109375" style="190"/>
    <col min="7684" max="7684" width="0.6640625" style="190" customWidth="1"/>
    <col min="7685" max="7714" width="1.109375" style="190"/>
    <col min="7715" max="7715" width="12.88671875" style="190" customWidth="1"/>
    <col min="7716" max="7760" width="1.109375" style="190"/>
    <col min="7761" max="7762" width="0" style="190" hidden="1" customWidth="1"/>
    <col min="7763" max="7763" width="11.88671875" style="190" customWidth="1"/>
    <col min="7764" max="7764" width="10.5546875" style="190" customWidth="1"/>
    <col min="7765" max="7765" width="15.33203125" style="190" customWidth="1"/>
    <col min="7766" max="7767" width="1.109375" style="190"/>
    <col min="7768" max="7768" width="1.44140625" style="190" customWidth="1"/>
    <col min="7769" max="7769" width="5.109375" style="190" bestFit="1" customWidth="1"/>
    <col min="7770" max="7774" width="1.109375" style="190"/>
    <col min="7775" max="7775" width="0" style="190" hidden="1" customWidth="1"/>
    <col min="7776" max="7777" width="1.109375" style="190"/>
    <col min="7778" max="7778" width="8.6640625" style="190" customWidth="1"/>
    <col min="7779" max="7939" width="1.109375" style="190"/>
    <col min="7940" max="7940" width="0.6640625" style="190" customWidth="1"/>
    <col min="7941" max="7970" width="1.109375" style="190"/>
    <col min="7971" max="7971" width="12.88671875" style="190" customWidth="1"/>
    <col min="7972" max="8016" width="1.109375" style="190"/>
    <col min="8017" max="8018" width="0" style="190" hidden="1" customWidth="1"/>
    <col min="8019" max="8019" width="11.88671875" style="190" customWidth="1"/>
    <col min="8020" max="8020" width="10.5546875" style="190" customWidth="1"/>
    <col min="8021" max="8021" width="15.33203125" style="190" customWidth="1"/>
    <col min="8022" max="8023" width="1.109375" style="190"/>
    <col min="8024" max="8024" width="1.44140625" style="190" customWidth="1"/>
    <col min="8025" max="8025" width="5.109375" style="190" bestFit="1" customWidth="1"/>
    <col min="8026" max="8030" width="1.109375" style="190"/>
    <col min="8031" max="8031" width="0" style="190" hidden="1" customWidth="1"/>
    <col min="8032" max="8033" width="1.109375" style="190"/>
    <col min="8034" max="8034" width="8.6640625" style="190" customWidth="1"/>
    <col min="8035" max="8195" width="1.109375" style="190"/>
    <col min="8196" max="8196" width="0.6640625" style="190" customWidth="1"/>
    <col min="8197" max="8226" width="1.109375" style="190"/>
    <col min="8227" max="8227" width="12.88671875" style="190" customWidth="1"/>
    <col min="8228" max="8272" width="1.109375" style="190"/>
    <col min="8273" max="8274" width="0" style="190" hidden="1" customWidth="1"/>
    <col min="8275" max="8275" width="11.88671875" style="190" customWidth="1"/>
    <col min="8276" max="8276" width="10.5546875" style="190" customWidth="1"/>
    <col min="8277" max="8277" width="15.33203125" style="190" customWidth="1"/>
    <col min="8278" max="8279" width="1.109375" style="190"/>
    <col min="8280" max="8280" width="1.44140625" style="190" customWidth="1"/>
    <col min="8281" max="8281" width="5.109375" style="190" bestFit="1" customWidth="1"/>
    <col min="8282" max="8286" width="1.109375" style="190"/>
    <col min="8287" max="8287" width="0" style="190" hidden="1" customWidth="1"/>
    <col min="8288" max="8289" width="1.109375" style="190"/>
    <col min="8290" max="8290" width="8.6640625" style="190" customWidth="1"/>
    <col min="8291" max="8451" width="1.109375" style="190"/>
    <col min="8452" max="8452" width="0.6640625" style="190" customWidth="1"/>
    <col min="8453" max="8482" width="1.109375" style="190"/>
    <col min="8483" max="8483" width="12.88671875" style="190" customWidth="1"/>
    <col min="8484" max="8528" width="1.109375" style="190"/>
    <col min="8529" max="8530" width="0" style="190" hidden="1" customWidth="1"/>
    <col min="8531" max="8531" width="11.88671875" style="190" customWidth="1"/>
    <col min="8532" max="8532" width="10.5546875" style="190" customWidth="1"/>
    <col min="8533" max="8533" width="15.33203125" style="190" customWidth="1"/>
    <col min="8534" max="8535" width="1.109375" style="190"/>
    <col min="8536" max="8536" width="1.44140625" style="190" customWidth="1"/>
    <col min="8537" max="8537" width="5.109375" style="190" bestFit="1" customWidth="1"/>
    <col min="8538" max="8542" width="1.109375" style="190"/>
    <col min="8543" max="8543" width="0" style="190" hidden="1" customWidth="1"/>
    <col min="8544" max="8545" width="1.109375" style="190"/>
    <col min="8546" max="8546" width="8.6640625" style="190" customWidth="1"/>
    <col min="8547" max="8707" width="1.109375" style="190"/>
    <col min="8708" max="8708" width="0.6640625" style="190" customWidth="1"/>
    <col min="8709" max="8738" width="1.109375" style="190"/>
    <col min="8739" max="8739" width="12.88671875" style="190" customWidth="1"/>
    <col min="8740" max="8784" width="1.109375" style="190"/>
    <col min="8785" max="8786" width="0" style="190" hidden="1" customWidth="1"/>
    <col min="8787" max="8787" width="11.88671875" style="190" customWidth="1"/>
    <col min="8788" max="8788" width="10.5546875" style="190" customWidth="1"/>
    <col min="8789" max="8789" width="15.33203125" style="190" customWidth="1"/>
    <col min="8790" max="8791" width="1.109375" style="190"/>
    <col min="8792" max="8792" width="1.44140625" style="190" customWidth="1"/>
    <col min="8793" max="8793" width="5.109375" style="190" bestFit="1" customWidth="1"/>
    <col min="8794" max="8798" width="1.109375" style="190"/>
    <col min="8799" max="8799" width="0" style="190" hidden="1" customWidth="1"/>
    <col min="8800" max="8801" width="1.109375" style="190"/>
    <col min="8802" max="8802" width="8.6640625" style="190" customWidth="1"/>
    <col min="8803" max="8963" width="1.109375" style="190"/>
    <col min="8964" max="8964" width="0.6640625" style="190" customWidth="1"/>
    <col min="8965" max="8994" width="1.109375" style="190"/>
    <col min="8995" max="8995" width="12.88671875" style="190" customWidth="1"/>
    <col min="8996" max="9040" width="1.109375" style="190"/>
    <col min="9041" max="9042" width="0" style="190" hidden="1" customWidth="1"/>
    <col min="9043" max="9043" width="11.88671875" style="190" customWidth="1"/>
    <col min="9044" max="9044" width="10.5546875" style="190" customWidth="1"/>
    <col min="9045" max="9045" width="15.33203125" style="190" customWidth="1"/>
    <col min="9046" max="9047" width="1.109375" style="190"/>
    <col min="9048" max="9048" width="1.44140625" style="190" customWidth="1"/>
    <col min="9049" max="9049" width="5.109375" style="190" bestFit="1" customWidth="1"/>
    <col min="9050" max="9054" width="1.109375" style="190"/>
    <col min="9055" max="9055" width="0" style="190" hidden="1" customWidth="1"/>
    <col min="9056" max="9057" width="1.109375" style="190"/>
    <col min="9058" max="9058" width="8.6640625" style="190" customWidth="1"/>
    <col min="9059" max="9219" width="1.109375" style="190"/>
    <col min="9220" max="9220" width="0.6640625" style="190" customWidth="1"/>
    <col min="9221" max="9250" width="1.109375" style="190"/>
    <col min="9251" max="9251" width="12.88671875" style="190" customWidth="1"/>
    <col min="9252" max="9296" width="1.109375" style="190"/>
    <col min="9297" max="9298" width="0" style="190" hidden="1" customWidth="1"/>
    <col min="9299" max="9299" width="11.88671875" style="190" customWidth="1"/>
    <col min="9300" max="9300" width="10.5546875" style="190" customWidth="1"/>
    <col min="9301" max="9301" width="15.33203125" style="190" customWidth="1"/>
    <col min="9302" max="9303" width="1.109375" style="190"/>
    <col min="9304" max="9304" width="1.44140625" style="190" customWidth="1"/>
    <col min="9305" max="9305" width="5.109375" style="190" bestFit="1" customWidth="1"/>
    <col min="9306" max="9310" width="1.109375" style="190"/>
    <col min="9311" max="9311" width="0" style="190" hidden="1" customWidth="1"/>
    <col min="9312" max="9313" width="1.109375" style="190"/>
    <col min="9314" max="9314" width="8.6640625" style="190" customWidth="1"/>
    <col min="9315" max="9475" width="1.109375" style="190"/>
    <col min="9476" max="9476" width="0.6640625" style="190" customWidth="1"/>
    <col min="9477" max="9506" width="1.109375" style="190"/>
    <col min="9507" max="9507" width="12.88671875" style="190" customWidth="1"/>
    <col min="9508" max="9552" width="1.109375" style="190"/>
    <col min="9553" max="9554" width="0" style="190" hidden="1" customWidth="1"/>
    <col min="9555" max="9555" width="11.88671875" style="190" customWidth="1"/>
    <col min="9556" max="9556" width="10.5546875" style="190" customWidth="1"/>
    <col min="9557" max="9557" width="15.33203125" style="190" customWidth="1"/>
    <col min="9558" max="9559" width="1.109375" style="190"/>
    <col min="9560" max="9560" width="1.44140625" style="190" customWidth="1"/>
    <col min="9561" max="9561" width="5.109375" style="190" bestFit="1" customWidth="1"/>
    <col min="9562" max="9566" width="1.109375" style="190"/>
    <col min="9567" max="9567" width="0" style="190" hidden="1" customWidth="1"/>
    <col min="9568" max="9569" width="1.109375" style="190"/>
    <col min="9570" max="9570" width="8.6640625" style="190" customWidth="1"/>
    <col min="9571" max="9731" width="1.109375" style="190"/>
    <col min="9732" max="9732" width="0.6640625" style="190" customWidth="1"/>
    <col min="9733" max="9762" width="1.109375" style="190"/>
    <col min="9763" max="9763" width="12.88671875" style="190" customWidth="1"/>
    <col min="9764" max="9808" width="1.109375" style="190"/>
    <col min="9809" max="9810" width="0" style="190" hidden="1" customWidth="1"/>
    <col min="9811" max="9811" width="11.88671875" style="190" customWidth="1"/>
    <col min="9812" max="9812" width="10.5546875" style="190" customWidth="1"/>
    <col min="9813" max="9813" width="15.33203125" style="190" customWidth="1"/>
    <col min="9814" max="9815" width="1.109375" style="190"/>
    <col min="9816" max="9816" width="1.44140625" style="190" customWidth="1"/>
    <col min="9817" max="9817" width="5.109375" style="190" bestFit="1" customWidth="1"/>
    <col min="9818" max="9822" width="1.109375" style="190"/>
    <col min="9823" max="9823" width="0" style="190" hidden="1" customWidth="1"/>
    <col min="9824" max="9825" width="1.109375" style="190"/>
    <col min="9826" max="9826" width="8.6640625" style="190" customWidth="1"/>
    <col min="9827" max="9987" width="1.109375" style="190"/>
    <col min="9988" max="9988" width="0.6640625" style="190" customWidth="1"/>
    <col min="9989" max="10018" width="1.109375" style="190"/>
    <col min="10019" max="10019" width="12.88671875" style="190" customWidth="1"/>
    <col min="10020" max="10064" width="1.109375" style="190"/>
    <col min="10065" max="10066" width="0" style="190" hidden="1" customWidth="1"/>
    <col min="10067" max="10067" width="11.88671875" style="190" customWidth="1"/>
    <col min="10068" max="10068" width="10.5546875" style="190" customWidth="1"/>
    <col min="10069" max="10069" width="15.33203125" style="190" customWidth="1"/>
    <col min="10070" max="10071" width="1.109375" style="190"/>
    <col min="10072" max="10072" width="1.44140625" style="190" customWidth="1"/>
    <col min="10073" max="10073" width="5.109375" style="190" bestFit="1" customWidth="1"/>
    <col min="10074" max="10078" width="1.109375" style="190"/>
    <col min="10079" max="10079" width="0" style="190" hidden="1" customWidth="1"/>
    <col min="10080" max="10081" width="1.109375" style="190"/>
    <col min="10082" max="10082" width="8.6640625" style="190" customWidth="1"/>
    <col min="10083" max="10243" width="1.109375" style="190"/>
    <col min="10244" max="10244" width="0.6640625" style="190" customWidth="1"/>
    <col min="10245" max="10274" width="1.109375" style="190"/>
    <col min="10275" max="10275" width="12.88671875" style="190" customWidth="1"/>
    <col min="10276" max="10320" width="1.109375" style="190"/>
    <col min="10321" max="10322" width="0" style="190" hidden="1" customWidth="1"/>
    <col min="10323" max="10323" width="11.88671875" style="190" customWidth="1"/>
    <col min="10324" max="10324" width="10.5546875" style="190" customWidth="1"/>
    <col min="10325" max="10325" width="15.33203125" style="190" customWidth="1"/>
    <col min="10326" max="10327" width="1.109375" style="190"/>
    <col min="10328" max="10328" width="1.44140625" style="190" customWidth="1"/>
    <col min="10329" max="10329" width="5.109375" style="190" bestFit="1" customWidth="1"/>
    <col min="10330" max="10334" width="1.109375" style="190"/>
    <col min="10335" max="10335" width="0" style="190" hidden="1" customWidth="1"/>
    <col min="10336" max="10337" width="1.109375" style="190"/>
    <col min="10338" max="10338" width="8.6640625" style="190" customWidth="1"/>
    <col min="10339" max="10499" width="1.109375" style="190"/>
    <col min="10500" max="10500" width="0.6640625" style="190" customWidth="1"/>
    <col min="10501" max="10530" width="1.109375" style="190"/>
    <col min="10531" max="10531" width="12.88671875" style="190" customWidth="1"/>
    <col min="10532" max="10576" width="1.109375" style="190"/>
    <col min="10577" max="10578" width="0" style="190" hidden="1" customWidth="1"/>
    <col min="10579" max="10579" width="11.88671875" style="190" customWidth="1"/>
    <col min="10580" max="10580" width="10.5546875" style="190" customWidth="1"/>
    <col min="10581" max="10581" width="15.33203125" style="190" customWidth="1"/>
    <col min="10582" max="10583" width="1.109375" style="190"/>
    <col min="10584" max="10584" width="1.44140625" style="190" customWidth="1"/>
    <col min="10585" max="10585" width="5.109375" style="190" bestFit="1" customWidth="1"/>
    <col min="10586" max="10590" width="1.109375" style="190"/>
    <col min="10591" max="10591" width="0" style="190" hidden="1" customWidth="1"/>
    <col min="10592" max="10593" width="1.109375" style="190"/>
    <col min="10594" max="10594" width="8.6640625" style="190" customWidth="1"/>
    <col min="10595" max="10755" width="1.109375" style="190"/>
    <col min="10756" max="10756" width="0.6640625" style="190" customWidth="1"/>
    <col min="10757" max="10786" width="1.109375" style="190"/>
    <col min="10787" max="10787" width="12.88671875" style="190" customWidth="1"/>
    <col min="10788" max="10832" width="1.109375" style="190"/>
    <col min="10833" max="10834" width="0" style="190" hidden="1" customWidth="1"/>
    <col min="10835" max="10835" width="11.88671875" style="190" customWidth="1"/>
    <col min="10836" max="10836" width="10.5546875" style="190" customWidth="1"/>
    <col min="10837" max="10837" width="15.33203125" style="190" customWidth="1"/>
    <col min="10838" max="10839" width="1.109375" style="190"/>
    <col min="10840" max="10840" width="1.44140625" style="190" customWidth="1"/>
    <col min="10841" max="10841" width="5.109375" style="190" bestFit="1" customWidth="1"/>
    <col min="10842" max="10846" width="1.109375" style="190"/>
    <col min="10847" max="10847" width="0" style="190" hidden="1" customWidth="1"/>
    <col min="10848" max="10849" width="1.109375" style="190"/>
    <col min="10850" max="10850" width="8.6640625" style="190" customWidth="1"/>
    <col min="10851" max="11011" width="1.109375" style="190"/>
    <col min="11012" max="11012" width="0.6640625" style="190" customWidth="1"/>
    <col min="11013" max="11042" width="1.109375" style="190"/>
    <col min="11043" max="11043" width="12.88671875" style="190" customWidth="1"/>
    <col min="11044" max="11088" width="1.109375" style="190"/>
    <col min="11089" max="11090" width="0" style="190" hidden="1" customWidth="1"/>
    <col min="11091" max="11091" width="11.88671875" style="190" customWidth="1"/>
    <col min="11092" max="11092" width="10.5546875" style="190" customWidth="1"/>
    <col min="11093" max="11093" width="15.33203125" style="190" customWidth="1"/>
    <col min="11094" max="11095" width="1.109375" style="190"/>
    <col min="11096" max="11096" width="1.44140625" style="190" customWidth="1"/>
    <col min="11097" max="11097" width="5.109375" style="190" bestFit="1" customWidth="1"/>
    <col min="11098" max="11102" width="1.109375" style="190"/>
    <col min="11103" max="11103" width="0" style="190" hidden="1" customWidth="1"/>
    <col min="11104" max="11105" width="1.109375" style="190"/>
    <col min="11106" max="11106" width="8.6640625" style="190" customWidth="1"/>
    <col min="11107" max="11267" width="1.109375" style="190"/>
    <col min="11268" max="11268" width="0.6640625" style="190" customWidth="1"/>
    <col min="11269" max="11298" width="1.109375" style="190"/>
    <col min="11299" max="11299" width="12.88671875" style="190" customWidth="1"/>
    <col min="11300" max="11344" width="1.109375" style="190"/>
    <col min="11345" max="11346" width="0" style="190" hidden="1" customWidth="1"/>
    <col min="11347" max="11347" width="11.88671875" style="190" customWidth="1"/>
    <col min="11348" max="11348" width="10.5546875" style="190" customWidth="1"/>
    <col min="11349" max="11349" width="15.33203125" style="190" customWidth="1"/>
    <col min="11350" max="11351" width="1.109375" style="190"/>
    <col min="11352" max="11352" width="1.44140625" style="190" customWidth="1"/>
    <col min="11353" max="11353" width="5.109375" style="190" bestFit="1" customWidth="1"/>
    <col min="11354" max="11358" width="1.109375" style="190"/>
    <col min="11359" max="11359" width="0" style="190" hidden="1" customWidth="1"/>
    <col min="11360" max="11361" width="1.109375" style="190"/>
    <col min="11362" max="11362" width="8.6640625" style="190" customWidth="1"/>
    <col min="11363" max="11523" width="1.109375" style="190"/>
    <col min="11524" max="11524" width="0.6640625" style="190" customWidth="1"/>
    <col min="11525" max="11554" width="1.109375" style="190"/>
    <col min="11555" max="11555" width="12.88671875" style="190" customWidth="1"/>
    <col min="11556" max="11600" width="1.109375" style="190"/>
    <col min="11601" max="11602" width="0" style="190" hidden="1" customWidth="1"/>
    <col min="11603" max="11603" width="11.88671875" style="190" customWidth="1"/>
    <col min="11604" max="11604" width="10.5546875" style="190" customWidth="1"/>
    <col min="11605" max="11605" width="15.33203125" style="190" customWidth="1"/>
    <col min="11606" max="11607" width="1.109375" style="190"/>
    <col min="11608" max="11608" width="1.44140625" style="190" customWidth="1"/>
    <col min="11609" max="11609" width="5.109375" style="190" bestFit="1" customWidth="1"/>
    <col min="11610" max="11614" width="1.109375" style="190"/>
    <col min="11615" max="11615" width="0" style="190" hidden="1" customWidth="1"/>
    <col min="11616" max="11617" width="1.109375" style="190"/>
    <col min="11618" max="11618" width="8.6640625" style="190" customWidth="1"/>
    <col min="11619" max="11779" width="1.109375" style="190"/>
    <col min="11780" max="11780" width="0.6640625" style="190" customWidth="1"/>
    <col min="11781" max="11810" width="1.109375" style="190"/>
    <col min="11811" max="11811" width="12.88671875" style="190" customWidth="1"/>
    <col min="11812" max="11856" width="1.109375" style="190"/>
    <col min="11857" max="11858" width="0" style="190" hidden="1" customWidth="1"/>
    <col min="11859" max="11859" width="11.88671875" style="190" customWidth="1"/>
    <col min="11860" max="11860" width="10.5546875" style="190" customWidth="1"/>
    <col min="11861" max="11861" width="15.33203125" style="190" customWidth="1"/>
    <col min="11862" max="11863" width="1.109375" style="190"/>
    <col min="11864" max="11864" width="1.44140625" style="190" customWidth="1"/>
    <col min="11865" max="11865" width="5.109375" style="190" bestFit="1" customWidth="1"/>
    <col min="11866" max="11870" width="1.109375" style="190"/>
    <col min="11871" max="11871" width="0" style="190" hidden="1" customWidth="1"/>
    <col min="11872" max="11873" width="1.109375" style="190"/>
    <col min="11874" max="11874" width="8.6640625" style="190" customWidth="1"/>
    <col min="11875" max="12035" width="1.109375" style="190"/>
    <col min="12036" max="12036" width="0.6640625" style="190" customWidth="1"/>
    <col min="12037" max="12066" width="1.109375" style="190"/>
    <col min="12067" max="12067" width="12.88671875" style="190" customWidth="1"/>
    <col min="12068" max="12112" width="1.109375" style="190"/>
    <col min="12113" max="12114" width="0" style="190" hidden="1" customWidth="1"/>
    <col min="12115" max="12115" width="11.88671875" style="190" customWidth="1"/>
    <col min="12116" max="12116" width="10.5546875" style="190" customWidth="1"/>
    <col min="12117" max="12117" width="15.33203125" style="190" customWidth="1"/>
    <col min="12118" max="12119" width="1.109375" style="190"/>
    <col min="12120" max="12120" width="1.44140625" style="190" customWidth="1"/>
    <col min="12121" max="12121" width="5.109375" style="190" bestFit="1" customWidth="1"/>
    <col min="12122" max="12126" width="1.109375" style="190"/>
    <col min="12127" max="12127" width="0" style="190" hidden="1" customWidth="1"/>
    <col min="12128" max="12129" width="1.109375" style="190"/>
    <col min="12130" max="12130" width="8.6640625" style="190" customWidth="1"/>
    <col min="12131" max="12291" width="1.109375" style="190"/>
    <col min="12292" max="12292" width="0.6640625" style="190" customWidth="1"/>
    <col min="12293" max="12322" width="1.109375" style="190"/>
    <col min="12323" max="12323" width="12.88671875" style="190" customWidth="1"/>
    <col min="12324" max="12368" width="1.109375" style="190"/>
    <col min="12369" max="12370" width="0" style="190" hidden="1" customWidth="1"/>
    <col min="12371" max="12371" width="11.88671875" style="190" customWidth="1"/>
    <col min="12372" max="12372" width="10.5546875" style="190" customWidth="1"/>
    <col min="12373" max="12373" width="15.33203125" style="190" customWidth="1"/>
    <col min="12374" max="12375" width="1.109375" style="190"/>
    <col min="12376" max="12376" width="1.44140625" style="190" customWidth="1"/>
    <col min="12377" max="12377" width="5.109375" style="190" bestFit="1" customWidth="1"/>
    <col min="12378" max="12382" width="1.109375" style="190"/>
    <col min="12383" max="12383" width="0" style="190" hidden="1" customWidth="1"/>
    <col min="12384" max="12385" width="1.109375" style="190"/>
    <col min="12386" max="12386" width="8.6640625" style="190" customWidth="1"/>
    <col min="12387" max="12547" width="1.109375" style="190"/>
    <col min="12548" max="12548" width="0.6640625" style="190" customWidth="1"/>
    <col min="12549" max="12578" width="1.109375" style="190"/>
    <col min="12579" max="12579" width="12.88671875" style="190" customWidth="1"/>
    <col min="12580" max="12624" width="1.109375" style="190"/>
    <col min="12625" max="12626" width="0" style="190" hidden="1" customWidth="1"/>
    <col min="12627" max="12627" width="11.88671875" style="190" customWidth="1"/>
    <col min="12628" max="12628" width="10.5546875" style="190" customWidth="1"/>
    <col min="12629" max="12629" width="15.33203125" style="190" customWidth="1"/>
    <col min="12630" max="12631" width="1.109375" style="190"/>
    <col min="12632" max="12632" width="1.44140625" style="190" customWidth="1"/>
    <col min="12633" max="12633" width="5.109375" style="190" bestFit="1" customWidth="1"/>
    <col min="12634" max="12638" width="1.109375" style="190"/>
    <col min="12639" max="12639" width="0" style="190" hidden="1" customWidth="1"/>
    <col min="12640" max="12641" width="1.109375" style="190"/>
    <col min="12642" max="12642" width="8.6640625" style="190" customWidth="1"/>
    <col min="12643" max="12803" width="1.109375" style="190"/>
    <col min="12804" max="12804" width="0.6640625" style="190" customWidth="1"/>
    <col min="12805" max="12834" width="1.109375" style="190"/>
    <col min="12835" max="12835" width="12.88671875" style="190" customWidth="1"/>
    <col min="12836" max="12880" width="1.109375" style="190"/>
    <col min="12881" max="12882" width="0" style="190" hidden="1" customWidth="1"/>
    <col min="12883" max="12883" width="11.88671875" style="190" customWidth="1"/>
    <col min="12884" max="12884" width="10.5546875" style="190" customWidth="1"/>
    <col min="12885" max="12885" width="15.33203125" style="190" customWidth="1"/>
    <col min="12886" max="12887" width="1.109375" style="190"/>
    <col min="12888" max="12888" width="1.44140625" style="190" customWidth="1"/>
    <col min="12889" max="12889" width="5.109375" style="190" bestFit="1" customWidth="1"/>
    <col min="12890" max="12894" width="1.109375" style="190"/>
    <col min="12895" max="12895" width="0" style="190" hidden="1" customWidth="1"/>
    <col min="12896" max="12897" width="1.109375" style="190"/>
    <col min="12898" max="12898" width="8.6640625" style="190" customWidth="1"/>
    <col min="12899" max="13059" width="1.109375" style="190"/>
    <col min="13060" max="13060" width="0.6640625" style="190" customWidth="1"/>
    <col min="13061" max="13090" width="1.109375" style="190"/>
    <col min="13091" max="13091" width="12.88671875" style="190" customWidth="1"/>
    <col min="13092" max="13136" width="1.109375" style="190"/>
    <col min="13137" max="13138" width="0" style="190" hidden="1" customWidth="1"/>
    <col min="13139" max="13139" width="11.88671875" style="190" customWidth="1"/>
    <col min="13140" max="13140" width="10.5546875" style="190" customWidth="1"/>
    <col min="13141" max="13141" width="15.33203125" style="190" customWidth="1"/>
    <col min="13142" max="13143" width="1.109375" style="190"/>
    <col min="13144" max="13144" width="1.44140625" style="190" customWidth="1"/>
    <col min="13145" max="13145" width="5.109375" style="190" bestFit="1" customWidth="1"/>
    <col min="13146" max="13150" width="1.109375" style="190"/>
    <col min="13151" max="13151" width="0" style="190" hidden="1" customWidth="1"/>
    <col min="13152" max="13153" width="1.109375" style="190"/>
    <col min="13154" max="13154" width="8.6640625" style="190" customWidth="1"/>
    <col min="13155" max="13315" width="1.109375" style="190"/>
    <col min="13316" max="13316" width="0.6640625" style="190" customWidth="1"/>
    <col min="13317" max="13346" width="1.109375" style="190"/>
    <col min="13347" max="13347" width="12.88671875" style="190" customWidth="1"/>
    <col min="13348" max="13392" width="1.109375" style="190"/>
    <col min="13393" max="13394" width="0" style="190" hidden="1" customWidth="1"/>
    <col min="13395" max="13395" width="11.88671875" style="190" customWidth="1"/>
    <col min="13396" max="13396" width="10.5546875" style="190" customWidth="1"/>
    <col min="13397" max="13397" width="15.33203125" style="190" customWidth="1"/>
    <col min="13398" max="13399" width="1.109375" style="190"/>
    <col min="13400" max="13400" width="1.44140625" style="190" customWidth="1"/>
    <col min="13401" max="13401" width="5.109375" style="190" bestFit="1" customWidth="1"/>
    <col min="13402" max="13406" width="1.109375" style="190"/>
    <col min="13407" max="13407" width="0" style="190" hidden="1" customWidth="1"/>
    <col min="13408" max="13409" width="1.109375" style="190"/>
    <col min="13410" max="13410" width="8.6640625" style="190" customWidth="1"/>
    <col min="13411" max="13571" width="1.109375" style="190"/>
    <col min="13572" max="13572" width="0.6640625" style="190" customWidth="1"/>
    <col min="13573" max="13602" width="1.109375" style="190"/>
    <col min="13603" max="13603" width="12.88671875" style="190" customWidth="1"/>
    <col min="13604" max="13648" width="1.109375" style="190"/>
    <col min="13649" max="13650" width="0" style="190" hidden="1" customWidth="1"/>
    <col min="13651" max="13651" width="11.88671875" style="190" customWidth="1"/>
    <col min="13652" max="13652" width="10.5546875" style="190" customWidth="1"/>
    <col min="13653" max="13653" width="15.33203125" style="190" customWidth="1"/>
    <col min="13654" max="13655" width="1.109375" style="190"/>
    <col min="13656" max="13656" width="1.44140625" style="190" customWidth="1"/>
    <col min="13657" max="13657" width="5.109375" style="190" bestFit="1" customWidth="1"/>
    <col min="13658" max="13662" width="1.109375" style="190"/>
    <col min="13663" max="13663" width="0" style="190" hidden="1" customWidth="1"/>
    <col min="13664" max="13665" width="1.109375" style="190"/>
    <col min="13666" max="13666" width="8.6640625" style="190" customWidth="1"/>
    <col min="13667" max="13827" width="1.109375" style="190"/>
    <col min="13828" max="13828" width="0.6640625" style="190" customWidth="1"/>
    <col min="13829" max="13858" width="1.109375" style="190"/>
    <col min="13859" max="13859" width="12.88671875" style="190" customWidth="1"/>
    <col min="13860" max="13904" width="1.109375" style="190"/>
    <col min="13905" max="13906" width="0" style="190" hidden="1" customWidth="1"/>
    <col min="13907" max="13907" width="11.88671875" style="190" customWidth="1"/>
    <col min="13908" max="13908" width="10.5546875" style="190" customWidth="1"/>
    <col min="13909" max="13909" width="15.33203125" style="190" customWidth="1"/>
    <col min="13910" max="13911" width="1.109375" style="190"/>
    <col min="13912" max="13912" width="1.44140625" style="190" customWidth="1"/>
    <col min="13913" max="13913" width="5.109375" style="190" bestFit="1" customWidth="1"/>
    <col min="13914" max="13918" width="1.109375" style="190"/>
    <col min="13919" max="13919" width="0" style="190" hidden="1" customWidth="1"/>
    <col min="13920" max="13921" width="1.109375" style="190"/>
    <col min="13922" max="13922" width="8.6640625" style="190" customWidth="1"/>
    <col min="13923" max="14083" width="1.109375" style="190"/>
    <col min="14084" max="14084" width="0.6640625" style="190" customWidth="1"/>
    <col min="14085" max="14114" width="1.109375" style="190"/>
    <col min="14115" max="14115" width="12.88671875" style="190" customWidth="1"/>
    <col min="14116" max="14160" width="1.109375" style="190"/>
    <col min="14161" max="14162" width="0" style="190" hidden="1" customWidth="1"/>
    <col min="14163" max="14163" width="11.88671875" style="190" customWidth="1"/>
    <col min="14164" max="14164" width="10.5546875" style="190" customWidth="1"/>
    <col min="14165" max="14165" width="15.33203125" style="190" customWidth="1"/>
    <col min="14166" max="14167" width="1.109375" style="190"/>
    <col min="14168" max="14168" width="1.44140625" style="190" customWidth="1"/>
    <col min="14169" max="14169" width="5.109375" style="190" bestFit="1" customWidth="1"/>
    <col min="14170" max="14174" width="1.109375" style="190"/>
    <col min="14175" max="14175" width="0" style="190" hidden="1" customWidth="1"/>
    <col min="14176" max="14177" width="1.109375" style="190"/>
    <col min="14178" max="14178" width="8.6640625" style="190" customWidth="1"/>
    <col min="14179" max="14339" width="1.109375" style="190"/>
    <col min="14340" max="14340" width="0.6640625" style="190" customWidth="1"/>
    <col min="14341" max="14370" width="1.109375" style="190"/>
    <col min="14371" max="14371" width="12.88671875" style="190" customWidth="1"/>
    <col min="14372" max="14416" width="1.109375" style="190"/>
    <col min="14417" max="14418" width="0" style="190" hidden="1" customWidth="1"/>
    <col min="14419" max="14419" width="11.88671875" style="190" customWidth="1"/>
    <col min="14420" max="14420" width="10.5546875" style="190" customWidth="1"/>
    <col min="14421" max="14421" width="15.33203125" style="190" customWidth="1"/>
    <col min="14422" max="14423" width="1.109375" style="190"/>
    <col min="14424" max="14424" width="1.44140625" style="190" customWidth="1"/>
    <col min="14425" max="14425" width="5.109375" style="190" bestFit="1" customWidth="1"/>
    <col min="14426" max="14430" width="1.109375" style="190"/>
    <col min="14431" max="14431" width="0" style="190" hidden="1" customWidth="1"/>
    <col min="14432" max="14433" width="1.109375" style="190"/>
    <col min="14434" max="14434" width="8.6640625" style="190" customWidth="1"/>
    <col min="14435" max="14595" width="1.109375" style="190"/>
    <col min="14596" max="14596" width="0.6640625" style="190" customWidth="1"/>
    <col min="14597" max="14626" width="1.109375" style="190"/>
    <col min="14627" max="14627" width="12.88671875" style="190" customWidth="1"/>
    <col min="14628" max="14672" width="1.109375" style="190"/>
    <col min="14673" max="14674" width="0" style="190" hidden="1" customWidth="1"/>
    <col min="14675" max="14675" width="11.88671875" style="190" customWidth="1"/>
    <col min="14676" max="14676" width="10.5546875" style="190" customWidth="1"/>
    <col min="14677" max="14677" width="15.33203125" style="190" customWidth="1"/>
    <col min="14678" max="14679" width="1.109375" style="190"/>
    <col min="14680" max="14680" width="1.44140625" style="190" customWidth="1"/>
    <col min="14681" max="14681" width="5.109375" style="190" bestFit="1" customWidth="1"/>
    <col min="14682" max="14686" width="1.109375" style="190"/>
    <col min="14687" max="14687" width="0" style="190" hidden="1" customWidth="1"/>
    <col min="14688" max="14689" width="1.109375" style="190"/>
    <col min="14690" max="14690" width="8.6640625" style="190" customWidth="1"/>
    <col min="14691" max="14851" width="1.109375" style="190"/>
    <col min="14852" max="14852" width="0.6640625" style="190" customWidth="1"/>
    <col min="14853" max="14882" width="1.109375" style="190"/>
    <col min="14883" max="14883" width="12.88671875" style="190" customWidth="1"/>
    <col min="14884" max="14928" width="1.109375" style="190"/>
    <col min="14929" max="14930" width="0" style="190" hidden="1" customWidth="1"/>
    <col min="14931" max="14931" width="11.88671875" style="190" customWidth="1"/>
    <col min="14932" max="14932" width="10.5546875" style="190" customWidth="1"/>
    <col min="14933" max="14933" width="15.33203125" style="190" customWidth="1"/>
    <col min="14934" max="14935" width="1.109375" style="190"/>
    <col min="14936" max="14936" width="1.44140625" style="190" customWidth="1"/>
    <col min="14937" max="14937" width="5.109375" style="190" bestFit="1" customWidth="1"/>
    <col min="14938" max="14942" width="1.109375" style="190"/>
    <col min="14943" max="14943" width="0" style="190" hidden="1" customWidth="1"/>
    <col min="14944" max="14945" width="1.109375" style="190"/>
    <col min="14946" max="14946" width="8.6640625" style="190" customWidth="1"/>
    <col min="14947" max="15107" width="1.109375" style="190"/>
    <col min="15108" max="15108" width="0.6640625" style="190" customWidth="1"/>
    <col min="15109" max="15138" width="1.109375" style="190"/>
    <col min="15139" max="15139" width="12.88671875" style="190" customWidth="1"/>
    <col min="15140" max="15184" width="1.109375" style="190"/>
    <col min="15185" max="15186" width="0" style="190" hidden="1" customWidth="1"/>
    <col min="15187" max="15187" width="11.88671875" style="190" customWidth="1"/>
    <col min="15188" max="15188" width="10.5546875" style="190" customWidth="1"/>
    <col min="15189" max="15189" width="15.33203125" style="190" customWidth="1"/>
    <col min="15190" max="15191" width="1.109375" style="190"/>
    <col min="15192" max="15192" width="1.44140625" style="190" customWidth="1"/>
    <col min="15193" max="15193" width="5.109375" style="190" bestFit="1" customWidth="1"/>
    <col min="15194" max="15198" width="1.109375" style="190"/>
    <col min="15199" max="15199" width="0" style="190" hidden="1" customWidth="1"/>
    <col min="15200" max="15201" width="1.109375" style="190"/>
    <col min="15202" max="15202" width="8.6640625" style="190" customWidth="1"/>
    <col min="15203" max="15363" width="1.109375" style="190"/>
    <col min="15364" max="15364" width="0.6640625" style="190" customWidth="1"/>
    <col min="15365" max="15394" width="1.109375" style="190"/>
    <col min="15395" max="15395" width="12.88671875" style="190" customWidth="1"/>
    <col min="15396" max="15440" width="1.109375" style="190"/>
    <col min="15441" max="15442" width="0" style="190" hidden="1" customWidth="1"/>
    <col min="15443" max="15443" width="11.88671875" style="190" customWidth="1"/>
    <col min="15444" max="15444" width="10.5546875" style="190" customWidth="1"/>
    <col min="15445" max="15445" width="15.33203125" style="190" customWidth="1"/>
    <col min="15446" max="15447" width="1.109375" style="190"/>
    <col min="15448" max="15448" width="1.44140625" style="190" customWidth="1"/>
    <col min="15449" max="15449" width="5.109375" style="190" bestFit="1" customWidth="1"/>
    <col min="15450" max="15454" width="1.109375" style="190"/>
    <col min="15455" max="15455" width="0" style="190" hidden="1" customWidth="1"/>
    <col min="15456" max="15457" width="1.109375" style="190"/>
    <col min="15458" max="15458" width="8.6640625" style="190" customWidth="1"/>
    <col min="15459" max="15619" width="1.109375" style="190"/>
    <col min="15620" max="15620" width="0.6640625" style="190" customWidth="1"/>
    <col min="15621" max="15650" width="1.109375" style="190"/>
    <col min="15651" max="15651" width="12.88671875" style="190" customWidth="1"/>
    <col min="15652" max="15696" width="1.109375" style="190"/>
    <col min="15697" max="15698" width="0" style="190" hidden="1" customWidth="1"/>
    <col min="15699" max="15699" width="11.88671875" style="190" customWidth="1"/>
    <col min="15700" max="15700" width="10.5546875" style="190" customWidth="1"/>
    <col min="15701" max="15701" width="15.33203125" style="190" customWidth="1"/>
    <col min="15702" max="15703" width="1.109375" style="190"/>
    <col min="15704" max="15704" width="1.44140625" style="190" customWidth="1"/>
    <col min="15705" max="15705" width="5.109375" style="190" bestFit="1" customWidth="1"/>
    <col min="15706" max="15710" width="1.109375" style="190"/>
    <col min="15711" max="15711" width="0" style="190" hidden="1" customWidth="1"/>
    <col min="15712" max="15713" width="1.109375" style="190"/>
    <col min="15714" max="15714" width="8.6640625" style="190" customWidth="1"/>
    <col min="15715" max="15875" width="1.109375" style="190"/>
    <col min="15876" max="15876" width="0.6640625" style="190" customWidth="1"/>
    <col min="15877" max="15906" width="1.109375" style="190"/>
    <col min="15907" max="15907" width="12.88671875" style="190" customWidth="1"/>
    <col min="15908" max="15952" width="1.109375" style="190"/>
    <col min="15953" max="15954" width="0" style="190" hidden="1" customWidth="1"/>
    <col min="15955" max="15955" width="11.88671875" style="190" customWidth="1"/>
    <col min="15956" max="15956" width="10.5546875" style="190" customWidth="1"/>
    <col min="15957" max="15957" width="15.33203125" style="190" customWidth="1"/>
    <col min="15958" max="15959" width="1.109375" style="190"/>
    <col min="15960" max="15960" width="1.44140625" style="190" customWidth="1"/>
    <col min="15961" max="15961" width="5.109375" style="190" bestFit="1" customWidth="1"/>
    <col min="15962" max="15966" width="1.109375" style="190"/>
    <col min="15967" max="15967" width="0" style="190" hidden="1" customWidth="1"/>
    <col min="15968" max="15969" width="1.109375" style="190"/>
    <col min="15970" max="15970" width="8.6640625" style="190" customWidth="1"/>
    <col min="15971" max="16131" width="1.109375" style="190"/>
    <col min="16132" max="16132" width="0.6640625" style="190" customWidth="1"/>
    <col min="16133" max="16162" width="1.109375" style="190"/>
    <col min="16163" max="16163" width="12.88671875" style="190" customWidth="1"/>
    <col min="16164" max="16208" width="1.109375" style="190"/>
    <col min="16209" max="16210" width="0" style="190" hidden="1" customWidth="1"/>
    <col min="16211" max="16211" width="11.88671875" style="190" customWidth="1"/>
    <col min="16212" max="16212" width="10.5546875" style="190" customWidth="1"/>
    <col min="16213" max="16213" width="15.33203125" style="190" customWidth="1"/>
    <col min="16214" max="16215" width="1.109375" style="190"/>
    <col min="16216" max="16216" width="1.44140625" style="190" customWidth="1"/>
    <col min="16217" max="16217" width="5.109375" style="190" bestFit="1" customWidth="1"/>
    <col min="16218" max="16222" width="1.109375" style="190"/>
    <col min="16223" max="16223" width="0" style="190" hidden="1" customWidth="1"/>
    <col min="16224" max="16225" width="1.109375" style="190"/>
    <col min="16226" max="16226" width="8.6640625" style="190" customWidth="1"/>
    <col min="16227" max="16384" width="1.109375" style="190"/>
  </cols>
  <sheetData>
    <row r="1" spans="1:86" s="76" customFormat="1" ht="15.6">
      <c r="A1" s="827" t="s">
        <v>500</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827"/>
      <c r="BQ1" s="827"/>
      <c r="BR1" s="827"/>
      <c r="BS1" s="827"/>
      <c r="BT1" s="827"/>
      <c r="BU1" s="827"/>
      <c r="BV1" s="827"/>
      <c r="BW1" s="827"/>
      <c r="BX1" s="827"/>
      <c r="BY1" s="827"/>
      <c r="BZ1" s="827"/>
      <c r="CA1" s="827"/>
      <c r="CB1" s="827"/>
    </row>
    <row r="2" spans="1:86" s="78" customFormat="1" ht="7.8">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row>
    <row r="3" spans="1:86" s="76" customFormat="1" ht="15.6">
      <c r="A3" s="76" t="s">
        <v>383</v>
      </c>
      <c r="B3" s="182"/>
      <c r="C3" s="182"/>
      <c r="D3" s="182"/>
      <c r="E3" s="182"/>
      <c r="F3" s="182"/>
      <c r="G3" s="182"/>
      <c r="H3" s="182"/>
      <c r="I3" s="182"/>
      <c r="J3" s="182"/>
      <c r="K3" s="182"/>
      <c r="L3" s="182"/>
      <c r="M3" s="182"/>
      <c r="N3" s="182"/>
      <c r="O3" s="182"/>
      <c r="P3" s="182"/>
      <c r="Q3" s="182"/>
      <c r="R3" s="182"/>
      <c r="S3" s="1042" t="s">
        <v>1036</v>
      </c>
      <c r="T3" s="1042"/>
      <c r="U3" s="1042"/>
      <c r="V3" s="1042"/>
      <c r="W3" s="1042"/>
      <c r="X3" s="1042"/>
      <c r="Y3" s="1042"/>
      <c r="Z3" s="1042"/>
      <c r="AA3" s="1042"/>
      <c r="AB3" s="1042"/>
      <c r="AC3" s="1042"/>
      <c r="AD3" s="1042"/>
      <c r="AE3" s="1042"/>
      <c r="AF3" s="1042"/>
      <c r="AG3" s="1042"/>
      <c r="AH3" s="1042"/>
      <c r="AI3" s="1042"/>
      <c r="AJ3" s="1042"/>
      <c r="AK3" s="1042"/>
      <c r="AL3" s="1042"/>
      <c r="AM3" s="1042"/>
      <c r="AN3" s="1042"/>
      <c r="AO3" s="1042"/>
      <c r="AP3" s="1042"/>
      <c r="AQ3" s="1042"/>
      <c r="AR3" s="1042"/>
      <c r="AS3" s="1042"/>
      <c r="AT3" s="1042"/>
      <c r="AU3" s="1042"/>
      <c r="AV3" s="1042"/>
      <c r="AW3" s="1042"/>
      <c r="AX3" s="1042"/>
      <c r="AY3" s="1042"/>
      <c r="AZ3" s="1042"/>
      <c r="BA3" s="1042"/>
      <c r="BB3" s="1042"/>
      <c r="BC3" s="1042"/>
      <c r="BD3" s="1042"/>
      <c r="BE3" s="1042"/>
      <c r="BF3" s="1042"/>
      <c r="BG3" s="1042"/>
      <c r="BH3" s="1042"/>
      <c r="BI3" s="1042"/>
      <c r="BJ3" s="1042"/>
      <c r="BK3" s="1042"/>
      <c r="BL3" s="1042"/>
      <c r="BM3" s="1042"/>
      <c r="BN3" s="1042"/>
      <c r="BO3" s="1042"/>
      <c r="BP3" s="1042"/>
      <c r="BQ3" s="1042"/>
      <c r="BR3" s="1042"/>
      <c r="BS3" s="1042"/>
      <c r="BT3" s="1042"/>
      <c r="BU3" s="1042"/>
      <c r="BV3" s="1042"/>
      <c r="BW3" s="1042"/>
      <c r="BX3" s="1042"/>
      <c r="BY3" s="1042"/>
      <c r="BZ3" s="1042"/>
      <c r="CA3" s="1042"/>
      <c r="CB3" s="1042"/>
    </row>
    <row r="4" spans="1:86" s="78" customFormat="1" ht="7.8">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row>
    <row r="5" spans="1:86" s="76" customFormat="1" ht="15.6">
      <c r="A5" s="76" t="s">
        <v>385</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043" t="s">
        <v>477</v>
      </c>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row>
    <row r="6" spans="1:86" s="76" customFormat="1" ht="10.8" customHeight="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row>
    <row r="7" spans="1:86" s="76" customFormat="1" ht="15.6">
      <c r="A7" s="827" t="s">
        <v>501</v>
      </c>
      <c r="B7" s="827"/>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7"/>
      <c r="AY7" s="827"/>
      <c r="AZ7" s="827"/>
      <c r="BA7" s="827"/>
      <c r="BB7" s="827"/>
      <c r="BC7" s="827"/>
      <c r="BD7" s="827"/>
      <c r="BE7" s="827"/>
      <c r="BF7" s="827"/>
      <c r="BG7" s="827"/>
      <c r="BH7" s="827"/>
      <c r="BI7" s="827"/>
      <c r="BJ7" s="827"/>
      <c r="BK7" s="827"/>
      <c r="BL7" s="827"/>
      <c r="BM7" s="827"/>
      <c r="BN7" s="827"/>
      <c r="BO7" s="827"/>
      <c r="BP7" s="827"/>
      <c r="BQ7" s="827"/>
      <c r="BR7" s="827"/>
      <c r="BS7" s="827"/>
      <c r="BT7" s="827"/>
      <c r="BU7" s="827"/>
      <c r="BV7" s="827"/>
      <c r="BW7" s="827"/>
      <c r="BX7" s="827"/>
      <c r="BY7" s="827"/>
      <c r="BZ7" s="827"/>
      <c r="CA7" s="827"/>
      <c r="CB7" s="827"/>
    </row>
    <row r="9" spans="1:86">
      <c r="A9" s="823" t="s">
        <v>388</v>
      </c>
      <c r="B9" s="824"/>
      <c r="C9" s="824"/>
      <c r="D9" s="825"/>
      <c r="E9" s="823" t="s">
        <v>422</v>
      </c>
      <c r="F9" s="824"/>
      <c r="G9" s="824"/>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5"/>
      <c r="AJ9" s="823" t="s">
        <v>424</v>
      </c>
      <c r="AK9" s="824"/>
      <c r="AL9" s="824"/>
      <c r="AM9" s="824"/>
      <c r="AN9" s="824"/>
      <c r="AO9" s="824"/>
      <c r="AP9" s="824"/>
      <c r="AQ9" s="824"/>
      <c r="AR9" s="824"/>
      <c r="AS9" s="824"/>
      <c r="AT9" s="825"/>
      <c r="AU9" s="823" t="s">
        <v>424</v>
      </c>
      <c r="AV9" s="824"/>
      <c r="AW9" s="824"/>
      <c r="AX9" s="824"/>
      <c r="AY9" s="824"/>
      <c r="AZ9" s="824"/>
      <c r="BA9" s="824"/>
      <c r="BB9" s="824"/>
      <c r="BC9" s="824"/>
      <c r="BD9" s="825"/>
      <c r="BE9" s="823" t="s">
        <v>502</v>
      </c>
      <c r="BF9" s="824"/>
      <c r="BG9" s="824"/>
      <c r="BH9" s="824"/>
      <c r="BI9" s="824"/>
      <c r="BJ9" s="824"/>
      <c r="BK9" s="824"/>
      <c r="BL9" s="824"/>
      <c r="BM9" s="824"/>
      <c r="BN9" s="824"/>
      <c r="BO9" s="825"/>
      <c r="BP9" s="823" t="s">
        <v>269</v>
      </c>
      <c r="BQ9" s="824"/>
      <c r="BR9" s="824"/>
      <c r="BS9" s="824"/>
      <c r="BT9" s="824"/>
      <c r="BU9" s="824"/>
      <c r="BV9" s="824"/>
      <c r="BW9" s="824"/>
      <c r="BX9" s="824"/>
      <c r="BY9" s="824"/>
      <c r="BZ9" s="824"/>
      <c r="CA9" s="824"/>
      <c r="CB9" s="825"/>
    </row>
    <row r="10" spans="1:86">
      <c r="A10" s="820" t="s">
        <v>395</v>
      </c>
      <c r="B10" s="821"/>
      <c r="C10" s="821"/>
      <c r="D10" s="822"/>
      <c r="E10" s="820" t="s">
        <v>1037</v>
      </c>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2"/>
      <c r="AJ10" s="820" t="s">
        <v>503</v>
      </c>
      <c r="AK10" s="821"/>
      <c r="AL10" s="821"/>
      <c r="AM10" s="821"/>
      <c r="AN10" s="821"/>
      <c r="AO10" s="821"/>
      <c r="AP10" s="821"/>
      <c r="AQ10" s="821"/>
      <c r="AR10" s="821"/>
      <c r="AS10" s="821"/>
      <c r="AT10" s="822"/>
      <c r="AU10" s="820" t="s">
        <v>504</v>
      </c>
      <c r="AV10" s="821"/>
      <c r="AW10" s="821"/>
      <c r="AX10" s="821"/>
      <c r="AY10" s="821"/>
      <c r="AZ10" s="821"/>
      <c r="BA10" s="821"/>
      <c r="BB10" s="821"/>
      <c r="BC10" s="821"/>
      <c r="BD10" s="822"/>
      <c r="BE10" s="820" t="s">
        <v>900</v>
      </c>
      <c r="BF10" s="821"/>
      <c r="BG10" s="821"/>
      <c r="BH10" s="821"/>
      <c r="BI10" s="821"/>
      <c r="BJ10" s="821"/>
      <c r="BK10" s="821"/>
      <c r="BL10" s="821"/>
      <c r="BM10" s="821"/>
      <c r="BN10" s="821"/>
      <c r="BO10" s="822"/>
      <c r="BP10" s="820" t="s">
        <v>428</v>
      </c>
      <c r="BQ10" s="821"/>
      <c r="BR10" s="821"/>
      <c r="BS10" s="821"/>
      <c r="BT10" s="821"/>
      <c r="BU10" s="821"/>
      <c r="BV10" s="821"/>
      <c r="BW10" s="821"/>
      <c r="BX10" s="821"/>
      <c r="BY10" s="821"/>
      <c r="BZ10" s="821"/>
      <c r="CA10" s="821"/>
      <c r="CB10" s="822"/>
    </row>
    <row r="11" spans="1:86">
      <c r="A11" s="820"/>
      <c r="B11" s="821"/>
      <c r="C11" s="821"/>
      <c r="D11" s="822"/>
      <c r="E11" s="820"/>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2"/>
      <c r="AJ11" s="820"/>
      <c r="AK11" s="821"/>
      <c r="AL11" s="821"/>
      <c r="AM11" s="821"/>
      <c r="AN11" s="821"/>
      <c r="AO11" s="821"/>
      <c r="AP11" s="821"/>
      <c r="AQ11" s="821"/>
      <c r="AR11" s="821"/>
      <c r="AS11" s="821"/>
      <c r="AT11" s="822"/>
      <c r="AU11" s="820" t="s">
        <v>505</v>
      </c>
      <c r="AV11" s="821"/>
      <c r="AW11" s="821"/>
      <c r="AX11" s="821"/>
      <c r="AY11" s="821"/>
      <c r="AZ11" s="821"/>
      <c r="BA11" s="821"/>
      <c r="BB11" s="821"/>
      <c r="BC11" s="821"/>
      <c r="BD11" s="822"/>
      <c r="BE11" s="820" t="s">
        <v>237</v>
      </c>
      <c r="BF11" s="821"/>
      <c r="BG11" s="821"/>
      <c r="BH11" s="821"/>
      <c r="BI11" s="821"/>
      <c r="BJ11" s="821"/>
      <c r="BK11" s="821"/>
      <c r="BL11" s="821"/>
      <c r="BM11" s="821"/>
      <c r="BN11" s="821"/>
      <c r="BO11" s="822"/>
      <c r="BP11" s="820"/>
      <c r="BQ11" s="821"/>
      <c r="BR11" s="821"/>
      <c r="BS11" s="821"/>
      <c r="BT11" s="821"/>
      <c r="BU11" s="821"/>
      <c r="BV11" s="821"/>
      <c r="BW11" s="821"/>
      <c r="BX11" s="821"/>
      <c r="BY11" s="821"/>
      <c r="BZ11" s="821"/>
      <c r="CA11" s="821"/>
      <c r="CB11" s="822"/>
    </row>
    <row r="12" spans="1:86">
      <c r="A12" s="1031">
        <v>1</v>
      </c>
      <c r="B12" s="1031"/>
      <c r="C12" s="1031"/>
      <c r="D12" s="1031"/>
      <c r="E12" s="1031">
        <v>2</v>
      </c>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v>3</v>
      </c>
      <c r="AK12" s="1031"/>
      <c r="AL12" s="1031"/>
      <c r="AM12" s="1031"/>
      <c r="AN12" s="1031"/>
      <c r="AO12" s="1031"/>
      <c r="AP12" s="1031"/>
      <c r="AQ12" s="1031"/>
      <c r="AR12" s="1031"/>
      <c r="AS12" s="1031"/>
      <c r="AT12" s="1031"/>
      <c r="AU12" s="1031">
        <v>4</v>
      </c>
      <c r="AV12" s="1031"/>
      <c r="AW12" s="1031"/>
      <c r="AX12" s="1031"/>
      <c r="AY12" s="1031"/>
      <c r="AZ12" s="1031"/>
      <c r="BA12" s="1031"/>
      <c r="BB12" s="1031"/>
      <c r="BC12" s="1031"/>
      <c r="BD12" s="1031"/>
      <c r="BE12" s="1031">
        <v>5</v>
      </c>
      <c r="BF12" s="1031"/>
      <c r="BG12" s="1031"/>
      <c r="BH12" s="1031"/>
      <c r="BI12" s="1031"/>
      <c r="BJ12" s="1031"/>
      <c r="BK12" s="1031"/>
      <c r="BL12" s="1031"/>
      <c r="BM12" s="1031"/>
      <c r="BN12" s="1031"/>
      <c r="BO12" s="1031"/>
      <c r="BP12" s="1031">
        <v>6</v>
      </c>
      <c r="BQ12" s="1031"/>
      <c r="BR12" s="1031"/>
      <c r="BS12" s="1031"/>
      <c r="BT12" s="1031"/>
      <c r="BU12" s="1031"/>
      <c r="BV12" s="1031"/>
      <c r="BW12" s="1031"/>
      <c r="BX12" s="1031"/>
      <c r="BY12" s="1031"/>
      <c r="BZ12" s="1031"/>
      <c r="CA12" s="1031"/>
      <c r="CB12" s="1031"/>
    </row>
    <row r="13" spans="1:86" ht="16.95" customHeight="1">
      <c r="A13" s="814">
        <v>1</v>
      </c>
      <c r="B13" s="815"/>
      <c r="C13" s="815"/>
      <c r="D13" s="816"/>
      <c r="E13" s="920" t="s">
        <v>581</v>
      </c>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2"/>
      <c r="AJ13" s="904"/>
      <c r="AK13" s="905"/>
      <c r="AL13" s="905"/>
      <c r="AM13" s="905"/>
      <c r="AN13" s="905"/>
      <c r="AO13" s="905"/>
      <c r="AP13" s="905"/>
      <c r="AQ13" s="905"/>
      <c r="AR13" s="905"/>
      <c r="AS13" s="905"/>
      <c r="AT13" s="906"/>
      <c r="AU13" s="904"/>
      <c r="AV13" s="905"/>
      <c r="AW13" s="905"/>
      <c r="AX13" s="905"/>
      <c r="AY13" s="905"/>
      <c r="AZ13" s="905"/>
      <c r="BA13" s="905"/>
      <c r="BB13" s="905"/>
      <c r="BC13" s="905"/>
      <c r="BD13" s="906"/>
      <c r="BE13" s="868"/>
      <c r="BF13" s="869"/>
      <c r="BG13" s="869"/>
      <c r="BH13" s="869"/>
      <c r="BI13" s="869"/>
      <c r="BJ13" s="869"/>
      <c r="BK13" s="869"/>
      <c r="BL13" s="869"/>
      <c r="BM13" s="869"/>
      <c r="BN13" s="869"/>
      <c r="BO13" s="870"/>
      <c r="BP13" s="1039">
        <f>BP14+BP15</f>
        <v>96540.82</v>
      </c>
      <c r="BQ13" s="1040"/>
      <c r="BR13" s="1040"/>
      <c r="BS13" s="1040"/>
      <c r="BT13" s="1040"/>
      <c r="BU13" s="1040"/>
      <c r="BV13" s="1040"/>
      <c r="BW13" s="1040"/>
      <c r="BX13" s="1040"/>
      <c r="BY13" s="1040"/>
      <c r="BZ13" s="1040"/>
      <c r="CA13" s="1040"/>
      <c r="CB13" s="1041"/>
      <c r="CE13" s="240"/>
    </row>
    <row r="14" spans="1:86" ht="16.95" customHeight="1">
      <c r="A14" s="941" t="s">
        <v>452</v>
      </c>
      <c r="B14" s="942"/>
      <c r="C14" s="942"/>
      <c r="D14" s="943"/>
      <c r="E14" s="980" t="s">
        <v>901</v>
      </c>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2"/>
      <c r="AJ14" s="1036">
        <v>6</v>
      </c>
      <c r="AK14" s="1037"/>
      <c r="AL14" s="1037"/>
      <c r="AM14" s="1037"/>
      <c r="AN14" s="1037"/>
      <c r="AO14" s="1037"/>
      <c r="AP14" s="1037"/>
      <c r="AQ14" s="1037"/>
      <c r="AR14" s="1037"/>
      <c r="AS14" s="1037"/>
      <c r="AT14" s="1038"/>
      <c r="AU14" s="1036">
        <v>12</v>
      </c>
      <c r="AV14" s="1037"/>
      <c r="AW14" s="1037"/>
      <c r="AX14" s="1037"/>
      <c r="AY14" s="1037"/>
      <c r="AZ14" s="1037"/>
      <c r="BA14" s="1037"/>
      <c r="BB14" s="1037"/>
      <c r="BC14" s="1037"/>
      <c r="BD14" s="1038"/>
      <c r="BE14" s="868">
        <v>7150</v>
      </c>
      <c r="BF14" s="869"/>
      <c r="BG14" s="869"/>
      <c r="BH14" s="869"/>
      <c r="BI14" s="869"/>
      <c r="BJ14" s="869"/>
      <c r="BK14" s="869"/>
      <c r="BL14" s="869"/>
      <c r="BM14" s="869"/>
      <c r="BN14" s="869"/>
      <c r="BO14" s="870"/>
      <c r="BP14" s="1007">
        <f>AU14*BE14+4817.32</f>
        <v>90617.32</v>
      </c>
      <c r="BQ14" s="1008"/>
      <c r="BR14" s="1008"/>
      <c r="BS14" s="1008"/>
      <c r="BT14" s="1008"/>
      <c r="BU14" s="1008"/>
      <c r="BV14" s="1008"/>
      <c r="BW14" s="1008"/>
      <c r="BX14" s="1008"/>
      <c r="BY14" s="1008"/>
      <c r="BZ14" s="1008"/>
      <c r="CA14" s="1008"/>
      <c r="CB14" s="1009"/>
      <c r="CE14" s="240" t="s">
        <v>994</v>
      </c>
      <c r="CF14" s="205"/>
      <c r="CG14" s="205">
        <f>60000+5000+12000</f>
        <v>77000</v>
      </c>
      <c r="CH14" s="82">
        <f>BP14-CG14</f>
        <v>13617.320000000007</v>
      </c>
    </row>
    <row r="15" spans="1:86" ht="16.95" customHeight="1">
      <c r="A15" s="941" t="s">
        <v>139</v>
      </c>
      <c r="B15" s="942"/>
      <c r="C15" s="942"/>
      <c r="D15" s="943"/>
      <c r="E15" s="980" t="s">
        <v>902</v>
      </c>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2"/>
      <c r="AJ15" s="1036">
        <v>6</v>
      </c>
      <c r="AK15" s="1037"/>
      <c r="AL15" s="1037"/>
      <c r="AM15" s="1037"/>
      <c r="AN15" s="1037"/>
      <c r="AO15" s="1037"/>
      <c r="AP15" s="1037"/>
      <c r="AQ15" s="1037"/>
      <c r="AR15" s="1037"/>
      <c r="AS15" s="1037"/>
      <c r="AT15" s="1038"/>
      <c r="AU15" s="1036">
        <v>1</v>
      </c>
      <c r="AV15" s="1037"/>
      <c r="AW15" s="1037"/>
      <c r="AX15" s="1037"/>
      <c r="AY15" s="1037"/>
      <c r="AZ15" s="1037"/>
      <c r="BA15" s="1037"/>
      <c r="BB15" s="1037"/>
      <c r="BC15" s="1037"/>
      <c r="BD15" s="1038"/>
      <c r="BE15" s="868">
        <f>4901.99+61.03+844.8+115.68</f>
        <v>5923.5</v>
      </c>
      <c r="BF15" s="869"/>
      <c r="BG15" s="869"/>
      <c r="BH15" s="869"/>
      <c r="BI15" s="869"/>
      <c r="BJ15" s="869"/>
      <c r="BK15" s="869"/>
      <c r="BL15" s="869"/>
      <c r="BM15" s="869"/>
      <c r="BN15" s="869"/>
      <c r="BO15" s="870"/>
      <c r="BP15" s="992">
        <f>AU15*BE15</f>
        <v>5923.5</v>
      </c>
      <c r="BQ15" s="993"/>
      <c r="BR15" s="993"/>
      <c r="BS15" s="993"/>
      <c r="BT15" s="993"/>
      <c r="BU15" s="993"/>
      <c r="BV15" s="993"/>
      <c r="BW15" s="993"/>
      <c r="BX15" s="993"/>
      <c r="BY15" s="993"/>
      <c r="BZ15" s="993"/>
      <c r="CA15" s="993"/>
      <c r="CB15" s="994"/>
    </row>
    <row r="16" spans="1:86" ht="16.95" customHeight="1">
      <c r="A16" s="929">
        <v>2</v>
      </c>
      <c r="B16" s="930"/>
      <c r="C16" s="930"/>
      <c r="D16" s="931"/>
      <c r="E16" s="920" t="s">
        <v>506</v>
      </c>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2"/>
      <c r="AJ16" s="904"/>
      <c r="AK16" s="905"/>
      <c r="AL16" s="905"/>
      <c r="AM16" s="905"/>
      <c r="AN16" s="905"/>
      <c r="AO16" s="905"/>
      <c r="AP16" s="905"/>
      <c r="AQ16" s="905"/>
      <c r="AR16" s="905"/>
      <c r="AS16" s="905"/>
      <c r="AT16" s="906"/>
      <c r="AU16" s="904"/>
      <c r="AV16" s="905"/>
      <c r="AW16" s="905"/>
      <c r="AX16" s="905"/>
      <c r="AY16" s="905"/>
      <c r="AZ16" s="905"/>
      <c r="BA16" s="905"/>
      <c r="BB16" s="905"/>
      <c r="BC16" s="905"/>
      <c r="BD16" s="906"/>
      <c r="BE16" s="862"/>
      <c r="BF16" s="863"/>
      <c r="BG16" s="863"/>
      <c r="BH16" s="863"/>
      <c r="BI16" s="863"/>
      <c r="BJ16" s="863"/>
      <c r="BK16" s="863"/>
      <c r="BL16" s="863"/>
      <c r="BM16" s="863"/>
      <c r="BN16" s="863"/>
      <c r="BO16" s="864"/>
      <c r="BP16" s="1039">
        <f>BP17+BP18</f>
        <v>68719.39</v>
      </c>
      <c r="BQ16" s="1040"/>
      <c r="BR16" s="1040"/>
      <c r="BS16" s="1040"/>
      <c r="BT16" s="1040"/>
      <c r="BU16" s="1040"/>
      <c r="BV16" s="1040"/>
      <c r="BW16" s="1040"/>
      <c r="BX16" s="1040"/>
      <c r="BY16" s="1040"/>
      <c r="BZ16" s="1040"/>
      <c r="CA16" s="1040"/>
      <c r="CB16" s="1041"/>
      <c r="CF16" s="82"/>
      <c r="CG16" s="82"/>
    </row>
    <row r="17" spans="1:95" ht="16.95" customHeight="1">
      <c r="A17" s="941" t="s">
        <v>461</v>
      </c>
      <c r="B17" s="942"/>
      <c r="C17" s="942"/>
      <c r="D17" s="943"/>
      <c r="E17" s="980" t="s">
        <v>901</v>
      </c>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2"/>
      <c r="AJ17" s="1036">
        <v>2</v>
      </c>
      <c r="AK17" s="1037"/>
      <c r="AL17" s="1037"/>
      <c r="AM17" s="1037"/>
      <c r="AN17" s="1037"/>
      <c r="AO17" s="1037"/>
      <c r="AP17" s="1037"/>
      <c r="AQ17" s="1037"/>
      <c r="AR17" s="1037"/>
      <c r="AS17" s="1037"/>
      <c r="AT17" s="1038"/>
      <c r="AU17" s="1036">
        <v>12</v>
      </c>
      <c r="AV17" s="1037"/>
      <c r="AW17" s="1037"/>
      <c r="AX17" s="1037"/>
      <c r="AY17" s="1037"/>
      <c r="AZ17" s="1037"/>
      <c r="BA17" s="1037"/>
      <c r="BB17" s="1037"/>
      <c r="BC17" s="1037"/>
      <c r="BD17" s="1038"/>
      <c r="BE17" s="1007">
        <v>5400</v>
      </c>
      <c r="BF17" s="1008"/>
      <c r="BG17" s="1008"/>
      <c r="BH17" s="1008"/>
      <c r="BI17" s="1008"/>
      <c r="BJ17" s="1008"/>
      <c r="BK17" s="1008"/>
      <c r="BL17" s="1008"/>
      <c r="BM17" s="1008"/>
      <c r="BN17" s="1008"/>
      <c r="BO17" s="1009"/>
      <c r="BP17" s="1007">
        <f>AU17*BE17</f>
        <v>64800</v>
      </c>
      <c r="BQ17" s="1008"/>
      <c r="BR17" s="1008"/>
      <c r="BS17" s="1008"/>
      <c r="BT17" s="1008"/>
      <c r="BU17" s="1008"/>
      <c r="BV17" s="1008"/>
      <c r="BW17" s="1008"/>
      <c r="BX17" s="1008"/>
      <c r="BY17" s="1008"/>
      <c r="BZ17" s="1008"/>
      <c r="CA17" s="1008"/>
      <c r="CB17" s="1009"/>
    </row>
    <row r="18" spans="1:95" ht="16.95" customHeight="1">
      <c r="A18" s="941" t="s">
        <v>903</v>
      </c>
      <c r="B18" s="942"/>
      <c r="C18" s="942"/>
      <c r="D18" s="943"/>
      <c r="E18" s="980" t="s">
        <v>902</v>
      </c>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2"/>
      <c r="AJ18" s="1036">
        <v>2</v>
      </c>
      <c r="AK18" s="1037"/>
      <c r="AL18" s="1037"/>
      <c r="AM18" s="1037"/>
      <c r="AN18" s="1037"/>
      <c r="AO18" s="1037"/>
      <c r="AP18" s="1037"/>
      <c r="AQ18" s="1037"/>
      <c r="AR18" s="1037"/>
      <c r="AS18" s="1037"/>
      <c r="AT18" s="1038"/>
      <c r="AU18" s="1036">
        <v>1</v>
      </c>
      <c r="AV18" s="1037"/>
      <c r="AW18" s="1037"/>
      <c r="AX18" s="1037"/>
      <c r="AY18" s="1037"/>
      <c r="AZ18" s="1037"/>
      <c r="BA18" s="1037"/>
      <c r="BB18" s="1037"/>
      <c r="BC18" s="1037"/>
      <c r="BD18" s="1038"/>
      <c r="BE18" s="995">
        <v>2941.63</v>
      </c>
      <c r="BF18" s="996"/>
      <c r="BG18" s="996"/>
      <c r="BH18" s="996"/>
      <c r="BI18" s="996"/>
      <c r="BJ18" s="996"/>
      <c r="BK18" s="996"/>
      <c r="BL18" s="996"/>
      <c r="BM18" s="996"/>
      <c r="BN18" s="996"/>
      <c r="BO18" s="997"/>
      <c r="BP18" s="992">
        <f>3919.39</f>
        <v>3919.39</v>
      </c>
      <c r="BQ18" s="993"/>
      <c r="BR18" s="993"/>
      <c r="BS18" s="993"/>
      <c r="BT18" s="993"/>
      <c r="BU18" s="993"/>
      <c r="BV18" s="993"/>
      <c r="BW18" s="993"/>
      <c r="BX18" s="993"/>
      <c r="BY18" s="993"/>
      <c r="BZ18" s="993"/>
      <c r="CA18" s="993"/>
      <c r="CB18" s="994"/>
      <c r="CE18" s="82"/>
    </row>
    <row r="19" spans="1:95" hidden="1">
      <c r="A19" s="802">
        <v>3</v>
      </c>
      <c r="B19" s="803"/>
      <c r="C19" s="803"/>
      <c r="D19" s="804"/>
      <c r="E19" s="920" t="s">
        <v>580</v>
      </c>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2"/>
      <c r="AJ19" s="904"/>
      <c r="AK19" s="905"/>
      <c r="AL19" s="905"/>
      <c r="AM19" s="905"/>
      <c r="AN19" s="905"/>
      <c r="AO19" s="905"/>
      <c r="AP19" s="905"/>
      <c r="AQ19" s="905"/>
      <c r="AR19" s="905"/>
      <c r="AS19" s="905"/>
      <c r="AT19" s="906"/>
      <c r="AU19" s="904"/>
      <c r="AV19" s="905"/>
      <c r="AW19" s="905"/>
      <c r="AX19" s="905"/>
      <c r="AY19" s="905"/>
      <c r="AZ19" s="905"/>
      <c r="BA19" s="905"/>
      <c r="BB19" s="905"/>
      <c r="BC19" s="905"/>
      <c r="BD19" s="906"/>
      <c r="BE19" s="904"/>
      <c r="BF19" s="905"/>
      <c r="BG19" s="905"/>
      <c r="BH19" s="905"/>
      <c r="BI19" s="905"/>
      <c r="BJ19" s="905"/>
      <c r="BK19" s="905"/>
      <c r="BL19" s="905"/>
      <c r="BM19" s="905"/>
      <c r="BN19" s="905"/>
      <c r="BO19" s="906"/>
      <c r="BP19" s="862">
        <f>BP20</f>
        <v>0</v>
      </c>
      <c r="BQ19" s="863"/>
      <c r="BR19" s="863"/>
      <c r="BS19" s="863"/>
      <c r="BT19" s="863"/>
      <c r="BU19" s="863"/>
      <c r="BV19" s="863"/>
      <c r="BW19" s="863"/>
      <c r="BX19" s="863"/>
      <c r="BY19" s="863"/>
      <c r="BZ19" s="863"/>
      <c r="CA19" s="863"/>
      <c r="CB19" s="864"/>
      <c r="CJ19" s="82"/>
      <c r="CQ19" s="82">
        <f>BP19-'[2]Пок по пост и выб'!D53</f>
        <v>-139523.84000000003</v>
      </c>
    </row>
    <row r="20" spans="1:95" s="79" customFormat="1" ht="15.6" hidden="1">
      <c r="A20" s="1033" t="s">
        <v>582</v>
      </c>
      <c r="B20" s="1034"/>
      <c r="C20" s="1034"/>
      <c r="D20" s="1035"/>
      <c r="E20" s="965"/>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7"/>
      <c r="AJ20" s="814"/>
      <c r="AK20" s="815"/>
      <c r="AL20" s="815"/>
      <c r="AM20" s="815"/>
      <c r="AN20" s="815"/>
      <c r="AO20" s="815"/>
      <c r="AP20" s="815"/>
      <c r="AQ20" s="815"/>
      <c r="AR20" s="815"/>
      <c r="AS20" s="815"/>
      <c r="AT20" s="816"/>
      <c r="AU20" s="814"/>
      <c r="AV20" s="815"/>
      <c r="AW20" s="815"/>
      <c r="AX20" s="815"/>
      <c r="AY20" s="815"/>
      <c r="AZ20" s="815"/>
      <c r="BA20" s="815"/>
      <c r="BB20" s="815"/>
      <c r="BC20" s="815"/>
      <c r="BD20" s="816"/>
      <c r="BE20" s="814"/>
      <c r="BF20" s="815"/>
      <c r="BG20" s="815"/>
      <c r="BH20" s="815"/>
      <c r="BI20" s="815"/>
      <c r="BJ20" s="815"/>
      <c r="BK20" s="815"/>
      <c r="BL20" s="815"/>
      <c r="BM20" s="815"/>
      <c r="BN20" s="815"/>
      <c r="BO20" s="816"/>
      <c r="BP20" s="1007"/>
      <c r="BQ20" s="1008"/>
      <c r="BR20" s="1008"/>
      <c r="BS20" s="1008"/>
      <c r="BT20" s="1008"/>
      <c r="BU20" s="1008"/>
      <c r="BV20" s="1008"/>
      <c r="BW20" s="1008"/>
      <c r="BX20" s="1008"/>
      <c r="BY20" s="1008"/>
      <c r="BZ20" s="1008"/>
      <c r="CA20" s="1008"/>
      <c r="CB20" s="1009"/>
      <c r="CQ20" s="79">
        <f>CQ19/12/6</f>
        <v>-1937.8311111111116</v>
      </c>
    </row>
    <row r="21" spans="1:95" s="76" customFormat="1" ht="15.6">
      <c r="A21" s="883"/>
      <c r="B21" s="884"/>
      <c r="C21" s="884"/>
      <c r="D21" s="885"/>
      <c r="E21" s="839" t="s">
        <v>262</v>
      </c>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1"/>
      <c r="AJ21" s="814" t="s">
        <v>21</v>
      </c>
      <c r="AK21" s="815"/>
      <c r="AL21" s="815"/>
      <c r="AM21" s="815"/>
      <c r="AN21" s="815"/>
      <c r="AO21" s="815"/>
      <c r="AP21" s="815"/>
      <c r="AQ21" s="815"/>
      <c r="AR21" s="815"/>
      <c r="AS21" s="815"/>
      <c r="AT21" s="816"/>
      <c r="AU21" s="814" t="s">
        <v>21</v>
      </c>
      <c r="AV21" s="815"/>
      <c r="AW21" s="815"/>
      <c r="AX21" s="815"/>
      <c r="AY21" s="815"/>
      <c r="AZ21" s="815"/>
      <c r="BA21" s="815"/>
      <c r="BB21" s="815"/>
      <c r="BC21" s="815"/>
      <c r="BD21" s="816"/>
      <c r="BE21" s="814" t="s">
        <v>21</v>
      </c>
      <c r="BF21" s="815"/>
      <c r="BG21" s="815"/>
      <c r="BH21" s="815"/>
      <c r="BI21" s="815"/>
      <c r="BJ21" s="815"/>
      <c r="BK21" s="815"/>
      <c r="BL21" s="815"/>
      <c r="BM21" s="815"/>
      <c r="BN21" s="815"/>
      <c r="BO21" s="816"/>
      <c r="BP21" s="880">
        <f>BP16+BP13+BP19</f>
        <v>165260.21000000002</v>
      </c>
      <c r="BQ21" s="881"/>
      <c r="BR21" s="881"/>
      <c r="BS21" s="881"/>
      <c r="BT21" s="881"/>
      <c r="BU21" s="881"/>
      <c r="BV21" s="881"/>
      <c r="BW21" s="881"/>
      <c r="BX21" s="881"/>
      <c r="BY21" s="881"/>
      <c r="BZ21" s="881"/>
      <c r="CA21" s="881"/>
      <c r="CB21" s="882"/>
      <c r="CF21" s="244"/>
    </row>
    <row r="22" spans="1:95" ht="9.6"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row>
    <row r="23" spans="1:95" ht="15.6">
      <c r="A23" s="827" t="s">
        <v>507</v>
      </c>
      <c r="B23" s="82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c r="BC23" s="827"/>
      <c r="BD23" s="827"/>
      <c r="BE23" s="827"/>
      <c r="BF23" s="827"/>
      <c r="BG23" s="827"/>
      <c r="BH23" s="827"/>
      <c r="BI23" s="827"/>
      <c r="BJ23" s="827"/>
      <c r="BK23" s="827"/>
      <c r="BL23" s="827"/>
      <c r="BM23" s="827"/>
      <c r="BN23" s="827"/>
      <c r="BO23" s="827"/>
      <c r="BP23" s="827"/>
      <c r="BQ23" s="827"/>
      <c r="BR23" s="827"/>
      <c r="BS23" s="827"/>
      <c r="BT23" s="827"/>
      <c r="BU23" s="827"/>
      <c r="BV23" s="827"/>
      <c r="BW23" s="827"/>
      <c r="BX23" s="827"/>
      <c r="BY23" s="827"/>
      <c r="BZ23" s="827"/>
      <c r="CA23" s="827"/>
      <c r="CB23" s="827"/>
    </row>
    <row r="25" spans="1:95">
      <c r="A25" s="823" t="s">
        <v>388</v>
      </c>
      <c r="B25" s="824"/>
      <c r="C25" s="824"/>
      <c r="D25" s="825"/>
      <c r="E25" s="823" t="s">
        <v>422</v>
      </c>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5"/>
      <c r="AN25" s="823" t="s">
        <v>424</v>
      </c>
      <c r="AO25" s="824"/>
      <c r="AP25" s="824"/>
      <c r="AQ25" s="824"/>
      <c r="AR25" s="824"/>
      <c r="AS25" s="824"/>
      <c r="AT25" s="824"/>
      <c r="AU25" s="824"/>
      <c r="AV25" s="825"/>
      <c r="AW25" s="823" t="s">
        <v>508</v>
      </c>
      <c r="AX25" s="824"/>
      <c r="AY25" s="824"/>
      <c r="AZ25" s="824"/>
      <c r="BA25" s="824"/>
      <c r="BB25" s="824"/>
      <c r="BC25" s="824"/>
      <c r="BD25" s="824"/>
      <c r="BE25" s="824"/>
      <c r="BF25" s="824"/>
      <c r="BG25" s="824"/>
      <c r="BH25" s="824"/>
      <c r="BI25" s="825"/>
      <c r="BJ25" s="823" t="s">
        <v>269</v>
      </c>
      <c r="BK25" s="824"/>
      <c r="BL25" s="824"/>
      <c r="BM25" s="824"/>
      <c r="BN25" s="824"/>
      <c r="BO25" s="824"/>
      <c r="BP25" s="824"/>
      <c r="BQ25" s="824"/>
      <c r="BR25" s="824"/>
      <c r="BS25" s="824"/>
      <c r="BT25" s="824"/>
      <c r="BU25" s="824"/>
      <c r="BV25" s="824"/>
      <c r="BW25" s="824"/>
      <c r="BX25" s="824"/>
      <c r="BY25" s="824"/>
      <c r="BZ25" s="824"/>
      <c r="CA25" s="824"/>
      <c r="CB25" s="825"/>
    </row>
    <row r="26" spans="1:95">
      <c r="A26" s="820" t="s">
        <v>395</v>
      </c>
      <c r="B26" s="821"/>
      <c r="C26" s="821"/>
      <c r="D26" s="822"/>
      <c r="E26" s="820" t="s">
        <v>512</v>
      </c>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c r="AM26" s="822"/>
      <c r="AN26" s="820" t="s">
        <v>509</v>
      </c>
      <c r="AO26" s="821"/>
      <c r="AP26" s="821"/>
      <c r="AQ26" s="821"/>
      <c r="AR26" s="821"/>
      <c r="AS26" s="821"/>
      <c r="AT26" s="821"/>
      <c r="AU26" s="821"/>
      <c r="AV26" s="822"/>
      <c r="AW26" s="820" t="s">
        <v>510</v>
      </c>
      <c r="AX26" s="821"/>
      <c r="AY26" s="821"/>
      <c r="AZ26" s="821"/>
      <c r="BA26" s="821"/>
      <c r="BB26" s="821"/>
      <c r="BC26" s="821"/>
      <c r="BD26" s="821"/>
      <c r="BE26" s="821"/>
      <c r="BF26" s="821"/>
      <c r="BG26" s="821"/>
      <c r="BH26" s="821"/>
      <c r="BI26" s="822"/>
      <c r="BJ26" s="820" t="s">
        <v>482</v>
      </c>
      <c r="BK26" s="821"/>
      <c r="BL26" s="821"/>
      <c r="BM26" s="821"/>
      <c r="BN26" s="821"/>
      <c r="BO26" s="821"/>
      <c r="BP26" s="821"/>
      <c r="BQ26" s="821"/>
      <c r="BR26" s="821"/>
      <c r="BS26" s="821"/>
      <c r="BT26" s="821"/>
      <c r="BU26" s="821"/>
      <c r="BV26" s="821"/>
      <c r="BW26" s="821"/>
      <c r="BX26" s="821"/>
      <c r="BY26" s="821"/>
      <c r="BZ26" s="821"/>
      <c r="CA26" s="821"/>
      <c r="CB26" s="822"/>
    </row>
    <row r="27" spans="1:95">
      <c r="A27" s="820"/>
      <c r="B27" s="821"/>
      <c r="C27" s="821"/>
      <c r="D27" s="822"/>
      <c r="E27" s="820"/>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822"/>
      <c r="AN27" s="820" t="s">
        <v>511</v>
      </c>
      <c r="AO27" s="821"/>
      <c r="AP27" s="821"/>
      <c r="AQ27" s="821"/>
      <c r="AR27" s="821"/>
      <c r="AS27" s="821"/>
      <c r="AT27" s="821"/>
      <c r="AU27" s="821"/>
      <c r="AV27" s="822"/>
      <c r="AW27" s="820" t="s">
        <v>237</v>
      </c>
      <c r="AX27" s="821"/>
      <c r="AY27" s="821"/>
      <c r="AZ27" s="821"/>
      <c r="BA27" s="821"/>
      <c r="BB27" s="821"/>
      <c r="BC27" s="821"/>
      <c r="BD27" s="821"/>
      <c r="BE27" s="821"/>
      <c r="BF27" s="821"/>
      <c r="BG27" s="821"/>
      <c r="BH27" s="821"/>
      <c r="BI27" s="822"/>
      <c r="BJ27" s="820"/>
      <c r="BK27" s="821"/>
      <c r="BL27" s="821"/>
      <c r="BM27" s="821"/>
      <c r="BN27" s="821"/>
      <c r="BO27" s="821"/>
      <c r="BP27" s="821"/>
      <c r="BQ27" s="821"/>
      <c r="BR27" s="821"/>
      <c r="BS27" s="821"/>
      <c r="BT27" s="821"/>
      <c r="BU27" s="821"/>
      <c r="BV27" s="821"/>
      <c r="BW27" s="821"/>
      <c r="BX27" s="821"/>
      <c r="BY27" s="821"/>
      <c r="BZ27" s="821"/>
      <c r="CA27" s="821"/>
      <c r="CB27" s="822"/>
    </row>
    <row r="28" spans="1:95">
      <c r="A28" s="817">
        <v>1</v>
      </c>
      <c r="B28" s="818"/>
      <c r="C28" s="818"/>
      <c r="D28" s="819"/>
      <c r="E28" s="817">
        <v>2</v>
      </c>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9"/>
      <c r="AN28" s="817">
        <v>3</v>
      </c>
      <c r="AO28" s="818"/>
      <c r="AP28" s="818"/>
      <c r="AQ28" s="818"/>
      <c r="AR28" s="818"/>
      <c r="AS28" s="818"/>
      <c r="AT28" s="818"/>
      <c r="AU28" s="818"/>
      <c r="AV28" s="819"/>
      <c r="AW28" s="817">
        <v>4</v>
      </c>
      <c r="AX28" s="818"/>
      <c r="AY28" s="818"/>
      <c r="AZ28" s="818"/>
      <c r="BA28" s="818"/>
      <c r="BB28" s="818"/>
      <c r="BC28" s="818"/>
      <c r="BD28" s="818"/>
      <c r="BE28" s="818"/>
      <c r="BF28" s="818"/>
      <c r="BG28" s="818"/>
      <c r="BH28" s="818"/>
      <c r="BI28" s="819"/>
      <c r="BJ28" s="817">
        <v>5</v>
      </c>
      <c r="BK28" s="818"/>
      <c r="BL28" s="818"/>
      <c r="BM28" s="818"/>
      <c r="BN28" s="818"/>
      <c r="BO28" s="818"/>
      <c r="BP28" s="818"/>
      <c r="BQ28" s="818"/>
      <c r="BR28" s="818"/>
      <c r="BS28" s="818"/>
      <c r="BT28" s="818"/>
      <c r="BU28" s="818"/>
      <c r="BV28" s="818"/>
      <c r="BW28" s="818"/>
      <c r="BX28" s="818"/>
      <c r="BY28" s="818"/>
      <c r="BZ28" s="818"/>
      <c r="CA28" s="818"/>
      <c r="CB28" s="819"/>
    </row>
    <row r="29" spans="1:95" s="76" customFormat="1" ht="51.6" customHeight="1">
      <c r="A29" s="814">
        <v>1</v>
      </c>
      <c r="B29" s="815"/>
      <c r="C29" s="815"/>
      <c r="D29" s="816"/>
      <c r="E29" s="1019" t="s">
        <v>1077</v>
      </c>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1"/>
      <c r="AN29" s="839">
        <v>1</v>
      </c>
      <c r="AO29" s="840"/>
      <c r="AP29" s="840"/>
      <c r="AQ29" s="840"/>
      <c r="AR29" s="840"/>
      <c r="AS29" s="840"/>
      <c r="AT29" s="840"/>
      <c r="AU29" s="840"/>
      <c r="AV29" s="841"/>
      <c r="AW29" s="868">
        <v>75000</v>
      </c>
      <c r="AX29" s="869"/>
      <c r="AY29" s="869"/>
      <c r="AZ29" s="869"/>
      <c r="BA29" s="869"/>
      <c r="BB29" s="869"/>
      <c r="BC29" s="869"/>
      <c r="BD29" s="869"/>
      <c r="BE29" s="869"/>
      <c r="BF29" s="869"/>
      <c r="BG29" s="869"/>
      <c r="BH29" s="869"/>
      <c r="BI29" s="870"/>
      <c r="BJ29" s="868">
        <f>AN29*AW29</f>
        <v>75000</v>
      </c>
      <c r="BK29" s="869"/>
      <c r="BL29" s="869"/>
      <c r="BM29" s="869"/>
      <c r="BN29" s="869"/>
      <c r="BO29" s="869"/>
      <c r="BP29" s="869"/>
      <c r="BQ29" s="869"/>
      <c r="BR29" s="869"/>
      <c r="BS29" s="869"/>
      <c r="BT29" s="869"/>
      <c r="BU29" s="869"/>
      <c r="BV29" s="869"/>
      <c r="BW29" s="869"/>
      <c r="BX29" s="869"/>
      <c r="BY29" s="869"/>
      <c r="BZ29" s="869"/>
      <c r="CA29" s="869"/>
      <c r="CB29" s="870"/>
    </row>
    <row r="30" spans="1:95" s="76" customFormat="1" ht="15.6">
      <c r="A30" s="883"/>
      <c r="B30" s="884"/>
      <c r="C30" s="884"/>
      <c r="D30" s="885"/>
      <c r="E30" s="808" t="s">
        <v>262</v>
      </c>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10"/>
      <c r="AN30" s="802" t="s">
        <v>21</v>
      </c>
      <c r="AO30" s="803"/>
      <c r="AP30" s="803"/>
      <c r="AQ30" s="803"/>
      <c r="AR30" s="803"/>
      <c r="AS30" s="803"/>
      <c r="AT30" s="803"/>
      <c r="AU30" s="803"/>
      <c r="AV30" s="804"/>
      <c r="AW30" s="802" t="s">
        <v>21</v>
      </c>
      <c r="AX30" s="803"/>
      <c r="AY30" s="803"/>
      <c r="AZ30" s="803"/>
      <c r="BA30" s="803"/>
      <c r="BB30" s="803"/>
      <c r="BC30" s="803"/>
      <c r="BD30" s="803"/>
      <c r="BE30" s="803"/>
      <c r="BF30" s="803"/>
      <c r="BG30" s="803"/>
      <c r="BH30" s="803"/>
      <c r="BI30" s="804"/>
      <c r="BJ30" s="1032"/>
      <c r="BK30" s="905"/>
      <c r="BL30" s="905"/>
      <c r="BM30" s="905"/>
      <c r="BN30" s="905"/>
      <c r="BO30" s="905"/>
      <c r="BP30" s="905"/>
      <c r="BQ30" s="905"/>
      <c r="BR30" s="905"/>
      <c r="BS30" s="905"/>
      <c r="BT30" s="905"/>
      <c r="BU30" s="905"/>
      <c r="BV30" s="905"/>
      <c r="BW30" s="905"/>
      <c r="BX30" s="905"/>
      <c r="BY30" s="905"/>
      <c r="BZ30" s="905"/>
      <c r="CA30" s="905"/>
      <c r="CB30" s="906"/>
    </row>
    <row r="31" spans="1:95" ht="7.95" customHeight="1">
      <c r="A31" s="76"/>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row>
    <row r="32" spans="1:95" ht="15.6">
      <c r="A32" s="827" t="s">
        <v>513</v>
      </c>
      <c r="B32" s="827"/>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7"/>
      <c r="AQ32" s="827"/>
      <c r="AR32" s="827"/>
      <c r="AS32" s="827"/>
      <c r="AT32" s="827"/>
      <c r="AU32" s="827"/>
      <c r="AV32" s="827"/>
      <c r="AW32" s="827"/>
      <c r="AX32" s="827"/>
      <c r="AY32" s="827"/>
      <c r="AZ32" s="827"/>
      <c r="BA32" s="827"/>
      <c r="BB32" s="827"/>
      <c r="BC32" s="827"/>
      <c r="BD32" s="827"/>
      <c r="BE32" s="827"/>
      <c r="BF32" s="827"/>
      <c r="BG32" s="827"/>
      <c r="BH32" s="827"/>
      <c r="BI32" s="827"/>
      <c r="BJ32" s="827"/>
      <c r="BK32" s="827"/>
      <c r="BL32" s="827"/>
      <c r="BM32" s="827"/>
      <c r="BN32" s="827"/>
      <c r="BO32" s="827"/>
      <c r="BP32" s="827"/>
      <c r="BQ32" s="827"/>
      <c r="BR32" s="827"/>
      <c r="BS32" s="827"/>
      <c r="BT32" s="827"/>
      <c r="BU32" s="827"/>
      <c r="BV32" s="827"/>
      <c r="BW32" s="827"/>
      <c r="BX32" s="827"/>
      <c r="BY32" s="827"/>
      <c r="BZ32" s="827"/>
      <c r="CA32" s="827"/>
      <c r="CB32" s="827"/>
    </row>
    <row r="34" spans="1:95">
      <c r="A34" s="823" t="s">
        <v>388</v>
      </c>
      <c r="B34" s="824"/>
      <c r="C34" s="824"/>
      <c r="D34" s="825"/>
      <c r="E34" s="823" t="s">
        <v>0</v>
      </c>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5"/>
      <c r="AJ34" s="823" t="s">
        <v>432</v>
      </c>
      <c r="AK34" s="824"/>
      <c r="AL34" s="824"/>
      <c r="AM34" s="824"/>
      <c r="AN34" s="824"/>
      <c r="AO34" s="824"/>
      <c r="AP34" s="824"/>
      <c r="AQ34" s="824"/>
      <c r="AR34" s="824"/>
      <c r="AS34" s="824"/>
      <c r="AT34" s="825"/>
      <c r="AU34" s="823" t="s">
        <v>514</v>
      </c>
      <c r="AV34" s="824"/>
      <c r="AW34" s="824"/>
      <c r="AX34" s="824"/>
      <c r="AY34" s="824"/>
      <c r="AZ34" s="824"/>
      <c r="BA34" s="824"/>
      <c r="BB34" s="824"/>
      <c r="BC34" s="824"/>
      <c r="BD34" s="825"/>
      <c r="BE34" s="823" t="s">
        <v>515</v>
      </c>
      <c r="BF34" s="824"/>
      <c r="BG34" s="824"/>
      <c r="BH34" s="824"/>
      <c r="BI34" s="824"/>
      <c r="BJ34" s="824"/>
      <c r="BK34" s="824"/>
      <c r="BL34" s="824"/>
      <c r="BM34" s="824"/>
      <c r="BN34" s="824"/>
      <c r="BO34" s="825"/>
      <c r="BP34" s="823" t="s">
        <v>269</v>
      </c>
      <c r="BQ34" s="824"/>
      <c r="BR34" s="824"/>
      <c r="BS34" s="824"/>
      <c r="BT34" s="824"/>
      <c r="BU34" s="824"/>
      <c r="BV34" s="824"/>
      <c r="BW34" s="824"/>
      <c r="BX34" s="824"/>
      <c r="BY34" s="824"/>
      <c r="BZ34" s="824"/>
      <c r="CA34" s="824"/>
      <c r="CB34" s="825"/>
    </row>
    <row r="35" spans="1:95">
      <c r="A35" s="820" t="s">
        <v>395</v>
      </c>
      <c r="B35" s="821"/>
      <c r="C35" s="821"/>
      <c r="D35" s="822"/>
      <c r="E35" s="820" t="s">
        <v>1038</v>
      </c>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2"/>
      <c r="AJ35" s="820" t="s">
        <v>516</v>
      </c>
      <c r="AK35" s="821"/>
      <c r="AL35" s="821"/>
      <c r="AM35" s="821"/>
      <c r="AN35" s="821"/>
      <c r="AO35" s="821"/>
      <c r="AP35" s="821"/>
      <c r="AQ35" s="821"/>
      <c r="AR35" s="821"/>
      <c r="AS35" s="821"/>
      <c r="AT35" s="822"/>
      <c r="AU35" s="820" t="s">
        <v>517</v>
      </c>
      <c r="AV35" s="821"/>
      <c r="AW35" s="821"/>
      <c r="AX35" s="821"/>
      <c r="AY35" s="821"/>
      <c r="AZ35" s="821"/>
      <c r="BA35" s="821"/>
      <c r="BB35" s="821"/>
      <c r="BC35" s="821"/>
      <c r="BD35" s="822"/>
      <c r="BE35" s="820" t="s">
        <v>241</v>
      </c>
      <c r="BF35" s="821"/>
      <c r="BG35" s="821"/>
      <c r="BH35" s="821"/>
      <c r="BI35" s="821"/>
      <c r="BJ35" s="821"/>
      <c r="BK35" s="821"/>
      <c r="BL35" s="821"/>
      <c r="BM35" s="821"/>
      <c r="BN35" s="821"/>
      <c r="BO35" s="822"/>
      <c r="BP35" s="820" t="s">
        <v>518</v>
      </c>
      <c r="BQ35" s="821"/>
      <c r="BR35" s="821"/>
      <c r="BS35" s="821"/>
      <c r="BT35" s="821"/>
      <c r="BU35" s="821"/>
      <c r="BV35" s="821"/>
      <c r="BW35" s="821"/>
      <c r="BX35" s="821"/>
      <c r="BY35" s="821"/>
      <c r="BZ35" s="821"/>
      <c r="CA35" s="821"/>
      <c r="CB35" s="822"/>
    </row>
    <row r="36" spans="1:95">
      <c r="A36" s="820"/>
      <c r="B36" s="821"/>
      <c r="C36" s="821"/>
      <c r="D36" s="822"/>
      <c r="E36" s="820"/>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2"/>
      <c r="AJ36" s="820" t="s">
        <v>519</v>
      </c>
      <c r="AK36" s="821"/>
      <c r="AL36" s="821"/>
      <c r="AM36" s="821"/>
      <c r="AN36" s="821"/>
      <c r="AO36" s="821"/>
      <c r="AP36" s="821"/>
      <c r="AQ36" s="821"/>
      <c r="AR36" s="821"/>
      <c r="AS36" s="821"/>
      <c r="AT36" s="822"/>
      <c r="AU36" s="820" t="s">
        <v>520</v>
      </c>
      <c r="AV36" s="821"/>
      <c r="AW36" s="821"/>
      <c r="AX36" s="821"/>
      <c r="AY36" s="821"/>
      <c r="AZ36" s="821"/>
      <c r="BA36" s="821"/>
      <c r="BB36" s="821"/>
      <c r="BC36" s="821"/>
      <c r="BD36" s="822"/>
      <c r="BE36" s="820"/>
      <c r="BF36" s="821"/>
      <c r="BG36" s="821"/>
      <c r="BH36" s="821"/>
      <c r="BI36" s="821"/>
      <c r="BJ36" s="821"/>
      <c r="BK36" s="821"/>
      <c r="BL36" s="821"/>
      <c r="BM36" s="821"/>
      <c r="BN36" s="821"/>
      <c r="BO36" s="822"/>
      <c r="BP36" s="820"/>
      <c r="BQ36" s="821"/>
      <c r="BR36" s="821"/>
      <c r="BS36" s="821"/>
      <c r="BT36" s="821"/>
      <c r="BU36" s="821"/>
      <c r="BV36" s="821"/>
      <c r="BW36" s="821"/>
      <c r="BX36" s="821"/>
      <c r="BY36" s="821"/>
      <c r="BZ36" s="821"/>
      <c r="CA36" s="821"/>
      <c r="CB36" s="822"/>
    </row>
    <row r="37" spans="1:95">
      <c r="A37" s="1031">
        <v>1</v>
      </c>
      <c r="B37" s="1031"/>
      <c r="C37" s="1031"/>
      <c r="D37" s="1031"/>
      <c r="E37" s="1031">
        <v>2</v>
      </c>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1031">
        <v>4</v>
      </c>
      <c r="AK37" s="1031"/>
      <c r="AL37" s="1031"/>
      <c r="AM37" s="1031"/>
      <c r="AN37" s="1031"/>
      <c r="AO37" s="1031"/>
      <c r="AP37" s="1031"/>
      <c r="AQ37" s="1031"/>
      <c r="AR37" s="1031"/>
      <c r="AS37" s="1031"/>
      <c r="AT37" s="1031"/>
      <c r="AU37" s="1031">
        <v>5</v>
      </c>
      <c r="AV37" s="1031"/>
      <c r="AW37" s="1031"/>
      <c r="AX37" s="1031"/>
      <c r="AY37" s="1031"/>
      <c r="AZ37" s="1031"/>
      <c r="BA37" s="1031"/>
      <c r="BB37" s="1031"/>
      <c r="BC37" s="1031"/>
      <c r="BD37" s="1031"/>
      <c r="BE37" s="1031">
        <v>6</v>
      </c>
      <c r="BF37" s="1031"/>
      <c r="BG37" s="1031"/>
      <c r="BH37" s="1031"/>
      <c r="BI37" s="1031"/>
      <c r="BJ37" s="1031"/>
      <c r="BK37" s="1031"/>
      <c r="BL37" s="1031"/>
      <c r="BM37" s="1031"/>
      <c r="BN37" s="1031"/>
      <c r="BO37" s="1031"/>
      <c r="BP37" s="1031">
        <v>6</v>
      </c>
      <c r="BQ37" s="1031"/>
      <c r="BR37" s="1031"/>
      <c r="BS37" s="1031"/>
      <c r="BT37" s="1031"/>
      <c r="BU37" s="1031"/>
      <c r="BV37" s="1031"/>
      <c r="BW37" s="1031"/>
      <c r="BX37" s="1031"/>
      <c r="BY37" s="1031"/>
      <c r="BZ37" s="1031"/>
      <c r="CA37" s="1031"/>
      <c r="CB37" s="1031"/>
      <c r="CQ37" s="82">
        <f>BP37-'[2]Пок по пост и выб'!D60</f>
        <v>-38542.980000000003</v>
      </c>
    </row>
    <row r="38" spans="1:95" ht="16.95" customHeight="1">
      <c r="A38" s="1028">
        <v>1</v>
      </c>
      <c r="B38" s="1029"/>
      <c r="C38" s="1029"/>
      <c r="D38" s="1030"/>
      <c r="E38" s="883" t="s">
        <v>904</v>
      </c>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5"/>
      <c r="AJ38" s="1022">
        <f>AJ39+AJ41</f>
        <v>476.4</v>
      </c>
      <c r="AK38" s="1023"/>
      <c r="AL38" s="1023"/>
      <c r="AM38" s="1023"/>
      <c r="AN38" s="1023"/>
      <c r="AO38" s="1023"/>
      <c r="AP38" s="1023"/>
      <c r="AQ38" s="1023"/>
      <c r="AR38" s="1023"/>
      <c r="AS38" s="1023"/>
      <c r="AT38" s="1024"/>
      <c r="AU38" s="923"/>
      <c r="AV38" s="924"/>
      <c r="AW38" s="924"/>
      <c r="AX38" s="924"/>
      <c r="AY38" s="924"/>
      <c r="AZ38" s="924"/>
      <c r="BA38" s="924"/>
      <c r="BB38" s="924"/>
      <c r="BC38" s="924"/>
      <c r="BD38" s="925"/>
      <c r="BE38" s="1013"/>
      <c r="BF38" s="1014"/>
      <c r="BG38" s="1014"/>
      <c r="BH38" s="1014"/>
      <c r="BI38" s="1014"/>
      <c r="BJ38" s="1014"/>
      <c r="BK38" s="1014"/>
      <c r="BL38" s="1014"/>
      <c r="BM38" s="1014"/>
      <c r="BN38" s="1014"/>
      <c r="BO38" s="1015"/>
      <c r="BP38" s="1016">
        <f>BP39+BP41+BP40</f>
        <v>3401387.9282</v>
      </c>
      <c r="BQ38" s="1017"/>
      <c r="BR38" s="1017"/>
      <c r="BS38" s="1017"/>
      <c r="BT38" s="1017"/>
      <c r="BU38" s="1017"/>
      <c r="BV38" s="1017"/>
      <c r="BW38" s="1017"/>
      <c r="BX38" s="1017"/>
      <c r="BY38" s="1017"/>
      <c r="BZ38" s="1017"/>
      <c r="CA38" s="1017"/>
      <c r="CB38" s="1018"/>
      <c r="CF38" s="240" t="s">
        <v>989</v>
      </c>
      <c r="CQ38" s="82">
        <f>BP38-'[2]Пок по пост и выб'!D61</f>
        <v>3077764.8881999999</v>
      </c>
    </row>
    <row r="39" spans="1:95" ht="16.95" customHeight="1">
      <c r="A39" s="941" t="s">
        <v>452</v>
      </c>
      <c r="B39" s="942"/>
      <c r="C39" s="942"/>
      <c r="D39" s="943"/>
      <c r="E39" s="980" t="s">
        <v>905</v>
      </c>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2"/>
      <c r="AJ39" s="998">
        <v>476.4</v>
      </c>
      <c r="AK39" s="999"/>
      <c r="AL39" s="999"/>
      <c r="AM39" s="999"/>
      <c r="AN39" s="999"/>
      <c r="AO39" s="999"/>
      <c r="AP39" s="999"/>
      <c r="AQ39" s="999"/>
      <c r="AR39" s="999"/>
      <c r="AS39" s="999"/>
      <c r="AT39" s="1000"/>
      <c r="AU39" s="986">
        <v>5858.5</v>
      </c>
      <c r="AV39" s="987"/>
      <c r="AW39" s="987"/>
      <c r="AX39" s="987"/>
      <c r="AY39" s="987"/>
      <c r="AZ39" s="987"/>
      <c r="BA39" s="987"/>
      <c r="BB39" s="987"/>
      <c r="BC39" s="987"/>
      <c r="BD39" s="988"/>
      <c r="BE39" s="989">
        <v>1</v>
      </c>
      <c r="BF39" s="990"/>
      <c r="BG39" s="990"/>
      <c r="BH39" s="990"/>
      <c r="BI39" s="990"/>
      <c r="BJ39" s="990"/>
      <c r="BK39" s="990"/>
      <c r="BL39" s="990"/>
      <c r="BM39" s="990"/>
      <c r="BN39" s="990"/>
      <c r="BO39" s="991"/>
      <c r="BP39" s="992">
        <f>AJ39*AU39-189.4</f>
        <v>2790800</v>
      </c>
      <c r="BQ39" s="993"/>
      <c r="BR39" s="993"/>
      <c r="BS39" s="993"/>
      <c r="BT39" s="993"/>
      <c r="BU39" s="993"/>
      <c r="BV39" s="993"/>
      <c r="BW39" s="993"/>
      <c r="BX39" s="993"/>
      <c r="BY39" s="993"/>
      <c r="BZ39" s="993"/>
      <c r="CA39" s="993"/>
      <c r="CB39" s="994"/>
      <c r="CF39" s="190">
        <v>610587.93000000005</v>
      </c>
      <c r="CK39" s="82"/>
      <c r="CQ39" s="82">
        <f>BP39-'[2]Пок по пост и выб'!D61</f>
        <v>2467176.96</v>
      </c>
    </row>
    <row r="40" spans="1:95" s="240" customFormat="1" ht="16.95" customHeight="1">
      <c r="A40" s="941" t="s">
        <v>139</v>
      </c>
      <c r="B40" s="942"/>
      <c r="C40" s="942"/>
      <c r="D40" s="943"/>
      <c r="E40" s="980" t="s">
        <v>906</v>
      </c>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2"/>
      <c r="AJ40" s="998">
        <v>56.128999999999998</v>
      </c>
      <c r="AK40" s="999"/>
      <c r="AL40" s="999"/>
      <c r="AM40" s="999"/>
      <c r="AN40" s="999"/>
      <c r="AO40" s="999"/>
      <c r="AP40" s="999"/>
      <c r="AQ40" s="999"/>
      <c r="AR40" s="999"/>
      <c r="AS40" s="999"/>
      <c r="AT40" s="1000"/>
      <c r="AU40" s="986">
        <v>5795.8</v>
      </c>
      <c r="AV40" s="987"/>
      <c r="AW40" s="987"/>
      <c r="AX40" s="987"/>
      <c r="AY40" s="987"/>
      <c r="AZ40" s="987"/>
      <c r="BA40" s="987"/>
      <c r="BB40" s="987"/>
      <c r="BC40" s="987"/>
      <c r="BD40" s="988"/>
      <c r="BE40" s="989">
        <v>1</v>
      </c>
      <c r="BF40" s="990"/>
      <c r="BG40" s="990"/>
      <c r="BH40" s="990"/>
      <c r="BI40" s="990"/>
      <c r="BJ40" s="990"/>
      <c r="BK40" s="990"/>
      <c r="BL40" s="990"/>
      <c r="BM40" s="990"/>
      <c r="BN40" s="990"/>
      <c r="BO40" s="991"/>
      <c r="BP40" s="995">
        <f>AJ40*AU40-4.59</f>
        <v>325307.86819999997</v>
      </c>
      <c r="BQ40" s="996"/>
      <c r="BR40" s="996"/>
      <c r="BS40" s="996"/>
      <c r="BT40" s="996"/>
      <c r="BU40" s="996"/>
      <c r="BV40" s="996"/>
      <c r="BW40" s="996"/>
      <c r="BX40" s="996"/>
      <c r="BY40" s="996"/>
      <c r="BZ40" s="996"/>
      <c r="CA40" s="996"/>
      <c r="CB40" s="997"/>
      <c r="CF40" s="82">
        <f>CF39-BP40</f>
        <v>285280.06180000008</v>
      </c>
      <c r="CQ40" s="82">
        <f>BP40-'[2]Пок по пост и выб'!D61</f>
        <v>1684.8281999999308</v>
      </c>
    </row>
    <row r="41" spans="1:95" ht="16.95" customHeight="1">
      <c r="A41" s="941" t="s">
        <v>141</v>
      </c>
      <c r="B41" s="942"/>
      <c r="C41" s="942"/>
      <c r="D41" s="943"/>
      <c r="E41" s="980" t="s">
        <v>993</v>
      </c>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2"/>
      <c r="AJ41" s="998"/>
      <c r="AK41" s="999"/>
      <c r="AL41" s="999"/>
      <c r="AM41" s="999"/>
      <c r="AN41" s="999"/>
      <c r="AO41" s="999"/>
      <c r="AP41" s="999"/>
      <c r="AQ41" s="999"/>
      <c r="AR41" s="999"/>
      <c r="AS41" s="999"/>
      <c r="AT41" s="1000"/>
      <c r="AU41" s="986"/>
      <c r="AV41" s="987"/>
      <c r="AW41" s="987"/>
      <c r="AX41" s="987"/>
      <c r="AY41" s="987"/>
      <c r="AZ41" s="987"/>
      <c r="BA41" s="987"/>
      <c r="BB41" s="987"/>
      <c r="BC41" s="987"/>
      <c r="BD41" s="988"/>
      <c r="BE41" s="989"/>
      <c r="BF41" s="990"/>
      <c r="BG41" s="990"/>
      <c r="BH41" s="990"/>
      <c r="BI41" s="990"/>
      <c r="BJ41" s="990"/>
      <c r="BK41" s="990"/>
      <c r="BL41" s="990"/>
      <c r="BM41" s="990"/>
      <c r="BN41" s="990"/>
      <c r="BO41" s="991"/>
      <c r="BP41" s="992">
        <v>285280.06</v>
      </c>
      <c r="BQ41" s="993"/>
      <c r="BR41" s="993"/>
      <c r="BS41" s="993"/>
      <c r="BT41" s="993"/>
      <c r="BU41" s="993"/>
      <c r="BV41" s="993"/>
      <c r="BW41" s="993"/>
      <c r="BX41" s="993"/>
      <c r="BY41" s="993"/>
      <c r="BZ41" s="993"/>
      <c r="CA41" s="993"/>
      <c r="CB41" s="994"/>
      <c r="CQ41" s="82">
        <f>BP41-'[2]Пок по пост и выб'!D62</f>
        <v>196300.75</v>
      </c>
    </row>
    <row r="42" spans="1:95" ht="16.95" customHeight="1">
      <c r="A42" s="929">
        <v>2</v>
      </c>
      <c r="B42" s="930"/>
      <c r="C42" s="930"/>
      <c r="D42" s="931"/>
      <c r="E42" s="883" t="s">
        <v>907</v>
      </c>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5"/>
      <c r="AJ42" s="1022">
        <f>AJ43+AJ45</f>
        <v>644</v>
      </c>
      <c r="AK42" s="1023"/>
      <c r="AL42" s="1023"/>
      <c r="AM42" s="1023"/>
      <c r="AN42" s="1023"/>
      <c r="AO42" s="1023"/>
      <c r="AP42" s="1023"/>
      <c r="AQ42" s="1023"/>
      <c r="AR42" s="1023"/>
      <c r="AS42" s="1023"/>
      <c r="AT42" s="1024"/>
      <c r="AU42" s="944"/>
      <c r="AV42" s="945"/>
      <c r="AW42" s="945"/>
      <c r="AX42" s="945"/>
      <c r="AY42" s="945"/>
      <c r="AZ42" s="945"/>
      <c r="BA42" s="945"/>
      <c r="BB42" s="945"/>
      <c r="BC42" s="945"/>
      <c r="BD42" s="946"/>
      <c r="BE42" s="1025"/>
      <c r="BF42" s="1026"/>
      <c r="BG42" s="1026"/>
      <c r="BH42" s="1026"/>
      <c r="BI42" s="1026"/>
      <c r="BJ42" s="1026"/>
      <c r="BK42" s="1026"/>
      <c r="BL42" s="1026"/>
      <c r="BM42" s="1026"/>
      <c r="BN42" s="1026"/>
      <c r="BO42" s="1027"/>
      <c r="BP42" s="1016">
        <f>BP43+BP45+BP44</f>
        <v>42733.22</v>
      </c>
      <c r="BQ42" s="1017"/>
      <c r="BR42" s="1017"/>
      <c r="BS42" s="1017"/>
      <c r="BT42" s="1017"/>
      <c r="BU42" s="1017"/>
      <c r="BV42" s="1017"/>
      <c r="BW42" s="1017"/>
      <c r="BX42" s="1017"/>
      <c r="BY42" s="1017"/>
      <c r="BZ42" s="1017"/>
      <c r="CA42" s="1017"/>
      <c r="CB42" s="1018"/>
      <c r="CJ42" s="82"/>
      <c r="CQ42" s="82">
        <f>BP42-'[2]Пок по пост и выб'!D58</f>
        <v>-3318437.86</v>
      </c>
    </row>
    <row r="43" spans="1:95" ht="16.95" customHeight="1">
      <c r="A43" s="941" t="s">
        <v>461</v>
      </c>
      <c r="B43" s="942"/>
      <c r="C43" s="942"/>
      <c r="D43" s="943"/>
      <c r="E43" s="980" t="s">
        <v>908</v>
      </c>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2"/>
      <c r="AJ43" s="998">
        <v>644</v>
      </c>
      <c r="AK43" s="999"/>
      <c r="AL43" s="999"/>
      <c r="AM43" s="999"/>
      <c r="AN43" s="999"/>
      <c r="AO43" s="999"/>
      <c r="AP43" s="999"/>
      <c r="AQ43" s="999"/>
      <c r="AR43" s="999"/>
      <c r="AS43" s="999"/>
      <c r="AT43" s="1000"/>
      <c r="AU43" s="1001">
        <v>39.75</v>
      </c>
      <c r="AV43" s="1002"/>
      <c r="AW43" s="1002"/>
      <c r="AX43" s="1002"/>
      <c r="AY43" s="1002"/>
      <c r="AZ43" s="1002"/>
      <c r="BA43" s="1002"/>
      <c r="BB43" s="1002"/>
      <c r="BC43" s="1002"/>
      <c r="BD43" s="1003"/>
      <c r="BE43" s="1004">
        <v>1</v>
      </c>
      <c r="BF43" s="1005"/>
      <c r="BG43" s="1005"/>
      <c r="BH43" s="1005"/>
      <c r="BI43" s="1005"/>
      <c r="BJ43" s="1005"/>
      <c r="BK43" s="1005"/>
      <c r="BL43" s="1005"/>
      <c r="BM43" s="1005"/>
      <c r="BN43" s="1005"/>
      <c r="BO43" s="1006"/>
      <c r="BP43" s="992">
        <f>AJ43*AU43+1</f>
        <v>25600</v>
      </c>
      <c r="BQ43" s="993"/>
      <c r="BR43" s="993"/>
      <c r="BS43" s="993"/>
      <c r="BT43" s="993"/>
      <c r="BU43" s="993"/>
      <c r="BV43" s="993"/>
      <c r="BW43" s="993"/>
      <c r="BX43" s="993"/>
      <c r="BY43" s="993"/>
      <c r="BZ43" s="993"/>
      <c r="CA43" s="993"/>
      <c r="CB43" s="994"/>
      <c r="CF43" s="82">
        <f>BP39+BP43+BP47+BP51</f>
        <v>3240400</v>
      </c>
      <c r="CQ43" s="82">
        <f>BP43-'[2]Пок по пост и выб'!D64</f>
        <v>-1117059</v>
      </c>
    </row>
    <row r="44" spans="1:95" s="240" customFormat="1" ht="16.95" customHeight="1">
      <c r="A44" s="941" t="s">
        <v>903</v>
      </c>
      <c r="B44" s="942"/>
      <c r="C44" s="942"/>
      <c r="D44" s="943"/>
      <c r="E44" s="980" t="s">
        <v>909</v>
      </c>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2"/>
      <c r="AJ44" s="998">
        <v>34</v>
      </c>
      <c r="AK44" s="999"/>
      <c r="AL44" s="999"/>
      <c r="AM44" s="999"/>
      <c r="AN44" s="999"/>
      <c r="AO44" s="999"/>
      <c r="AP44" s="999"/>
      <c r="AQ44" s="999"/>
      <c r="AR44" s="999"/>
      <c r="AS44" s="999"/>
      <c r="AT44" s="1000"/>
      <c r="AU44" s="1001">
        <v>41.7</v>
      </c>
      <c r="AV44" s="1002"/>
      <c r="AW44" s="1002"/>
      <c r="AX44" s="1002"/>
      <c r="AY44" s="1002"/>
      <c r="AZ44" s="1002"/>
      <c r="BA44" s="1002"/>
      <c r="BB44" s="1002"/>
      <c r="BC44" s="1002"/>
      <c r="BD44" s="1003"/>
      <c r="BE44" s="1004">
        <v>1</v>
      </c>
      <c r="BF44" s="1005"/>
      <c r="BG44" s="1005"/>
      <c r="BH44" s="1005"/>
      <c r="BI44" s="1005"/>
      <c r="BJ44" s="1005"/>
      <c r="BK44" s="1005"/>
      <c r="BL44" s="1005"/>
      <c r="BM44" s="1005"/>
      <c r="BN44" s="1005"/>
      <c r="BO44" s="1006"/>
      <c r="BP44" s="1007">
        <v>0</v>
      </c>
      <c r="BQ44" s="1008"/>
      <c r="BR44" s="1008"/>
      <c r="BS44" s="1008"/>
      <c r="BT44" s="1008"/>
      <c r="BU44" s="1008"/>
      <c r="BV44" s="1008"/>
      <c r="BW44" s="1008"/>
      <c r="BX44" s="1008"/>
      <c r="BY44" s="1008"/>
      <c r="BZ44" s="1008"/>
      <c r="CA44" s="1008"/>
      <c r="CB44" s="1009"/>
      <c r="CG44" s="82"/>
      <c r="CQ44" s="82">
        <f>BP44-'[2]Пок по пост и выб'!D64</f>
        <v>-1142659</v>
      </c>
    </row>
    <row r="45" spans="1:95" ht="16.95" customHeight="1">
      <c r="A45" s="941" t="s">
        <v>990</v>
      </c>
      <c r="B45" s="942"/>
      <c r="C45" s="942"/>
      <c r="D45" s="943"/>
      <c r="E45" s="980" t="s">
        <v>993</v>
      </c>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2"/>
      <c r="AJ45" s="998"/>
      <c r="AK45" s="999"/>
      <c r="AL45" s="999"/>
      <c r="AM45" s="999"/>
      <c r="AN45" s="999"/>
      <c r="AO45" s="999"/>
      <c r="AP45" s="999"/>
      <c r="AQ45" s="999"/>
      <c r="AR45" s="999"/>
      <c r="AS45" s="999"/>
      <c r="AT45" s="1000"/>
      <c r="AU45" s="1001"/>
      <c r="AV45" s="1002"/>
      <c r="AW45" s="1002"/>
      <c r="AX45" s="1002"/>
      <c r="AY45" s="1002"/>
      <c r="AZ45" s="1002"/>
      <c r="BA45" s="1002"/>
      <c r="BB45" s="1002"/>
      <c r="BC45" s="1002"/>
      <c r="BD45" s="1003"/>
      <c r="BE45" s="1004"/>
      <c r="BF45" s="1005"/>
      <c r="BG45" s="1005"/>
      <c r="BH45" s="1005"/>
      <c r="BI45" s="1005"/>
      <c r="BJ45" s="1005"/>
      <c r="BK45" s="1005"/>
      <c r="BL45" s="1005"/>
      <c r="BM45" s="1005"/>
      <c r="BN45" s="1005"/>
      <c r="BO45" s="1006"/>
      <c r="BP45" s="992">
        <v>17133.22</v>
      </c>
      <c r="BQ45" s="993"/>
      <c r="BR45" s="993"/>
      <c r="BS45" s="993"/>
      <c r="BT45" s="993"/>
      <c r="BU45" s="993"/>
      <c r="BV45" s="993"/>
      <c r="BW45" s="993"/>
      <c r="BX45" s="993"/>
      <c r="BY45" s="993"/>
      <c r="BZ45" s="993"/>
      <c r="CA45" s="993"/>
      <c r="CB45" s="994"/>
      <c r="CG45" s="82"/>
      <c r="CQ45" s="82">
        <f>BP45-'[2]Пок по пост и выб'!D65</f>
        <v>830.38000000000102</v>
      </c>
    </row>
    <row r="46" spans="1:95" s="79" customFormat="1" ht="16.95" customHeight="1">
      <c r="A46" s="814">
        <v>3</v>
      </c>
      <c r="B46" s="815"/>
      <c r="C46" s="815"/>
      <c r="D46" s="816"/>
      <c r="E46" s="883" t="s">
        <v>910</v>
      </c>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5"/>
      <c r="AJ46" s="1022">
        <f>AJ47+AJ48</f>
        <v>59155</v>
      </c>
      <c r="AK46" s="1023"/>
      <c r="AL46" s="1023"/>
      <c r="AM46" s="1023"/>
      <c r="AN46" s="1023"/>
      <c r="AO46" s="1023"/>
      <c r="AP46" s="1023"/>
      <c r="AQ46" s="1023"/>
      <c r="AR46" s="1023"/>
      <c r="AS46" s="1023"/>
      <c r="AT46" s="1024"/>
      <c r="AU46" s="923"/>
      <c r="AV46" s="924"/>
      <c r="AW46" s="924"/>
      <c r="AX46" s="924"/>
      <c r="AY46" s="924"/>
      <c r="AZ46" s="924"/>
      <c r="BA46" s="924"/>
      <c r="BB46" s="924"/>
      <c r="BC46" s="924"/>
      <c r="BD46" s="925"/>
      <c r="BE46" s="1013"/>
      <c r="BF46" s="1014"/>
      <c r="BG46" s="1014"/>
      <c r="BH46" s="1014"/>
      <c r="BI46" s="1014"/>
      <c r="BJ46" s="1014"/>
      <c r="BK46" s="1014"/>
      <c r="BL46" s="1014"/>
      <c r="BM46" s="1014"/>
      <c r="BN46" s="1014"/>
      <c r="BO46" s="1015"/>
      <c r="BP46" s="1016">
        <f>BP47+BP49+BP48</f>
        <v>492484.00640000001</v>
      </c>
      <c r="BQ46" s="1017"/>
      <c r="BR46" s="1017"/>
      <c r="BS46" s="1017"/>
      <c r="BT46" s="1017"/>
      <c r="BU46" s="1017"/>
      <c r="BV46" s="1017"/>
      <c r="BW46" s="1017"/>
      <c r="BX46" s="1017"/>
      <c r="BY46" s="1017"/>
      <c r="BZ46" s="1017"/>
      <c r="CA46" s="1017"/>
      <c r="CB46" s="1018"/>
    </row>
    <row r="47" spans="1:95" s="76" customFormat="1" ht="16.95" customHeight="1">
      <c r="A47" s="802" t="s">
        <v>582</v>
      </c>
      <c r="B47" s="803"/>
      <c r="C47" s="803"/>
      <c r="D47" s="804"/>
      <c r="E47" s="980" t="s">
        <v>908</v>
      </c>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2"/>
      <c r="AJ47" s="983">
        <v>55843</v>
      </c>
      <c r="AK47" s="984"/>
      <c r="AL47" s="984"/>
      <c r="AM47" s="984"/>
      <c r="AN47" s="984"/>
      <c r="AO47" s="984"/>
      <c r="AP47" s="984"/>
      <c r="AQ47" s="984"/>
      <c r="AR47" s="984"/>
      <c r="AS47" s="984"/>
      <c r="AT47" s="985"/>
      <c r="AU47" s="986">
        <v>6.24</v>
      </c>
      <c r="AV47" s="987"/>
      <c r="AW47" s="987"/>
      <c r="AX47" s="987"/>
      <c r="AY47" s="987"/>
      <c r="AZ47" s="987"/>
      <c r="BA47" s="987"/>
      <c r="BB47" s="987"/>
      <c r="BC47" s="987"/>
      <c r="BD47" s="988"/>
      <c r="BE47" s="989">
        <v>1</v>
      </c>
      <c r="BF47" s="990"/>
      <c r="BG47" s="990"/>
      <c r="BH47" s="990"/>
      <c r="BI47" s="990"/>
      <c r="BJ47" s="990"/>
      <c r="BK47" s="990"/>
      <c r="BL47" s="990"/>
      <c r="BM47" s="990"/>
      <c r="BN47" s="990"/>
      <c r="BO47" s="991"/>
      <c r="BP47" s="992">
        <f>AJ47*AU47+39.68</f>
        <v>348500</v>
      </c>
      <c r="BQ47" s="993"/>
      <c r="BR47" s="993"/>
      <c r="BS47" s="993"/>
      <c r="BT47" s="993"/>
      <c r="BU47" s="993"/>
      <c r="BV47" s="993"/>
      <c r="BW47" s="993"/>
      <c r="BX47" s="993"/>
      <c r="BY47" s="993"/>
      <c r="BZ47" s="993"/>
      <c r="CA47" s="993"/>
      <c r="CB47" s="994"/>
      <c r="CE47" s="190"/>
      <c r="CF47" s="190"/>
      <c r="CG47" s="190"/>
    </row>
    <row r="48" spans="1:95" s="76" customFormat="1" ht="16.95" customHeight="1">
      <c r="A48" s="941" t="s">
        <v>911</v>
      </c>
      <c r="B48" s="942"/>
      <c r="C48" s="942"/>
      <c r="D48" s="943"/>
      <c r="E48" s="980" t="s">
        <v>909</v>
      </c>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2"/>
      <c r="AJ48" s="983">
        <v>3312</v>
      </c>
      <c r="AK48" s="984"/>
      <c r="AL48" s="984"/>
      <c r="AM48" s="984"/>
      <c r="AN48" s="984"/>
      <c r="AO48" s="984"/>
      <c r="AP48" s="984"/>
      <c r="AQ48" s="984"/>
      <c r="AR48" s="984"/>
      <c r="AS48" s="984"/>
      <c r="AT48" s="985"/>
      <c r="AU48" s="986">
        <v>5.9097</v>
      </c>
      <c r="AV48" s="987"/>
      <c r="AW48" s="987"/>
      <c r="AX48" s="987"/>
      <c r="AY48" s="987"/>
      <c r="AZ48" s="987"/>
      <c r="BA48" s="987"/>
      <c r="BB48" s="987"/>
      <c r="BC48" s="987"/>
      <c r="BD48" s="988"/>
      <c r="BE48" s="989">
        <v>1</v>
      </c>
      <c r="BF48" s="990"/>
      <c r="BG48" s="990"/>
      <c r="BH48" s="990"/>
      <c r="BI48" s="990"/>
      <c r="BJ48" s="990"/>
      <c r="BK48" s="990"/>
      <c r="BL48" s="990"/>
      <c r="BM48" s="990"/>
      <c r="BN48" s="990"/>
      <c r="BO48" s="991"/>
      <c r="BP48" s="995">
        <f>AJ48*AU48+0.03</f>
        <v>19572.956399999999</v>
      </c>
      <c r="BQ48" s="996"/>
      <c r="BR48" s="996"/>
      <c r="BS48" s="996"/>
      <c r="BT48" s="996"/>
      <c r="BU48" s="996"/>
      <c r="BV48" s="996"/>
      <c r="BW48" s="996"/>
      <c r="BX48" s="996"/>
      <c r="BY48" s="996"/>
      <c r="BZ48" s="996"/>
      <c r="CA48" s="996"/>
      <c r="CB48" s="997"/>
      <c r="CE48" s="190"/>
    </row>
    <row r="49" spans="1:95" s="240" customFormat="1" ht="25.8" customHeight="1">
      <c r="A49" s="941" t="s">
        <v>991</v>
      </c>
      <c r="B49" s="942"/>
      <c r="C49" s="942"/>
      <c r="D49" s="943"/>
      <c r="E49" s="980" t="s">
        <v>993</v>
      </c>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2"/>
      <c r="AJ49" s="998"/>
      <c r="AK49" s="999"/>
      <c r="AL49" s="999"/>
      <c r="AM49" s="999"/>
      <c r="AN49" s="999"/>
      <c r="AO49" s="999"/>
      <c r="AP49" s="999"/>
      <c r="AQ49" s="999"/>
      <c r="AR49" s="999"/>
      <c r="AS49" s="999"/>
      <c r="AT49" s="1000"/>
      <c r="AU49" s="1001"/>
      <c r="AV49" s="1002"/>
      <c r="AW49" s="1002"/>
      <c r="AX49" s="1002"/>
      <c r="AY49" s="1002"/>
      <c r="AZ49" s="1002"/>
      <c r="BA49" s="1002"/>
      <c r="BB49" s="1002"/>
      <c r="BC49" s="1002"/>
      <c r="BD49" s="1003"/>
      <c r="BE49" s="1004"/>
      <c r="BF49" s="1005"/>
      <c r="BG49" s="1005"/>
      <c r="BH49" s="1005"/>
      <c r="BI49" s="1005"/>
      <c r="BJ49" s="1005"/>
      <c r="BK49" s="1005"/>
      <c r="BL49" s="1005"/>
      <c r="BM49" s="1005"/>
      <c r="BN49" s="1005"/>
      <c r="BO49" s="1006"/>
      <c r="BP49" s="992">
        <f>124411.05</f>
        <v>124411.05</v>
      </c>
      <c r="BQ49" s="993"/>
      <c r="BR49" s="993"/>
      <c r="BS49" s="993"/>
      <c r="BT49" s="993"/>
      <c r="BU49" s="993"/>
      <c r="BV49" s="993"/>
      <c r="BW49" s="993"/>
      <c r="BX49" s="993"/>
      <c r="BY49" s="993"/>
      <c r="BZ49" s="993"/>
      <c r="CA49" s="993"/>
      <c r="CB49" s="994"/>
      <c r="CF49" s="82">
        <f>BP49+BP53</f>
        <v>152341.32</v>
      </c>
      <c r="CG49" s="82"/>
      <c r="CQ49" s="82" t="e">
        <f>BP49-'[2]Пок по пост и выб'!D69</f>
        <v>#REF!</v>
      </c>
    </row>
    <row r="50" spans="1:95" ht="30" customHeight="1">
      <c r="A50" s="814">
        <v>4</v>
      </c>
      <c r="B50" s="815"/>
      <c r="C50" s="815"/>
      <c r="D50" s="816"/>
      <c r="E50" s="805" t="s">
        <v>992</v>
      </c>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7"/>
      <c r="AJ50" s="1010">
        <v>5649.48</v>
      </c>
      <c r="AK50" s="1011"/>
      <c r="AL50" s="1011"/>
      <c r="AM50" s="1011"/>
      <c r="AN50" s="1011"/>
      <c r="AO50" s="1011"/>
      <c r="AP50" s="1011"/>
      <c r="AQ50" s="1011"/>
      <c r="AR50" s="1011"/>
      <c r="AS50" s="1011"/>
      <c r="AT50" s="1012"/>
      <c r="AU50" s="923">
        <v>15.75</v>
      </c>
      <c r="AV50" s="924"/>
      <c r="AW50" s="924"/>
      <c r="AX50" s="924"/>
      <c r="AY50" s="924"/>
      <c r="AZ50" s="924"/>
      <c r="BA50" s="924"/>
      <c r="BB50" s="924"/>
      <c r="BC50" s="924"/>
      <c r="BD50" s="925"/>
      <c r="BE50" s="1013">
        <v>1</v>
      </c>
      <c r="BF50" s="1014"/>
      <c r="BG50" s="1014"/>
      <c r="BH50" s="1014"/>
      <c r="BI50" s="1014"/>
      <c r="BJ50" s="1014"/>
      <c r="BK50" s="1014"/>
      <c r="BL50" s="1014"/>
      <c r="BM50" s="1014"/>
      <c r="BN50" s="1014"/>
      <c r="BO50" s="1015"/>
      <c r="BP50" s="1016">
        <f>BP51+BP53+BP52</f>
        <v>109476.83</v>
      </c>
      <c r="BQ50" s="1017"/>
      <c r="BR50" s="1017"/>
      <c r="BS50" s="1017"/>
      <c r="BT50" s="1017"/>
      <c r="BU50" s="1017"/>
      <c r="BV50" s="1017"/>
      <c r="BW50" s="1017"/>
      <c r="BX50" s="1017"/>
      <c r="BY50" s="1017"/>
      <c r="BZ50" s="1017"/>
      <c r="CA50" s="1017"/>
      <c r="CB50" s="1018"/>
    </row>
    <row r="51" spans="1:95" s="76" customFormat="1" ht="16.95" customHeight="1">
      <c r="A51" s="802" t="s">
        <v>582</v>
      </c>
      <c r="B51" s="803"/>
      <c r="C51" s="803"/>
      <c r="D51" s="804"/>
      <c r="E51" s="980" t="s">
        <v>908</v>
      </c>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1"/>
      <c r="AI51" s="982"/>
      <c r="AJ51" s="983">
        <v>5475</v>
      </c>
      <c r="AK51" s="984"/>
      <c r="AL51" s="984"/>
      <c r="AM51" s="984"/>
      <c r="AN51" s="984"/>
      <c r="AO51" s="984"/>
      <c r="AP51" s="984"/>
      <c r="AQ51" s="984"/>
      <c r="AR51" s="984"/>
      <c r="AS51" s="984"/>
      <c r="AT51" s="985"/>
      <c r="AU51" s="986">
        <v>13.79</v>
      </c>
      <c r="AV51" s="987"/>
      <c r="AW51" s="987"/>
      <c r="AX51" s="987"/>
      <c r="AY51" s="987"/>
      <c r="AZ51" s="987"/>
      <c r="BA51" s="987"/>
      <c r="BB51" s="987"/>
      <c r="BC51" s="987"/>
      <c r="BD51" s="988"/>
      <c r="BE51" s="989">
        <v>1</v>
      </c>
      <c r="BF51" s="990"/>
      <c r="BG51" s="990"/>
      <c r="BH51" s="990"/>
      <c r="BI51" s="990"/>
      <c r="BJ51" s="990"/>
      <c r="BK51" s="990"/>
      <c r="BL51" s="990"/>
      <c r="BM51" s="990"/>
      <c r="BN51" s="990"/>
      <c r="BO51" s="991"/>
      <c r="BP51" s="992">
        <f>AJ51*AU51-0.25</f>
        <v>75500</v>
      </c>
      <c r="BQ51" s="993"/>
      <c r="BR51" s="993"/>
      <c r="BS51" s="993"/>
      <c r="BT51" s="993"/>
      <c r="BU51" s="993"/>
      <c r="BV51" s="993"/>
      <c r="BW51" s="993"/>
      <c r="BX51" s="993"/>
      <c r="BY51" s="993"/>
      <c r="BZ51" s="993"/>
      <c r="CA51" s="993"/>
      <c r="CB51" s="994"/>
      <c r="CE51" s="240"/>
      <c r="CF51" s="240"/>
      <c r="CG51" s="240"/>
    </row>
    <row r="52" spans="1:95" s="76" customFormat="1" ht="16.95" customHeight="1">
      <c r="A52" s="941" t="s">
        <v>911</v>
      </c>
      <c r="B52" s="942"/>
      <c r="C52" s="942"/>
      <c r="D52" s="943"/>
      <c r="E52" s="980" t="s">
        <v>909</v>
      </c>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2"/>
      <c r="AJ52" s="983">
        <v>456</v>
      </c>
      <c r="AK52" s="984"/>
      <c r="AL52" s="984"/>
      <c r="AM52" s="984"/>
      <c r="AN52" s="984"/>
      <c r="AO52" s="984"/>
      <c r="AP52" s="984"/>
      <c r="AQ52" s="984"/>
      <c r="AR52" s="984"/>
      <c r="AS52" s="984"/>
      <c r="AT52" s="985"/>
      <c r="AU52" s="986">
        <v>13.26</v>
      </c>
      <c r="AV52" s="987"/>
      <c r="AW52" s="987"/>
      <c r="AX52" s="987"/>
      <c r="AY52" s="987"/>
      <c r="AZ52" s="987"/>
      <c r="BA52" s="987"/>
      <c r="BB52" s="987"/>
      <c r="BC52" s="987"/>
      <c r="BD52" s="988"/>
      <c r="BE52" s="989">
        <v>1</v>
      </c>
      <c r="BF52" s="990"/>
      <c r="BG52" s="990"/>
      <c r="BH52" s="990"/>
      <c r="BI52" s="990"/>
      <c r="BJ52" s="990"/>
      <c r="BK52" s="990"/>
      <c r="BL52" s="990"/>
      <c r="BM52" s="990"/>
      <c r="BN52" s="990"/>
      <c r="BO52" s="991"/>
      <c r="BP52" s="995">
        <f>AJ52*AU52</f>
        <v>6046.5599999999995</v>
      </c>
      <c r="BQ52" s="996"/>
      <c r="BR52" s="996"/>
      <c r="BS52" s="996"/>
      <c r="BT52" s="996"/>
      <c r="BU52" s="996"/>
      <c r="BV52" s="996"/>
      <c r="BW52" s="996"/>
      <c r="BX52" s="996"/>
      <c r="BY52" s="996"/>
      <c r="BZ52" s="996"/>
      <c r="CA52" s="996"/>
      <c r="CB52" s="997"/>
      <c r="CE52" s="240"/>
    </row>
    <row r="53" spans="1:95" s="240" customFormat="1" ht="16.95" customHeight="1">
      <c r="A53" s="941" t="s">
        <v>991</v>
      </c>
      <c r="B53" s="942"/>
      <c r="C53" s="942"/>
      <c r="D53" s="943"/>
      <c r="E53" s="980" t="s">
        <v>993</v>
      </c>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2"/>
      <c r="AJ53" s="998"/>
      <c r="AK53" s="999"/>
      <c r="AL53" s="999"/>
      <c r="AM53" s="999"/>
      <c r="AN53" s="999"/>
      <c r="AO53" s="999"/>
      <c r="AP53" s="999"/>
      <c r="AQ53" s="999"/>
      <c r="AR53" s="999"/>
      <c r="AS53" s="999"/>
      <c r="AT53" s="1000"/>
      <c r="AU53" s="1001"/>
      <c r="AV53" s="1002"/>
      <c r="AW53" s="1002"/>
      <c r="AX53" s="1002"/>
      <c r="AY53" s="1002"/>
      <c r="AZ53" s="1002"/>
      <c r="BA53" s="1002"/>
      <c r="BB53" s="1002"/>
      <c r="BC53" s="1002"/>
      <c r="BD53" s="1003"/>
      <c r="BE53" s="1004"/>
      <c r="BF53" s="1005"/>
      <c r="BG53" s="1005"/>
      <c r="BH53" s="1005"/>
      <c r="BI53" s="1005"/>
      <c r="BJ53" s="1005"/>
      <c r="BK53" s="1005"/>
      <c r="BL53" s="1005"/>
      <c r="BM53" s="1005"/>
      <c r="BN53" s="1005"/>
      <c r="BO53" s="1006"/>
      <c r="BP53" s="992">
        <f>27925.56+4.71</f>
        <v>27930.27</v>
      </c>
      <c r="BQ53" s="993"/>
      <c r="BR53" s="993"/>
      <c r="BS53" s="993"/>
      <c r="BT53" s="993"/>
      <c r="BU53" s="993"/>
      <c r="BV53" s="993"/>
      <c r="BW53" s="993"/>
      <c r="BX53" s="993"/>
      <c r="BY53" s="993"/>
      <c r="BZ53" s="993"/>
      <c r="CA53" s="993"/>
      <c r="CB53" s="994"/>
      <c r="CG53" s="82"/>
      <c r="CQ53" s="82" t="e">
        <f>BP53-'[2]Пок по пост и выб'!D72</f>
        <v>#REF!</v>
      </c>
    </row>
    <row r="54" spans="1:95">
      <c r="A54" s="883"/>
      <c r="B54" s="884"/>
      <c r="C54" s="884"/>
      <c r="D54" s="885"/>
      <c r="E54" s="808" t="s">
        <v>262</v>
      </c>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10"/>
      <c r="AJ54" s="814" t="s">
        <v>21</v>
      </c>
      <c r="AK54" s="815"/>
      <c r="AL54" s="815"/>
      <c r="AM54" s="815"/>
      <c r="AN54" s="815"/>
      <c r="AO54" s="815"/>
      <c r="AP54" s="815"/>
      <c r="AQ54" s="815"/>
      <c r="AR54" s="815"/>
      <c r="AS54" s="815"/>
      <c r="AT54" s="816"/>
      <c r="AU54" s="814" t="s">
        <v>21</v>
      </c>
      <c r="AV54" s="815"/>
      <c r="AW54" s="815"/>
      <c r="AX54" s="815"/>
      <c r="AY54" s="815"/>
      <c r="AZ54" s="815"/>
      <c r="BA54" s="815"/>
      <c r="BB54" s="815"/>
      <c r="BC54" s="815"/>
      <c r="BD54" s="816"/>
      <c r="BE54" s="814" t="s">
        <v>21</v>
      </c>
      <c r="BF54" s="815"/>
      <c r="BG54" s="815"/>
      <c r="BH54" s="815"/>
      <c r="BI54" s="815"/>
      <c r="BJ54" s="815"/>
      <c r="BK54" s="815"/>
      <c r="BL54" s="815"/>
      <c r="BM54" s="815"/>
      <c r="BN54" s="815"/>
      <c r="BO54" s="816"/>
      <c r="BP54" s="880">
        <f>BP50+BP46+BP42+BP38</f>
        <v>4046081.9846000001</v>
      </c>
      <c r="BQ54" s="881"/>
      <c r="BR54" s="881"/>
      <c r="BS54" s="881"/>
      <c r="BT54" s="881"/>
      <c r="BU54" s="881"/>
      <c r="BV54" s="881"/>
      <c r="BW54" s="881"/>
      <c r="BX54" s="881"/>
      <c r="BY54" s="881"/>
      <c r="BZ54" s="881"/>
      <c r="CA54" s="881"/>
      <c r="CB54" s="882"/>
    </row>
    <row r="55" spans="1:95" ht="5.2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95" ht="15.6">
      <c r="A56" s="827" t="s">
        <v>521</v>
      </c>
      <c r="B56" s="827"/>
      <c r="C56" s="827"/>
      <c r="D56" s="827"/>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7"/>
      <c r="AY56" s="827"/>
      <c r="AZ56" s="827"/>
      <c r="BA56" s="827"/>
      <c r="BB56" s="827"/>
      <c r="BC56" s="827"/>
      <c r="BD56" s="827"/>
      <c r="BE56" s="827"/>
      <c r="BF56" s="827"/>
      <c r="BG56" s="827"/>
      <c r="BH56" s="827"/>
      <c r="BI56" s="827"/>
      <c r="BJ56" s="827"/>
      <c r="BK56" s="827"/>
      <c r="BL56" s="827"/>
      <c r="BM56" s="827"/>
      <c r="BN56" s="827"/>
      <c r="BO56" s="827"/>
      <c r="BP56" s="827"/>
      <c r="BQ56" s="827"/>
      <c r="BR56" s="827"/>
      <c r="BS56" s="827"/>
      <c r="BT56" s="827"/>
      <c r="BU56" s="827"/>
      <c r="BV56" s="827"/>
      <c r="BW56" s="827"/>
      <c r="BX56" s="827"/>
      <c r="BY56" s="827"/>
      <c r="BZ56" s="827"/>
      <c r="CA56" s="827"/>
      <c r="CB56" s="827"/>
    </row>
    <row r="57" spans="1:95" ht="3.75" customHeight="1"/>
    <row r="58" spans="1:95">
      <c r="A58" s="823" t="s">
        <v>388</v>
      </c>
      <c r="B58" s="824"/>
      <c r="C58" s="824"/>
      <c r="D58" s="825"/>
      <c r="E58" s="823" t="s">
        <v>0</v>
      </c>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5"/>
      <c r="AR58" s="823" t="s">
        <v>424</v>
      </c>
      <c r="AS58" s="824"/>
      <c r="AT58" s="824"/>
      <c r="AU58" s="824"/>
      <c r="AV58" s="824"/>
      <c r="AW58" s="824"/>
      <c r="AX58" s="824"/>
      <c r="AY58" s="824"/>
      <c r="AZ58" s="824"/>
      <c r="BA58" s="824"/>
      <c r="BB58" s="824"/>
      <c r="BC58" s="825"/>
      <c r="BD58" s="823" t="s">
        <v>522</v>
      </c>
      <c r="BE58" s="824"/>
      <c r="BF58" s="824"/>
      <c r="BG58" s="824"/>
      <c r="BH58" s="824"/>
      <c r="BI58" s="824"/>
      <c r="BJ58" s="824"/>
      <c r="BK58" s="824"/>
      <c r="BL58" s="824"/>
      <c r="BM58" s="824"/>
      <c r="BN58" s="825"/>
      <c r="BO58" s="823" t="s">
        <v>502</v>
      </c>
      <c r="BP58" s="824"/>
      <c r="BQ58" s="824"/>
      <c r="BR58" s="824"/>
      <c r="BS58" s="824"/>
      <c r="BT58" s="824"/>
      <c r="BU58" s="824"/>
      <c r="BV58" s="824"/>
      <c r="BW58" s="824"/>
      <c r="BX58" s="824"/>
      <c r="BY58" s="824"/>
      <c r="BZ58" s="824"/>
      <c r="CA58" s="824"/>
      <c r="CB58" s="825"/>
    </row>
    <row r="59" spans="1:95" ht="12.75" hidden="1" customHeight="1">
      <c r="A59" s="820" t="s">
        <v>395</v>
      </c>
      <c r="B59" s="821"/>
      <c r="C59" s="821"/>
      <c r="D59" s="822"/>
      <c r="E59" s="820"/>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2"/>
      <c r="AR59" s="820"/>
      <c r="AS59" s="821"/>
      <c r="AT59" s="821"/>
      <c r="AU59" s="821"/>
      <c r="AV59" s="821"/>
      <c r="AW59" s="821"/>
      <c r="AX59" s="821"/>
      <c r="AY59" s="821"/>
      <c r="AZ59" s="821"/>
      <c r="BA59" s="821"/>
      <c r="BB59" s="821"/>
      <c r="BC59" s="822"/>
      <c r="BD59" s="820" t="s">
        <v>523</v>
      </c>
      <c r="BE59" s="821"/>
      <c r="BF59" s="821"/>
      <c r="BG59" s="821"/>
      <c r="BH59" s="821"/>
      <c r="BI59" s="821"/>
      <c r="BJ59" s="821"/>
      <c r="BK59" s="821"/>
      <c r="BL59" s="821"/>
      <c r="BM59" s="821"/>
      <c r="BN59" s="822"/>
      <c r="BO59" s="820" t="s">
        <v>524</v>
      </c>
      <c r="BP59" s="821"/>
      <c r="BQ59" s="821"/>
      <c r="BR59" s="821"/>
      <c r="BS59" s="821"/>
      <c r="BT59" s="821"/>
      <c r="BU59" s="821"/>
      <c r="BV59" s="821"/>
      <c r="BW59" s="821"/>
      <c r="BX59" s="821"/>
      <c r="BY59" s="821"/>
      <c r="BZ59" s="821"/>
      <c r="CA59" s="821"/>
      <c r="CB59" s="822"/>
    </row>
    <row r="60" spans="1:95">
      <c r="A60" s="820"/>
      <c r="B60" s="821"/>
      <c r="C60" s="821"/>
      <c r="D60" s="822"/>
      <c r="E60" s="820" t="s">
        <v>1039</v>
      </c>
      <c r="F60" s="821"/>
      <c r="G60" s="821"/>
      <c r="H60" s="821"/>
      <c r="I60" s="821"/>
      <c r="J60" s="821"/>
      <c r="K60" s="821"/>
      <c r="L60" s="821"/>
      <c r="M60" s="821"/>
      <c r="N60" s="821"/>
      <c r="O60" s="821"/>
      <c r="P60" s="821"/>
      <c r="Q60" s="821"/>
      <c r="R60" s="821"/>
      <c r="S60" s="821"/>
      <c r="T60" s="821"/>
      <c r="U60" s="821"/>
      <c r="V60" s="821"/>
      <c r="W60" s="821"/>
      <c r="X60" s="821"/>
      <c r="Y60" s="821"/>
      <c r="Z60" s="821"/>
      <c r="AA60" s="821"/>
      <c r="AB60" s="821"/>
      <c r="AC60" s="821"/>
      <c r="AD60" s="821"/>
      <c r="AE60" s="821"/>
      <c r="AF60" s="821"/>
      <c r="AG60" s="821"/>
      <c r="AH60" s="821"/>
      <c r="AI60" s="821"/>
      <c r="AJ60" s="821"/>
      <c r="AK60" s="821"/>
      <c r="AL60" s="821"/>
      <c r="AM60" s="821"/>
      <c r="AN60" s="821"/>
      <c r="AO60" s="821"/>
      <c r="AP60" s="821"/>
      <c r="AQ60" s="822"/>
      <c r="AR60" s="820"/>
      <c r="AS60" s="821"/>
      <c r="AT60" s="821"/>
      <c r="AU60" s="821"/>
      <c r="AV60" s="821"/>
      <c r="AW60" s="821"/>
      <c r="AX60" s="821"/>
      <c r="AY60" s="821"/>
      <c r="AZ60" s="821"/>
      <c r="BA60" s="821"/>
      <c r="BB60" s="821"/>
      <c r="BC60" s="822"/>
      <c r="BD60" s="820" t="s">
        <v>525</v>
      </c>
      <c r="BE60" s="821"/>
      <c r="BF60" s="821"/>
      <c r="BG60" s="821"/>
      <c r="BH60" s="821"/>
      <c r="BI60" s="821"/>
      <c r="BJ60" s="821"/>
      <c r="BK60" s="821"/>
      <c r="BL60" s="821"/>
      <c r="BM60" s="821"/>
      <c r="BN60" s="822"/>
      <c r="BO60" s="820" t="s">
        <v>237</v>
      </c>
      <c r="BP60" s="821"/>
      <c r="BQ60" s="821"/>
      <c r="BR60" s="821"/>
      <c r="BS60" s="821"/>
      <c r="BT60" s="821"/>
      <c r="BU60" s="821"/>
      <c r="BV60" s="821"/>
      <c r="BW60" s="821"/>
      <c r="BX60" s="821"/>
      <c r="BY60" s="821"/>
      <c r="BZ60" s="821"/>
      <c r="CA60" s="821"/>
      <c r="CB60" s="822"/>
    </row>
    <row r="61" spans="1:95" s="79" customFormat="1" ht="15.6">
      <c r="A61" s="817">
        <v>1</v>
      </c>
      <c r="B61" s="818"/>
      <c r="C61" s="818"/>
      <c r="D61" s="819"/>
      <c r="E61" s="817">
        <v>2</v>
      </c>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9"/>
      <c r="AR61" s="817">
        <v>4</v>
      </c>
      <c r="AS61" s="818"/>
      <c r="AT61" s="818"/>
      <c r="AU61" s="818"/>
      <c r="AV61" s="818"/>
      <c r="AW61" s="818"/>
      <c r="AX61" s="818"/>
      <c r="AY61" s="818"/>
      <c r="AZ61" s="818"/>
      <c r="BA61" s="818"/>
      <c r="BB61" s="818"/>
      <c r="BC61" s="819"/>
      <c r="BD61" s="817">
        <v>5</v>
      </c>
      <c r="BE61" s="818"/>
      <c r="BF61" s="818"/>
      <c r="BG61" s="818"/>
      <c r="BH61" s="818"/>
      <c r="BI61" s="818"/>
      <c r="BJ61" s="818"/>
      <c r="BK61" s="818"/>
      <c r="BL61" s="818"/>
      <c r="BM61" s="818"/>
      <c r="BN61" s="819"/>
      <c r="BO61" s="817">
        <v>6</v>
      </c>
      <c r="BP61" s="818"/>
      <c r="BQ61" s="818"/>
      <c r="BR61" s="818"/>
      <c r="BS61" s="818"/>
      <c r="BT61" s="818"/>
      <c r="BU61" s="818"/>
      <c r="BV61" s="818"/>
      <c r="BW61" s="818"/>
      <c r="BX61" s="818"/>
      <c r="BY61" s="818"/>
      <c r="BZ61" s="818"/>
      <c r="CA61" s="818"/>
      <c r="CB61" s="819"/>
    </row>
    <row r="62" spans="1:95" ht="16.2" customHeight="1">
      <c r="A62" s="883">
        <v>1</v>
      </c>
      <c r="B62" s="884"/>
      <c r="C62" s="884"/>
      <c r="D62" s="885"/>
      <c r="E62" s="1019"/>
      <c r="F62" s="1020"/>
      <c r="G62" s="1020"/>
      <c r="H62" s="1020"/>
      <c r="I62" s="1020"/>
      <c r="J62" s="1020"/>
      <c r="K62" s="1020"/>
      <c r="L62" s="1020"/>
      <c r="M62" s="1020"/>
      <c r="N62" s="1020"/>
      <c r="O62" s="1020"/>
      <c r="P62" s="1020"/>
      <c r="Q62" s="1020"/>
      <c r="R62" s="1020"/>
      <c r="S62" s="1020"/>
      <c r="T62" s="1020"/>
      <c r="U62" s="1020"/>
      <c r="V62" s="1020"/>
      <c r="W62" s="1020"/>
      <c r="X62" s="1020"/>
      <c r="Y62" s="1020"/>
      <c r="Z62" s="1020"/>
      <c r="AA62" s="1020"/>
      <c r="AB62" s="1020"/>
      <c r="AC62" s="1020"/>
      <c r="AD62" s="1020"/>
      <c r="AE62" s="1020"/>
      <c r="AF62" s="1020"/>
      <c r="AG62" s="1020"/>
      <c r="AH62" s="1020"/>
      <c r="AI62" s="1020"/>
      <c r="AJ62" s="1020"/>
      <c r="AK62" s="1020"/>
      <c r="AL62" s="1020"/>
      <c r="AM62" s="1020"/>
      <c r="AN62" s="1020"/>
      <c r="AO62" s="1020"/>
      <c r="AP62" s="1020"/>
      <c r="AQ62" s="1021"/>
      <c r="AR62" s="904">
        <v>0</v>
      </c>
      <c r="AS62" s="905"/>
      <c r="AT62" s="905"/>
      <c r="AU62" s="905"/>
      <c r="AV62" s="905"/>
      <c r="AW62" s="905"/>
      <c r="AX62" s="905"/>
      <c r="AY62" s="905"/>
      <c r="AZ62" s="905"/>
      <c r="BA62" s="905"/>
      <c r="BB62" s="905"/>
      <c r="BC62" s="906"/>
      <c r="BD62" s="862">
        <v>0</v>
      </c>
      <c r="BE62" s="863"/>
      <c r="BF62" s="863"/>
      <c r="BG62" s="863"/>
      <c r="BH62" s="863"/>
      <c r="BI62" s="863"/>
      <c r="BJ62" s="863"/>
      <c r="BK62" s="863"/>
      <c r="BL62" s="863"/>
      <c r="BM62" s="863"/>
      <c r="BN62" s="864"/>
      <c r="BO62" s="862">
        <f>AR62*BD62</f>
        <v>0</v>
      </c>
      <c r="BP62" s="863"/>
      <c r="BQ62" s="863"/>
      <c r="BR62" s="863"/>
      <c r="BS62" s="863"/>
      <c r="BT62" s="863"/>
      <c r="BU62" s="863"/>
      <c r="BV62" s="863"/>
      <c r="BW62" s="863"/>
      <c r="BX62" s="863"/>
      <c r="BY62" s="863"/>
      <c r="BZ62" s="863"/>
      <c r="CA62" s="863"/>
      <c r="CB62" s="864"/>
    </row>
    <row r="63" spans="1:95">
      <c r="A63" s="883"/>
      <c r="B63" s="884"/>
      <c r="C63" s="884"/>
      <c r="D63" s="885"/>
      <c r="E63" s="808" t="s">
        <v>262</v>
      </c>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10"/>
      <c r="AR63" s="814" t="s">
        <v>21</v>
      </c>
      <c r="AS63" s="815"/>
      <c r="AT63" s="815"/>
      <c r="AU63" s="815"/>
      <c r="AV63" s="815"/>
      <c r="AW63" s="815"/>
      <c r="AX63" s="815"/>
      <c r="AY63" s="815"/>
      <c r="AZ63" s="815"/>
      <c r="BA63" s="815"/>
      <c r="BB63" s="815"/>
      <c r="BC63" s="816"/>
      <c r="BD63" s="814" t="s">
        <v>21</v>
      </c>
      <c r="BE63" s="815"/>
      <c r="BF63" s="815"/>
      <c r="BG63" s="815"/>
      <c r="BH63" s="815"/>
      <c r="BI63" s="815"/>
      <c r="BJ63" s="815"/>
      <c r="BK63" s="815"/>
      <c r="BL63" s="815"/>
      <c r="BM63" s="815"/>
      <c r="BN63" s="816"/>
      <c r="BO63" s="811">
        <f>BO62</f>
        <v>0</v>
      </c>
      <c r="BP63" s="809"/>
      <c r="BQ63" s="809"/>
      <c r="BR63" s="809"/>
      <c r="BS63" s="809"/>
      <c r="BT63" s="809"/>
      <c r="BU63" s="809"/>
      <c r="BV63" s="809"/>
      <c r="BW63" s="809"/>
      <c r="BX63" s="809"/>
      <c r="BY63" s="809"/>
      <c r="BZ63" s="809"/>
      <c r="CA63" s="809"/>
      <c r="CB63" s="810"/>
    </row>
    <row r="64" spans="1:95" ht="15.6">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row>
  </sheetData>
  <mergeCells count="271">
    <mergeCell ref="A10:D10"/>
    <mergeCell ref="E10:AI10"/>
    <mergeCell ref="AJ10:AT10"/>
    <mergeCell ref="AU10:BD10"/>
    <mergeCell ref="BE10:BO10"/>
    <mergeCell ref="BP10:CB10"/>
    <mergeCell ref="A1:CB1"/>
    <mergeCell ref="S3:CB3"/>
    <mergeCell ref="AH5:CB5"/>
    <mergeCell ref="A7:CB7"/>
    <mergeCell ref="A9:D9"/>
    <mergeCell ref="E9:AI9"/>
    <mergeCell ref="AJ9:AT9"/>
    <mergeCell ref="AU9:BD9"/>
    <mergeCell ref="BE9:BO9"/>
    <mergeCell ref="BP9:CB9"/>
    <mergeCell ref="A12:D12"/>
    <mergeCell ref="E12:AI12"/>
    <mergeCell ref="AJ12:AT12"/>
    <mergeCell ref="AU12:BD12"/>
    <mergeCell ref="BE12:BO12"/>
    <mergeCell ref="BP12:CB12"/>
    <mergeCell ref="A11:D11"/>
    <mergeCell ref="E11:AI11"/>
    <mergeCell ref="AJ11:AT11"/>
    <mergeCell ref="AU11:BD11"/>
    <mergeCell ref="BE11:BO11"/>
    <mergeCell ref="BP11:CB11"/>
    <mergeCell ref="A14:D14"/>
    <mergeCell ref="E14:AI14"/>
    <mergeCell ref="AJ14:AT14"/>
    <mergeCell ref="AU14:BD14"/>
    <mergeCell ref="BE14:BO14"/>
    <mergeCell ref="BP14:CB14"/>
    <mergeCell ref="A13:D13"/>
    <mergeCell ref="E13:AI13"/>
    <mergeCell ref="AJ13:AT13"/>
    <mergeCell ref="AU13:BD13"/>
    <mergeCell ref="BE13:BO13"/>
    <mergeCell ref="BP13:CB13"/>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5:D25"/>
    <mergeCell ref="E25:AM25"/>
    <mergeCell ref="AN25:AV25"/>
    <mergeCell ref="AW25:BI25"/>
    <mergeCell ref="BJ25:CB25"/>
    <mergeCell ref="A21:D21"/>
    <mergeCell ref="E21:AI21"/>
    <mergeCell ref="AJ21:AT21"/>
    <mergeCell ref="AU21:BD21"/>
    <mergeCell ref="BE21:BO21"/>
    <mergeCell ref="BP21:CB21"/>
    <mergeCell ref="A28:D28"/>
    <mergeCell ref="E28:AM28"/>
    <mergeCell ref="AN28:AV28"/>
    <mergeCell ref="AW28:BI28"/>
    <mergeCell ref="BJ28:CB28"/>
    <mergeCell ref="A26:D26"/>
    <mergeCell ref="E26:AM26"/>
    <mergeCell ref="AN26:AV26"/>
    <mergeCell ref="AW26:BI26"/>
    <mergeCell ref="BJ26:CB26"/>
    <mergeCell ref="A27:D27"/>
    <mergeCell ref="E27:AM27"/>
    <mergeCell ref="AN27:AV27"/>
    <mergeCell ref="AW27:BI27"/>
    <mergeCell ref="BJ27:CB27"/>
    <mergeCell ref="A29:D29"/>
    <mergeCell ref="E29:AM29"/>
    <mergeCell ref="AN29:AV29"/>
    <mergeCell ref="AW29:BI29"/>
    <mergeCell ref="BJ29:CB29"/>
    <mergeCell ref="A30:D30"/>
    <mergeCell ref="E30:AM30"/>
    <mergeCell ref="AN30:AV30"/>
    <mergeCell ref="AW30:BI30"/>
    <mergeCell ref="BJ30:CB30"/>
    <mergeCell ref="A35:D35"/>
    <mergeCell ref="E35:AI35"/>
    <mergeCell ref="AJ35:AT35"/>
    <mergeCell ref="AU35:BD35"/>
    <mergeCell ref="BE35:BO35"/>
    <mergeCell ref="BP35:CB35"/>
    <mergeCell ref="A32:CB32"/>
    <mergeCell ref="A34:D34"/>
    <mergeCell ref="E34:AI34"/>
    <mergeCell ref="AJ34:AT34"/>
    <mergeCell ref="AU34:BD34"/>
    <mergeCell ref="BE34:BO34"/>
    <mergeCell ref="BP34:CB34"/>
    <mergeCell ref="A37:D37"/>
    <mergeCell ref="E37:AI37"/>
    <mergeCell ref="AJ37:AT37"/>
    <mergeCell ref="AU37:BD37"/>
    <mergeCell ref="BE37:BO37"/>
    <mergeCell ref="BP37:CB37"/>
    <mergeCell ref="A36:D36"/>
    <mergeCell ref="E36:AI36"/>
    <mergeCell ref="AJ36:AT36"/>
    <mergeCell ref="AU36:BD36"/>
    <mergeCell ref="BE36:BO36"/>
    <mergeCell ref="BP36:CB36"/>
    <mergeCell ref="A39:D39"/>
    <mergeCell ref="E39:AI39"/>
    <mergeCell ref="AJ39:AT39"/>
    <mergeCell ref="AU39:BD39"/>
    <mergeCell ref="BE39:BO39"/>
    <mergeCell ref="BP39:CB39"/>
    <mergeCell ref="A38:D38"/>
    <mergeCell ref="E38:AI38"/>
    <mergeCell ref="AJ38:AT38"/>
    <mergeCell ref="AU38:BD38"/>
    <mergeCell ref="BE38:BO38"/>
    <mergeCell ref="BP38:CB38"/>
    <mergeCell ref="A42:D42"/>
    <mergeCell ref="E42:AI42"/>
    <mergeCell ref="AJ42:AT42"/>
    <mergeCell ref="AU42:BD42"/>
    <mergeCell ref="BE42:BO42"/>
    <mergeCell ref="BP42:CB42"/>
    <mergeCell ref="A41:D41"/>
    <mergeCell ref="E41:AI41"/>
    <mergeCell ref="AJ41:AT41"/>
    <mergeCell ref="AU41:BD41"/>
    <mergeCell ref="BE41:BO41"/>
    <mergeCell ref="BP41:CB41"/>
    <mergeCell ref="A45:D45"/>
    <mergeCell ref="E45:AI45"/>
    <mergeCell ref="AJ45:AT45"/>
    <mergeCell ref="AU45:BD45"/>
    <mergeCell ref="BE45:BO45"/>
    <mergeCell ref="BP45:CB45"/>
    <mergeCell ref="A43:D43"/>
    <mergeCell ref="E43:AI43"/>
    <mergeCell ref="AJ43:AT43"/>
    <mergeCell ref="AU43:BD43"/>
    <mergeCell ref="BE43:BO43"/>
    <mergeCell ref="BP43:CB43"/>
    <mergeCell ref="A47:D47"/>
    <mergeCell ref="E47:AI47"/>
    <mergeCell ref="AJ47:AT47"/>
    <mergeCell ref="AU47:BD47"/>
    <mergeCell ref="BE47:BO47"/>
    <mergeCell ref="BP47:CB47"/>
    <mergeCell ref="A46:D46"/>
    <mergeCell ref="E46:AI46"/>
    <mergeCell ref="AJ46:AT46"/>
    <mergeCell ref="AU46:BD46"/>
    <mergeCell ref="BE46:BO46"/>
    <mergeCell ref="BP46:CB46"/>
    <mergeCell ref="A48:D48"/>
    <mergeCell ref="E48:AI48"/>
    <mergeCell ref="AJ48:AT48"/>
    <mergeCell ref="AU48:BD48"/>
    <mergeCell ref="BE48:BO48"/>
    <mergeCell ref="BP48:CB48"/>
    <mergeCell ref="A49:D49"/>
    <mergeCell ref="E49:AI49"/>
    <mergeCell ref="AJ49:AT49"/>
    <mergeCell ref="AU49:BD49"/>
    <mergeCell ref="BE49:BO49"/>
    <mergeCell ref="BP49:CB49"/>
    <mergeCell ref="A56:CB56"/>
    <mergeCell ref="A58:D58"/>
    <mergeCell ref="E58:AQ58"/>
    <mergeCell ref="AR58:BC58"/>
    <mergeCell ref="BD58:BN58"/>
    <mergeCell ref="BO58:CB58"/>
    <mergeCell ref="A54:D54"/>
    <mergeCell ref="E54:AI54"/>
    <mergeCell ref="AJ54:AT54"/>
    <mergeCell ref="AU54:BD54"/>
    <mergeCell ref="BE54:BO54"/>
    <mergeCell ref="BP54:CB54"/>
    <mergeCell ref="A59:D59"/>
    <mergeCell ref="E59:AQ59"/>
    <mergeCell ref="AR59:BC59"/>
    <mergeCell ref="BD59:BN59"/>
    <mergeCell ref="BO59:CB59"/>
    <mergeCell ref="A60:D60"/>
    <mergeCell ref="E60:AQ60"/>
    <mergeCell ref="AR60:BC60"/>
    <mergeCell ref="BD60:BN60"/>
    <mergeCell ref="BO60:CB60"/>
    <mergeCell ref="A63:D63"/>
    <mergeCell ref="E63:AQ63"/>
    <mergeCell ref="AR63:BC63"/>
    <mergeCell ref="BD63:BN63"/>
    <mergeCell ref="BO63:CB63"/>
    <mergeCell ref="A61:D61"/>
    <mergeCell ref="E61:AQ61"/>
    <mergeCell ref="AR61:BC61"/>
    <mergeCell ref="BD61:BN61"/>
    <mergeCell ref="BO61:CB61"/>
    <mergeCell ref="A62:D62"/>
    <mergeCell ref="E62:AQ62"/>
    <mergeCell ref="AR62:BC62"/>
    <mergeCell ref="BD62:BN62"/>
    <mergeCell ref="BO62:CB62"/>
    <mergeCell ref="A53:D53"/>
    <mergeCell ref="E53:AI53"/>
    <mergeCell ref="AJ53:AT53"/>
    <mergeCell ref="AU53:BD53"/>
    <mergeCell ref="BE53:BO53"/>
    <mergeCell ref="BP53:CB53"/>
    <mergeCell ref="A40:D40"/>
    <mergeCell ref="E40:AI40"/>
    <mergeCell ref="AJ40:AT40"/>
    <mergeCell ref="AU40:BD40"/>
    <mergeCell ref="BE40:BO40"/>
    <mergeCell ref="BP40:CB40"/>
    <mergeCell ref="A44:D44"/>
    <mergeCell ref="E44:AI44"/>
    <mergeCell ref="AJ44:AT44"/>
    <mergeCell ref="AU44:BD44"/>
    <mergeCell ref="BE44:BO44"/>
    <mergeCell ref="BP44:CB44"/>
    <mergeCell ref="A50:D50"/>
    <mergeCell ref="E50:AI50"/>
    <mergeCell ref="AJ50:AT50"/>
    <mergeCell ref="AU50:BD50"/>
    <mergeCell ref="BE50:BO50"/>
    <mergeCell ref="BP50:CB50"/>
    <mergeCell ref="A51:D51"/>
    <mergeCell ref="E51:AI51"/>
    <mergeCell ref="AJ51:AT51"/>
    <mergeCell ref="AU51:BD51"/>
    <mergeCell ref="BE51:BO51"/>
    <mergeCell ref="BP51:CB51"/>
    <mergeCell ref="A52:D52"/>
    <mergeCell ref="E52:AI52"/>
    <mergeCell ref="AJ52:AT52"/>
    <mergeCell ref="AU52:BD52"/>
    <mergeCell ref="BE52:BO52"/>
    <mergeCell ref="BP52:CB52"/>
  </mergeCells>
  <pageMargins left="0.78740157480314965" right="0.39370078740157483" top="0.39370078740157483" bottom="0.39370078740157483" header="0.27559055118110237" footer="0.27559055118110237"/>
  <pageSetup paperSize="9" scale="91" orientation="portrait" blackAndWhite="1" r:id="rId1"/>
  <headerFooter alignWithMargins="0"/>
</worksheet>
</file>

<file path=xl/worksheets/sheet13.xml><?xml version="1.0" encoding="utf-8"?>
<worksheet xmlns="http://schemas.openxmlformats.org/spreadsheetml/2006/main" xmlns:r="http://schemas.openxmlformats.org/officeDocument/2006/relationships">
  <sheetPr>
    <tabColor theme="9" tint="0.39997558519241921"/>
    <pageSetUpPr fitToPage="1"/>
  </sheetPr>
  <dimension ref="A1:CU266"/>
  <sheetViews>
    <sheetView view="pageBreakPreview" zoomScale="85" zoomScaleSheetLayoutView="85" workbookViewId="0">
      <selection activeCell="A238" sqref="A238:D238"/>
    </sheetView>
  </sheetViews>
  <sheetFormatPr defaultColWidth="1.109375" defaultRowHeight="13.2"/>
  <cols>
    <col min="1" max="38" width="1.109375" style="114"/>
    <col min="39" max="39" width="30.6640625" style="114" customWidth="1"/>
    <col min="40" max="40" width="0.6640625" style="114" customWidth="1"/>
    <col min="41" max="44" width="1.109375" style="114" hidden="1" customWidth="1"/>
    <col min="45" max="45" width="1.5546875" style="114" customWidth="1"/>
    <col min="46" max="46" width="1.109375" style="114"/>
    <col min="47" max="47" width="0.5546875" style="114" customWidth="1"/>
    <col min="48" max="49" width="1.109375" style="114" hidden="1" customWidth="1"/>
    <col min="50" max="50" width="4" style="114" customWidth="1"/>
    <col min="51" max="53" width="1.109375" style="114" hidden="1" customWidth="1"/>
    <col min="54" max="54" width="2.109375" style="114" customWidth="1"/>
    <col min="55" max="55" width="0.88671875" style="114" customWidth="1"/>
    <col min="56" max="63" width="1.109375" style="114"/>
    <col min="64" max="64" width="2.33203125" style="114" customWidth="1"/>
    <col min="65" max="65" width="0.44140625" style="114" customWidth="1"/>
    <col min="66" max="71" width="1.109375" style="114"/>
    <col min="72" max="72" width="0.6640625" style="114" customWidth="1"/>
    <col min="73" max="75" width="1.109375" style="114" hidden="1" customWidth="1"/>
    <col min="76" max="76" width="1.6640625" style="114" customWidth="1"/>
    <col min="77" max="77" width="1.109375" style="114" customWidth="1"/>
    <col min="78" max="78" width="0.33203125" style="114" customWidth="1"/>
    <col min="79" max="79" width="0.5546875" style="114" customWidth="1"/>
    <col min="80" max="80" width="5.5546875" style="114" customWidth="1"/>
    <col min="81" max="81" width="6.5546875" style="114" hidden="1" customWidth="1"/>
    <col min="82" max="82" width="13.109375" style="114" hidden="1" customWidth="1"/>
    <col min="83" max="84" width="10.44140625" style="114" hidden="1" customWidth="1"/>
    <col min="85" max="85" width="12.44140625" style="114" hidden="1" customWidth="1"/>
    <col min="86" max="86" width="4.33203125" style="114" hidden="1" customWidth="1"/>
    <col min="87" max="87" width="8.44140625" style="114" hidden="1" customWidth="1"/>
    <col min="88" max="88" width="11.44140625" style="114" hidden="1" customWidth="1"/>
    <col min="89" max="90" width="1.109375" style="114" hidden="1" customWidth="1"/>
    <col min="91" max="91" width="1.44140625" style="114" hidden="1" customWidth="1"/>
    <col min="92" max="92" width="1.5546875" style="114" hidden="1" customWidth="1"/>
    <col min="93" max="93" width="1.33203125" style="114" hidden="1" customWidth="1"/>
    <col min="94" max="94" width="1.5546875" style="114" hidden="1" customWidth="1"/>
    <col min="95" max="95" width="1.6640625" style="114" customWidth="1"/>
    <col min="96" max="96" width="1" style="114" customWidth="1"/>
    <col min="97" max="97" width="1.33203125" style="114" customWidth="1"/>
    <col min="98" max="98" width="1.33203125" style="114" hidden="1" customWidth="1"/>
    <col min="99" max="99" width="0.6640625" style="114" hidden="1" customWidth="1"/>
    <col min="100" max="100" width="1.109375" style="114"/>
    <col min="101" max="101" width="0.44140625" style="114" customWidth="1"/>
    <col min="102" max="107" width="1.109375" style="114"/>
    <col min="108" max="108" width="0.6640625" style="114" customWidth="1"/>
    <col min="109" max="111" width="0" style="114" hidden="1" customWidth="1"/>
    <col min="112" max="112" width="1.6640625" style="114" customWidth="1"/>
    <col min="113" max="113" width="1.109375" style="114" customWidth="1"/>
    <col min="114" max="114" width="0.33203125" style="114" customWidth="1"/>
    <col min="115" max="115" width="0.5546875" style="114" customWidth="1"/>
    <col min="116" max="116" width="1.88671875" style="114" customWidth="1"/>
    <col min="117" max="130" width="0" style="114" hidden="1" customWidth="1"/>
    <col min="131" max="131" width="1.6640625" style="114" customWidth="1"/>
    <col min="132" max="132" width="1" style="114" customWidth="1"/>
    <col min="133" max="133" width="1.33203125" style="114" customWidth="1"/>
    <col min="134" max="136" width="0" style="114" hidden="1" customWidth="1"/>
    <col min="137" max="137" width="12.33203125" style="114" customWidth="1"/>
    <col min="138" max="330" width="1.109375" style="114"/>
    <col min="331" max="331" width="28.88671875" style="114" customWidth="1"/>
    <col min="332" max="332" width="0.6640625" style="114" customWidth="1"/>
    <col min="333" max="336" width="0" style="114" hidden="1" customWidth="1"/>
    <col min="337" max="338" width="1.109375" style="114"/>
    <col min="339" max="339" width="0.5546875" style="114" customWidth="1"/>
    <col min="340" max="341" width="0" style="114" hidden="1" customWidth="1"/>
    <col min="342" max="342" width="4" style="114" customWidth="1"/>
    <col min="343" max="345" width="0" style="114" hidden="1" customWidth="1"/>
    <col min="346" max="346" width="2.109375" style="114" customWidth="1"/>
    <col min="347" max="347" width="0.88671875" style="114" customWidth="1"/>
    <col min="348" max="355" width="1.109375" style="114"/>
    <col min="356" max="356" width="0.109375" style="114" customWidth="1"/>
    <col min="357" max="357" width="0.44140625" style="114" customWidth="1"/>
    <col min="358" max="363" width="1.109375" style="114"/>
    <col min="364" max="364" width="0.6640625" style="114" customWidth="1"/>
    <col min="365" max="367" width="0" style="114" hidden="1" customWidth="1"/>
    <col min="368" max="368" width="1.6640625" style="114" customWidth="1"/>
    <col min="369" max="369" width="1.109375" style="114" customWidth="1"/>
    <col min="370" max="370" width="0.33203125" style="114" customWidth="1"/>
    <col min="371" max="371" width="0.5546875" style="114" customWidth="1"/>
    <col min="372" max="372" width="1.88671875" style="114" customWidth="1"/>
    <col min="373" max="386" width="0" style="114" hidden="1" customWidth="1"/>
    <col min="387" max="387" width="1.6640625" style="114" customWidth="1"/>
    <col min="388" max="388" width="1" style="114" customWidth="1"/>
    <col min="389" max="389" width="1.33203125" style="114" customWidth="1"/>
    <col min="390" max="392" width="0" style="114" hidden="1" customWidth="1"/>
    <col min="393" max="393" width="12.33203125" style="114" customWidth="1"/>
    <col min="394" max="586" width="1.109375" style="114"/>
    <col min="587" max="587" width="28.88671875" style="114" customWidth="1"/>
    <col min="588" max="588" width="0.6640625" style="114" customWidth="1"/>
    <col min="589" max="592" width="0" style="114" hidden="1" customWidth="1"/>
    <col min="593" max="594" width="1.109375" style="114"/>
    <col min="595" max="595" width="0.5546875" style="114" customWidth="1"/>
    <col min="596" max="597" width="0" style="114" hidden="1" customWidth="1"/>
    <col min="598" max="598" width="4" style="114" customWidth="1"/>
    <col min="599" max="601" width="0" style="114" hidden="1" customWidth="1"/>
    <col min="602" max="602" width="2.109375" style="114" customWidth="1"/>
    <col min="603" max="603" width="0.88671875" style="114" customWidth="1"/>
    <col min="604" max="611" width="1.109375" style="114"/>
    <col min="612" max="612" width="0.109375" style="114" customWidth="1"/>
    <col min="613" max="613" width="0.44140625" style="114" customWidth="1"/>
    <col min="614" max="619" width="1.109375" style="114"/>
    <col min="620" max="620" width="0.6640625" style="114" customWidth="1"/>
    <col min="621" max="623" width="0" style="114" hidden="1" customWidth="1"/>
    <col min="624" max="624" width="1.6640625" style="114" customWidth="1"/>
    <col min="625" max="625" width="1.109375" style="114" customWidth="1"/>
    <col min="626" max="626" width="0.33203125" style="114" customWidth="1"/>
    <col min="627" max="627" width="0.5546875" style="114" customWidth="1"/>
    <col min="628" max="628" width="1.88671875" style="114" customWidth="1"/>
    <col min="629" max="642" width="0" style="114" hidden="1" customWidth="1"/>
    <col min="643" max="643" width="1.6640625" style="114" customWidth="1"/>
    <col min="644" max="644" width="1" style="114" customWidth="1"/>
    <col min="645" max="645" width="1.33203125" style="114" customWidth="1"/>
    <col min="646" max="648" width="0" style="114" hidden="1" customWidth="1"/>
    <col min="649" max="649" width="12.33203125" style="114" customWidth="1"/>
    <col min="650" max="842" width="1.109375" style="114"/>
    <col min="843" max="843" width="28.88671875" style="114" customWidth="1"/>
    <col min="844" max="844" width="0.6640625" style="114" customWidth="1"/>
    <col min="845" max="848" width="0" style="114" hidden="1" customWidth="1"/>
    <col min="849" max="850" width="1.109375" style="114"/>
    <col min="851" max="851" width="0.5546875" style="114" customWidth="1"/>
    <col min="852" max="853" width="0" style="114" hidden="1" customWidth="1"/>
    <col min="854" max="854" width="4" style="114" customWidth="1"/>
    <col min="855" max="857" width="0" style="114" hidden="1" customWidth="1"/>
    <col min="858" max="858" width="2.109375" style="114" customWidth="1"/>
    <col min="859" max="859" width="0.88671875" style="114" customWidth="1"/>
    <col min="860" max="867" width="1.109375" style="114"/>
    <col min="868" max="868" width="0.109375" style="114" customWidth="1"/>
    <col min="869" max="869" width="0.44140625" style="114" customWidth="1"/>
    <col min="870" max="875" width="1.109375" style="114"/>
    <col min="876" max="876" width="0.6640625" style="114" customWidth="1"/>
    <col min="877" max="879" width="0" style="114" hidden="1" customWidth="1"/>
    <col min="880" max="880" width="1.6640625" style="114" customWidth="1"/>
    <col min="881" max="881" width="1.109375" style="114" customWidth="1"/>
    <col min="882" max="882" width="0.33203125" style="114" customWidth="1"/>
    <col min="883" max="883" width="0.5546875" style="114" customWidth="1"/>
    <col min="884" max="884" width="1.88671875" style="114" customWidth="1"/>
    <col min="885" max="898" width="0" style="114" hidden="1" customWidth="1"/>
    <col min="899" max="899" width="1.6640625" style="114" customWidth="1"/>
    <col min="900" max="900" width="1" style="114" customWidth="1"/>
    <col min="901" max="901" width="1.33203125" style="114" customWidth="1"/>
    <col min="902" max="904" width="0" style="114" hidden="1" customWidth="1"/>
    <col min="905" max="905" width="12.33203125" style="114" customWidth="1"/>
    <col min="906" max="1098" width="1.109375" style="114"/>
    <col min="1099" max="1099" width="28.88671875" style="114" customWidth="1"/>
    <col min="1100" max="1100" width="0.6640625" style="114" customWidth="1"/>
    <col min="1101" max="1104" width="0" style="114" hidden="1" customWidth="1"/>
    <col min="1105" max="1106" width="1.109375" style="114"/>
    <col min="1107" max="1107" width="0.5546875" style="114" customWidth="1"/>
    <col min="1108" max="1109" width="0" style="114" hidden="1" customWidth="1"/>
    <col min="1110" max="1110" width="4" style="114" customWidth="1"/>
    <col min="1111" max="1113" width="0" style="114" hidden="1" customWidth="1"/>
    <col min="1114" max="1114" width="2.109375" style="114" customWidth="1"/>
    <col min="1115" max="1115" width="0.88671875" style="114" customWidth="1"/>
    <col min="1116" max="1123" width="1.109375" style="114"/>
    <col min="1124" max="1124" width="0.109375" style="114" customWidth="1"/>
    <col min="1125" max="1125" width="0.44140625" style="114" customWidth="1"/>
    <col min="1126" max="1131" width="1.109375" style="114"/>
    <col min="1132" max="1132" width="0.6640625" style="114" customWidth="1"/>
    <col min="1133" max="1135" width="0" style="114" hidden="1" customWidth="1"/>
    <col min="1136" max="1136" width="1.6640625" style="114" customWidth="1"/>
    <col min="1137" max="1137" width="1.109375" style="114" customWidth="1"/>
    <col min="1138" max="1138" width="0.33203125" style="114" customWidth="1"/>
    <col min="1139" max="1139" width="0.5546875" style="114" customWidth="1"/>
    <col min="1140" max="1140" width="1.88671875" style="114" customWidth="1"/>
    <col min="1141" max="1154" width="0" style="114" hidden="1" customWidth="1"/>
    <col min="1155" max="1155" width="1.6640625" style="114" customWidth="1"/>
    <col min="1156" max="1156" width="1" style="114" customWidth="1"/>
    <col min="1157" max="1157" width="1.33203125" style="114" customWidth="1"/>
    <col min="1158" max="1160" width="0" style="114" hidden="1" customWidth="1"/>
    <col min="1161" max="1161" width="12.33203125" style="114" customWidth="1"/>
    <col min="1162" max="1354" width="1.109375" style="114"/>
    <col min="1355" max="1355" width="28.88671875" style="114" customWidth="1"/>
    <col min="1356" max="1356" width="0.6640625" style="114" customWidth="1"/>
    <col min="1357" max="1360" width="0" style="114" hidden="1" customWidth="1"/>
    <col min="1361" max="1362" width="1.109375" style="114"/>
    <col min="1363" max="1363" width="0.5546875" style="114" customWidth="1"/>
    <col min="1364" max="1365" width="0" style="114" hidden="1" customWidth="1"/>
    <col min="1366" max="1366" width="4" style="114" customWidth="1"/>
    <col min="1367" max="1369" width="0" style="114" hidden="1" customWidth="1"/>
    <col min="1370" max="1370" width="2.109375" style="114" customWidth="1"/>
    <col min="1371" max="1371" width="0.88671875" style="114" customWidth="1"/>
    <col min="1372" max="1379" width="1.109375" style="114"/>
    <col min="1380" max="1380" width="0.109375" style="114" customWidth="1"/>
    <col min="1381" max="1381" width="0.44140625" style="114" customWidth="1"/>
    <col min="1382" max="1387" width="1.109375" style="114"/>
    <col min="1388" max="1388" width="0.6640625" style="114" customWidth="1"/>
    <col min="1389" max="1391" width="0" style="114" hidden="1" customWidth="1"/>
    <col min="1392" max="1392" width="1.6640625" style="114" customWidth="1"/>
    <col min="1393" max="1393" width="1.109375" style="114" customWidth="1"/>
    <col min="1394" max="1394" width="0.33203125" style="114" customWidth="1"/>
    <col min="1395" max="1395" width="0.5546875" style="114" customWidth="1"/>
    <col min="1396" max="1396" width="1.88671875" style="114" customWidth="1"/>
    <col min="1397" max="1410" width="0" style="114" hidden="1" customWidth="1"/>
    <col min="1411" max="1411" width="1.6640625" style="114" customWidth="1"/>
    <col min="1412" max="1412" width="1" style="114" customWidth="1"/>
    <col min="1413" max="1413" width="1.33203125" style="114" customWidth="1"/>
    <col min="1414" max="1416" width="0" style="114" hidden="1" customWidth="1"/>
    <col min="1417" max="1417" width="12.33203125" style="114" customWidth="1"/>
    <col min="1418" max="1610" width="1.109375" style="114"/>
    <col min="1611" max="1611" width="28.88671875" style="114" customWidth="1"/>
    <col min="1612" max="1612" width="0.6640625" style="114" customWidth="1"/>
    <col min="1613" max="1616" width="0" style="114" hidden="1" customWidth="1"/>
    <col min="1617" max="1618" width="1.109375" style="114"/>
    <col min="1619" max="1619" width="0.5546875" style="114" customWidth="1"/>
    <col min="1620" max="1621" width="0" style="114" hidden="1" customWidth="1"/>
    <col min="1622" max="1622" width="4" style="114" customWidth="1"/>
    <col min="1623" max="1625" width="0" style="114" hidden="1" customWidth="1"/>
    <col min="1626" max="1626" width="2.109375" style="114" customWidth="1"/>
    <col min="1627" max="1627" width="0.88671875" style="114" customWidth="1"/>
    <col min="1628" max="1635" width="1.109375" style="114"/>
    <col min="1636" max="1636" width="0.109375" style="114" customWidth="1"/>
    <col min="1637" max="1637" width="0.44140625" style="114" customWidth="1"/>
    <col min="1638" max="1643" width="1.109375" style="114"/>
    <col min="1644" max="1644" width="0.6640625" style="114" customWidth="1"/>
    <col min="1645" max="1647" width="0" style="114" hidden="1" customWidth="1"/>
    <col min="1648" max="1648" width="1.6640625" style="114" customWidth="1"/>
    <col min="1649" max="1649" width="1.109375" style="114" customWidth="1"/>
    <col min="1650" max="1650" width="0.33203125" style="114" customWidth="1"/>
    <col min="1651" max="1651" width="0.5546875" style="114" customWidth="1"/>
    <col min="1652" max="1652" width="1.88671875" style="114" customWidth="1"/>
    <col min="1653" max="1666" width="0" style="114" hidden="1" customWidth="1"/>
    <col min="1667" max="1667" width="1.6640625" style="114" customWidth="1"/>
    <col min="1668" max="1668" width="1" style="114" customWidth="1"/>
    <col min="1669" max="1669" width="1.33203125" style="114" customWidth="1"/>
    <col min="1670" max="1672" width="0" style="114" hidden="1" customWidth="1"/>
    <col min="1673" max="1673" width="12.33203125" style="114" customWidth="1"/>
    <col min="1674" max="1866" width="1.109375" style="114"/>
    <col min="1867" max="1867" width="28.88671875" style="114" customWidth="1"/>
    <col min="1868" max="1868" width="0.6640625" style="114" customWidth="1"/>
    <col min="1869" max="1872" width="0" style="114" hidden="1" customWidth="1"/>
    <col min="1873" max="1874" width="1.109375" style="114"/>
    <col min="1875" max="1875" width="0.5546875" style="114" customWidth="1"/>
    <col min="1876" max="1877" width="0" style="114" hidden="1" customWidth="1"/>
    <col min="1878" max="1878" width="4" style="114" customWidth="1"/>
    <col min="1879" max="1881" width="0" style="114" hidden="1" customWidth="1"/>
    <col min="1882" max="1882" width="2.109375" style="114" customWidth="1"/>
    <col min="1883" max="1883" width="0.88671875" style="114" customWidth="1"/>
    <col min="1884" max="1891" width="1.109375" style="114"/>
    <col min="1892" max="1892" width="0.109375" style="114" customWidth="1"/>
    <col min="1893" max="1893" width="0.44140625" style="114" customWidth="1"/>
    <col min="1894" max="1899" width="1.109375" style="114"/>
    <col min="1900" max="1900" width="0.6640625" style="114" customWidth="1"/>
    <col min="1901" max="1903" width="0" style="114" hidden="1" customWidth="1"/>
    <col min="1904" max="1904" width="1.6640625" style="114" customWidth="1"/>
    <col min="1905" max="1905" width="1.109375" style="114" customWidth="1"/>
    <col min="1906" max="1906" width="0.33203125" style="114" customWidth="1"/>
    <col min="1907" max="1907" width="0.5546875" style="114" customWidth="1"/>
    <col min="1908" max="1908" width="1.88671875" style="114" customWidth="1"/>
    <col min="1909" max="1922" width="0" style="114" hidden="1" customWidth="1"/>
    <col min="1923" max="1923" width="1.6640625" style="114" customWidth="1"/>
    <col min="1924" max="1924" width="1" style="114" customWidth="1"/>
    <col min="1925" max="1925" width="1.33203125" style="114" customWidth="1"/>
    <col min="1926" max="1928" width="0" style="114" hidden="1" customWidth="1"/>
    <col min="1929" max="1929" width="12.33203125" style="114" customWidth="1"/>
    <col min="1930" max="2122" width="1.109375" style="114"/>
    <col min="2123" max="2123" width="28.88671875" style="114" customWidth="1"/>
    <col min="2124" max="2124" width="0.6640625" style="114" customWidth="1"/>
    <col min="2125" max="2128" width="0" style="114" hidden="1" customWidth="1"/>
    <col min="2129" max="2130" width="1.109375" style="114"/>
    <col min="2131" max="2131" width="0.5546875" style="114" customWidth="1"/>
    <col min="2132" max="2133" width="0" style="114" hidden="1" customWidth="1"/>
    <col min="2134" max="2134" width="4" style="114" customWidth="1"/>
    <col min="2135" max="2137" width="0" style="114" hidden="1" customWidth="1"/>
    <col min="2138" max="2138" width="2.109375" style="114" customWidth="1"/>
    <col min="2139" max="2139" width="0.88671875" style="114" customWidth="1"/>
    <col min="2140" max="2147" width="1.109375" style="114"/>
    <col min="2148" max="2148" width="0.109375" style="114" customWidth="1"/>
    <col min="2149" max="2149" width="0.44140625" style="114" customWidth="1"/>
    <col min="2150" max="2155" width="1.109375" style="114"/>
    <col min="2156" max="2156" width="0.6640625" style="114" customWidth="1"/>
    <col min="2157" max="2159" width="0" style="114" hidden="1" customWidth="1"/>
    <col min="2160" max="2160" width="1.6640625" style="114" customWidth="1"/>
    <col min="2161" max="2161" width="1.109375" style="114" customWidth="1"/>
    <col min="2162" max="2162" width="0.33203125" style="114" customWidth="1"/>
    <col min="2163" max="2163" width="0.5546875" style="114" customWidth="1"/>
    <col min="2164" max="2164" width="1.88671875" style="114" customWidth="1"/>
    <col min="2165" max="2178" width="0" style="114" hidden="1" customWidth="1"/>
    <col min="2179" max="2179" width="1.6640625" style="114" customWidth="1"/>
    <col min="2180" max="2180" width="1" style="114" customWidth="1"/>
    <col min="2181" max="2181" width="1.33203125" style="114" customWidth="1"/>
    <col min="2182" max="2184" width="0" style="114" hidden="1" customWidth="1"/>
    <col min="2185" max="2185" width="12.33203125" style="114" customWidth="1"/>
    <col min="2186" max="2378" width="1.109375" style="114"/>
    <col min="2379" max="2379" width="28.88671875" style="114" customWidth="1"/>
    <col min="2380" max="2380" width="0.6640625" style="114" customWidth="1"/>
    <col min="2381" max="2384" width="0" style="114" hidden="1" customWidth="1"/>
    <col min="2385" max="2386" width="1.109375" style="114"/>
    <col min="2387" max="2387" width="0.5546875" style="114" customWidth="1"/>
    <col min="2388" max="2389" width="0" style="114" hidden="1" customWidth="1"/>
    <col min="2390" max="2390" width="4" style="114" customWidth="1"/>
    <col min="2391" max="2393" width="0" style="114" hidden="1" customWidth="1"/>
    <col min="2394" max="2394" width="2.109375" style="114" customWidth="1"/>
    <col min="2395" max="2395" width="0.88671875" style="114" customWidth="1"/>
    <col min="2396" max="2403" width="1.109375" style="114"/>
    <col min="2404" max="2404" width="0.109375" style="114" customWidth="1"/>
    <col min="2405" max="2405" width="0.44140625" style="114" customWidth="1"/>
    <col min="2406" max="2411" width="1.109375" style="114"/>
    <col min="2412" max="2412" width="0.6640625" style="114" customWidth="1"/>
    <col min="2413" max="2415" width="0" style="114" hidden="1" customWidth="1"/>
    <col min="2416" max="2416" width="1.6640625" style="114" customWidth="1"/>
    <col min="2417" max="2417" width="1.109375" style="114" customWidth="1"/>
    <col min="2418" max="2418" width="0.33203125" style="114" customWidth="1"/>
    <col min="2419" max="2419" width="0.5546875" style="114" customWidth="1"/>
    <col min="2420" max="2420" width="1.88671875" style="114" customWidth="1"/>
    <col min="2421" max="2434" width="0" style="114" hidden="1" customWidth="1"/>
    <col min="2435" max="2435" width="1.6640625" style="114" customWidth="1"/>
    <col min="2436" max="2436" width="1" style="114" customWidth="1"/>
    <col min="2437" max="2437" width="1.33203125" style="114" customWidth="1"/>
    <col min="2438" max="2440" width="0" style="114" hidden="1" customWidth="1"/>
    <col min="2441" max="2441" width="12.33203125" style="114" customWidth="1"/>
    <col min="2442" max="2634" width="1.109375" style="114"/>
    <col min="2635" max="2635" width="28.88671875" style="114" customWidth="1"/>
    <col min="2636" max="2636" width="0.6640625" style="114" customWidth="1"/>
    <col min="2637" max="2640" width="0" style="114" hidden="1" customWidth="1"/>
    <col min="2641" max="2642" width="1.109375" style="114"/>
    <col min="2643" max="2643" width="0.5546875" style="114" customWidth="1"/>
    <col min="2644" max="2645" width="0" style="114" hidden="1" customWidth="1"/>
    <col min="2646" max="2646" width="4" style="114" customWidth="1"/>
    <col min="2647" max="2649" width="0" style="114" hidden="1" customWidth="1"/>
    <col min="2650" max="2650" width="2.109375" style="114" customWidth="1"/>
    <col min="2651" max="2651" width="0.88671875" style="114" customWidth="1"/>
    <col min="2652" max="2659" width="1.109375" style="114"/>
    <col min="2660" max="2660" width="0.109375" style="114" customWidth="1"/>
    <col min="2661" max="2661" width="0.44140625" style="114" customWidth="1"/>
    <col min="2662" max="2667" width="1.109375" style="114"/>
    <col min="2668" max="2668" width="0.6640625" style="114" customWidth="1"/>
    <col min="2669" max="2671" width="0" style="114" hidden="1" customWidth="1"/>
    <col min="2672" max="2672" width="1.6640625" style="114" customWidth="1"/>
    <col min="2673" max="2673" width="1.109375" style="114" customWidth="1"/>
    <col min="2674" max="2674" width="0.33203125" style="114" customWidth="1"/>
    <col min="2675" max="2675" width="0.5546875" style="114" customWidth="1"/>
    <col min="2676" max="2676" width="1.88671875" style="114" customWidth="1"/>
    <col min="2677" max="2690" width="0" style="114" hidden="1" customWidth="1"/>
    <col min="2691" max="2691" width="1.6640625" style="114" customWidth="1"/>
    <col min="2692" max="2692" width="1" style="114" customWidth="1"/>
    <col min="2693" max="2693" width="1.33203125" style="114" customWidth="1"/>
    <col min="2694" max="2696" width="0" style="114" hidden="1" customWidth="1"/>
    <col min="2697" max="2697" width="12.33203125" style="114" customWidth="1"/>
    <col min="2698" max="2890" width="1.109375" style="114"/>
    <col min="2891" max="2891" width="28.88671875" style="114" customWidth="1"/>
    <col min="2892" max="2892" width="0.6640625" style="114" customWidth="1"/>
    <col min="2893" max="2896" width="0" style="114" hidden="1" customWidth="1"/>
    <col min="2897" max="2898" width="1.109375" style="114"/>
    <col min="2899" max="2899" width="0.5546875" style="114" customWidth="1"/>
    <col min="2900" max="2901" width="0" style="114" hidden="1" customWidth="1"/>
    <col min="2902" max="2902" width="4" style="114" customWidth="1"/>
    <col min="2903" max="2905" width="0" style="114" hidden="1" customWidth="1"/>
    <col min="2906" max="2906" width="2.109375" style="114" customWidth="1"/>
    <col min="2907" max="2907" width="0.88671875" style="114" customWidth="1"/>
    <col min="2908" max="2915" width="1.109375" style="114"/>
    <col min="2916" max="2916" width="0.109375" style="114" customWidth="1"/>
    <col min="2917" max="2917" width="0.44140625" style="114" customWidth="1"/>
    <col min="2918" max="2923" width="1.109375" style="114"/>
    <col min="2924" max="2924" width="0.6640625" style="114" customWidth="1"/>
    <col min="2925" max="2927" width="0" style="114" hidden="1" customWidth="1"/>
    <col min="2928" max="2928" width="1.6640625" style="114" customWidth="1"/>
    <col min="2929" max="2929" width="1.109375" style="114" customWidth="1"/>
    <col min="2930" max="2930" width="0.33203125" style="114" customWidth="1"/>
    <col min="2931" max="2931" width="0.5546875" style="114" customWidth="1"/>
    <col min="2932" max="2932" width="1.88671875" style="114" customWidth="1"/>
    <col min="2933" max="2946" width="0" style="114" hidden="1" customWidth="1"/>
    <col min="2947" max="2947" width="1.6640625" style="114" customWidth="1"/>
    <col min="2948" max="2948" width="1" style="114" customWidth="1"/>
    <col min="2949" max="2949" width="1.33203125" style="114" customWidth="1"/>
    <col min="2950" max="2952" width="0" style="114" hidden="1" customWidth="1"/>
    <col min="2953" max="2953" width="12.33203125" style="114" customWidth="1"/>
    <col min="2954" max="3146" width="1.109375" style="114"/>
    <col min="3147" max="3147" width="28.88671875" style="114" customWidth="1"/>
    <col min="3148" max="3148" width="0.6640625" style="114" customWidth="1"/>
    <col min="3149" max="3152" width="0" style="114" hidden="1" customWidth="1"/>
    <col min="3153" max="3154" width="1.109375" style="114"/>
    <col min="3155" max="3155" width="0.5546875" style="114" customWidth="1"/>
    <col min="3156" max="3157" width="0" style="114" hidden="1" customWidth="1"/>
    <col min="3158" max="3158" width="4" style="114" customWidth="1"/>
    <col min="3159" max="3161" width="0" style="114" hidden="1" customWidth="1"/>
    <col min="3162" max="3162" width="2.109375" style="114" customWidth="1"/>
    <col min="3163" max="3163" width="0.88671875" style="114" customWidth="1"/>
    <col min="3164" max="3171" width="1.109375" style="114"/>
    <col min="3172" max="3172" width="0.109375" style="114" customWidth="1"/>
    <col min="3173" max="3173" width="0.44140625" style="114" customWidth="1"/>
    <col min="3174" max="3179" width="1.109375" style="114"/>
    <col min="3180" max="3180" width="0.6640625" style="114" customWidth="1"/>
    <col min="3181" max="3183" width="0" style="114" hidden="1" customWidth="1"/>
    <col min="3184" max="3184" width="1.6640625" style="114" customWidth="1"/>
    <col min="3185" max="3185" width="1.109375" style="114" customWidth="1"/>
    <col min="3186" max="3186" width="0.33203125" style="114" customWidth="1"/>
    <col min="3187" max="3187" width="0.5546875" style="114" customWidth="1"/>
    <col min="3188" max="3188" width="1.88671875" style="114" customWidth="1"/>
    <col min="3189" max="3202" width="0" style="114" hidden="1" customWidth="1"/>
    <col min="3203" max="3203" width="1.6640625" style="114" customWidth="1"/>
    <col min="3204" max="3204" width="1" style="114" customWidth="1"/>
    <col min="3205" max="3205" width="1.33203125" style="114" customWidth="1"/>
    <col min="3206" max="3208" width="0" style="114" hidden="1" customWidth="1"/>
    <col min="3209" max="3209" width="12.33203125" style="114" customWidth="1"/>
    <col min="3210" max="3402" width="1.109375" style="114"/>
    <col min="3403" max="3403" width="28.88671875" style="114" customWidth="1"/>
    <col min="3404" max="3404" width="0.6640625" style="114" customWidth="1"/>
    <col min="3405" max="3408" width="0" style="114" hidden="1" customWidth="1"/>
    <col min="3409" max="3410" width="1.109375" style="114"/>
    <col min="3411" max="3411" width="0.5546875" style="114" customWidth="1"/>
    <col min="3412" max="3413" width="0" style="114" hidden="1" customWidth="1"/>
    <col min="3414" max="3414" width="4" style="114" customWidth="1"/>
    <col min="3415" max="3417" width="0" style="114" hidden="1" customWidth="1"/>
    <col min="3418" max="3418" width="2.109375" style="114" customWidth="1"/>
    <col min="3419" max="3419" width="0.88671875" style="114" customWidth="1"/>
    <col min="3420" max="3427" width="1.109375" style="114"/>
    <col min="3428" max="3428" width="0.109375" style="114" customWidth="1"/>
    <col min="3429" max="3429" width="0.44140625" style="114" customWidth="1"/>
    <col min="3430" max="3435" width="1.109375" style="114"/>
    <col min="3436" max="3436" width="0.6640625" style="114" customWidth="1"/>
    <col min="3437" max="3439" width="0" style="114" hidden="1" customWidth="1"/>
    <col min="3440" max="3440" width="1.6640625" style="114" customWidth="1"/>
    <col min="3441" max="3441" width="1.109375" style="114" customWidth="1"/>
    <col min="3442" max="3442" width="0.33203125" style="114" customWidth="1"/>
    <col min="3443" max="3443" width="0.5546875" style="114" customWidth="1"/>
    <col min="3444" max="3444" width="1.88671875" style="114" customWidth="1"/>
    <col min="3445" max="3458" width="0" style="114" hidden="1" customWidth="1"/>
    <col min="3459" max="3459" width="1.6640625" style="114" customWidth="1"/>
    <col min="3460" max="3460" width="1" style="114" customWidth="1"/>
    <col min="3461" max="3461" width="1.33203125" style="114" customWidth="1"/>
    <col min="3462" max="3464" width="0" style="114" hidden="1" customWidth="1"/>
    <col min="3465" max="3465" width="12.33203125" style="114" customWidth="1"/>
    <col min="3466" max="3658" width="1.109375" style="114"/>
    <col min="3659" max="3659" width="28.88671875" style="114" customWidth="1"/>
    <col min="3660" max="3660" width="0.6640625" style="114" customWidth="1"/>
    <col min="3661" max="3664" width="0" style="114" hidden="1" customWidth="1"/>
    <col min="3665" max="3666" width="1.109375" style="114"/>
    <col min="3667" max="3667" width="0.5546875" style="114" customWidth="1"/>
    <col min="3668" max="3669" width="0" style="114" hidden="1" customWidth="1"/>
    <col min="3670" max="3670" width="4" style="114" customWidth="1"/>
    <col min="3671" max="3673" width="0" style="114" hidden="1" customWidth="1"/>
    <col min="3674" max="3674" width="2.109375" style="114" customWidth="1"/>
    <col min="3675" max="3675" width="0.88671875" style="114" customWidth="1"/>
    <col min="3676" max="3683" width="1.109375" style="114"/>
    <col min="3684" max="3684" width="0.109375" style="114" customWidth="1"/>
    <col min="3685" max="3685" width="0.44140625" style="114" customWidth="1"/>
    <col min="3686" max="3691" width="1.109375" style="114"/>
    <col min="3692" max="3692" width="0.6640625" style="114" customWidth="1"/>
    <col min="3693" max="3695" width="0" style="114" hidden="1" customWidth="1"/>
    <col min="3696" max="3696" width="1.6640625" style="114" customWidth="1"/>
    <col min="3697" max="3697" width="1.109375" style="114" customWidth="1"/>
    <col min="3698" max="3698" width="0.33203125" style="114" customWidth="1"/>
    <col min="3699" max="3699" width="0.5546875" style="114" customWidth="1"/>
    <col min="3700" max="3700" width="1.88671875" style="114" customWidth="1"/>
    <col min="3701" max="3714" width="0" style="114" hidden="1" customWidth="1"/>
    <col min="3715" max="3715" width="1.6640625" style="114" customWidth="1"/>
    <col min="3716" max="3716" width="1" style="114" customWidth="1"/>
    <col min="3717" max="3717" width="1.33203125" style="114" customWidth="1"/>
    <col min="3718" max="3720" width="0" style="114" hidden="1" customWidth="1"/>
    <col min="3721" max="3721" width="12.33203125" style="114" customWidth="1"/>
    <col min="3722" max="3914" width="1.109375" style="114"/>
    <col min="3915" max="3915" width="28.88671875" style="114" customWidth="1"/>
    <col min="3916" max="3916" width="0.6640625" style="114" customWidth="1"/>
    <col min="3917" max="3920" width="0" style="114" hidden="1" customWidth="1"/>
    <col min="3921" max="3922" width="1.109375" style="114"/>
    <col min="3923" max="3923" width="0.5546875" style="114" customWidth="1"/>
    <col min="3924" max="3925" width="0" style="114" hidden="1" customWidth="1"/>
    <col min="3926" max="3926" width="4" style="114" customWidth="1"/>
    <col min="3927" max="3929" width="0" style="114" hidden="1" customWidth="1"/>
    <col min="3930" max="3930" width="2.109375" style="114" customWidth="1"/>
    <col min="3931" max="3931" width="0.88671875" style="114" customWidth="1"/>
    <col min="3932" max="3939" width="1.109375" style="114"/>
    <col min="3940" max="3940" width="0.109375" style="114" customWidth="1"/>
    <col min="3941" max="3941" width="0.44140625" style="114" customWidth="1"/>
    <col min="3942" max="3947" width="1.109375" style="114"/>
    <col min="3948" max="3948" width="0.6640625" style="114" customWidth="1"/>
    <col min="3949" max="3951" width="0" style="114" hidden="1" customWidth="1"/>
    <col min="3952" max="3952" width="1.6640625" style="114" customWidth="1"/>
    <col min="3953" max="3953" width="1.109375" style="114" customWidth="1"/>
    <col min="3954" max="3954" width="0.33203125" style="114" customWidth="1"/>
    <col min="3955" max="3955" width="0.5546875" style="114" customWidth="1"/>
    <col min="3956" max="3956" width="1.88671875" style="114" customWidth="1"/>
    <col min="3957" max="3970" width="0" style="114" hidden="1" customWidth="1"/>
    <col min="3971" max="3971" width="1.6640625" style="114" customWidth="1"/>
    <col min="3972" max="3972" width="1" style="114" customWidth="1"/>
    <col min="3973" max="3973" width="1.33203125" style="114" customWidth="1"/>
    <col min="3974" max="3976" width="0" style="114" hidden="1" customWidth="1"/>
    <col min="3977" max="3977" width="12.33203125" style="114" customWidth="1"/>
    <col min="3978" max="4170" width="1.109375" style="114"/>
    <col min="4171" max="4171" width="28.88671875" style="114" customWidth="1"/>
    <col min="4172" max="4172" width="0.6640625" style="114" customWidth="1"/>
    <col min="4173" max="4176" width="0" style="114" hidden="1" customWidth="1"/>
    <col min="4177" max="4178" width="1.109375" style="114"/>
    <col min="4179" max="4179" width="0.5546875" style="114" customWidth="1"/>
    <col min="4180" max="4181" width="0" style="114" hidden="1" customWidth="1"/>
    <col min="4182" max="4182" width="4" style="114" customWidth="1"/>
    <col min="4183" max="4185" width="0" style="114" hidden="1" customWidth="1"/>
    <col min="4186" max="4186" width="2.109375" style="114" customWidth="1"/>
    <col min="4187" max="4187" width="0.88671875" style="114" customWidth="1"/>
    <col min="4188" max="4195" width="1.109375" style="114"/>
    <col min="4196" max="4196" width="0.109375" style="114" customWidth="1"/>
    <col min="4197" max="4197" width="0.44140625" style="114" customWidth="1"/>
    <col min="4198" max="4203" width="1.109375" style="114"/>
    <col min="4204" max="4204" width="0.6640625" style="114" customWidth="1"/>
    <col min="4205" max="4207" width="0" style="114" hidden="1" customWidth="1"/>
    <col min="4208" max="4208" width="1.6640625" style="114" customWidth="1"/>
    <col min="4209" max="4209" width="1.109375" style="114" customWidth="1"/>
    <col min="4210" max="4210" width="0.33203125" style="114" customWidth="1"/>
    <col min="4211" max="4211" width="0.5546875" style="114" customWidth="1"/>
    <col min="4212" max="4212" width="1.88671875" style="114" customWidth="1"/>
    <col min="4213" max="4226" width="0" style="114" hidden="1" customWidth="1"/>
    <col min="4227" max="4227" width="1.6640625" style="114" customWidth="1"/>
    <col min="4228" max="4228" width="1" style="114" customWidth="1"/>
    <col min="4229" max="4229" width="1.33203125" style="114" customWidth="1"/>
    <col min="4230" max="4232" width="0" style="114" hidden="1" customWidth="1"/>
    <col min="4233" max="4233" width="12.33203125" style="114" customWidth="1"/>
    <col min="4234" max="4426" width="1.109375" style="114"/>
    <col min="4427" max="4427" width="28.88671875" style="114" customWidth="1"/>
    <col min="4428" max="4428" width="0.6640625" style="114" customWidth="1"/>
    <col min="4429" max="4432" width="0" style="114" hidden="1" customWidth="1"/>
    <col min="4433" max="4434" width="1.109375" style="114"/>
    <col min="4435" max="4435" width="0.5546875" style="114" customWidth="1"/>
    <col min="4436" max="4437" width="0" style="114" hidden="1" customWidth="1"/>
    <col min="4438" max="4438" width="4" style="114" customWidth="1"/>
    <col min="4439" max="4441" width="0" style="114" hidden="1" customWidth="1"/>
    <col min="4442" max="4442" width="2.109375" style="114" customWidth="1"/>
    <col min="4443" max="4443" width="0.88671875" style="114" customWidth="1"/>
    <col min="4444" max="4451" width="1.109375" style="114"/>
    <col min="4452" max="4452" width="0.109375" style="114" customWidth="1"/>
    <col min="4453" max="4453" width="0.44140625" style="114" customWidth="1"/>
    <col min="4454" max="4459" width="1.109375" style="114"/>
    <col min="4460" max="4460" width="0.6640625" style="114" customWidth="1"/>
    <col min="4461" max="4463" width="0" style="114" hidden="1" customWidth="1"/>
    <col min="4464" max="4464" width="1.6640625" style="114" customWidth="1"/>
    <col min="4465" max="4465" width="1.109375" style="114" customWidth="1"/>
    <col min="4466" max="4466" width="0.33203125" style="114" customWidth="1"/>
    <col min="4467" max="4467" width="0.5546875" style="114" customWidth="1"/>
    <col min="4468" max="4468" width="1.88671875" style="114" customWidth="1"/>
    <col min="4469" max="4482" width="0" style="114" hidden="1" customWidth="1"/>
    <col min="4483" max="4483" width="1.6640625" style="114" customWidth="1"/>
    <col min="4484" max="4484" width="1" style="114" customWidth="1"/>
    <col min="4485" max="4485" width="1.33203125" style="114" customWidth="1"/>
    <col min="4486" max="4488" width="0" style="114" hidden="1" customWidth="1"/>
    <col min="4489" max="4489" width="12.33203125" style="114" customWidth="1"/>
    <col min="4490" max="4682" width="1.109375" style="114"/>
    <col min="4683" max="4683" width="28.88671875" style="114" customWidth="1"/>
    <col min="4684" max="4684" width="0.6640625" style="114" customWidth="1"/>
    <col min="4685" max="4688" width="0" style="114" hidden="1" customWidth="1"/>
    <col min="4689" max="4690" width="1.109375" style="114"/>
    <col min="4691" max="4691" width="0.5546875" style="114" customWidth="1"/>
    <col min="4692" max="4693" width="0" style="114" hidden="1" customWidth="1"/>
    <col min="4694" max="4694" width="4" style="114" customWidth="1"/>
    <col min="4695" max="4697" width="0" style="114" hidden="1" customWidth="1"/>
    <col min="4698" max="4698" width="2.109375" style="114" customWidth="1"/>
    <col min="4699" max="4699" width="0.88671875" style="114" customWidth="1"/>
    <col min="4700" max="4707" width="1.109375" style="114"/>
    <col min="4708" max="4708" width="0.109375" style="114" customWidth="1"/>
    <col min="4709" max="4709" width="0.44140625" style="114" customWidth="1"/>
    <col min="4710" max="4715" width="1.109375" style="114"/>
    <col min="4716" max="4716" width="0.6640625" style="114" customWidth="1"/>
    <col min="4717" max="4719" width="0" style="114" hidden="1" customWidth="1"/>
    <col min="4720" max="4720" width="1.6640625" style="114" customWidth="1"/>
    <col min="4721" max="4721" width="1.109375" style="114" customWidth="1"/>
    <col min="4722" max="4722" width="0.33203125" style="114" customWidth="1"/>
    <col min="4723" max="4723" width="0.5546875" style="114" customWidth="1"/>
    <col min="4724" max="4724" width="1.88671875" style="114" customWidth="1"/>
    <col min="4725" max="4738" width="0" style="114" hidden="1" customWidth="1"/>
    <col min="4739" max="4739" width="1.6640625" style="114" customWidth="1"/>
    <col min="4740" max="4740" width="1" style="114" customWidth="1"/>
    <col min="4741" max="4741" width="1.33203125" style="114" customWidth="1"/>
    <col min="4742" max="4744" width="0" style="114" hidden="1" customWidth="1"/>
    <col min="4745" max="4745" width="12.33203125" style="114" customWidth="1"/>
    <col min="4746" max="4938" width="1.109375" style="114"/>
    <col min="4939" max="4939" width="28.88671875" style="114" customWidth="1"/>
    <col min="4940" max="4940" width="0.6640625" style="114" customWidth="1"/>
    <col min="4941" max="4944" width="0" style="114" hidden="1" customWidth="1"/>
    <col min="4945" max="4946" width="1.109375" style="114"/>
    <col min="4947" max="4947" width="0.5546875" style="114" customWidth="1"/>
    <col min="4948" max="4949" width="0" style="114" hidden="1" customWidth="1"/>
    <col min="4950" max="4950" width="4" style="114" customWidth="1"/>
    <col min="4951" max="4953" width="0" style="114" hidden="1" customWidth="1"/>
    <col min="4954" max="4954" width="2.109375" style="114" customWidth="1"/>
    <col min="4955" max="4955" width="0.88671875" style="114" customWidth="1"/>
    <col min="4956" max="4963" width="1.109375" style="114"/>
    <col min="4964" max="4964" width="0.109375" style="114" customWidth="1"/>
    <col min="4965" max="4965" width="0.44140625" style="114" customWidth="1"/>
    <col min="4966" max="4971" width="1.109375" style="114"/>
    <col min="4972" max="4972" width="0.6640625" style="114" customWidth="1"/>
    <col min="4973" max="4975" width="0" style="114" hidden="1" customWidth="1"/>
    <col min="4976" max="4976" width="1.6640625" style="114" customWidth="1"/>
    <col min="4977" max="4977" width="1.109375" style="114" customWidth="1"/>
    <col min="4978" max="4978" width="0.33203125" style="114" customWidth="1"/>
    <col min="4979" max="4979" width="0.5546875" style="114" customWidth="1"/>
    <col min="4980" max="4980" width="1.88671875" style="114" customWidth="1"/>
    <col min="4981" max="4994" width="0" style="114" hidden="1" customWidth="1"/>
    <col min="4995" max="4995" width="1.6640625" style="114" customWidth="1"/>
    <col min="4996" max="4996" width="1" style="114" customWidth="1"/>
    <col min="4997" max="4997" width="1.33203125" style="114" customWidth="1"/>
    <col min="4998" max="5000" width="0" style="114" hidden="1" customWidth="1"/>
    <col min="5001" max="5001" width="12.33203125" style="114" customWidth="1"/>
    <col min="5002" max="5194" width="1.109375" style="114"/>
    <col min="5195" max="5195" width="28.88671875" style="114" customWidth="1"/>
    <col min="5196" max="5196" width="0.6640625" style="114" customWidth="1"/>
    <col min="5197" max="5200" width="0" style="114" hidden="1" customWidth="1"/>
    <col min="5201" max="5202" width="1.109375" style="114"/>
    <col min="5203" max="5203" width="0.5546875" style="114" customWidth="1"/>
    <col min="5204" max="5205" width="0" style="114" hidden="1" customWidth="1"/>
    <col min="5206" max="5206" width="4" style="114" customWidth="1"/>
    <col min="5207" max="5209" width="0" style="114" hidden="1" customWidth="1"/>
    <col min="5210" max="5210" width="2.109375" style="114" customWidth="1"/>
    <col min="5211" max="5211" width="0.88671875" style="114" customWidth="1"/>
    <col min="5212" max="5219" width="1.109375" style="114"/>
    <col min="5220" max="5220" width="0.109375" style="114" customWidth="1"/>
    <col min="5221" max="5221" width="0.44140625" style="114" customWidth="1"/>
    <col min="5222" max="5227" width="1.109375" style="114"/>
    <col min="5228" max="5228" width="0.6640625" style="114" customWidth="1"/>
    <col min="5229" max="5231" width="0" style="114" hidden="1" customWidth="1"/>
    <col min="5232" max="5232" width="1.6640625" style="114" customWidth="1"/>
    <col min="5233" max="5233" width="1.109375" style="114" customWidth="1"/>
    <col min="5234" max="5234" width="0.33203125" style="114" customWidth="1"/>
    <col min="5235" max="5235" width="0.5546875" style="114" customWidth="1"/>
    <col min="5236" max="5236" width="1.88671875" style="114" customWidth="1"/>
    <col min="5237" max="5250" width="0" style="114" hidden="1" customWidth="1"/>
    <col min="5251" max="5251" width="1.6640625" style="114" customWidth="1"/>
    <col min="5252" max="5252" width="1" style="114" customWidth="1"/>
    <col min="5253" max="5253" width="1.33203125" style="114" customWidth="1"/>
    <col min="5254" max="5256" width="0" style="114" hidden="1" customWidth="1"/>
    <col min="5257" max="5257" width="12.33203125" style="114" customWidth="1"/>
    <col min="5258" max="5450" width="1.109375" style="114"/>
    <col min="5451" max="5451" width="28.88671875" style="114" customWidth="1"/>
    <col min="5452" max="5452" width="0.6640625" style="114" customWidth="1"/>
    <col min="5453" max="5456" width="0" style="114" hidden="1" customWidth="1"/>
    <col min="5457" max="5458" width="1.109375" style="114"/>
    <col min="5459" max="5459" width="0.5546875" style="114" customWidth="1"/>
    <col min="5460" max="5461" width="0" style="114" hidden="1" customWidth="1"/>
    <col min="5462" max="5462" width="4" style="114" customWidth="1"/>
    <col min="5463" max="5465" width="0" style="114" hidden="1" customWidth="1"/>
    <col min="5466" max="5466" width="2.109375" style="114" customWidth="1"/>
    <col min="5467" max="5467" width="0.88671875" style="114" customWidth="1"/>
    <col min="5468" max="5475" width="1.109375" style="114"/>
    <col min="5476" max="5476" width="0.109375" style="114" customWidth="1"/>
    <col min="5477" max="5477" width="0.44140625" style="114" customWidth="1"/>
    <col min="5478" max="5483" width="1.109375" style="114"/>
    <col min="5484" max="5484" width="0.6640625" style="114" customWidth="1"/>
    <col min="5485" max="5487" width="0" style="114" hidden="1" customWidth="1"/>
    <col min="5488" max="5488" width="1.6640625" style="114" customWidth="1"/>
    <col min="5489" max="5489" width="1.109375" style="114" customWidth="1"/>
    <col min="5490" max="5490" width="0.33203125" style="114" customWidth="1"/>
    <col min="5491" max="5491" width="0.5546875" style="114" customWidth="1"/>
    <col min="5492" max="5492" width="1.88671875" style="114" customWidth="1"/>
    <col min="5493" max="5506" width="0" style="114" hidden="1" customWidth="1"/>
    <col min="5507" max="5507" width="1.6640625" style="114" customWidth="1"/>
    <col min="5508" max="5508" width="1" style="114" customWidth="1"/>
    <col min="5509" max="5509" width="1.33203125" style="114" customWidth="1"/>
    <col min="5510" max="5512" width="0" style="114" hidden="1" customWidth="1"/>
    <col min="5513" max="5513" width="12.33203125" style="114" customWidth="1"/>
    <col min="5514" max="5706" width="1.109375" style="114"/>
    <col min="5707" max="5707" width="28.88671875" style="114" customWidth="1"/>
    <col min="5708" max="5708" width="0.6640625" style="114" customWidth="1"/>
    <col min="5709" max="5712" width="0" style="114" hidden="1" customWidth="1"/>
    <col min="5713" max="5714" width="1.109375" style="114"/>
    <col min="5715" max="5715" width="0.5546875" style="114" customWidth="1"/>
    <col min="5716" max="5717" width="0" style="114" hidden="1" customWidth="1"/>
    <col min="5718" max="5718" width="4" style="114" customWidth="1"/>
    <col min="5719" max="5721" width="0" style="114" hidden="1" customWidth="1"/>
    <col min="5722" max="5722" width="2.109375" style="114" customWidth="1"/>
    <col min="5723" max="5723" width="0.88671875" style="114" customWidth="1"/>
    <col min="5724" max="5731" width="1.109375" style="114"/>
    <col min="5732" max="5732" width="0.109375" style="114" customWidth="1"/>
    <col min="5733" max="5733" width="0.44140625" style="114" customWidth="1"/>
    <col min="5734" max="5739" width="1.109375" style="114"/>
    <col min="5740" max="5740" width="0.6640625" style="114" customWidth="1"/>
    <col min="5741" max="5743" width="0" style="114" hidden="1" customWidth="1"/>
    <col min="5744" max="5744" width="1.6640625" style="114" customWidth="1"/>
    <col min="5745" max="5745" width="1.109375" style="114" customWidth="1"/>
    <col min="5746" max="5746" width="0.33203125" style="114" customWidth="1"/>
    <col min="5747" max="5747" width="0.5546875" style="114" customWidth="1"/>
    <col min="5748" max="5748" width="1.88671875" style="114" customWidth="1"/>
    <col min="5749" max="5762" width="0" style="114" hidden="1" customWidth="1"/>
    <col min="5763" max="5763" width="1.6640625" style="114" customWidth="1"/>
    <col min="5764" max="5764" width="1" style="114" customWidth="1"/>
    <col min="5765" max="5765" width="1.33203125" style="114" customWidth="1"/>
    <col min="5766" max="5768" width="0" style="114" hidden="1" customWidth="1"/>
    <col min="5769" max="5769" width="12.33203125" style="114" customWidth="1"/>
    <col min="5770" max="5962" width="1.109375" style="114"/>
    <col min="5963" max="5963" width="28.88671875" style="114" customWidth="1"/>
    <col min="5964" max="5964" width="0.6640625" style="114" customWidth="1"/>
    <col min="5965" max="5968" width="0" style="114" hidden="1" customWidth="1"/>
    <col min="5969" max="5970" width="1.109375" style="114"/>
    <col min="5971" max="5971" width="0.5546875" style="114" customWidth="1"/>
    <col min="5972" max="5973" width="0" style="114" hidden="1" customWidth="1"/>
    <col min="5974" max="5974" width="4" style="114" customWidth="1"/>
    <col min="5975" max="5977" width="0" style="114" hidden="1" customWidth="1"/>
    <col min="5978" max="5978" width="2.109375" style="114" customWidth="1"/>
    <col min="5979" max="5979" width="0.88671875" style="114" customWidth="1"/>
    <col min="5980" max="5987" width="1.109375" style="114"/>
    <col min="5988" max="5988" width="0.109375" style="114" customWidth="1"/>
    <col min="5989" max="5989" width="0.44140625" style="114" customWidth="1"/>
    <col min="5990" max="5995" width="1.109375" style="114"/>
    <col min="5996" max="5996" width="0.6640625" style="114" customWidth="1"/>
    <col min="5997" max="5999" width="0" style="114" hidden="1" customWidth="1"/>
    <col min="6000" max="6000" width="1.6640625" style="114" customWidth="1"/>
    <col min="6001" max="6001" width="1.109375" style="114" customWidth="1"/>
    <col min="6002" max="6002" width="0.33203125" style="114" customWidth="1"/>
    <col min="6003" max="6003" width="0.5546875" style="114" customWidth="1"/>
    <col min="6004" max="6004" width="1.88671875" style="114" customWidth="1"/>
    <col min="6005" max="6018" width="0" style="114" hidden="1" customWidth="1"/>
    <col min="6019" max="6019" width="1.6640625" style="114" customWidth="1"/>
    <col min="6020" max="6020" width="1" style="114" customWidth="1"/>
    <col min="6021" max="6021" width="1.33203125" style="114" customWidth="1"/>
    <col min="6022" max="6024" width="0" style="114" hidden="1" customWidth="1"/>
    <col min="6025" max="6025" width="12.33203125" style="114" customWidth="1"/>
    <col min="6026" max="6218" width="1.109375" style="114"/>
    <col min="6219" max="6219" width="28.88671875" style="114" customWidth="1"/>
    <col min="6220" max="6220" width="0.6640625" style="114" customWidth="1"/>
    <col min="6221" max="6224" width="0" style="114" hidden="1" customWidth="1"/>
    <col min="6225" max="6226" width="1.109375" style="114"/>
    <col min="6227" max="6227" width="0.5546875" style="114" customWidth="1"/>
    <col min="6228" max="6229" width="0" style="114" hidden="1" customWidth="1"/>
    <col min="6230" max="6230" width="4" style="114" customWidth="1"/>
    <col min="6231" max="6233" width="0" style="114" hidden="1" customWidth="1"/>
    <col min="6234" max="6234" width="2.109375" style="114" customWidth="1"/>
    <col min="6235" max="6235" width="0.88671875" style="114" customWidth="1"/>
    <col min="6236" max="6243" width="1.109375" style="114"/>
    <col min="6244" max="6244" width="0.109375" style="114" customWidth="1"/>
    <col min="6245" max="6245" width="0.44140625" style="114" customWidth="1"/>
    <col min="6246" max="6251" width="1.109375" style="114"/>
    <col min="6252" max="6252" width="0.6640625" style="114" customWidth="1"/>
    <col min="6253" max="6255" width="0" style="114" hidden="1" customWidth="1"/>
    <col min="6256" max="6256" width="1.6640625" style="114" customWidth="1"/>
    <col min="6257" max="6257" width="1.109375" style="114" customWidth="1"/>
    <col min="6258" max="6258" width="0.33203125" style="114" customWidth="1"/>
    <col min="6259" max="6259" width="0.5546875" style="114" customWidth="1"/>
    <col min="6260" max="6260" width="1.88671875" style="114" customWidth="1"/>
    <col min="6261" max="6274" width="0" style="114" hidden="1" customWidth="1"/>
    <col min="6275" max="6275" width="1.6640625" style="114" customWidth="1"/>
    <col min="6276" max="6276" width="1" style="114" customWidth="1"/>
    <col min="6277" max="6277" width="1.33203125" style="114" customWidth="1"/>
    <col min="6278" max="6280" width="0" style="114" hidden="1" customWidth="1"/>
    <col min="6281" max="6281" width="12.33203125" style="114" customWidth="1"/>
    <col min="6282" max="6474" width="1.109375" style="114"/>
    <col min="6475" max="6475" width="28.88671875" style="114" customWidth="1"/>
    <col min="6476" max="6476" width="0.6640625" style="114" customWidth="1"/>
    <col min="6477" max="6480" width="0" style="114" hidden="1" customWidth="1"/>
    <col min="6481" max="6482" width="1.109375" style="114"/>
    <col min="6483" max="6483" width="0.5546875" style="114" customWidth="1"/>
    <col min="6484" max="6485" width="0" style="114" hidden="1" customWidth="1"/>
    <col min="6486" max="6486" width="4" style="114" customWidth="1"/>
    <col min="6487" max="6489" width="0" style="114" hidden="1" customWidth="1"/>
    <col min="6490" max="6490" width="2.109375" style="114" customWidth="1"/>
    <col min="6491" max="6491" width="0.88671875" style="114" customWidth="1"/>
    <col min="6492" max="6499" width="1.109375" style="114"/>
    <col min="6500" max="6500" width="0.109375" style="114" customWidth="1"/>
    <col min="6501" max="6501" width="0.44140625" style="114" customWidth="1"/>
    <col min="6502" max="6507" width="1.109375" style="114"/>
    <col min="6508" max="6508" width="0.6640625" style="114" customWidth="1"/>
    <col min="6509" max="6511" width="0" style="114" hidden="1" customWidth="1"/>
    <col min="6512" max="6512" width="1.6640625" style="114" customWidth="1"/>
    <col min="6513" max="6513" width="1.109375" style="114" customWidth="1"/>
    <col min="6514" max="6514" width="0.33203125" style="114" customWidth="1"/>
    <col min="6515" max="6515" width="0.5546875" style="114" customWidth="1"/>
    <col min="6516" max="6516" width="1.88671875" style="114" customWidth="1"/>
    <col min="6517" max="6530" width="0" style="114" hidden="1" customWidth="1"/>
    <col min="6531" max="6531" width="1.6640625" style="114" customWidth="1"/>
    <col min="6532" max="6532" width="1" style="114" customWidth="1"/>
    <col min="6533" max="6533" width="1.33203125" style="114" customWidth="1"/>
    <col min="6534" max="6536" width="0" style="114" hidden="1" customWidth="1"/>
    <col min="6537" max="6537" width="12.33203125" style="114" customWidth="1"/>
    <col min="6538" max="6730" width="1.109375" style="114"/>
    <col min="6731" max="6731" width="28.88671875" style="114" customWidth="1"/>
    <col min="6732" max="6732" width="0.6640625" style="114" customWidth="1"/>
    <col min="6733" max="6736" width="0" style="114" hidden="1" customWidth="1"/>
    <col min="6737" max="6738" width="1.109375" style="114"/>
    <col min="6739" max="6739" width="0.5546875" style="114" customWidth="1"/>
    <col min="6740" max="6741" width="0" style="114" hidden="1" customWidth="1"/>
    <col min="6742" max="6742" width="4" style="114" customWidth="1"/>
    <col min="6743" max="6745" width="0" style="114" hidden="1" customWidth="1"/>
    <col min="6746" max="6746" width="2.109375" style="114" customWidth="1"/>
    <col min="6747" max="6747" width="0.88671875" style="114" customWidth="1"/>
    <col min="6748" max="6755" width="1.109375" style="114"/>
    <col min="6756" max="6756" width="0.109375" style="114" customWidth="1"/>
    <col min="6757" max="6757" width="0.44140625" style="114" customWidth="1"/>
    <col min="6758" max="6763" width="1.109375" style="114"/>
    <col min="6764" max="6764" width="0.6640625" style="114" customWidth="1"/>
    <col min="6765" max="6767" width="0" style="114" hidden="1" customWidth="1"/>
    <col min="6768" max="6768" width="1.6640625" style="114" customWidth="1"/>
    <col min="6769" max="6769" width="1.109375" style="114" customWidth="1"/>
    <col min="6770" max="6770" width="0.33203125" style="114" customWidth="1"/>
    <col min="6771" max="6771" width="0.5546875" style="114" customWidth="1"/>
    <col min="6772" max="6772" width="1.88671875" style="114" customWidth="1"/>
    <col min="6773" max="6786" width="0" style="114" hidden="1" customWidth="1"/>
    <col min="6787" max="6787" width="1.6640625" style="114" customWidth="1"/>
    <col min="6788" max="6788" width="1" style="114" customWidth="1"/>
    <col min="6789" max="6789" width="1.33203125" style="114" customWidth="1"/>
    <col min="6790" max="6792" width="0" style="114" hidden="1" customWidth="1"/>
    <col min="6793" max="6793" width="12.33203125" style="114" customWidth="1"/>
    <col min="6794" max="6986" width="1.109375" style="114"/>
    <col min="6987" max="6987" width="28.88671875" style="114" customWidth="1"/>
    <col min="6988" max="6988" width="0.6640625" style="114" customWidth="1"/>
    <col min="6989" max="6992" width="0" style="114" hidden="1" customWidth="1"/>
    <col min="6993" max="6994" width="1.109375" style="114"/>
    <col min="6995" max="6995" width="0.5546875" style="114" customWidth="1"/>
    <col min="6996" max="6997" width="0" style="114" hidden="1" customWidth="1"/>
    <col min="6998" max="6998" width="4" style="114" customWidth="1"/>
    <col min="6999" max="7001" width="0" style="114" hidden="1" customWidth="1"/>
    <col min="7002" max="7002" width="2.109375" style="114" customWidth="1"/>
    <col min="7003" max="7003" width="0.88671875" style="114" customWidth="1"/>
    <col min="7004" max="7011" width="1.109375" style="114"/>
    <col min="7012" max="7012" width="0.109375" style="114" customWidth="1"/>
    <col min="7013" max="7013" width="0.44140625" style="114" customWidth="1"/>
    <col min="7014" max="7019" width="1.109375" style="114"/>
    <col min="7020" max="7020" width="0.6640625" style="114" customWidth="1"/>
    <col min="7021" max="7023" width="0" style="114" hidden="1" customWidth="1"/>
    <col min="7024" max="7024" width="1.6640625" style="114" customWidth="1"/>
    <col min="7025" max="7025" width="1.109375" style="114" customWidth="1"/>
    <col min="7026" max="7026" width="0.33203125" style="114" customWidth="1"/>
    <col min="7027" max="7027" width="0.5546875" style="114" customWidth="1"/>
    <col min="7028" max="7028" width="1.88671875" style="114" customWidth="1"/>
    <col min="7029" max="7042" width="0" style="114" hidden="1" customWidth="1"/>
    <col min="7043" max="7043" width="1.6640625" style="114" customWidth="1"/>
    <col min="7044" max="7044" width="1" style="114" customWidth="1"/>
    <col min="7045" max="7045" width="1.33203125" style="114" customWidth="1"/>
    <col min="7046" max="7048" width="0" style="114" hidden="1" customWidth="1"/>
    <col min="7049" max="7049" width="12.33203125" style="114" customWidth="1"/>
    <col min="7050" max="7242" width="1.109375" style="114"/>
    <col min="7243" max="7243" width="28.88671875" style="114" customWidth="1"/>
    <col min="7244" max="7244" width="0.6640625" style="114" customWidth="1"/>
    <col min="7245" max="7248" width="0" style="114" hidden="1" customWidth="1"/>
    <col min="7249" max="7250" width="1.109375" style="114"/>
    <col min="7251" max="7251" width="0.5546875" style="114" customWidth="1"/>
    <col min="7252" max="7253" width="0" style="114" hidden="1" customWidth="1"/>
    <col min="7254" max="7254" width="4" style="114" customWidth="1"/>
    <col min="7255" max="7257" width="0" style="114" hidden="1" customWidth="1"/>
    <col min="7258" max="7258" width="2.109375" style="114" customWidth="1"/>
    <col min="7259" max="7259" width="0.88671875" style="114" customWidth="1"/>
    <col min="7260" max="7267" width="1.109375" style="114"/>
    <col min="7268" max="7268" width="0.109375" style="114" customWidth="1"/>
    <col min="7269" max="7269" width="0.44140625" style="114" customWidth="1"/>
    <col min="7270" max="7275" width="1.109375" style="114"/>
    <col min="7276" max="7276" width="0.6640625" style="114" customWidth="1"/>
    <col min="7277" max="7279" width="0" style="114" hidden="1" customWidth="1"/>
    <col min="7280" max="7280" width="1.6640625" style="114" customWidth="1"/>
    <col min="7281" max="7281" width="1.109375" style="114" customWidth="1"/>
    <col min="7282" max="7282" width="0.33203125" style="114" customWidth="1"/>
    <col min="7283" max="7283" width="0.5546875" style="114" customWidth="1"/>
    <col min="7284" max="7284" width="1.88671875" style="114" customWidth="1"/>
    <col min="7285" max="7298" width="0" style="114" hidden="1" customWidth="1"/>
    <col min="7299" max="7299" width="1.6640625" style="114" customWidth="1"/>
    <col min="7300" max="7300" width="1" style="114" customWidth="1"/>
    <col min="7301" max="7301" width="1.33203125" style="114" customWidth="1"/>
    <col min="7302" max="7304" width="0" style="114" hidden="1" customWidth="1"/>
    <col min="7305" max="7305" width="12.33203125" style="114" customWidth="1"/>
    <col min="7306" max="7498" width="1.109375" style="114"/>
    <col min="7499" max="7499" width="28.88671875" style="114" customWidth="1"/>
    <col min="7500" max="7500" width="0.6640625" style="114" customWidth="1"/>
    <col min="7501" max="7504" width="0" style="114" hidden="1" customWidth="1"/>
    <col min="7505" max="7506" width="1.109375" style="114"/>
    <col min="7507" max="7507" width="0.5546875" style="114" customWidth="1"/>
    <col min="7508" max="7509" width="0" style="114" hidden="1" customWidth="1"/>
    <col min="7510" max="7510" width="4" style="114" customWidth="1"/>
    <col min="7511" max="7513" width="0" style="114" hidden="1" customWidth="1"/>
    <col min="7514" max="7514" width="2.109375" style="114" customWidth="1"/>
    <col min="7515" max="7515" width="0.88671875" style="114" customWidth="1"/>
    <col min="7516" max="7523" width="1.109375" style="114"/>
    <col min="7524" max="7524" width="0.109375" style="114" customWidth="1"/>
    <col min="7525" max="7525" width="0.44140625" style="114" customWidth="1"/>
    <col min="7526" max="7531" width="1.109375" style="114"/>
    <col min="7532" max="7532" width="0.6640625" style="114" customWidth="1"/>
    <col min="7533" max="7535" width="0" style="114" hidden="1" customWidth="1"/>
    <col min="7536" max="7536" width="1.6640625" style="114" customWidth="1"/>
    <col min="7537" max="7537" width="1.109375" style="114" customWidth="1"/>
    <col min="7538" max="7538" width="0.33203125" style="114" customWidth="1"/>
    <col min="7539" max="7539" width="0.5546875" style="114" customWidth="1"/>
    <col min="7540" max="7540" width="1.88671875" style="114" customWidth="1"/>
    <col min="7541" max="7554" width="0" style="114" hidden="1" customWidth="1"/>
    <col min="7555" max="7555" width="1.6640625" style="114" customWidth="1"/>
    <col min="7556" max="7556" width="1" style="114" customWidth="1"/>
    <col min="7557" max="7557" width="1.33203125" style="114" customWidth="1"/>
    <col min="7558" max="7560" width="0" style="114" hidden="1" customWidth="1"/>
    <col min="7561" max="7561" width="12.33203125" style="114" customWidth="1"/>
    <col min="7562" max="7754" width="1.109375" style="114"/>
    <col min="7755" max="7755" width="28.88671875" style="114" customWidth="1"/>
    <col min="7756" max="7756" width="0.6640625" style="114" customWidth="1"/>
    <col min="7757" max="7760" width="0" style="114" hidden="1" customWidth="1"/>
    <col min="7761" max="7762" width="1.109375" style="114"/>
    <col min="7763" max="7763" width="0.5546875" style="114" customWidth="1"/>
    <col min="7764" max="7765" width="0" style="114" hidden="1" customWidth="1"/>
    <col min="7766" max="7766" width="4" style="114" customWidth="1"/>
    <col min="7767" max="7769" width="0" style="114" hidden="1" customWidth="1"/>
    <col min="7770" max="7770" width="2.109375" style="114" customWidth="1"/>
    <col min="7771" max="7771" width="0.88671875" style="114" customWidth="1"/>
    <col min="7772" max="7779" width="1.109375" style="114"/>
    <col min="7780" max="7780" width="0.109375" style="114" customWidth="1"/>
    <col min="7781" max="7781" width="0.44140625" style="114" customWidth="1"/>
    <col min="7782" max="7787" width="1.109375" style="114"/>
    <col min="7788" max="7788" width="0.6640625" style="114" customWidth="1"/>
    <col min="7789" max="7791" width="0" style="114" hidden="1" customWidth="1"/>
    <col min="7792" max="7792" width="1.6640625" style="114" customWidth="1"/>
    <col min="7793" max="7793" width="1.109375" style="114" customWidth="1"/>
    <col min="7794" max="7794" width="0.33203125" style="114" customWidth="1"/>
    <col min="7795" max="7795" width="0.5546875" style="114" customWidth="1"/>
    <col min="7796" max="7796" width="1.88671875" style="114" customWidth="1"/>
    <col min="7797" max="7810" width="0" style="114" hidden="1" customWidth="1"/>
    <col min="7811" max="7811" width="1.6640625" style="114" customWidth="1"/>
    <col min="7812" max="7812" width="1" style="114" customWidth="1"/>
    <col min="7813" max="7813" width="1.33203125" style="114" customWidth="1"/>
    <col min="7814" max="7816" width="0" style="114" hidden="1" customWidth="1"/>
    <col min="7817" max="7817" width="12.33203125" style="114" customWidth="1"/>
    <col min="7818" max="8010" width="1.109375" style="114"/>
    <col min="8011" max="8011" width="28.88671875" style="114" customWidth="1"/>
    <col min="8012" max="8012" width="0.6640625" style="114" customWidth="1"/>
    <col min="8013" max="8016" width="0" style="114" hidden="1" customWidth="1"/>
    <col min="8017" max="8018" width="1.109375" style="114"/>
    <col min="8019" max="8019" width="0.5546875" style="114" customWidth="1"/>
    <col min="8020" max="8021" width="0" style="114" hidden="1" customWidth="1"/>
    <col min="8022" max="8022" width="4" style="114" customWidth="1"/>
    <col min="8023" max="8025" width="0" style="114" hidden="1" customWidth="1"/>
    <col min="8026" max="8026" width="2.109375" style="114" customWidth="1"/>
    <col min="8027" max="8027" width="0.88671875" style="114" customWidth="1"/>
    <col min="8028" max="8035" width="1.109375" style="114"/>
    <col min="8036" max="8036" width="0.109375" style="114" customWidth="1"/>
    <col min="8037" max="8037" width="0.44140625" style="114" customWidth="1"/>
    <col min="8038" max="8043" width="1.109375" style="114"/>
    <col min="8044" max="8044" width="0.6640625" style="114" customWidth="1"/>
    <col min="8045" max="8047" width="0" style="114" hidden="1" customWidth="1"/>
    <col min="8048" max="8048" width="1.6640625" style="114" customWidth="1"/>
    <col min="8049" max="8049" width="1.109375" style="114" customWidth="1"/>
    <col min="8050" max="8050" width="0.33203125" style="114" customWidth="1"/>
    <col min="8051" max="8051" width="0.5546875" style="114" customWidth="1"/>
    <col min="8052" max="8052" width="1.88671875" style="114" customWidth="1"/>
    <col min="8053" max="8066" width="0" style="114" hidden="1" customWidth="1"/>
    <col min="8067" max="8067" width="1.6640625" style="114" customWidth="1"/>
    <col min="8068" max="8068" width="1" style="114" customWidth="1"/>
    <col min="8069" max="8069" width="1.33203125" style="114" customWidth="1"/>
    <col min="8070" max="8072" width="0" style="114" hidden="1" customWidth="1"/>
    <col min="8073" max="8073" width="12.33203125" style="114" customWidth="1"/>
    <col min="8074" max="8266" width="1.109375" style="114"/>
    <col min="8267" max="8267" width="28.88671875" style="114" customWidth="1"/>
    <col min="8268" max="8268" width="0.6640625" style="114" customWidth="1"/>
    <col min="8269" max="8272" width="0" style="114" hidden="1" customWidth="1"/>
    <col min="8273" max="8274" width="1.109375" style="114"/>
    <col min="8275" max="8275" width="0.5546875" style="114" customWidth="1"/>
    <col min="8276" max="8277" width="0" style="114" hidden="1" customWidth="1"/>
    <col min="8278" max="8278" width="4" style="114" customWidth="1"/>
    <col min="8279" max="8281" width="0" style="114" hidden="1" customWidth="1"/>
    <col min="8282" max="8282" width="2.109375" style="114" customWidth="1"/>
    <col min="8283" max="8283" width="0.88671875" style="114" customWidth="1"/>
    <col min="8284" max="8291" width="1.109375" style="114"/>
    <col min="8292" max="8292" width="0.109375" style="114" customWidth="1"/>
    <col min="8293" max="8293" width="0.44140625" style="114" customWidth="1"/>
    <col min="8294" max="8299" width="1.109375" style="114"/>
    <col min="8300" max="8300" width="0.6640625" style="114" customWidth="1"/>
    <col min="8301" max="8303" width="0" style="114" hidden="1" customWidth="1"/>
    <col min="8304" max="8304" width="1.6640625" style="114" customWidth="1"/>
    <col min="8305" max="8305" width="1.109375" style="114" customWidth="1"/>
    <col min="8306" max="8306" width="0.33203125" style="114" customWidth="1"/>
    <col min="8307" max="8307" width="0.5546875" style="114" customWidth="1"/>
    <col min="8308" max="8308" width="1.88671875" style="114" customWidth="1"/>
    <col min="8309" max="8322" width="0" style="114" hidden="1" customWidth="1"/>
    <col min="8323" max="8323" width="1.6640625" style="114" customWidth="1"/>
    <col min="8324" max="8324" width="1" style="114" customWidth="1"/>
    <col min="8325" max="8325" width="1.33203125" style="114" customWidth="1"/>
    <col min="8326" max="8328" width="0" style="114" hidden="1" customWidth="1"/>
    <col min="8329" max="8329" width="12.33203125" style="114" customWidth="1"/>
    <col min="8330" max="8522" width="1.109375" style="114"/>
    <col min="8523" max="8523" width="28.88671875" style="114" customWidth="1"/>
    <col min="8524" max="8524" width="0.6640625" style="114" customWidth="1"/>
    <col min="8525" max="8528" width="0" style="114" hidden="1" customWidth="1"/>
    <col min="8529" max="8530" width="1.109375" style="114"/>
    <col min="8531" max="8531" width="0.5546875" style="114" customWidth="1"/>
    <col min="8532" max="8533" width="0" style="114" hidden="1" customWidth="1"/>
    <col min="8534" max="8534" width="4" style="114" customWidth="1"/>
    <col min="8535" max="8537" width="0" style="114" hidden="1" customWidth="1"/>
    <col min="8538" max="8538" width="2.109375" style="114" customWidth="1"/>
    <col min="8539" max="8539" width="0.88671875" style="114" customWidth="1"/>
    <col min="8540" max="8547" width="1.109375" style="114"/>
    <col min="8548" max="8548" width="0.109375" style="114" customWidth="1"/>
    <col min="8549" max="8549" width="0.44140625" style="114" customWidth="1"/>
    <col min="8550" max="8555" width="1.109375" style="114"/>
    <col min="8556" max="8556" width="0.6640625" style="114" customWidth="1"/>
    <col min="8557" max="8559" width="0" style="114" hidden="1" customWidth="1"/>
    <col min="8560" max="8560" width="1.6640625" style="114" customWidth="1"/>
    <col min="8561" max="8561" width="1.109375" style="114" customWidth="1"/>
    <col min="8562" max="8562" width="0.33203125" style="114" customWidth="1"/>
    <col min="8563" max="8563" width="0.5546875" style="114" customWidth="1"/>
    <col min="8564" max="8564" width="1.88671875" style="114" customWidth="1"/>
    <col min="8565" max="8578" width="0" style="114" hidden="1" customWidth="1"/>
    <col min="8579" max="8579" width="1.6640625" style="114" customWidth="1"/>
    <col min="8580" max="8580" width="1" style="114" customWidth="1"/>
    <col min="8581" max="8581" width="1.33203125" style="114" customWidth="1"/>
    <col min="8582" max="8584" width="0" style="114" hidden="1" customWidth="1"/>
    <col min="8585" max="8585" width="12.33203125" style="114" customWidth="1"/>
    <col min="8586" max="8778" width="1.109375" style="114"/>
    <col min="8779" max="8779" width="28.88671875" style="114" customWidth="1"/>
    <col min="8780" max="8780" width="0.6640625" style="114" customWidth="1"/>
    <col min="8781" max="8784" width="0" style="114" hidden="1" customWidth="1"/>
    <col min="8785" max="8786" width="1.109375" style="114"/>
    <col min="8787" max="8787" width="0.5546875" style="114" customWidth="1"/>
    <col min="8788" max="8789" width="0" style="114" hidden="1" customWidth="1"/>
    <col min="8790" max="8790" width="4" style="114" customWidth="1"/>
    <col min="8791" max="8793" width="0" style="114" hidden="1" customWidth="1"/>
    <col min="8794" max="8794" width="2.109375" style="114" customWidth="1"/>
    <col min="8795" max="8795" width="0.88671875" style="114" customWidth="1"/>
    <col min="8796" max="8803" width="1.109375" style="114"/>
    <col min="8804" max="8804" width="0.109375" style="114" customWidth="1"/>
    <col min="8805" max="8805" width="0.44140625" style="114" customWidth="1"/>
    <col min="8806" max="8811" width="1.109375" style="114"/>
    <col min="8812" max="8812" width="0.6640625" style="114" customWidth="1"/>
    <col min="8813" max="8815" width="0" style="114" hidden="1" customWidth="1"/>
    <col min="8816" max="8816" width="1.6640625" style="114" customWidth="1"/>
    <col min="8817" max="8817" width="1.109375" style="114" customWidth="1"/>
    <col min="8818" max="8818" width="0.33203125" style="114" customWidth="1"/>
    <col min="8819" max="8819" width="0.5546875" style="114" customWidth="1"/>
    <col min="8820" max="8820" width="1.88671875" style="114" customWidth="1"/>
    <col min="8821" max="8834" width="0" style="114" hidden="1" customWidth="1"/>
    <col min="8835" max="8835" width="1.6640625" style="114" customWidth="1"/>
    <col min="8836" max="8836" width="1" style="114" customWidth="1"/>
    <col min="8837" max="8837" width="1.33203125" style="114" customWidth="1"/>
    <col min="8838" max="8840" width="0" style="114" hidden="1" customWidth="1"/>
    <col min="8841" max="8841" width="12.33203125" style="114" customWidth="1"/>
    <col min="8842" max="9034" width="1.109375" style="114"/>
    <col min="9035" max="9035" width="28.88671875" style="114" customWidth="1"/>
    <col min="9036" max="9036" width="0.6640625" style="114" customWidth="1"/>
    <col min="9037" max="9040" width="0" style="114" hidden="1" customWidth="1"/>
    <col min="9041" max="9042" width="1.109375" style="114"/>
    <col min="9043" max="9043" width="0.5546875" style="114" customWidth="1"/>
    <col min="9044" max="9045" width="0" style="114" hidden="1" customWidth="1"/>
    <col min="9046" max="9046" width="4" style="114" customWidth="1"/>
    <col min="9047" max="9049" width="0" style="114" hidden="1" customWidth="1"/>
    <col min="9050" max="9050" width="2.109375" style="114" customWidth="1"/>
    <col min="9051" max="9051" width="0.88671875" style="114" customWidth="1"/>
    <col min="9052" max="9059" width="1.109375" style="114"/>
    <col min="9060" max="9060" width="0.109375" style="114" customWidth="1"/>
    <col min="9061" max="9061" width="0.44140625" style="114" customWidth="1"/>
    <col min="9062" max="9067" width="1.109375" style="114"/>
    <col min="9068" max="9068" width="0.6640625" style="114" customWidth="1"/>
    <col min="9069" max="9071" width="0" style="114" hidden="1" customWidth="1"/>
    <col min="9072" max="9072" width="1.6640625" style="114" customWidth="1"/>
    <col min="9073" max="9073" width="1.109375" style="114" customWidth="1"/>
    <col min="9074" max="9074" width="0.33203125" style="114" customWidth="1"/>
    <col min="9075" max="9075" width="0.5546875" style="114" customWidth="1"/>
    <col min="9076" max="9076" width="1.88671875" style="114" customWidth="1"/>
    <col min="9077" max="9090" width="0" style="114" hidden="1" customWidth="1"/>
    <col min="9091" max="9091" width="1.6640625" style="114" customWidth="1"/>
    <col min="9092" max="9092" width="1" style="114" customWidth="1"/>
    <col min="9093" max="9093" width="1.33203125" style="114" customWidth="1"/>
    <col min="9094" max="9096" width="0" style="114" hidden="1" customWidth="1"/>
    <col min="9097" max="9097" width="12.33203125" style="114" customWidth="1"/>
    <col min="9098" max="9290" width="1.109375" style="114"/>
    <col min="9291" max="9291" width="28.88671875" style="114" customWidth="1"/>
    <col min="9292" max="9292" width="0.6640625" style="114" customWidth="1"/>
    <col min="9293" max="9296" width="0" style="114" hidden="1" customWidth="1"/>
    <col min="9297" max="9298" width="1.109375" style="114"/>
    <col min="9299" max="9299" width="0.5546875" style="114" customWidth="1"/>
    <col min="9300" max="9301" width="0" style="114" hidden="1" customWidth="1"/>
    <col min="9302" max="9302" width="4" style="114" customWidth="1"/>
    <col min="9303" max="9305" width="0" style="114" hidden="1" customWidth="1"/>
    <col min="9306" max="9306" width="2.109375" style="114" customWidth="1"/>
    <col min="9307" max="9307" width="0.88671875" style="114" customWidth="1"/>
    <col min="9308" max="9315" width="1.109375" style="114"/>
    <col min="9316" max="9316" width="0.109375" style="114" customWidth="1"/>
    <col min="9317" max="9317" width="0.44140625" style="114" customWidth="1"/>
    <col min="9318" max="9323" width="1.109375" style="114"/>
    <col min="9324" max="9324" width="0.6640625" style="114" customWidth="1"/>
    <col min="9325" max="9327" width="0" style="114" hidden="1" customWidth="1"/>
    <col min="9328" max="9328" width="1.6640625" style="114" customWidth="1"/>
    <col min="9329" max="9329" width="1.109375" style="114" customWidth="1"/>
    <col min="9330" max="9330" width="0.33203125" style="114" customWidth="1"/>
    <col min="9331" max="9331" width="0.5546875" style="114" customWidth="1"/>
    <col min="9332" max="9332" width="1.88671875" style="114" customWidth="1"/>
    <col min="9333" max="9346" width="0" style="114" hidden="1" customWidth="1"/>
    <col min="9347" max="9347" width="1.6640625" style="114" customWidth="1"/>
    <col min="9348" max="9348" width="1" style="114" customWidth="1"/>
    <col min="9349" max="9349" width="1.33203125" style="114" customWidth="1"/>
    <col min="9350" max="9352" width="0" style="114" hidden="1" customWidth="1"/>
    <col min="9353" max="9353" width="12.33203125" style="114" customWidth="1"/>
    <col min="9354" max="9546" width="1.109375" style="114"/>
    <col min="9547" max="9547" width="28.88671875" style="114" customWidth="1"/>
    <col min="9548" max="9548" width="0.6640625" style="114" customWidth="1"/>
    <col min="9549" max="9552" width="0" style="114" hidden="1" customWidth="1"/>
    <col min="9553" max="9554" width="1.109375" style="114"/>
    <col min="9555" max="9555" width="0.5546875" style="114" customWidth="1"/>
    <col min="9556" max="9557" width="0" style="114" hidden="1" customWidth="1"/>
    <col min="9558" max="9558" width="4" style="114" customWidth="1"/>
    <col min="9559" max="9561" width="0" style="114" hidden="1" customWidth="1"/>
    <col min="9562" max="9562" width="2.109375" style="114" customWidth="1"/>
    <col min="9563" max="9563" width="0.88671875" style="114" customWidth="1"/>
    <col min="9564" max="9571" width="1.109375" style="114"/>
    <col min="9572" max="9572" width="0.109375" style="114" customWidth="1"/>
    <col min="9573" max="9573" width="0.44140625" style="114" customWidth="1"/>
    <col min="9574" max="9579" width="1.109375" style="114"/>
    <col min="9580" max="9580" width="0.6640625" style="114" customWidth="1"/>
    <col min="9581" max="9583" width="0" style="114" hidden="1" customWidth="1"/>
    <col min="9584" max="9584" width="1.6640625" style="114" customWidth="1"/>
    <col min="9585" max="9585" width="1.109375" style="114" customWidth="1"/>
    <col min="9586" max="9586" width="0.33203125" style="114" customWidth="1"/>
    <col min="9587" max="9587" width="0.5546875" style="114" customWidth="1"/>
    <col min="9588" max="9588" width="1.88671875" style="114" customWidth="1"/>
    <col min="9589" max="9602" width="0" style="114" hidden="1" customWidth="1"/>
    <col min="9603" max="9603" width="1.6640625" style="114" customWidth="1"/>
    <col min="9604" max="9604" width="1" style="114" customWidth="1"/>
    <col min="9605" max="9605" width="1.33203125" style="114" customWidth="1"/>
    <col min="9606" max="9608" width="0" style="114" hidden="1" customWidth="1"/>
    <col min="9609" max="9609" width="12.33203125" style="114" customWidth="1"/>
    <col min="9610" max="9802" width="1.109375" style="114"/>
    <col min="9803" max="9803" width="28.88671875" style="114" customWidth="1"/>
    <col min="9804" max="9804" width="0.6640625" style="114" customWidth="1"/>
    <col min="9805" max="9808" width="0" style="114" hidden="1" customWidth="1"/>
    <col min="9809" max="9810" width="1.109375" style="114"/>
    <col min="9811" max="9811" width="0.5546875" style="114" customWidth="1"/>
    <col min="9812" max="9813" width="0" style="114" hidden="1" customWidth="1"/>
    <col min="9814" max="9814" width="4" style="114" customWidth="1"/>
    <col min="9815" max="9817" width="0" style="114" hidden="1" customWidth="1"/>
    <col min="9818" max="9818" width="2.109375" style="114" customWidth="1"/>
    <col min="9819" max="9819" width="0.88671875" style="114" customWidth="1"/>
    <col min="9820" max="9827" width="1.109375" style="114"/>
    <col min="9828" max="9828" width="0.109375" style="114" customWidth="1"/>
    <col min="9829" max="9829" width="0.44140625" style="114" customWidth="1"/>
    <col min="9830" max="9835" width="1.109375" style="114"/>
    <col min="9836" max="9836" width="0.6640625" style="114" customWidth="1"/>
    <col min="9837" max="9839" width="0" style="114" hidden="1" customWidth="1"/>
    <col min="9840" max="9840" width="1.6640625" style="114" customWidth="1"/>
    <col min="9841" max="9841" width="1.109375" style="114" customWidth="1"/>
    <col min="9842" max="9842" width="0.33203125" style="114" customWidth="1"/>
    <col min="9843" max="9843" width="0.5546875" style="114" customWidth="1"/>
    <col min="9844" max="9844" width="1.88671875" style="114" customWidth="1"/>
    <col min="9845" max="9858" width="0" style="114" hidden="1" customWidth="1"/>
    <col min="9859" max="9859" width="1.6640625" style="114" customWidth="1"/>
    <col min="9860" max="9860" width="1" style="114" customWidth="1"/>
    <col min="9861" max="9861" width="1.33203125" style="114" customWidth="1"/>
    <col min="9862" max="9864" width="0" style="114" hidden="1" customWidth="1"/>
    <col min="9865" max="9865" width="12.33203125" style="114" customWidth="1"/>
    <col min="9866" max="10058" width="1.109375" style="114"/>
    <col min="10059" max="10059" width="28.88671875" style="114" customWidth="1"/>
    <col min="10060" max="10060" width="0.6640625" style="114" customWidth="1"/>
    <col min="10061" max="10064" width="0" style="114" hidden="1" customWidth="1"/>
    <col min="10065" max="10066" width="1.109375" style="114"/>
    <col min="10067" max="10067" width="0.5546875" style="114" customWidth="1"/>
    <col min="10068" max="10069" width="0" style="114" hidden="1" customWidth="1"/>
    <col min="10070" max="10070" width="4" style="114" customWidth="1"/>
    <col min="10071" max="10073" width="0" style="114" hidden="1" customWidth="1"/>
    <col min="10074" max="10074" width="2.109375" style="114" customWidth="1"/>
    <col min="10075" max="10075" width="0.88671875" style="114" customWidth="1"/>
    <col min="10076" max="10083" width="1.109375" style="114"/>
    <col min="10084" max="10084" width="0.109375" style="114" customWidth="1"/>
    <col min="10085" max="10085" width="0.44140625" style="114" customWidth="1"/>
    <col min="10086" max="10091" width="1.109375" style="114"/>
    <col min="10092" max="10092" width="0.6640625" style="114" customWidth="1"/>
    <col min="10093" max="10095" width="0" style="114" hidden="1" customWidth="1"/>
    <col min="10096" max="10096" width="1.6640625" style="114" customWidth="1"/>
    <col min="10097" max="10097" width="1.109375" style="114" customWidth="1"/>
    <col min="10098" max="10098" width="0.33203125" style="114" customWidth="1"/>
    <col min="10099" max="10099" width="0.5546875" style="114" customWidth="1"/>
    <col min="10100" max="10100" width="1.88671875" style="114" customWidth="1"/>
    <col min="10101" max="10114" width="0" style="114" hidden="1" customWidth="1"/>
    <col min="10115" max="10115" width="1.6640625" style="114" customWidth="1"/>
    <col min="10116" max="10116" width="1" style="114" customWidth="1"/>
    <col min="10117" max="10117" width="1.33203125" style="114" customWidth="1"/>
    <col min="10118" max="10120" width="0" style="114" hidden="1" customWidth="1"/>
    <col min="10121" max="10121" width="12.33203125" style="114" customWidth="1"/>
    <col min="10122" max="10314" width="1.109375" style="114"/>
    <col min="10315" max="10315" width="28.88671875" style="114" customWidth="1"/>
    <col min="10316" max="10316" width="0.6640625" style="114" customWidth="1"/>
    <col min="10317" max="10320" width="0" style="114" hidden="1" customWidth="1"/>
    <col min="10321" max="10322" width="1.109375" style="114"/>
    <col min="10323" max="10323" width="0.5546875" style="114" customWidth="1"/>
    <col min="10324" max="10325" width="0" style="114" hidden="1" customWidth="1"/>
    <col min="10326" max="10326" width="4" style="114" customWidth="1"/>
    <col min="10327" max="10329" width="0" style="114" hidden="1" customWidth="1"/>
    <col min="10330" max="10330" width="2.109375" style="114" customWidth="1"/>
    <col min="10331" max="10331" width="0.88671875" style="114" customWidth="1"/>
    <col min="10332" max="10339" width="1.109375" style="114"/>
    <col min="10340" max="10340" width="0.109375" style="114" customWidth="1"/>
    <col min="10341" max="10341" width="0.44140625" style="114" customWidth="1"/>
    <col min="10342" max="10347" width="1.109375" style="114"/>
    <col min="10348" max="10348" width="0.6640625" style="114" customWidth="1"/>
    <col min="10349" max="10351" width="0" style="114" hidden="1" customWidth="1"/>
    <col min="10352" max="10352" width="1.6640625" style="114" customWidth="1"/>
    <col min="10353" max="10353" width="1.109375" style="114" customWidth="1"/>
    <col min="10354" max="10354" width="0.33203125" style="114" customWidth="1"/>
    <col min="10355" max="10355" width="0.5546875" style="114" customWidth="1"/>
    <col min="10356" max="10356" width="1.88671875" style="114" customWidth="1"/>
    <col min="10357" max="10370" width="0" style="114" hidden="1" customWidth="1"/>
    <col min="10371" max="10371" width="1.6640625" style="114" customWidth="1"/>
    <col min="10372" max="10372" width="1" style="114" customWidth="1"/>
    <col min="10373" max="10373" width="1.33203125" style="114" customWidth="1"/>
    <col min="10374" max="10376" width="0" style="114" hidden="1" customWidth="1"/>
    <col min="10377" max="10377" width="12.33203125" style="114" customWidth="1"/>
    <col min="10378" max="10570" width="1.109375" style="114"/>
    <col min="10571" max="10571" width="28.88671875" style="114" customWidth="1"/>
    <col min="10572" max="10572" width="0.6640625" style="114" customWidth="1"/>
    <col min="10573" max="10576" width="0" style="114" hidden="1" customWidth="1"/>
    <col min="10577" max="10578" width="1.109375" style="114"/>
    <col min="10579" max="10579" width="0.5546875" style="114" customWidth="1"/>
    <col min="10580" max="10581" width="0" style="114" hidden="1" customWidth="1"/>
    <col min="10582" max="10582" width="4" style="114" customWidth="1"/>
    <col min="10583" max="10585" width="0" style="114" hidden="1" customWidth="1"/>
    <col min="10586" max="10586" width="2.109375" style="114" customWidth="1"/>
    <col min="10587" max="10587" width="0.88671875" style="114" customWidth="1"/>
    <col min="10588" max="10595" width="1.109375" style="114"/>
    <col min="10596" max="10596" width="0.109375" style="114" customWidth="1"/>
    <col min="10597" max="10597" width="0.44140625" style="114" customWidth="1"/>
    <col min="10598" max="10603" width="1.109375" style="114"/>
    <col min="10604" max="10604" width="0.6640625" style="114" customWidth="1"/>
    <col min="10605" max="10607" width="0" style="114" hidden="1" customWidth="1"/>
    <col min="10608" max="10608" width="1.6640625" style="114" customWidth="1"/>
    <col min="10609" max="10609" width="1.109375" style="114" customWidth="1"/>
    <col min="10610" max="10610" width="0.33203125" style="114" customWidth="1"/>
    <col min="10611" max="10611" width="0.5546875" style="114" customWidth="1"/>
    <col min="10612" max="10612" width="1.88671875" style="114" customWidth="1"/>
    <col min="10613" max="10626" width="0" style="114" hidden="1" customWidth="1"/>
    <col min="10627" max="10627" width="1.6640625" style="114" customWidth="1"/>
    <col min="10628" max="10628" width="1" style="114" customWidth="1"/>
    <col min="10629" max="10629" width="1.33203125" style="114" customWidth="1"/>
    <col min="10630" max="10632" width="0" style="114" hidden="1" customWidth="1"/>
    <col min="10633" max="10633" width="12.33203125" style="114" customWidth="1"/>
    <col min="10634" max="10826" width="1.109375" style="114"/>
    <col min="10827" max="10827" width="28.88671875" style="114" customWidth="1"/>
    <col min="10828" max="10828" width="0.6640625" style="114" customWidth="1"/>
    <col min="10829" max="10832" width="0" style="114" hidden="1" customWidth="1"/>
    <col min="10833" max="10834" width="1.109375" style="114"/>
    <col min="10835" max="10835" width="0.5546875" style="114" customWidth="1"/>
    <col min="10836" max="10837" width="0" style="114" hidden="1" customWidth="1"/>
    <col min="10838" max="10838" width="4" style="114" customWidth="1"/>
    <col min="10839" max="10841" width="0" style="114" hidden="1" customWidth="1"/>
    <col min="10842" max="10842" width="2.109375" style="114" customWidth="1"/>
    <col min="10843" max="10843" width="0.88671875" style="114" customWidth="1"/>
    <col min="10844" max="10851" width="1.109375" style="114"/>
    <col min="10852" max="10852" width="0.109375" style="114" customWidth="1"/>
    <col min="10853" max="10853" width="0.44140625" style="114" customWidth="1"/>
    <col min="10854" max="10859" width="1.109375" style="114"/>
    <col min="10860" max="10860" width="0.6640625" style="114" customWidth="1"/>
    <col min="10861" max="10863" width="0" style="114" hidden="1" customWidth="1"/>
    <col min="10864" max="10864" width="1.6640625" style="114" customWidth="1"/>
    <col min="10865" max="10865" width="1.109375" style="114" customWidth="1"/>
    <col min="10866" max="10866" width="0.33203125" style="114" customWidth="1"/>
    <col min="10867" max="10867" width="0.5546875" style="114" customWidth="1"/>
    <col min="10868" max="10868" width="1.88671875" style="114" customWidth="1"/>
    <col min="10869" max="10882" width="0" style="114" hidden="1" customWidth="1"/>
    <col min="10883" max="10883" width="1.6640625" style="114" customWidth="1"/>
    <col min="10884" max="10884" width="1" style="114" customWidth="1"/>
    <col min="10885" max="10885" width="1.33203125" style="114" customWidth="1"/>
    <col min="10886" max="10888" width="0" style="114" hidden="1" customWidth="1"/>
    <col min="10889" max="10889" width="12.33203125" style="114" customWidth="1"/>
    <col min="10890" max="11082" width="1.109375" style="114"/>
    <col min="11083" max="11083" width="28.88671875" style="114" customWidth="1"/>
    <col min="11084" max="11084" width="0.6640625" style="114" customWidth="1"/>
    <col min="11085" max="11088" width="0" style="114" hidden="1" customWidth="1"/>
    <col min="11089" max="11090" width="1.109375" style="114"/>
    <col min="11091" max="11091" width="0.5546875" style="114" customWidth="1"/>
    <col min="11092" max="11093" width="0" style="114" hidden="1" customWidth="1"/>
    <col min="11094" max="11094" width="4" style="114" customWidth="1"/>
    <col min="11095" max="11097" width="0" style="114" hidden="1" customWidth="1"/>
    <col min="11098" max="11098" width="2.109375" style="114" customWidth="1"/>
    <col min="11099" max="11099" width="0.88671875" style="114" customWidth="1"/>
    <col min="11100" max="11107" width="1.109375" style="114"/>
    <col min="11108" max="11108" width="0.109375" style="114" customWidth="1"/>
    <col min="11109" max="11109" width="0.44140625" style="114" customWidth="1"/>
    <col min="11110" max="11115" width="1.109375" style="114"/>
    <col min="11116" max="11116" width="0.6640625" style="114" customWidth="1"/>
    <col min="11117" max="11119" width="0" style="114" hidden="1" customWidth="1"/>
    <col min="11120" max="11120" width="1.6640625" style="114" customWidth="1"/>
    <col min="11121" max="11121" width="1.109375" style="114" customWidth="1"/>
    <col min="11122" max="11122" width="0.33203125" style="114" customWidth="1"/>
    <col min="11123" max="11123" width="0.5546875" style="114" customWidth="1"/>
    <col min="11124" max="11124" width="1.88671875" style="114" customWidth="1"/>
    <col min="11125" max="11138" width="0" style="114" hidden="1" customWidth="1"/>
    <col min="11139" max="11139" width="1.6640625" style="114" customWidth="1"/>
    <col min="11140" max="11140" width="1" style="114" customWidth="1"/>
    <col min="11141" max="11141" width="1.33203125" style="114" customWidth="1"/>
    <col min="11142" max="11144" width="0" style="114" hidden="1" customWidth="1"/>
    <col min="11145" max="11145" width="12.33203125" style="114" customWidth="1"/>
    <col min="11146" max="11338" width="1.109375" style="114"/>
    <col min="11339" max="11339" width="28.88671875" style="114" customWidth="1"/>
    <col min="11340" max="11340" width="0.6640625" style="114" customWidth="1"/>
    <col min="11341" max="11344" width="0" style="114" hidden="1" customWidth="1"/>
    <col min="11345" max="11346" width="1.109375" style="114"/>
    <col min="11347" max="11347" width="0.5546875" style="114" customWidth="1"/>
    <col min="11348" max="11349" width="0" style="114" hidden="1" customWidth="1"/>
    <col min="11350" max="11350" width="4" style="114" customWidth="1"/>
    <col min="11351" max="11353" width="0" style="114" hidden="1" customWidth="1"/>
    <col min="11354" max="11354" width="2.109375" style="114" customWidth="1"/>
    <col min="11355" max="11355" width="0.88671875" style="114" customWidth="1"/>
    <col min="11356" max="11363" width="1.109375" style="114"/>
    <col min="11364" max="11364" width="0.109375" style="114" customWidth="1"/>
    <col min="11365" max="11365" width="0.44140625" style="114" customWidth="1"/>
    <col min="11366" max="11371" width="1.109375" style="114"/>
    <col min="11372" max="11372" width="0.6640625" style="114" customWidth="1"/>
    <col min="11373" max="11375" width="0" style="114" hidden="1" customWidth="1"/>
    <col min="11376" max="11376" width="1.6640625" style="114" customWidth="1"/>
    <col min="11377" max="11377" width="1.109375" style="114" customWidth="1"/>
    <col min="11378" max="11378" width="0.33203125" style="114" customWidth="1"/>
    <col min="11379" max="11379" width="0.5546875" style="114" customWidth="1"/>
    <col min="11380" max="11380" width="1.88671875" style="114" customWidth="1"/>
    <col min="11381" max="11394" width="0" style="114" hidden="1" customWidth="1"/>
    <col min="11395" max="11395" width="1.6640625" style="114" customWidth="1"/>
    <col min="11396" max="11396" width="1" style="114" customWidth="1"/>
    <col min="11397" max="11397" width="1.33203125" style="114" customWidth="1"/>
    <col min="11398" max="11400" width="0" style="114" hidden="1" customWidth="1"/>
    <col min="11401" max="11401" width="12.33203125" style="114" customWidth="1"/>
    <col min="11402" max="11594" width="1.109375" style="114"/>
    <col min="11595" max="11595" width="28.88671875" style="114" customWidth="1"/>
    <col min="11596" max="11596" width="0.6640625" style="114" customWidth="1"/>
    <col min="11597" max="11600" width="0" style="114" hidden="1" customWidth="1"/>
    <col min="11601" max="11602" width="1.109375" style="114"/>
    <col min="11603" max="11603" width="0.5546875" style="114" customWidth="1"/>
    <col min="11604" max="11605" width="0" style="114" hidden="1" customWidth="1"/>
    <col min="11606" max="11606" width="4" style="114" customWidth="1"/>
    <col min="11607" max="11609" width="0" style="114" hidden="1" customWidth="1"/>
    <col min="11610" max="11610" width="2.109375" style="114" customWidth="1"/>
    <col min="11611" max="11611" width="0.88671875" style="114" customWidth="1"/>
    <col min="11612" max="11619" width="1.109375" style="114"/>
    <col min="11620" max="11620" width="0.109375" style="114" customWidth="1"/>
    <col min="11621" max="11621" width="0.44140625" style="114" customWidth="1"/>
    <col min="11622" max="11627" width="1.109375" style="114"/>
    <col min="11628" max="11628" width="0.6640625" style="114" customWidth="1"/>
    <col min="11629" max="11631" width="0" style="114" hidden="1" customWidth="1"/>
    <col min="11632" max="11632" width="1.6640625" style="114" customWidth="1"/>
    <col min="11633" max="11633" width="1.109375" style="114" customWidth="1"/>
    <col min="11634" max="11634" width="0.33203125" style="114" customWidth="1"/>
    <col min="11635" max="11635" width="0.5546875" style="114" customWidth="1"/>
    <col min="11636" max="11636" width="1.88671875" style="114" customWidth="1"/>
    <col min="11637" max="11650" width="0" style="114" hidden="1" customWidth="1"/>
    <col min="11651" max="11651" width="1.6640625" style="114" customWidth="1"/>
    <col min="11652" max="11652" width="1" style="114" customWidth="1"/>
    <col min="11653" max="11653" width="1.33203125" style="114" customWidth="1"/>
    <col min="11654" max="11656" width="0" style="114" hidden="1" customWidth="1"/>
    <col min="11657" max="11657" width="12.33203125" style="114" customWidth="1"/>
    <col min="11658" max="11850" width="1.109375" style="114"/>
    <col min="11851" max="11851" width="28.88671875" style="114" customWidth="1"/>
    <col min="11852" max="11852" width="0.6640625" style="114" customWidth="1"/>
    <col min="11853" max="11856" width="0" style="114" hidden="1" customWidth="1"/>
    <col min="11857" max="11858" width="1.109375" style="114"/>
    <col min="11859" max="11859" width="0.5546875" style="114" customWidth="1"/>
    <col min="11860" max="11861" width="0" style="114" hidden="1" customWidth="1"/>
    <col min="11862" max="11862" width="4" style="114" customWidth="1"/>
    <col min="11863" max="11865" width="0" style="114" hidden="1" customWidth="1"/>
    <col min="11866" max="11866" width="2.109375" style="114" customWidth="1"/>
    <col min="11867" max="11867" width="0.88671875" style="114" customWidth="1"/>
    <col min="11868" max="11875" width="1.109375" style="114"/>
    <col min="11876" max="11876" width="0.109375" style="114" customWidth="1"/>
    <col min="11877" max="11877" width="0.44140625" style="114" customWidth="1"/>
    <col min="11878" max="11883" width="1.109375" style="114"/>
    <col min="11884" max="11884" width="0.6640625" style="114" customWidth="1"/>
    <col min="11885" max="11887" width="0" style="114" hidden="1" customWidth="1"/>
    <col min="11888" max="11888" width="1.6640625" style="114" customWidth="1"/>
    <col min="11889" max="11889" width="1.109375" style="114" customWidth="1"/>
    <col min="11890" max="11890" width="0.33203125" style="114" customWidth="1"/>
    <col min="11891" max="11891" width="0.5546875" style="114" customWidth="1"/>
    <col min="11892" max="11892" width="1.88671875" style="114" customWidth="1"/>
    <col min="11893" max="11906" width="0" style="114" hidden="1" customWidth="1"/>
    <col min="11907" max="11907" width="1.6640625" style="114" customWidth="1"/>
    <col min="11908" max="11908" width="1" style="114" customWidth="1"/>
    <col min="11909" max="11909" width="1.33203125" style="114" customWidth="1"/>
    <col min="11910" max="11912" width="0" style="114" hidden="1" customWidth="1"/>
    <col min="11913" max="11913" width="12.33203125" style="114" customWidth="1"/>
    <col min="11914" max="12106" width="1.109375" style="114"/>
    <col min="12107" max="12107" width="28.88671875" style="114" customWidth="1"/>
    <col min="12108" max="12108" width="0.6640625" style="114" customWidth="1"/>
    <col min="12109" max="12112" width="0" style="114" hidden="1" customWidth="1"/>
    <col min="12113" max="12114" width="1.109375" style="114"/>
    <col min="12115" max="12115" width="0.5546875" style="114" customWidth="1"/>
    <col min="12116" max="12117" width="0" style="114" hidden="1" customWidth="1"/>
    <col min="12118" max="12118" width="4" style="114" customWidth="1"/>
    <col min="12119" max="12121" width="0" style="114" hidden="1" customWidth="1"/>
    <col min="12122" max="12122" width="2.109375" style="114" customWidth="1"/>
    <col min="12123" max="12123" width="0.88671875" style="114" customWidth="1"/>
    <col min="12124" max="12131" width="1.109375" style="114"/>
    <col min="12132" max="12132" width="0.109375" style="114" customWidth="1"/>
    <col min="12133" max="12133" width="0.44140625" style="114" customWidth="1"/>
    <col min="12134" max="12139" width="1.109375" style="114"/>
    <col min="12140" max="12140" width="0.6640625" style="114" customWidth="1"/>
    <col min="12141" max="12143" width="0" style="114" hidden="1" customWidth="1"/>
    <col min="12144" max="12144" width="1.6640625" style="114" customWidth="1"/>
    <col min="12145" max="12145" width="1.109375" style="114" customWidth="1"/>
    <col min="12146" max="12146" width="0.33203125" style="114" customWidth="1"/>
    <col min="12147" max="12147" width="0.5546875" style="114" customWidth="1"/>
    <col min="12148" max="12148" width="1.88671875" style="114" customWidth="1"/>
    <col min="12149" max="12162" width="0" style="114" hidden="1" customWidth="1"/>
    <col min="12163" max="12163" width="1.6640625" style="114" customWidth="1"/>
    <col min="12164" max="12164" width="1" style="114" customWidth="1"/>
    <col min="12165" max="12165" width="1.33203125" style="114" customWidth="1"/>
    <col min="12166" max="12168" width="0" style="114" hidden="1" customWidth="1"/>
    <col min="12169" max="12169" width="12.33203125" style="114" customWidth="1"/>
    <col min="12170" max="12362" width="1.109375" style="114"/>
    <col min="12363" max="12363" width="28.88671875" style="114" customWidth="1"/>
    <col min="12364" max="12364" width="0.6640625" style="114" customWidth="1"/>
    <col min="12365" max="12368" width="0" style="114" hidden="1" customWidth="1"/>
    <col min="12369" max="12370" width="1.109375" style="114"/>
    <col min="12371" max="12371" width="0.5546875" style="114" customWidth="1"/>
    <col min="12372" max="12373" width="0" style="114" hidden="1" customWidth="1"/>
    <col min="12374" max="12374" width="4" style="114" customWidth="1"/>
    <col min="12375" max="12377" width="0" style="114" hidden="1" customWidth="1"/>
    <col min="12378" max="12378" width="2.109375" style="114" customWidth="1"/>
    <col min="12379" max="12379" width="0.88671875" style="114" customWidth="1"/>
    <col min="12380" max="12387" width="1.109375" style="114"/>
    <col min="12388" max="12388" width="0.109375" style="114" customWidth="1"/>
    <col min="12389" max="12389" width="0.44140625" style="114" customWidth="1"/>
    <col min="12390" max="12395" width="1.109375" style="114"/>
    <col min="12396" max="12396" width="0.6640625" style="114" customWidth="1"/>
    <col min="12397" max="12399" width="0" style="114" hidden="1" customWidth="1"/>
    <col min="12400" max="12400" width="1.6640625" style="114" customWidth="1"/>
    <col min="12401" max="12401" width="1.109375" style="114" customWidth="1"/>
    <col min="12402" max="12402" width="0.33203125" style="114" customWidth="1"/>
    <col min="12403" max="12403" width="0.5546875" style="114" customWidth="1"/>
    <col min="12404" max="12404" width="1.88671875" style="114" customWidth="1"/>
    <col min="12405" max="12418" width="0" style="114" hidden="1" customWidth="1"/>
    <col min="12419" max="12419" width="1.6640625" style="114" customWidth="1"/>
    <col min="12420" max="12420" width="1" style="114" customWidth="1"/>
    <col min="12421" max="12421" width="1.33203125" style="114" customWidth="1"/>
    <col min="12422" max="12424" width="0" style="114" hidden="1" customWidth="1"/>
    <col min="12425" max="12425" width="12.33203125" style="114" customWidth="1"/>
    <col min="12426" max="12618" width="1.109375" style="114"/>
    <col min="12619" max="12619" width="28.88671875" style="114" customWidth="1"/>
    <col min="12620" max="12620" width="0.6640625" style="114" customWidth="1"/>
    <col min="12621" max="12624" width="0" style="114" hidden="1" customWidth="1"/>
    <col min="12625" max="12626" width="1.109375" style="114"/>
    <col min="12627" max="12627" width="0.5546875" style="114" customWidth="1"/>
    <col min="12628" max="12629" width="0" style="114" hidden="1" customWidth="1"/>
    <col min="12630" max="12630" width="4" style="114" customWidth="1"/>
    <col min="12631" max="12633" width="0" style="114" hidden="1" customWidth="1"/>
    <col min="12634" max="12634" width="2.109375" style="114" customWidth="1"/>
    <col min="12635" max="12635" width="0.88671875" style="114" customWidth="1"/>
    <col min="12636" max="12643" width="1.109375" style="114"/>
    <col min="12644" max="12644" width="0.109375" style="114" customWidth="1"/>
    <col min="12645" max="12645" width="0.44140625" style="114" customWidth="1"/>
    <col min="12646" max="12651" width="1.109375" style="114"/>
    <col min="12652" max="12652" width="0.6640625" style="114" customWidth="1"/>
    <col min="12653" max="12655" width="0" style="114" hidden="1" customWidth="1"/>
    <col min="12656" max="12656" width="1.6640625" style="114" customWidth="1"/>
    <col min="12657" max="12657" width="1.109375" style="114" customWidth="1"/>
    <col min="12658" max="12658" width="0.33203125" style="114" customWidth="1"/>
    <col min="12659" max="12659" width="0.5546875" style="114" customWidth="1"/>
    <col min="12660" max="12660" width="1.88671875" style="114" customWidth="1"/>
    <col min="12661" max="12674" width="0" style="114" hidden="1" customWidth="1"/>
    <col min="12675" max="12675" width="1.6640625" style="114" customWidth="1"/>
    <col min="12676" max="12676" width="1" style="114" customWidth="1"/>
    <col min="12677" max="12677" width="1.33203125" style="114" customWidth="1"/>
    <col min="12678" max="12680" width="0" style="114" hidden="1" customWidth="1"/>
    <col min="12681" max="12681" width="12.33203125" style="114" customWidth="1"/>
    <col min="12682" max="12874" width="1.109375" style="114"/>
    <col min="12875" max="12875" width="28.88671875" style="114" customWidth="1"/>
    <col min="12876" max="12876" width="0.6640625" style="114" customWidth="1"/>
    <col min="12877" max="12880" width="0" style="114" hidden="1" customWidth="1"/>
    <col min="12881" max="12882" width="1.109375" style="114"/>
    <col min="12883" max="12883" width="0.5546875" style="114" customWidth="1"/>
    <col min="12884" max="12885" width="0" style="114" hidden="1" customWidth="1"/>
    <col min="12886" max="12886" width="4" style="114" customWidth="1"/>
    <col min="12887" max="12889" width="0" style="114" hidden="1" customWidth="1"/>
    <col min="12890" max="12890" width="2.109375" style="114" customWidth="1"/>
    <col min="12891" max="12891" width="0.88671875" style="114" customWidth="1"/>
    <col min="12892" max="12899" width="1.109375" style="114"/>
    <col min="12900" max="12900" width="0.109375" style="114" customWidth="1"/>
    <col min="12901" max="12901" width="0.44140625" style="114" customWidth="1"/>
    <col min="12902" max="12907" width="1.109375" style="114"/>
    <col min="12908" max="12908" width="0.6640625" style="114" customWidth="1"/>
    <col min="12909" max="12911" width="0" style="114" hidden="1" customWidth="1"/>
    <col min="12912" max="12912" width="1.6640625" style="114" customWidth="1"/>
    <col min="12913" max="12913" width="1.109375" style="114" customWidth="1"/>
    <col min="12914" max="12914" width="0.33203125" style="114" customWidth="1"/>
    <col min="12915" max="12915" width="0.5546875" style="114" customWidth="1"/>
    <col min="12916" max="12916" width="1.88671875" style="114" customWidth="1"/>
    <col min="12917" max="12930" width="0" style="114" hidden="1" customWidth="1"/>
    <col min="12931" max="12931" width="1.6640625" style="114" customWidth="1"/>
    <col min="12932" max="12932" width="1" style="114" customWidth="1"/>
    <col min="12933" max="12933" width="1.33203125" style="114" customWidth="1"/>
    <col min="12934" max="12936" width="0" style="114" hidden="1" customWidth="1"/>
    <col min="12937" max="12937" width="12.33203125" style="114" customWidth="1"/>
    <col min="12938" max="13130" width="1.109375" style="114"/>
    <col min="13131" max="13131" width="28.88671875" style="114" customWidth="1"/>
    <col min="13132" max="13132" width="0.6640625" style="114" customWidth="1"/>
    <col min="13133" max="13136" width="0" style="114" hidden="1" customWidth="1"/>
    <col min="13137" max="13138" width="1.109375" style="114"/>
    <col min="13139" max="13139" width="0.5546875" style="114" customWidth="1"/>
    <col min="13140" max="13141" width="0" style="114" hidden="1" customWidth="1"/>
    <col min="13142" max="13142" width="4" style="114" customWidth="1"/>
    <col min="13143" max="13145" width="0" style="114" hidden="1" customWidth="1"/>
    <col min="13146" max="13146" width="2.109375" style="114" customWidth="1"/>
    <col min="13147" max="13147" width="0.88671875" style="114" customWidth="1"/>
    <col min="13148" max="13155" width="1.109375" style="114"/>
    <col min="13156" max="13156" width="0.109375" style="114" customWidth="1"/>
    <col min="13157" max="13157" width="0.44140625" style="114" customWidth="1"/>
    <col min="13158" max="13163" width="1.109375" style="114"/>
    <col min="13164" max="13164" width="0.6640625" style="114" customWidth="1"/>
    <col min="13165" max="13167" width="0" style="114" hidden="1" customWidth="1"/>
    <col min="13168" max="13168" width="1.6640625" style="114" customWidth="1"/>
    <col min="13169" max="13169" width="1.109375" style="114" customWidth="1"/>
    <col min="13170" max="13170" width="0.33203125" style="114" customWidth="1"/>
    <col min="13171" max="13171" width="0.5546875" style="114" customWidth="1"/>
    <col min="13172" max="13172" width="1.88671875" style="114" customWidth="1"/>
    <col min="13173" max="13186" width="0" style="114" hidden="1" customWidth="1"/>
    <col min="13187" max="13187" width="1.6640625" style="114" customWidth="1"/>
    <col min="13188" max="13188" width="1" style="114" customWidth="1"/>
    <col min="13189" max="13189" width="1.33203125" style="114" customWidth="1"/>
    <col min="13190" max="13192" width="0" style="114" hidden="1" customWidth="1"/>
    <col min="13193" max="13193" width="12.33203125" style="114" customWidth="1"/>
    <col min="13194" max="13386" width="1.109375" style="114"/>
    <col min="13387" max="13387" width="28.88671875" style="114" customWidth="1"/>
    <col min="13388" max="13388" width="0.6640625" style="114" customWidth="1"/>
    <col min="13389" max="13392" width="0" style="114" hidden="1" customWidth="1"/>
    <col min="13393" max="13394" width="1.109375" style="114"/>
    <col min="13395" max="13395" width="0.5546875" style="114" customWidth="1"/>
    <col min="13396" max="13397" width="0" style="114" hidden="1" customWidth="1"/>
    <col min="13398" max="13398" width="4" style="114" customWidth="1"/>
    <col min="13399" max="13401" width="0" style="114" hidden="1" customWidth="1"/>
    <col min="13402" max="13402" width="2.109375" style="114" customWidth="1"/>
    <col min="13403" max="13403" width="0.88671875" style="114" customWidth="1"/>
    <col min="13404" max="13411" width="1.109375" style="114"/>
    <col min="13412" max="13412" width="0.109375" style="114" customWidth="1"/>
    <col min="13413" max="13413" width="0.44140625" style="114" customWidth="1"/>
    <col min="13414" max="13419" width="1.109375" style="114"/>
    <col min="13420" max="13420" width="0.6640625" style="114" customWidth="1"/>
    <col min="13421" max="13423" width="0" style="114" hidden="1" customWidth="1"/>
    <col min="13424" max="13424" width="1.6640625" style="114" customWidth="1"/>
    <col min="13425" max="13425" width="1.109375" style="114" customWidth="1"/>
    <col min="13426" max="13426" width="0.33203125" style="114" customWidth="1"/>
    <col min="13427" max="13427" width="0.5546875" style="114" customWidth="1"/>
    <col min="13428" max="13428" width="1.88671875" style="114" customWidth="1"/>
    <col min="13429" max="13442" width="0" style="114" hidden="1" customWidth="1"/>
    <col min="13443" max="13443" width="1.6640625" style="114" customWidth="1"/>
    <col min="13444" max="13444" width="1" style="114" customWidth="1"/>
    <col min="13445" max="13445" width="1.33203125" style="114" customWidth="1"/>
    <col min="13446" max="13448" width="0" style="114" hidden="1" customWidth="1"/>
    <col min="13449" max="13449" width="12.33203125" style="114" customWidth="1"/>
    <col min="13450" max="13642" width="1.109375" style="114"/>
    <col min="13643" max="13643" width="28.88671875" style="114" customWidth="1"/>
    <col min="13644" max="13644" width="0.6640625" style="114" customWidth="1"/>
    <col min="13645" max="13648" width="0" style="114" hidden="1" customWidth="1"/>
    <col min="13649" max="13650" width="1.109375" style="114"/>
    <col min="13651" max="13651" width="0.5546875" style="114" customWidth="1"/>
    <col min="13652" max="13653" width="0" style="114" hidden="1" customWidth="1"/>
    <col min="13654" max="13654" width="4" style="114" customWidth="1"/>
    <col min="13655" max="13657" width="0" style="114" hidden="1" customWidth="1"/>
    <col min="13658" max="13658" width="2.109375" style="114" customWidth="1"/>
    <col min="13659" max="13659" width="0.88671875" style="114" customWidth="1"/>
    <col min="13660" max="13667" width="1.109375" style="114"/>
    <col min="13668" max="13668" width="0.109375" style="114" customWidth="1"/>
    <col min="13669" max="13669" width="0.44140625" style="114" customWidth="1"/>
    <col min="13670" max="13675" width="1.109375" style="114"/>
    <col min="13676" max="13676" width="0.6640625" style="114" customWidth="1"/>
    <col min="13677" max="13679" width="0" style="114" hidden="1" customWidth="1"/>
    <col min="13680" max="13680" width="1.6640625" style="114" customWidth="1"/>
    <col min="13681" max="13681" width="1.109375" style="114" customWidth="1"/>
    <col min="13682" max="13682" width="0.33203125" style="114" customWidth="1"/>
    <col min="13683" max="13683" width="0.5546875" style="114" customWidth="1"/>
    <col min="13684" max="13684" width="1.88671875" style="114" customWidth="1"/>
    <col min="13685" max="13698" width="0" style="114" hidden="1" customWidth="1"/>
    <col min="13699" max="13699" width="1.6640625" style="114" customWidth="1"/>
    <col min="13700" max="13700" width="1" style="114" customWidth="1"/>
    <col min="13701" max="13701" width="1.33203125" style="114" customWidth="1"/>
    <col min="13702" max="13704" width="0" style="114" hidden="1" customWidth="1"/>
    <col min="13705" max="13705" width="12.33203125" style="114" customWidth="1"/>
    <col min="13706" max="13898" width="1.109375" style="114"/>
    <col min="13899" max="13899" width="28.88671875" style="114" customWidth="1"/>
    <col min="13900" max="13900" width="0.6640625" style="114" customWidth="1"/>
    <col min="13901" max="13904" width="0" style="114" hidden="1" customWidth="1"/>
    <col min="13905" max="13906" width="1.109375" style="114"/>
    <col min="13907" max="13907" width="0.5546875" style="114" customWidth="1"/>
    <col min="13908" max="13909" width="0" style="114" hidden="1" customWidth="1"/>
    <col min="13910" max="13910" width="4" style="114" customWidth="1"/>
    <col min="13911" max="13913" width="0" style="114" hidden="1" customWidth="1"/>
    <col min="13914" max="13914" width="2.109375" style="114" customWidth="1"/>
    <col min="13915" max="13915" width="0.88671875" style="114" customWidth="1"/>
    <col min="13916" max="13923" width="1.109375" style="114"/>
    <col min="13924" max="13924" width="0.109375" style="114" customWidth="1"/>
    <col min="13925" max="13925" width="0.44140625" style="114" customWidth="1"/>
    <col min="13926" max="13931" width="1.109375" style="114"/>
    <col min="13932" max="13932" width="0.6640625" style="114" customWidth="1"/>
    <col min="13933" max="13935" width="0" style="114" hidden="1" customWidth="1"/>
    <col min="13936" max="13936" width="1.6640625" style="114" customWidth="1"/>
    <col min="13937" max="13937" width="1.109375" style="114" customWidth="1"/>
    <col min="13938" max="13938" width="0.33203125" style="114" customWidth="1"/>
    <col min="13939" max="13939" width="0.5546875" style="114" customWidth="1"/>
    <col min="13940" max="13940" width="1.88671875" style="114" customWidth="1"/>
    <col min="13941" max="13954" width="0" style="114" hidden="1" customWidth="1"/>
    <col min="13955" max="13955" width="1.6640625" style="114" customWidth="1"/>
    <col min="13956" max="13956" width="1" style="114" customWidth="1"/>
    <col min="13957" max="13957" width="1.33203125" style="114" customWidth="1"/>
    <col min="13958" max="13960" width="0" style="114" hidden="1" customWidth="1"/>
    <col min="13961" max="13961" width="12.33203125" style="114" customWidth="1"/>
    <col min="13962" max="14154" width="1.109375" style="114"/>
    <col min="14155" max="14155" width="28.88671875" style="114" customWidth="1"/>
    <col min="14156" max="14156" width="0.6640625" style="114" customWidth="1"/>
    <col min="14157" max="14160" width="0" style="114" hidden="1" customWidth="1"/>
    <col min="14161" max="14162" width="1.109375" style="114"/>
    <col min="14163" max="14163" width="0.5546875" style="114" customWidth="1"/>
    <col min="14164" max="14165" width="0" style="114" hidden="1" customWidth="1"/>
    <col min="14166" max="14166" width="4" style="114" customWidth="1"/>
    <col min="14167" max="14169" width="0" style="114" hidden="1" customWidth="1"/>
    <col min="14170" max="14170" width="2.109375" style="114" customWidth="1"/>
    <col min="14171" max="14171" width="0.88671875" style="114" customWidth="1"/>
    <col min="14172" max="14179" width="1.109375" style="114"/>
    <col min="14180" max="14180" width="0.109375" style="114" customWidth="1"/>
    <col min="14181" max="14181" width="0.44140625" style="114" customWidth="1"/>
    <col min="14182" max="14187" width="1.109375" style="114"/>
    <col min="14188" max="14188" width="0.6640625" style="114" customWidth="1"/>
    <col min="14189" max="14191" width="0" style="114" hidden="1" customWidth="1"/>
    <col min="14192" max="14192" width="1.6640625" style="114" customWidth="1"/>
    <col min="14193" max="14193" width="1.109375" style="114" customWidth="1"/>
    <col min="14194" max="14194" width="0.33203125" style="114" customWidth="1"/>
    <col min="14195" max="14195" width="0.5546875" style="114" customWidth="1"/>
    <col min="14196" max="14196" width="1.88671875" style="114" customWidth="1"/>
    <col min="14197" max="14210" width="0" style="114" hidden="1" customWidth="1"/>
    <col min="14211" max="14211" width="1.6640625" style="114" customWidth="1"/>
    <col min="14212" max="14212" width="1" style="114" customWidth="1"/>
    <col min="14213" max="14213" width="1.33203125" style="114" customWidth="1"/>
    <col min="14214" max="14216" width="0" style="114" hidden="1" customWidth="1"/>
    <col min="14217" max="14217" width="12.33203125" style="114" customWidth="1"/>
    <col min="14218" max="14410" width="1.109375" style="114"/>
    <col min="14411" max="14411" width="28.88671875" style="114" customWidth="1"/>
    <col min="14412" max="14412" width="0.6640625" style="114" customWidth="1"/>
    <col min="14413" max="14416" width="0" style="114" hidden="1" customWidth="1"/>
    <col min="14417" max="14418" width="1.109375" style="114"/>
    <col min="14419" max="14419" width="0.5546875" style="114" customWidth="1"/>
    <col min="14420" max="14421" width="0" style="114" hidden="1" customWidth="1"/>
    <col min="14422" max="14422" width="4" style="114" customWidth="1"/>
    <col min="14423" max="14425" width="0" style="114" hidden="1" customWidth="1"/>
    <col min="14426" max="14426" width="2.109375" style="114" customWidth="1"/>
    <col min="14427" max="14427" width="0.88671875" style="114" customWidth="1"/>
    <col min="14428" max="14435" width="1.109375" style="114"/>
    <col min="14436" max="14436" width="0.109375" style="114" customWidth="1"/>
    <col min="14437" max="14437" width="0.44140625" style="114" customWidth="1"/>
    <col min="14438" max="14443" width="1.109375" style="114"/>
    <col min="14444" max="14444" width="0.6640625" style="114" customWidth="1"/>
    <col min="14445" max="14447" width="0" style="114" hidden="1" customWidth="1"/>
    <col min="14448" max="14448" width="1.6640625" style="114" customWidth="1"/>
    <col min="14449" max="14449" width="1.109375" style="114" customWidth="1"/>
    <col min="14450" max="14450" width="0.33203125" style="114" customWidth="1"/>
    <col min="14451" max="14451" width="0.5546875" style="114" customWidth="1"/>
    <col min="14452" max="14452" width="1.88671875" style="114" customWidth="1"/>
    <col min="14453" max="14466" width="0" style="114" hidden="1" customWidth="1"/>
    <col min="14467" max="14467" width="1.6640625" style="114" customWidth="1"/>
    <col min="14468" max="14468" width="1" style="114" customWidth="1"/>
    <col min="14469" max="14469" width="1.33203125" style="114" customWidth="1"/>
    <col min="14470" max="14472" width="0" style="114" hidden="1" customWidth="1"/>
    <col min="14473" max="14473" width="12.33203125" style="114" customWidth="1"/>
    <col min="14474" max="14666" width="1.109375" style="114"/>
    <col min="14667" max="14667" width="28.88671875" style="114" customWidth="1"/>
    <col min="14668" max="14668" width="0.6640625" style="114" customWidth="1"/>
    <col min="14669" max="14672" width="0" style="114" hidden="1" customWidth="1"/>
    <col min="14673" max="14674" width="1.109375" style="114"/>
    <col min="14675" max="14675" width="0.5546875" style="114" customWidth="1"/>
    <col min="14676" max="14677" width="0" style="114" hidden="1" customWidth="1"/>
    <col min="14678" max="14678" width="4" style="114" customWidth="1"/>
    <col min="14679" max="14681" width="0" style="114" hidden="1" customWidth="1"/>
    <col min="14682" max="14682" width="2.109375" style="114" customWidth="1"/>
    <col min="14683" max="14683" width="0.88671875" style="114" customWidth="1"/>
    <col min="14684" max="14691" width="1.109375" style="114"/>
    <col min="14692" max="14692" width="0.109375" style="114" customWidth="1"/>
    <col min="14693" max="14693" width="0.44140625" style="114" customWidth="1"/>
    <col min="14694" max="14699" width="1.109375" style="114"/>
    <col min="14700" max="14700" width="0.6640625" style="114" customWidth="1"/>
    <col min="14701" max="14703" width="0" style="114" hidden="1" customWidth="1"/>
    <col min="14704" max="14704" width="1.6640625" style="114" customWidth="1"/>
    <col min="14705" max="14705" width="1.109375" style="114" customWidth="1"/>
    <col min="14706" max="14706" width="0.33203125" style="114" customWidth="1"/>
    <col min="14707" max="14707" width="0.5546875" style="114" customWidth="1"/>
    <col min="14708" max="14708" width="1.88671875" style="114" customWidth="1"/>
    <col min="14709" max="14722" width="0" style="114" hidden="1" customWidth="1"/>
    <col min="14723" max="14723" width="1.6640625" style="114" customWidth="1"/>
    <col min="14724" max="14724" width="1" style="114" customWidth="1"/>
    <col min="14725" max="14725" width="1.33203125" style="114" customWidth="1"/>
    <col min="14726" max="14728" width="0" style="114" hidden="1" customWidth="1"/>
    <col min="14729" max="14729" width="12.33203125" style="114" customWidth="1"/>
    <col min="14730" max="14922" width="1.109375" style="114"/>
    <col min="14923" max="14923" width="28.88671875" style="114" customWidth="1"/>
    <col min="14924" max="14924" width="0.6640625" style="114" customWidth="1"/>
    <col min="14925" max="14928" width="0" style="114" hidden="1" customWidth="1"/>
    <col min="14929" max="14930" width="1.109375" style="114"/>
    <col min="14931" max="14931" width="0.5546875" style="114" customWidth="1"/>
    <col min="14932" max="14933" width="0" style="114" hidden="1" customWidth="1"/>
    <col min="14934" max="14934" width="4" style="114" customWidth="1"/>
    <col min="14935" max="14937" width="0" style="114" hidden="1" customWidth="1"/>
    <col min="14938" max="14938" width="2.109375" style="114" customWidth="1"/>
    <col min="14939" max="14939" width="0.88671875" style="114" customWidth="1"/>
    <col min="14940" max="14947" width="1.109375" style="114"/>
    <col min="14948" max="14948" width="0.109375" style="114" customWidth="1"/>
    <col min="14949" max="14949" width="0.44140625" style="114" customWidth="1"/>
    <col min="14950" max="14955" width="1.109375" style="114"/>
    <col min="14956" max="14956" width="0.6640625" style="114" customWidth="1"/>
    <col min="14957" max="14959" width="0" style="114" hidden="1" customWidth="1"/>
    <col min="14960" max="14960" width="1.6640625" style="114" customWidth="1"/>
    <col min="14961" max="14961" width="1.109375" style="114" customWidth="1"/>
    <col min="14962" max="14962" width="0.33203125" style="114" customWidth="1"/>
    <col min="14963" max="14963" width="0.5546875" style="114" customWidth="1"/>
    <col min="14964" max="14964" width="1.88671875" style="114" customWidth="1"/>
    <col min="14965" max="14978" width="0" style="114" hidden="1" customWidth="1"/>
    <col min="14979" max="14979" width="1.6640625" style="114" customWidth="1"/>
    <col min="14980" max="14980" width="1" style="114" customWidth="1"/>
    <col min="14981" max="14981" width="1.33203125" style="114" customWidth="1"/>
    <col min="14982" max="14984" width="0" style="114" hidden="1" customWidth="1"/>
    <col min="14985" max="14985" width="12.33203125" style="114" customWidth="1"/>
    <col min="14986" max="15178" width="1.109375" style="114"/>
    <col min="15179" max="15179" width="28.88671875" style="114" customWidth="1"/>
    <col min="15180" max="15180" width="0.6640625" style="114" customWidth="1"/>
    <col min="15181" max="15184" width="0" style="114" hidden="1" customWidth="1"/>
    <col min="15185" max="15186" width="1.109375" style="114"/>
    <col min="15187" max="15187" width="0.5546875" style="114" customWidth="1"/>
    <col min="15188" max="15189" width="0" style="114" hidden="1" customWidth="1"/>
    <col min="15190" max="15190" width="4" style="114" customWidth="1"/>
    <col min="15191" max="15193" width="0" style="114" hidden="1" customWidth="1"/>
    <col min="15194" max="15194" width="2.109375" style="114" customWidth="1"/>
    <col min="15195" max="15195" width="0.88671875" style="114" customWidth="1"/>
    <col min="15196" max="15203" width="1.109375" style="114"/>
    <col min="15204" max="15204" width="0.109375" style="114" customWidth="1"/>
    <col min="15205" max="15205" width="0.44140625" style="114" customWidth="1"/>
    <col min="15206" max="15211" width="1.109375" style="114"/>
    <col min="15212" max="15212" width="0.6640625" style="114" customWidth="1"/>
    <col min="15213" max="15215" width="0" style="114" hidden="1" customWidth="1"/>
    <col min="15216" max="15216" width="1.6640625" style="114" customWidth="1"/>
    <col min="15217" max="15217" width="1.109375" style="114" customWidth="1"/>
    <col min="15218" max="15218" width="0.33203125" style="114" customWidth="1"/>
    <col min="15219" max="15219" width="0.5546875" style="114" customWidth="1"/>
    <col min="15220" max="15220" width="1.88671875" style="114" customWidth="1"/>
    <col min="15221" max="15234" width="0" style="114" hidden="1" customWidth="1"/>
    <col min="15235" max="15235" width="1.6640625" style="114" customWidth="1"/>
    <col min="15236" max="15236" width="1" style="114" customWidth="1"/>
    <col min="15237" max="15237" width="1.33203125" style="114" customWidth="1"/>
    <col min="15238" max="15240" width="0" style="114" hidden="1" customWidth="1"/>
    <col min="15241" max="15241" width="12.33203125" style="114" customWidth="1"/>
    <col min="15242" max="15434" width="1.109375" style="114"/>
    <col min="15435" max="15435" width="28.88671875" style="114" customWidth="1"/>
    <col min="15436" max="15436" width="0.6640625" style="114" customWidth="1"/>
    <col min="15437" max="15440" width="0" style="114" hidden="1" customWidth="1"/>
    <col min="15441" max="15442" width="1.109375" style="114"/>
    <col min="15443" max="15443" width="0.5546875" style="114" customWidth="1"/>
    <col min="15444" max="15445" width="0" style="114" hidden="1" customWidth="1"/>
    <col min="15446" max="15446" width="4" style="114" customWidth="1"/>
    <col min="15447" max="15449" width="0" style="114" hidden="1" customWidth="1"/>
    <col min="15450" max="15450" width="2.109375" style="114" customWidth="1"/>
    <col min="15451" max="15451" width="0.88671875" style="114" customWidth="1"/>
    <col min="15452" max="15459" width="1.109375" style="114"/>
    <col min="15460" max="15460" width="0.109375" style="114" customWidth="1"/>
    <col min="15461" max="15461" width="0.44140625" style="114" customWidth="1"/>
    <col min="15462" max="15467" width="1.109375" style="114"/>
    <col min="15468" max="15468" width="0.6640625" style="114" customWidth="1"/>
    <col min="15469" max="15471" width="0" style="114" hidden="1" customWidth="1"/>
    <col min="15472" max="15472" width="1.6640625" style="114" customWidth="1"/>
    <col min="15473" max="15473" width="1.109375" style="114" customWidth="1"/>
    <col min="15474" max="15474" width="0.33203125" style="114" customWidth="1"/>
    <col min="15475" max="15475" width="0.5546875" style="114" customWidth="1"/>
    <col min="15476" max="15476" width="1.88671875" style="114" customWidth="1"/>
    <col min="15477" max="15490" width="0" style="114" hidden="1" customWidth="1"/>
    <col min="15491" max="15491" width="1.6640625" style="114" customWidth="1"/>
    <col min="15492" max="15492" width="1" style="114" customWidth="1"/>
    <col min="15493" max="15493" width="1.33203125" style="114" customWidth="1"/>
    <col min="15494" max="15496" width="0" style="114" hidden="1" customWidth="1"/>
    <col min="15497" max="15497" width="12.33203125" style="114" customWidth="1"/>
    <col min="15498" max="15690" width="1.109375" style="114"/>
    <col min="15691" max="15691" width="28.88671875" style="114" customWidth="1"/>
    <col min="15692" max="15692" width="0.6640625" style="114" customWidth="1"/>
    <col min="15693" max="15696" width="0" style="114" hidden="1" customWidth="1"/>
    <col min="15697" max="15698" width="1.109375" style="114"/>
    <col min="15699" max="15699" width="0.5546875" style="114" customWidth="1"/>
    <col min="15700" max="15701" width="0" style="114" hidden="1" customWidth="1"/>
    <col min="15702" max="15702" width="4" style="114" customWidth="1"/>
    <col min="15703" max="15705" width="0" style="114" hidden="1" customWidth="1"/>
    <col min="15706" max="15706" width="2.109375" style="114" customWidth="1"/>
    <col min="15707" max="15707" width="0.88671875" style="114" customWidth="1"/>
    <col min="15708" max="15715" width="1.109375" style="114"/>
    <col min="15716" max="15716" width="0.109375" style="114" customWidth="1"/>
    <col min="15717" max="15717" width="0.44140625" style="114" customWidth="1"/>
    <col min="15718" max="15723" width="1.109375" style="114"/>
    <col min="15724" max="15724" width="0.6640625" style="114" customWidth="1"/>
    <col min="15725" max="15727" width="0" style="114" hidden="1" customWidth="1"/>
    <col min="15728" max="15728" width="1.6640625" style="114" customWidth="1"/>
    <col min="15729" max="15729" width="1.109375" style="114" customWidth="1"/>
    <col min="15730" max="15730" width="0.33203125" style="114" customWidth="1"/>
    <col min="15731" max="15731" width="0.5546875" style="114" customWidth="1"/>
    <col min="15732" max="15732" width="1.88671875" style="114" customWidth="1"/>
    <col min="15733" max="15746" width="0" style="114" hidden="1" customWidth="1"/>
    <col min="15747" max="15747" width="1.6640625" style="114" customWidth="1"/>
    <col min="15748" max="15748" width="1" style="114" customWidth="1"/>
    <col min="15749" max="15749" width="1.33203125" style="114" customWidth="1"/>
    <col min="15750" max="15752" width="0" style="114" hidden="1" customWidth="1"/>
    <col min="15753" max="15753" width="12.33203125" style="114" customWidth="1"/>
    <col min="15754" max="15946" width="1.109375" style="114"/>
    <col min="15947" max="15947" width="28.88671875" style="114" customWidth="1"/>
    <col min="15948" max="15948" width="0.6640625" style="114" customWidth="1"/>
    <col min="15949" max="15952" width="0" style="114" hidden="1" customWidth="1"/>
    <col min="15953" max="15954" width="1.109375" style="114"/>
    <col min="15955" max="15955" width="0.5546875" style="114" customWidth="1"/>
    <col min="15956" max="15957" width="0" style="114" hidden="1" customWidth="1"/>
    <col min="15958" max="15958" width="4" style="114" customWidth="1"/>
    <col min="15959" max="15961" width="0" style="114" hidden="1" customWidth="1"/>
    <col min="15962" max="15962" width="2.109375" style="114" customWidth="1"/>
    <col min="15963" max="15963" width="0.88671875" style="114" customWidth="1"/>
    <col min="15964" max="15971" width="1.109375" style="114"/>
    <col min="15972" max="15972" width="0.109375" style="114" customWidth="1"/>
    <col min="15973" max="15973" width="0.44140625" style="114" customWidth="1"/>
    <col min="15974" max="15979" width="1.109375" style="114"/>
    <col min="15980" max="15980" width="0.6640625" style="114" customWidth="1"/>
    <col min="15981" max="15983" width="0" style="114" hidden="1" customWidth="1"/>
    <col min="15984" max="15984" width="1.6640625" style="114" customWidth="1"/>
    <col min="15985" max="15985" width="1.109375" style="114" customWidth="1"/>
    <col min="15986" max="15986" width="0.33203125" style="114" customWidth="1"/>
    <col min="15987" max="15987" width="0.5546875" style="114" customWidth="1"/>
    <col min="15988" max="15988" width="1.88671875" style="114" customWidth="1"/>
    <col min="15989" max="16002" width="0" style="114" hidden="1" customWidth="1"/>
    <col min="16003" max="16003" width="1.6640625" style="114" customWidth="1"/>
    <col min="16004" max="16004" width="1" style="114" customWidth="1"/>
    <col min="16005" max="16005" width="1.33203125" style="114" customWidth="1"/>
    <col min="16006" max="16008" width="0" style="114" hidden="1" customWidth="1"/>
    <col min="16009" max="16009" width="12.33203125" style="114" customWidth="1"/>
    <col min="16010" max="16384" width="1.109375" style="114"/>
  </cols>
  <sheetData>
    <row r="1" spans="1:86" s="200" customFormat="1" ht="15.6">
      <c r="A1" s="959" t="s">
        <v>527</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c r="BJ1" s="959"/>
      <c r="BK1" s="959"/>
      <c r="BL1" s="959"/>
      <c r="BM1" s="959"/>
      <c r="BN1" s="959"/>
      <c r="BO1" s="959"/>
      <c r="BP1" s="959"/>
      <c r="BQ1" s="959"/>
      <c r="BR1" s="959"/>
      <c r="BS1" s="959"/>
      <c r="BT1" s="959"/>
      <c r="BU1" s="959"/>
      <c r="BV1" s="959"/>
      <c r="BW1" s="959"/>
      <c r="BX1" s="959"/>
      <c r="BY1" s="959"/>
      <c r="BZ1" s="959"/>
      <c r="CA1" s="959"/>
      <c r="CB1" s="959"/>
    </row>
    <row r="2" spans="1:86" s="202" customFormat="1" ht="7.8">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row>
    <row r="3" spans="1:86">
      <c r="A3" s="1053" t="s">
        <v>583</v>
      </c>
      <c r="B3" s="1054"/>
      <c r="C3" s="1054"/>
      <c r="D3" s="1055"/>
      <c r="E3" s="1053" t="s">
        <v>422</v>
      </c>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c r="AJ3" s="1054"/>
      <c r="AK3" s="1054"/>
      <c r="AL3" s="1054"/>
      <c r="AM3" s="1055"/>
      <c r="AN3" s="1053" t="s">
        <v>528</v>
      </c>
      <c r="AO3" s="1054"/>
      <c r="AP3" s="1054"/>
      <c r="AQ3" s="1054"/>
      <c r="AR3" s="1054"/>
      <c r="AS3" s="1054"/>
      <c r="AT3" s="1054"/>
      <c r="AU3" s="1054"/>
      <c r="AV3" s="1054"/>
      <c r="AW3" s="1054"/>
      <c r="AX3" s="1054"/>
      <c r="AY3" s="1054"/>
      <c r="AZ3" s="1054"/>
      <c r="BA3" s="1054"/>
      <c r="BB3" s="1054"/>
      <c r="BC3" s="1055"/>
      <c r="BD3" s="1053" t="s">
        <v>584</v>
      </c>
      <c r="BE3" s="1054"/>
      <c r="BF3" s="1054"/>
      <c r="BG3" s="1054"/>
      <c r="BH3" s="1054"/>
      <c r="BI3" s="1054"/>
      <c r="BJ3" s="1054"/>
      <c r="BK3" s="1054"/>
      <c r="BL3" s="1054"/>
      <c r="BM3" s="1055"/>
      <c r="BN3" s="1053" t="s">
        <v>585</v>
      </c>
      <c r="BO3" s="1054"/>
      <c r="BP3" s="1054"/>
      <c r="BQ3" s="1054"/>
      <c r="BR3" s="1054"/>
      <c r="BS3" s="1054"/>
      <c r="BT3" s="1054"/>
      <c r="BU3" s="1054"/>
      <c r="BV3" s="1054"/>
      <c r="BW3" s="1054"/>
      <c r="BX3" s="1054"/>
      <c r="BY3" s="1054"/>
      <c r="BZ3" s="1054"/>
      <c r="CA3" s="1054"/>
      <c r="CB3" s="1055"/>
    </row>
    <row r="4" spans="1:86" ht="0.6" customHeight="1">
      <c r="A4" s="1056"/>
      <c r="B4" s="1057"/>
      <c r="C4" s="1057"/>
      <c r="D4" s="1058"/>
      <c r="E4" s="1056"/>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8"/>
      <c r="AN4" s="1056"/>
      <c r="AO4" s="1057"/>
      <c r="AP4" s="1057"/>
      <c r="AQ4" s="1057"/>
      <c r="AR4" s="1057"/>
      <c r="AS4" s="1057"/>
      <c r="AT4" s="1057"/>
      <c r="AU4" s="1057"/>
      <c r="AV4" s="1057"/>
      <c r="AW4" s="1057"/>
      <c r="AX4" s="1057"/>
      <c r="AY4" s="1057"/>
      <c r="AZ4" s="1057"/>
      <c r="BA4" s="1057"/>
      <c r="BB4" s="1057"/>
      <c r="BC4" s="1058"/>
      <c r="BD4" s="1056"/>
      <c r="BE4" s="1057"/>
      <c r="BF4" s="1057"/>
      <c r="BG4" s="1057"/>
      <c r="BH4" s="1057"/>
      <c r="BI4" s="1057"/>
      <c r="BJ4" s="1057"/>
      <c r="BK4" s="1057"/>
      <c r="BL4" s="1057"/>
      <c r="BM4" s="1058"/>
      <c r="BN4" s="1056"/>
      <c r="BO4" s="1057"/>
      <c r="BP4" s="1057"/>
      <c r="BQ4" s="1057"/>
      <c r="BR4" s="1057"/>
      <c r="BS4" s="1057"/>
      <c r="BT4" s="1057"/>
      <c r="BU4" s="1057"/>
      <c r="BV4" s="1057"/>
      <c r="BW4" s="1057"/>
      <c r="BX4" s="1057"/>
      <c r="BY4" s="1057"/>
      <c r="BZ4" s="1057"/>
      <c r="CA4" s="1057"/>
      <c r="CB4" s="1058"/>
    </row>
    <row r="5" spans="1:86">
      <c r="A5" s="1059"/>
      <c r="B5" s="1060"/>
      <c r="C5" s="1060"/>
      <c r="D5" s="1061"/>
      <c r="E5" s="1059"/>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1"/>
      <c r="AN5" s="1059"/>
      <c r="AO5" s="1060"/>
      <c r="AP5" s="1060"/>
      <c r="AQ5" s="1060"/>
      <c r="AR5" s="1060"/>
      <c r="AS5" s="1060"/>
      <c r="AT5" s="1060"/>
      <c r="AU5" s="1060"/>
      <c r="AV5" s="1060"/>
      <c r="AW5" s="1060"/>
      <c r="AX5" s="1060"/>
      <c r="AY5" s="1060"/>
      <c r="AZ5" s="1060"/>
      <c r="BA5" s="1060"/>
      <c r="BB5" s="1060"/>
      <c r="BC5" s="1061"/>
      <c r="BD5" s="1059"/>
      <c r="BE5" s="1060"/>
      <c r="BF5" s="1060"/>
      <c r="BG5" s="1060"/>
      <c r="BH5" s="1060"/>
      <c r="BI5" s="1060"/>
      <c r="BJ5" s="1060"/>
      <c r="BK5" s="1060"/>
      <c r="BL5" s="1060"/>
      <c r="BM5" s="1061"/>
      <c r="BN5" s="1059"/>
      <c r="BO5" s="1060"/>
      <c r="BP5" s="1060"/>
      <c r="BQ5" s="1060"/>
      <c r="BR5" s="1060"/>
      <c r="BS5" s="1060"/>
      <c r="BT5" s="1060"/>
      <c r="BU5" s="1060"/>
      <c r="BV5" s="1060"/>
      <c r="BW5" s="1060"/>
      <c r="BX5" s="1060"/>
      <c r="BY5" s="1060"/>
      <c r="BZ5" s="1060"/>
      <c r="CA5" s="1060"/>
      <c r="CB5" s="1061"/>
    </row>
    <row r="6" spans="1:86">
      <c r="A6" s="953">
        <v>1</v>
      </c>
      <c r="B6" s="954"/>
      <c r="C6" s="954"/>
      <c r="D6" s="955"/>
      <c r="E6" s="953">
        <v>2</v>
      </c>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5"/>
      <c r="AN6" s="953">
        <v>3</v>
      </c>
      <c r="AO6" s="954"/>
      <c r="AP6" s="954"/>
      <c r="AQ6" s="954"/>
      <c r="AR6" s="954"/>
      <c r="AS6" s="954"/>
      <c r="AT6" s="954"/>
      <c r="AU6" s="954"/>
      <c r="AV6" s="954"/>
      <c r="AW6" s="954"/>
      <c r="AX6" s="954"/>
      <c r="AY6" s="954"/>
      <c r="AZ6" s="954"/>
      <c r="BA6" s="954"/>
      <c r="BB6" s="954"/>
      <c r="BC6" s="955"/>
      <c r="BD6" s="953">
        <v>4</v>
      </c>
      <c r="BE6" s="954"/>
      <c r="BF6" s="954"/>
      <c r="BG6" s="954"/>
      <c r="BH6" s="954"/>
      <c r="BI6" s="954"/>
      <c r="BJ6" s="954"/>
      <c r="BK6" s="954"/>
      <c r="BL6" s="954"/>
      <c r="BM6" s="955"/>
      <c r="BN6" s="953">
        <v>5</v>
      </c>
      <c r="BO6" s="954"/>
      <c r="BP6" s="954"/>
      <c r="BQ6" s="954"/>
      <c r="BR6" s="954"/>
      <c r="BS6" s="954"/>
      <c r="BT6" s="954"/>
      <c r="BU6" s="954"/>
      <c r="BV6" s="954"/>
      <c r="BW6" s="954"/>
      <c r="BX6" s="954"/>
      <c r="BY6" s="954"/>
      <c r="BZ6" s="954"/>
      <c r="CA6" s="954"/>
      <c r="CB6" s="955"/>
      <c r="CC6" s="114" t="s">
        <v>586</v>
      </c>
      <c r="CD6" s="114">
        <v>4</v>
      </c>
      <c r="CE6" s="114">
        <v>5</v>
      </c>
      <c r="CF6" s="114">
        <v>2</v>
      </c>
      <c r="CG6" s="212" t="s">
        <v>587</v>
      </c>
    </row>
    <row r="7" spans="1:86" ht="20.399999999999999" customHeight="1">
      <c r="A7" s="926">
        <v>1</v>
      </c>
      <c r="B7" s="927"/>
      <c r="C7" s="927"/>
      <c r="D7" s="928"/>
      <c r="E7" s="1065" t="str">
        <f>'стр. 2_8'!A216</f>
        <v>Работы, услуги по содержанию имущества, в т.ч.: (КФО 4 МБ)</v>
      </c>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7"/>
      <c r="AN7" s="1096" t="s">
        <v>21</v>
      </c>
      <c r="AO7" s="1097"/>
      <c r="AP7" s="1097"/>
      <c r="AQ7" s="1097"/>
      <c r="AR7" s="1097"/>
      <c r="AS7" s="1097"/>
      <c r="AT7" s="1097"/>
      <c r="AU7" s="1097"/>
      <c r="AV7" s="1097"/>
      <c r="AW7" s="1097"/>
      <c r="AX7" s="1097"/>
      <c r="AY7" s="1097"/>
      <c r="AZ7" s="1097"/>
      <c r="BA7" s="1097"/>
      <c r="BB7" s="1097"/>
      <c r="BC7" s="1098"/>
      <c r="BD7" s="1087" t="s">
        <v>21</v>
      </c>
      <c r="BE7" s="1088"/>
      <c r="BF7" s="1088"/>
      <c r="BG7" s="1088"/>
      <c r="BH7" s="1088"/>
      <c r="BI7" s="1088"/>
      <c r="BJ7" s="1088"/>
      <c r="BK7" s="1088"/>
      <c r="BL7" s="1088"/>
      <c r="BM7" s="1089"/>
      <c r="BN7" s="1044">
        <f>'стр. 2_8'!DR216</f>
        <v>925142.45</v>
      </c>
      <c r="BO7" s="1045"/>
      <c r="BP7" s="1045"/>
      <c r="BQ7" s="1045"/>
      <c r="BR7" s="1045"/>
      <c r="BS7" s="1045"/>
      <c r="BT7" s="1045"/>
      <c r="BU7" s="1045"/>
      <c r="BV7" s="1045"/>
      <c r="BW7" s="1045"/>
      <c r="BX7" s="1045"/>
      <c r="BY7" s="1045"/>
      <c r="BZ7" s="1045"/>
      <c r="CA7" s="1045"/>
      <c r="CB7" s="1046"/>
      <c r="CC7" s="114">
        <v>1</v>
      </c>
      <c r="CD7" s="115">
        <v>14400</v>
      </c>
      <c r="CE7" s="115"/>
      <c r="CF7" s="115"/>
      <c r="CG7" s="116">
        <f>CD7+CE7+CF7</f>
        <v>14400</v>
      </c>
    </row>
    <row r="8" spans="1:86" s="255" customFormat="1" ht="21" customHeight="1">
      <c r="A8" s="926">
        <v>2</v>
      </c>
      <c r="B8" s="927"/>
      <c r="C8" s="927"/>
      <c r="D8" s="928"/>
      <c r="E8" s="1047" t="str">
        <f>'стр. 2_8'!A217</f>
        <v>Услуги по обращению с ТКО (КФО 4 МБ)</v>
      </c>
      <c r="F8" s="1048"/>
      <c r="G8" s="1048"/>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9"/>
      <c r="AN8" s="839" t="s">
        <v>21</v>
      </c>
      <c r="AO8" s="840"/>
      <c r="AP8" s="840"/>
      <c r="AQ8" s="840"/>
      <c r="AR8" s="840"/>
      <c r="AS8" s="840"/>
      <c r="AT8" s="840"/>
      <c r="AU8" s="840"/>
      <c r="AV8" s="840"/>
      <c r="AW8" s="840"/>
      <c r="AX8" s="840"/>
      <c r="AY8" s="840"/>
      <c r="AZ8" s="840"/>
      <c r="BA8" s="840"/>
      <c r="BB8" s="840"/>
      <c r="BC8" s="841"/>
      <c r="BD8" s="839">
        <v>12</v>
      </c>
      <c r="BE8" s="840"/>
      <c r="BF8" s="840"/>
      <c r="BG8" s="840"/>
      <c r="BH8" s="840"/>
      <c r="BI8" s="840"/>
      <c r="BJ8" s="840"/>
      <c r="BK8" s="840"/>
      <c r="BL8" s="840"/>
      <c r="BM8" s="841"/>
      <c r="BN8" s="913">
        <f>'стр. 2_8'!DR217</f>
        <v>23600</v>
      </c>
      <c r="BO8" s="914"/>
      <c r="BP8" s="914"/>
      <c r="BQ8" s="914"/>
      <c r="BR8" s="914"/>
      <c r="BS8" s="914"/>
      <c r="BT8" s="914"/>
      <c r="BU8" s="914"/>
      <c r="BV8" s="914"/>
      <c r="BW8" s="914"/>
      <c r="BX8" s="914"/>
      <c r="BY8" s="914"/>
      <c r="BZ8" s="914"/>
      <c r="CA8" s="914"/>
      <c r="CB8" s="915"/>
      <c r="CC8" s="255">
        <v>1</v>
      </c>
      <c r="CD8" s="115">
        <v>5627.95</v>
      </c>
      <c r="CE8" s="115"/>
      <c r="CF8" s="115"/>
      <c r="CG8" s="115">
        <f t="shared" ref="CG8:CG32" si="0">CD8+CE8+CF8</f>
        <v>5627.95</v>
      </c>
    </row>
    <row r="9" spans="1:86" s="255" customFormat="1" ht="23.4" customHeight="1">
      <c r="A9" s="926">
        <v>3</v>
      </c>
      <c r="B9" s="927"/>
      <c r="C9" s="927"/>
      <c r="D9" s="928"/>
      <c r="E9" s="1047" t="str">
        <f>'стр. 2_8'!A218</f>
        <v>Дезинсекция, дератизация (КФО 4 МБ)</v>
      </c>
      <c r="F9" s="1048"/>
      <c r="G9" s="1048"/>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8"/>
      <c r="AK9" s="1048"/>
      <c r="AL9" s="1048"/>
      <c r="AM9" s="1049"/>
      <c r="AN9" s="932" t="s">
        <v>21</v>
      </c>
      <c r="AO9" s="933"/>
      <c r="AP9" s="933"/>
      <c r="AQ9" s="933"/>
      <c r="AR9" s="933"/>
      <c r="AS9" s="933"/>
      <c r="AT9" s="933"/>
      <c r="AU9" s="933"/>
      <c r="AV9" s="933"/>
      <c r="AW9" s="933"/>
      <c r="AX9" s="933"/>
      <c r="AY9" s="933"/>
      <c r="AZ9" s="933"/>
      <c r="BA9" s="933"/>
      <c r="BB9" s="933"/>
      <c r="BC9" s="934"/>
      <c r="BD9" s="839">
        <v>2</v>
      </c>
      <c r="BE9" s="840"/>
      <c r="BF9" s="840"/>
      <c r="BG9" s="840"/>
      <c r="BH9" s="840"/>
      <c r="BI9" s="840"/>
      <c r="BJ9" s="840"/>
      <c r="BK9" s="840"/>
      <c r="BL9" s="840"/>
      <c r="BM9" s="841"/>
      <c r="BN9" s="913">
        <f>'стр. 2_8'!DR218</f>
        <v>11800</v>
      </c>
      <c r="BO9" s="914"/>
      <c r="BP9" s="914"/>
      <c r="BQ9" s="914"/>
      <c r="BR9" s="914"/>
      <c r="BS9" s="914"/>
      <c r="BT9" s="914"/>
      <c r="BU9" s="914"/>
      <c r="BV9" s="914"/>
      <c r="BW9" s="914"/>
      <c r="BX9" s="914"/>
      <c r="BY9" s="914"/>
      <c r="BZ9" s="914"/>
      <c r="CA9" s="914"/>
      <c r="CB9" s="915"/>
      <c r="CC9" s="255">
        <v>3</v>
      </c>
      <c r="CD9" s="115"/>
      <c r="CE9" s="115">
        <v>17850</v>
      </c>
      <c r="CF9" s="115">
        <v>30259</v>
      </c>
      <c r="CG9" s="115">
        <f t="shared" si="0"/>
        <v>48109</v>
      </c>
    </row>
    <row r="10" spans="1:86" s="255" customFormat="1" ht="20.399999999999999" customHeight="1">
      <c r="A10" s="926">
        <v>4</v>
      </c>
      <c r="B10" s="927"/>
      <c r="C10" s="927"/>
      <c r="D10" s="928"/>
      <c r="E10" s="1047" t="str">
        <f>'стр. 2_8'!A219</f>
        <v>Оплата услуг по договору ГПХ (уборка) в с.Краснощелье (КФО 4 МБ)</v>
      </c>
      <c r="F10" s="1048"/>
      <c r="G10" s="1048"/>
      <c r="H10" s="1048"/>
      <c r="I10" s="1048"/>
      <c r="J10" s="1048"/>
      <c r="K10" s="1048"/>
      <c r="L10" s="1048"/>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c r="AJ10" s="1048"/>
      <c r="AK10" s="1048"/>
      <c r="AL10" s="1048"/>
      <c r="AM10" s="1049"/>
      <c r="AN10" s="932" t="s">
        <v>21</v>
      </c>
      <c r="AO10" s="933"/>
      <c r="AP10" s="933"/>
      <c r="AQ10" s="933"/>
      <c r="AR10" s="933"/>
      <c r="AS10" s="933"/>
      <c r="AT10" s="933"/>
      <c r="AU10" s="933"/>
      <c r="AV10" s="933"/>
      <c r="AW10" s="933"/>
      <c r="AX10" s="933"/>
      <c r="AY10" s="933"/>
      <c r="AZ10" s="933"/>
      <c r="BA10" s="933"/>
      <c r="BB10" s="933"/>
      <c r="BC10" s="934"/>
      <c r="BD10" s="839">
        <v>12</v>
      </c>
      <c r="BE10" s="840"/>
      <c r="BF10" s="840"/>
      <c r="BG10" s="840"/>
      <c r="BH10" s="840"/>
      <c r="BI10" s="840"/>
      <c r="BJ10" s="840"/>
      <c r="BK10" s="840"/>
      <c r="BL10" s="840"/>
      <c r="BM10" s="841"/>
      <c r="BN10" s="913">
        <f>'стр. 2_8'!DR219</f>
        <v>155719</v>
      </c>
      <c r="BO10" s="914"/>
      <c r="BP10" s="914"/>
      <c r="BQ10" s="914"/>
      <c r="BR10" s="914"/>
      <c r="BS10" s="914"/>
      <c r="BT10" s="914"/>
      <c r="BU10" s="914"/>
      <c r="BV10" s="914"/>
      <c r="BW10" s="914"/>
      <c r="BX10" s="914"/>
      <c r="BY10" s="914"/>
      <c r="BZ10" s="914"/>
      <c r="CA10" s="914"/>
      <c r="CB10" s="915"/>
      <c r="CC10" s="255">
        <v>3</v>
      </c>
      <c r="CD10" s="115"/>
      <c r="CE10" s="115"/>
      <c r="CF10" s="115">
        <v>650</v>
      </c>
      <c r="CG10" s="115">
        <f t="shared" si="0"/>
        <v>650</v>
      </c>
    </row>
    <row r="11" spans="1:86" s="255" customFormat="1" ht="22.2" customHeight="1">
      <c r="A11" s="926">
        <v>5</v>
      </c>
      <c r="B11" s="927"/>
      <c r="C11" s="927"/>
      <c r="D11" s="928"/>
      <c r="E11" s="1047" t="str">
        <f>'стр. 2_8'!A220</f>
        <v>Вывоз крупногабаритного мусора (КФО 4)</v>
      </c>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9"/>
      <c r="AN11" s="932" t="s">
        <v>21</v>
      </c>
      <c r="AO11" s="933"/>
      <c r="AP11" s="933"/>
      <c r="AQ11" s="933"/>
      <c r="AR11" s="933"/>
      <c r="AS11" s="933"/>
      <c r="AT11" s="933"/>
      <c r="AU11" s="933"/>
      <c r="AV11" s="933"/>
      <c r="AW11" s="933"/>
      <c r="AX11" s="933"/>
      <c r="AY11" s="933"/>
      <c r="AZ11" s="933"/>
      <c r="BA11" s="933"/>
      <c r="BB11" s="933"/>
      <c r="BC11" s="934"/>
      <c r="BD11" s="839">
        <v>1</v>
      </c>
      <c r="BE11" s="840"/>
      <c r="BF11" s="840"/>
      <c r="BG11" s="840"/>
      <c r="BH11" s="840"/>
      <c r="BI11" s="840"/>
      <c r="BJ11" s="840"/>
      <c r="BK11" s="840"/>
      <c r="BL11" s="840"/>
      <c r="BM11" s="841"/>
      <c r="BN11" s="913">
        <f>'стр. 2_8'!DR220</f>
        <v>3773.19</v>
      </c>
      <c r="BO11" s="914"/>
      <c r="BP11" s="914"/>
      <c r="BQ11" s="914"/>
      <c r="BR11" s="914"/>
      <c r="BS11" s="914"/>
      <c r="BT11" s="914"/>
      <c r="BU11" s="914"/>
      <c r="BV11" s="914"/>
      <c r="BW11" s="914"/>
      <c r="BX11" s="914"/>
      <c r="BY11" s="914"/>
      <c r="BZ11" s="914"/>
      <c r="CA11" s="914"/>
      <c r="CB11" s="915"/>
      <c r="CC11" s="255">
        <v>2</v>
      </c>
      <c r="CD11" s="115"/>
      <c r="CE11" s="115">
        <v>34715</v>
      </c>
      <c r="CF11" s="115"/>
      <c r="CG11" s="115">
        <f t="shared" si="0"/>
        <v>34715</v>
      </c>
    </row>
    <row r="12" spans="1:86" s="255" customFormat="1" ht="17.100000000000001" customHeight="1">
      <c r="A12" s="926">
        <v>6</v>
      </c>
      <c r="B12" s="927"/>
      <c r="C12" s="927"/>
      <c r="D12" s="928"/>
      <c r="E12" s="1047" t="str">
        <f>'стр. 2_8'!A221</f>
        <v>Замена оборудования в авт.установке пожаротушения  (КФО 4 МБ)</v>
      </c>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1048"/>
      <c r="AL12" s="1048"/>
      <c r="AM12" s="1049"/>
      <c r="AN12" s="932" t="s">
        <v>21</v>
      </c>
      <c r="AO12" s="933"/>
      <c r="AP12" s="933"/>
      <c r="AQ12" s="933"/>
      <c r="AR12" s="933"/>
      <c r="AS12" s="933"/>
      <c r="AT12" s="933"/>
      <c r="AU12" s="933"/>
      <c r="AV12" s="933"/>
      <c r="AW12" s="933"/>
      <c r="AX12" s="933"/>
      <c r="AY12" s="933"/>
      <c r="AZ12" s="933"/>
      <c r="BA12" s="933"/>
      <c r="BB12" s="933"/>
      <c r="BC12" s="934"/>
      <c r="BD12" s="839">
        <v>1</v>
      </c>
      <c r="BE12" s="840"/>
      <c r="BF12" s="840"/>
      <c r="BG12" s="840"/>
      <c r="BH12" s="840"/>
      <c r="BI12" s="840"/>
      <c r="BJ12" s="840"/>
      <c r="BK12" s="840"/>
      <c r="BL12" s="840"/>
      <c r="BM12" s="841"/>
      <c r="BN12" s="913">
        <f>'стр. 2_8'!DR221</f>
        <v>6900</v>
      </c>
      <c r="BO12" s="914"/>
      <c r="BP12" s="914"/>
      <c r="BQ12" s="914"/>
      <c r="BR12" s="914"/>
      <c r="BS12" s="914"/>
      <c r="BT12" s="914"/>
      <c r="BU12" s="914"/>
      <c r="BV12" s="914"/>
      <c r="BW12" s="914"/>
      <c r="BX12" s="914"/>
      <c r="BY12" s="914"/>
      <c r="BZ12" s="914"/>
      <c r="CA12" s="914"/>
      <c r="CB12" s="915"/>
      <c r="CC12" s="255">
        <v>2</v>
      </c>
      <c r="CD12" s="115"/>
      <c r="CE12" s="115">
        <v>14615</v>
      </c>
      <c r="CF12" s="115"/>
      <c r="CG12" s="115">
        <f t="shared" si="0"/>
        <v>14615</v>
      </c>
    </row>
    <row r="13" spans="1:86" s="255" customFormat="1" ht="24.6" hidden="1" customHeight="1">
      <c r="A13" s="926">
        <v>8</v>
      </c>
      <c r="B13" s="927"/>
      <c r="C13" s="927"/>
      <c r="D13" s="928"/>
      <c r="E13" s="1047" t="str">
        <f>'стр. 2_8'!A222</f>
        <v>Огнезащитная обработка деревянных конструкций в с. Краснощелье (КФО 4 МБ)</v>
      </c>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1048"/>
      <c r="AL13" s="1048"/>
      <c r="AM13" s="1049"/>
      <c r="AN13" s="932" t="s">
        <v>21</v>
      </c>
      <c r="AO13" s="933"/>
      <c r="AP13" s="933"/>
      <c r="AQ13" s="933"/>
      <c r="AR13" s="933"/>
      <c r="AS13" s="933"/>
      <c r="AT13" s="933"/>
      <c r="AU13" s="933"/>
      <c r="AV13" s="933"/>
      <c r="AW13" s="933"/>
      <c r="AX13" s="933"/>
      <c r="AY13" s="933"/>
      <c r="AZ13" s="933"/>
      <c r="BA13" s="933"/>
      <c r="BB13" s="933"/>
      <c r="BC13" s="934"/>
      <c r="BD13" s="839">
        <v>1</v>
      </c>
      <c r="BE13" s="840"/>
      <c r="BF13" s="840"/>
      <c r="BG13" s="840"/>
      <c r="BH13" s="840"/>
      <c r="BI13" s="840"/>
      <c r="BJ13" s="840"/>
      <c r="BK13" s="840"/>
      <c r="BL13" s="840"/>
      <c r="BM13" s="841"/>
      <c r="BN13" s="913">
        <f>'стр. 2_8'!DR222</f>
        <v>0</v>
      </c>
      <c r="BO13" s="914"/>
      <c r="BP13" s="914"/>
      <c r="BQ13" s="914"/>
      <c r="BR13" s="914"/>
      <c r="BS13" s="914"/>
      <c r="BT13" s="914"/>
      <c r="BU13" s="914"/>
      <c r="BV13" s="914"/>
      <c r="BW13" s="914"/>
      <c r="BX13" s="914"/>
      <c r="BY13" s="914"/>
      <c r="BZ13" s="914"/>
      <c r="CA13" s="914"/>
      <c r="CB13" s="915"/>
      <c r="CC13" s="255">
        <v>2</v>
      </c>
      <c r="CD13" s="115"/>
      <c r="CE13" s="115">
        <v>6000</v>
      </c>
      <c r="CF13" s="115"/>
      <c r="CG13" s="115">
        <f t="shared" si="0"/>
        <v>6000</v>
      </c>
    </row>
    <row r="14" spans="1:86" s="255" customFormat="1" ht="22.2" customHeight="1">
      <c r="A14" s="926">
        <v>7</v>
      </c>
      <c r="B14" s="927"/>
      <c r="C14" s="927"/>
      <c r="D14" s="928"/>
      <c r="E14" s="1047" t="str">
        <f>'стр. 2_8'!A223</f>
        <v>Проверка и заправка огнетушителей  (КФО 4 МБ)</v>
      </c>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1048"/>
      <c r="AL14" s="1048"/>
      <c r="AM14" s="1049"/>
      <c r="AN14" s="932" t="s">
        <v>21</v>
      </c>
      <c r="AO14" s="933"/>
      <c r="AP14" s="933"/>
      <c r="AQ14" s="933"/>
      <c r="AR14" s="933"/>
      <c r="AS14" s="933"/>
      <c r="AT14" s="933"/>
      <c r="AU14" s="933"/>
      <c r="AV14" s="933"/>
      <c r="AW14" s="933"/>
      <c r="AX14" s="933"/>
      <c r="AY14" s="933"/>
      <c r="AZ14" s="933"/>
      <c r="BA14" s="933"/>
      <c r="BB14" s="933"/>
      <c r="BC14" s="934"/>
      <c r="BD14" s="839">
        <v>1</v>
      </c>
      <c r="BE14" s="840"/>
      <c r="BF14" s="840"/>
      <c r="BG14" s="840"/>
      <c r="BH14" s="840"/>
      <c r="BI14" s="840"/>
      <c r="BJ14" s="840"/>
      <c r="BK14" s="840"/>
      <c r="BL14" s="840"/>
      <c r="BM14" s="841"/>
      <c r="BN14" s="913">
        <f>'стр. 2_8'!DR223</f>
        <v>26100</v>
      </c>
      <c r="BO14" s="914"/>
      <c r="BP14" s="914"/>
      <c r="BQ14" s="914"/>
      <c r="BR14" s="914"/>
      <c r="BS14" s="914"/>
      <c r="BT14" s="914"/>
      <c r="BU14" s="914"/>
      <c r="BV14" s="914"/>
      <c r="BW14" s="914"/>
      <c r="BX14" s="914"/>
      <c r="BY14" s="914"/>
      <c r="BZ14" s="914"/>
      <c r="CA14" s="914"/>
      <c r="CB14" s="915"/>
      <c r="CC14" s="255">
        <v>2</v>
      </c>
      <c r="CD14" s="115"/>
      <c r="CE14" s="115"/>
      <c r="CF14" s="115"/>
      <c r="CG14" s="115">
        <f t="shared" si="0"/>
        <v>0</v>
      </c>
    </row>
    <row r="15" spans="1:86" s="255" customFormat="1" ht="29.4" customHeight="1">
      <c r="A15" s="926">
        <v>8</v>
      </c>
      <c r="B15" s="927"/>
      <c r="C15" s="927"/>
      <c r="D15" s="928"/>
      <c r="E15" s="1047" t="str">
        <f>'стр. 2_8'!A224</f>
        <v>Техническое обслуживание установок автоматического пожаротушения (ППР АПС, испытание внутреннего пожарного водопровода)  (КФО 4 МБ)</v>
      </c>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8"/>
      <c r="AM15" s="1049"/>
      <c r="AN15" s="932" t="s">
        <v>21</v>
      </c>
      <c r="AO15" s="933"/>
      <c r="AP15" s="933"/>
      <c r="AQ15" s="933"/>
      <c r="AR15" s="933"/>
      <c r="AS15" s="933"/>
      <c r="AT15" s="933"/>
      <c r="AU15" s="933"/>
      <c r="AV15" s="933"/>
      <c r="AW15" s="933"/>
      <c r="AX15" s="933"/>
      <c r="AY15" s="933"/>
      <c r="AZ15" s="933"/>
      <c r="BA15" s="933"/>
      <c r="BB15" s="933"/>
      <c r="BC15" s="934"/>
      <c r="BD15" s="839">
        <v>12</v>
      </c>
      <c r="BE15" s="840"/>
      <c r="BF15" s="840"/>
      <c r="BG15" s="840"/>
      <c r="BH15" s="840"/>
      <c r="BI15" s="840"/>
      <c r="BJ15" s="840"/>
      <c r="BK15" s="840"/>
      <c r="BL15" s="840"/>
      <c r="BM15" s="841"/>
      <c r="BN15" s="913">
        <f>'стр. 2_8'!DR224</f>
        <v>36780</v>
      </c>
      <c r="BO15" s="914"/>
      <c r="BP15" s="914"/>
      <c r="BQ15" s="914"/>
      <c r="BR15" s="914"/>
      <c r="BS15" s="914"/>
      <c r="BT15" s="914"/>
      <c r="BU15" s="914"/>
      <c r="BV15" s="914"/>
      <c r="BW15" s="914"/>
      <c r="BX15" s="914"/>
      <c r="BY15" s="914"/>
      <c r="BZ15" s="914"/>
      <c r="CA15" s="914"/>
      <c r="CB15" s="915"/>
      <c r="CC15" s="255">
        <v>2</v>
      </c>
      <c r="CD15" s="115"/>
      <c r="CE15" s="115"/>
      <c r="CF15" s="115"/>
      <c r="CG15" s="115">
        <f t="shared" si="0"/>
        <v>0</v>
      </c>
    </row>
    <row r="16" spans="1:86" s="255" customFormat="1" ht="21.6" customHeight="1">
      <c r="A16" s="926">
        <v>9</v>
      </c>
      <c r="B16" s="927"/>
      <c r="C16" s="927"/>
      <c r="D16" s="928"/>
      <c r="E16" s="1047" t="str">
        <f>'стр. 2_8'!A225</f>
        <v>Техническое обслуживание АПС  (КФО 4 МБ)</v>
      </c>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9"/>
      <c r="AN16" s="932" t="s">
        <v>21</v>
      </c>
      <c r="AO16" s="933"/>
      <c r="AP16" s="933"/>
      <c r="AQ16" s="933"/>
      <c r="AR16" s="933"/>
      <c r="AS16" s="933"/>
      <c r="AT16" s="933"/>
      <c r="AU16" s="933"/>
      <c r="AV16" s="933"/>
      <c r="AW16" s="933"/>
      <c r="AX16" s="933"/>
      <c r="AY16" s="933"/>
      <c r="AZ16" s="933"/>
      <c r="BA16" s="933"/>
      <c r="BB16" s="933"/>
      <c r="BC16" s="934"/>
      <c r="BD16" s="839">
        <v>12</v>
      </c>
      <c r="BE16" s="840"/>
      <c r="BF16" s="840"/>
      <c r="BG16" s="840"/>
      <c r="BH16" s="840"/>
      <c r="BI16" s="840"/>
      <c r="BJ16" s="840"/>
      <c r="BK16" s="840"/>
      <c r="BL16" s="840"/>
      <c r="BM16" s="841"/>
      <c r="BN16" s="913">
        <f>'стр. 2_8'!DR225</f>
        <v>51996</v>
      </c>
      <c r="BO16" s="914"/>
      <c r="BP16" s="914"/>
      <c r="BQ16" s="914"/>
      <c r="BR16" s="914"/>
      <c r="BS16" s="914"/>
      <c r="BT16" s="914"/>
      <c r="BU16" s="914"/>
      <c r="BV16" s="914"/>
      <c r="BW16" s="914"/>
      <c r="BX16" s="914"/>
      <c r="BY16" s="914"/>
      <c r="BZ16" s="914"/>
      <c r="CA16" s="914"/>
      <c r="CB16" s="915"/>
      <c r="CC16" s="255">
        <v>1</v>
      </c>
      <c r="CD16" s="115"/>
      <c r="CE16" s="115"/>
      <c r="CF16" s="115">
        <v>13000</v>
      </c>
      <c r="CG16" s="115">
        <f t="shared" si="0"/>
        <v>13000</v>
      </c>
      <c r="CH16" s="255">
        <v>226</v>
      </c>
    </row>
    <row r="17" spans="1:99" s="255" customFormat="1" ht="23.4" customHeight="1">
      <c r="A17" s="926">
        <v>10</v>
      </c>
      <c r="B17" s="927"/>
      <c r="C17" s="927"/>
      <c r="D17" s="928"/>
      <c r="E17" s="1047" t="str">
        <f>'стр. 2_8'!A226</f>
        <v>Техническое обслуживание установок охранной сигнализации  (КФО 4 МБ)</v>
      </c>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1048"/>
      <c r="AL17" s="1048"/>
      <c r="AM17" s="1049"/>
      <c r="AN17" s="932" t="s">
        <v>21</v>
      </c>
      <c r="AO17" s="933"/>
      <c r="AP17" s="933"/>
      <c r="AQ17" s="933"/>
      <c r="AR17" s="933"/>
      <c r="AS17" s="933"/>
      <c r="AT17" s="933"/>
      <c r="AU17" s="933"/>
      <c r="AV17" s="933"/>
      <c r="AW17" s="933"/>
      <c r="AX17" s="933"/>
      <c r="AY17" s="933"/>
      <c r="AZ17" s="933"/>
      <c r="BA17" s="933"/>
      <c r="BB17" s="933"/>
      <c r="BC17" s="934"/>
      <c r="BD17" s="839">
        <v>12</v>
      </c>
      <c r="BE17" s="840"/>
      <c r="BF17" s="840"/>
      <c r="BG17" s="840"/>
      <c r="BH17" s="840"/>
      <c r="BI17" s="840"/>
      <c r="BJ17" s="840"/>
      <c r="BK17" s="840"/>
      <c r="BL17" s="840"/>
      <c r="BM17" s="841"/>
      <c r="BN17" s="913">
        <f>'стр. 2_8'!DR226</f>
        <v>6360</v>
      </c>
      <c r="BO17" s="914"/>
      <c r="BP17" s="914"/>
      <c r="BQ17" s="914"/>
      <c r="BR17" s="914"/>
      <c r="BS17" s="914"/>
      <c r="BT17" s="914"/>
      <c r="BU17" s="914"/>
      <c r="BV17" s="914"/>
      <c r="BW17" s="914"/>
      <c r="BX17" s="914"/>
      <c r="BY17" s="914"/>
      <c r="BZ17" s="914"/>
      <c r="CA17" s="914"/>
      <c r="CB17" s="915"/>
      <c r="CC17" s="255">
        <v>3</v>
      </c>
      <c r="CD17" s="115"/>
      <c r="CE17" s="115">
        <v>44000</v>
      </c>
      <c r="CF17" s="115"/>
      <c r="CG17" s="115">
        <f t="shared" si="0"/>
        <v>44000</v>
      </c>
    </row>
    <row r="18" spans="1:99" s="255" customFormat="1" ht="24" customHeight="1">
      <c r="A18" s="926">
        <v>11</v>
      </c>
      <c r="B18" s="927"/>
      <c r="C18" s="927"/>
      <c r="D18" s="928"/>
      <c r="E18" s="1047" t="str">
        <f>'стр. 2_8'!A227</f>
        <v>Услуги по техническому обслуживанию КТС  (КФО 4 МБ)</v>
      </c>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K18" s="1048"/>
      <c r="AL18" s="1048"/>
      <c r="AM18" s="1049"/>
      <c r="AN18" s="932" t="s">
        <v>21</v>
      </c>
      <c r="AO18" s="933"/>
      <c r="AP18" s="933"/>
      <c r="AQ18" s="933"/>
      <c r="AR18" s="933"/>
      <c r="AS18" s="933"/>
      <c r="AT18" s="933"/>
      <c r="AU18" s="933"/>
      <c r="AV18" s="933"/>
      <c r="AW18" s="933"/>
      <c r="AX18" s="933"/>
      <c r="AY18" s="933"/>
      <c r="AZ18" s="933"/>
      <c r="BA18" s="933"/>
      <c r="BB18" s="933"/>
      <c r="BC18" s="934"/>
      <c r="BD18" s="839">
        <v>12</v>
      </c>
      <c r="BE18" s="840"/>
      <c r="BF18" s="840"/>
      <c r="BG18" s="840"/>
      <c r="BH18" s="840"/>
      <c r="BI18" s="840"/>
      <c r="BJ18" s="840"/>
      <c r="BK18" s="840"/>
      <c r="BL18" s="840"/>
      <c r="BM18" s="841"/>
      <c r="BN18" s="913">
        <f>'стр. 2_8'!DR227</f>
        <v>10800</v>
      </c>
      <c r="BO18" s="914"/>
      <c r="BP18" s="914"/>
      <c r="BQ18" s="914"/>
      <c r="BR18" s="914"/>
      <c r="BS18" s="914"/>
      <c r="BT18" s="914"/>
      <c r="BU18" s="914"/>
      <c r="BV18" s="914"/>
      <c r="BW18" s="914"/>
      <c r="BX18" s="914"/>
      <c r="BY18" s="914"/>
      <c r="BZ18" s="914"/>
      <c r="CA18" s="914"/>
      <c r="CB18" s="915"/>
      <c r="CC18" s="255">
        <v>3</v>
      </c>
      <c r="CD18" s="115"/>
      <c r="CE18" s="115">
        <v>44000</v>
      </c>
      <c r="CF18" s="115"/>
      <c r="CG18" s="115">
        <f t="shared" si="0"/>
        <v>44000</v>
      </c>
    </row>
    <row r="19" spans="1:99" s="255" customFormat="1" ht="23.4" customHeight="1">
      <c r="A19" s="926">
        <v>12</v>
      </c>
      <c r="B19" s="927"/>
      <c r="C19" s="927"/>
      <c r="D19" s="928"/>
      <c r="E19" s="1047" t="str">
        <f>'стр. 2_8'!A228</f>
        <v>Техническое обслуживание системы видеонаблюдения (КФО 4 МБ)</v>
      </c>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9"/>
      <c r="AN19" s="932" t="s">
        <v>21</v>
      </c>
      <c r="AO19" s="933"/>
      <c r="AP19" s="933"/>
      <c r="AQ19" s="933"/>
      <c r="AR19" s="933"/>
      <c r="AS19" s="933"/>
      <c r="AT19" s="933"/>
      <c r="AU19" s="933"/>
      <c r="AV19" s="933"/>
      <c r="AW19" s="933"/>
      <c r="AX19" s="933"/>
      <c r="AY19" s="933"/>
      <c r="AZ19" s="933"/>
      <c r="BA19" s="933"/>
      <c r="BB19" s="933"/>
      <c r="BC19" s="934"/>
      <c r="BD19" s="839">
        <v>4</v>
      </c>
      <c r="BE19" s="840"/>
      <c r="BF19" s="840"/>
      <c r="BG19" s="840"/>
      <c r="BH19" s="840"/>
      <c r="BI19" s="840"/>
      <c r="BJ19" s="840"/>
      <c r="BK19" s="840"/>
      <c r="BL19" s="840"/>
      <c r="BM19" s="841"/>
      <c r="BN19" s="913">
        <f>'стр. 2_8'!DR228</f>
        <v>5088</v>
      </c>
      <c r="BO19" s="914"/>
      <c r="BP19" s="914"/>
      <c r="BQ19" s="914"/>
      <c r="BR19" s="914"/>
      <c r="BS19" s="914"/>
      <c r="BT19" s="914"/>
      <c r="BU19" s="914"/>
      <c r="BV19" s="914"/>
      <c r="BW19" s="914"/>
      <c r="BX19" s="914"/>
      <c r="BY19" s="914"/>
      <c r="BZ19" s="914"/>
      <c r="CA19" s="914"/>
      <c r="CB19" s="915"/>
      <c r="CC19" s="255">
        <v>1</v>
      </c>
      <c r="CD19" s="115">
        <v>140616</v>
      </c>
      <c r="CE19" s="115"/>
      <c r="CF19" s="115"/>
      <c r="CG19" s="115">
        <f t="shared" si="0"/>
        <v>140616</v>
      </c>
    </row>
    <row r="20" spans="1:99" s="255" customFormat="1" ht="17.100000000000001" customHeight="1">
      <c r="A20" s="926">
        <v>13</v>
      </c>
      <c r="B20" s="927"/>
      <c r="C20" s="927"/>
      <c r="D20" s="928"/>
      <c r="E20" s="1047" t="str">
        <f>'стр. 2_8'!A229</f>
        <v>Оплата услуг по договору ГПХ (рабочий) в с.Краснощелье (КФО 4 МБ)</v>
      </c>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c r="AI20" s="1048"/>
      <c r="AJ20" s="1048"/>
      <c r="AK20" s="1048"/>
      <c r="AL20" s="1048"/>
      <c r="AM20" s="1049"/>
      <c r="AN20" s="932" t="s">
        <v>21</v>
      </c>
      <c r="AO20" s="933"/>
      <c r="AP20" s="933"/>
      <c r="AQ20" s="933"/>
      <c r="AR20" s="933"/>
      <c r="AS20" s="933"/>
      <c r="AT20" s="933"/>
      <c r="AU20" s="933"/>
      <c r="AV20" s="933"/>
      <c r="AW20" s="933"/>
      <c r="AX20" s="933"/>
      <c r="AY20" s="933"/>
      <c r="AZ20" s="933"/>
      <c r="BA20" s="933"/>
      <c r="BB20" s="933"/>
      <c r="BC20" s="934"/>
      <c r="BD20" s="839">
        <v>12</v>
      </c>
      <c r="BE20" s="840"/>
      <c r="BF20" s="840"/>
      <c r="BG20" s="840"/>
      <c r="BH20" s="840"/>
      <c r="BI20" s="840"/>
      <c r="BJ20" s="840"/>
      <c r="BK20" s="840"/>
      <c r="BL20" s="840"/>
      <c r="BM20" s="841"/>
      <c r="BN20" s="913">
        <f>'стр. 2_8'!DR229</f>
        <v>234743</v>
      </c>
      <c r="BO20" s="914"/>
      <c r="BP20" s="914"/>
      <c r="BQ20" s="914"/>
      <c r="BR20" s="914"/>
      <c r="BS20" s="914"/>
      <c r="BT20" s="914"/>
      <c r="BU20" s="914"/>
      <c r="BV20" s="914"/>
      <c r="BW20" s="914"/>
      <c r="BX20" s="914"/>
      <c r="BY20" s="914"/>
      <c r="BZ20" s="914"/>
      <c r="CA20" s="914"/>
      <c r="CB20" s="915"/>
      <c r="CC20" s="255">
        <v>1</v>
      </c>
      <c r="CD20" s="115">
        <v>216130</v>
      </c>
      <c r="CE20" s="115"/>
      <c r="CF20" s="115"/>
      <c r="CG20" s="115">
        <f t="shared" si="0"/>
        <v>216130</v>
      </c>
    </row>
    <row r="21" spans="1:99" s="255" customFormat="1" ht="21.6" customHeight="1">
      <c r="A21" s="926">
        <v>14</v>
      </c>
      <c r="B21" s="927"/>
      <c r="C21" s="927"/>
      <c r="D21" s="928"/>
      <c r="E21" s="1047" t="str">
        <f>'стр. 2_8'!A230</f>
        <v>Обслуживание электросетей и электрооборудования  (КФО 4 МБ)</v>
      </c>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9"/>
      <c r="AN21" s="932" t="s">
        <v>21</v>
      </c>
      <c r="AO21" s="933"/>
      <c r="AP21" s="933"/>
      <c r="AQ21" s="933"/>
      <c r="AR21" s="933"/>
      <c r="AS21" s="933"/>
      <c r="AT21" s="933"/>
      <c r="AU21" s="933"/>
      <c r="AV21" s="933"/>
      <c r="AW21" s="933"/>
      <c r="AX21" s="933"/>
      <c r="AY21" s="933"/>
      <c r="AZ21" s="933"/>
      <c r="BA21" s="933"/>
      <c r="BB21" s="933"/>
      <c r="BC21" s="934"/>
      <c r="BD21" s="839">
        <v>12</v>
      </c>
      <c r="BE21" s="840"/>
      <c r="BF21" s="840"/>
      <c r="BG21" s="840"/>
      <c r="BH21" s="840"/>
      <c r="BI21" s="840"/>
      <c r="BJ21" s="840"/>
      <c r="BK21" s="840"/>
      <c r="BL21" s="840"/>
      <c r="BM21" s="841"/>
      <c r="BN21" s="913">
        <f>'стр. 2_8'!DR230</f>
        <v>41983.26</v>
      </c>
      <c r="BO21" s="914"/>
      <c r="BP21" s="914"/>
      <c r="BQ21" s="914"/>
      <c r="BR21" s="914"/>
      <c r="BS21" s="914"/>
      <c r="BT21" s="914"/>
      <c r="BU21" s="914"/>
      <c r="BV21" s="914"/>
      <c r="BW21" s="914"/>
      <c r="BX21" s="914"/>
      <c r="BY21" s="914"/>
      <c r="BZ21" s="914"/>
      <c r="CA21" s="914"/>
      <c r="CB21" s="915"/>
      <c r="CC21" s="255">
        <v>1</v>
      </c>
      <c r="CD21" s="115"/>
      <c r="CE21" s="115"/>
      <c r="CF21" s="115">
        <v>46872</v>
      </c>
      <c r="CG21" s="115">
        <f t="shared" si="0"/>
        <v>46872</v>
      </c>
    </row>
    <row r="22" spans="1:99" s="255" customFormat="1" ht="24" customHeight="1">
      <c r="A22" s="926">
        <v>15</v>
      </c>
      <c r="B22" s="927"/>
      <c r="C22" s="927"/>
      <c r="D22" s="928"/>
      <c r="E22" s="1047" t="str">
        <f>'стр. 2_8'!A231</f>
        <v>Техническое обслуживание приборов учёта тепла (КФО 4 МБ)</v>
      </c>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48"/>
      <c r="AD22" s="1048"/>
      <c r="AE22" s="1048"/>
      <c r="AF22" s="1048"/>
      <c r="AG22" s="1048"/>
      <c r="AH22" s="1048"/>
      <c r="AI22" s="1048"/>
      <c r="AJ22" s="1048"/>
      <c r="AK22" s="1048"/>
      <c r="AL22" s="1048"/>
      <c r="AM22" s="1049"/>
      <c r="AN22" s="932" t="s">
        <v>21</v>
      </c>
      <c r="AO22" s="933"/>
      <c r="AP22" s="933"/>
      <c r="AQ22" s="933"/>
      <c r="AR22" s="933"/>
      <c r="AS22" s="933"/>
      <c r="AT22" s="933"/>
      <c r="AU22" s="933"/>
      <c r="AV22" s="933"/>
      <c r="AW22" s="933"/>
      <c r="AX22" s="933"/>
      <c r="AY22" s="933"/>
      <c r="AZ22" s="933"/>
      <c r="BA22" s="933"/>
      <c r="BB22" s="933"/>
      <c r="BC22" s="934"/>
      <c r="BD22" s="839">
        <v>12</v>
      </c>
      <c r="BE22" s="840"/>
      <c r="BF22" s="840"/>
      <c r="BG22" s="840"/>
      <c r="BH22" s="840"/>
      <c r="BI22" s="840"/>
      <c r="BJ22" s="840"/>
      <c r="BK22" s="840"/>
      <c r="BL22" s="840"/>
      <c r="BM22" s="841"/>
      <c r="BN22" s="913">
        <f>'стр. 2_8'!DR231</f>
        <v>48000</v>
      </c>
      <c r="BO22" s="914"/>
      <c r="BP22" s="914"/>
      <c r="BQ22" s="914"/>
      <c r="BR22" s="914"/>
      <c r="BS22" s="914"/>
      <c r="BT22" s="914"/>
      <c r="BU22" s="914"/>
      <c r="BV22" s="914"/>
      <c r="BW22" s="914"/>
      <c r="BX22" s="914"/>
      <c r="BY22" s="914"/>
      <c r="BZ22" s="914"/>
      <c r="CA22" s="914"/>
      <c r="CB22" s="915"/>
      <c r="CC22" s="255">
        <v>1</v>
      </c>
      <c r="CD22" s="115">
        <v>240000</v>
      </c>
      <c r="CE22" s="115"/>
      <c r="CF22" s="115"/>
      <c r="CG22" s="115">
        <f t="shared" si="0"/>
        <v>240000</v>
      </c>
    </row>
    <row r="23" spans="1:99" s="255" customFormat="1" ht="22.8" customHeight="1">
      <c r="A23" s="926">
        <v>16</v>
      </c>
      <c r="B23" s="927"/>
      <c r="C23" s="927"/>
      <c r="D23" s="928"/>
      <c r="E23" s="1047" t="str">
        <f>'стр. 2_8'!A232</f>
        <v>Промывка (опресовка) отопительной системы  (КФО 4 МБ)</v>
      </c>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8"/>
      <c r="AM23" s="1049"/>
      <c r="AN23" s="932" t="s">
        <v>21</v>
      </c>
      <c r="AO23" s="933"/>
      <c r="AP23" s="933"/>
      <c r="AQ23" s="933"/>
      <c r="AR23" s="933"/>
      <c r="AS23" s="933"/>
      <c r="AT23" s="933"/>
      <c r="AU23" s="933"/>
      <c r="AV23" s="933"/>
      <c r="AW23" s="933"/>
      <c r="AX23" s="933"/>
      <c r="AY23" s="933"/>
      <c r="AZ23" s="933"/>
      <c r="BA23" s="933"/>
      <c r="BB23" s="933"/>
      <c r="BC23" s="934"/>
      <c r="BD23" s="839">
        <v>1</v>
      </c>
      <c r="BE23" s="840"/>
      <c r="BF23" s="840"/>
      <c r="BG23" s="840"/>
      <c r="BH23" s="840"/>
      <c r="BI23" s="840"/>
      <c r="BJ23" s="840"/>
      <c r="BK23" s="840"/>
      <c r="BL23" s="840"/>
      <c r="BM23" s="841"/>
      <c r="BN23" s="913">
        <f>'стр. 2_8'!DR232</f>
        <v>38800</v>
      </c>
      <c r="BO23" s="914"/>
      <c r="BP23" s="914"/>
      <c r="BQ23" s="914"/>
      <c r="BR23" s="914"/>
      <c r="BS23" s="914"/>
      <c r="BT23" s="914"/>
      <c r="BU23" s="914"/>
      <c r="BV23" s="914"/>
      <c r="BW23" s="914"/>
      <c r="BX23" s="914"/>
      <c r="BY23" s="914"/>
      <c r="BZ23" s="914"/>
      <c r="CA23" s="914"/>
      <c r="CB23" s="915"/>
      <c r="CC23" s="255">
        <v>4</v>
      </c>
      <c r="CD23" s="115"/>
      <c r="CE23" s="115"/>
      <c r="CF23" s="115">
        <v>80000</v>
      </c>
      <c r="CG23" s="115">
        <f t="shared" si="0"/>
        <v>80000</v>
      </c>
    </row>
    <row r="24" spans="1:99" s="255" customFormat="1" ht="21.6" customHeight="1">
      <c r="A24" s="926">
        <v>17</v>
      </c>
      <c r="B24" s="927"/>
      <c r="C24" s="927"/>
      <c r="D24" s="928"/>
      <c r="E24" s="1047" t="str">
        <f>'стр. 2_8'!A233</f>
        <v>Заливка катка (Ловозеро) (КФО 4 МБ)</v>
      </c>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9"/>
      <c r="AN24" s="839" t="s">
        <v>21</v>
      </c>
      <c r="AO24" s="840"/>
      <c r="AP24" s="840"/>
      <c r="AQ24" s="840"/>
      <c r="AR24" s="840"/>
      <c r="AS24" s="840"/>
      <c r="AT24" s="840"/>
      <c r="AU24" s="840"/>
      <c r="AV24" s="840"/>
      <c r="AW24" s="840"/>
      <c r="AX24" s="840"/>
      <c r="AY24" s="840"/>
      <c r="AZ24" s="840"/>
      <c r="BA24" s="840"/>
      <c r="BB24" s="840"/>
      <c r="BC24" s="841"/>
      <c r="BD24" s="839">
        <v>1</v>
      </c>
      <c r="BE24" s="840"/>
      <c r="BF24" s="840"/>
      <c r="BG24" s="840"/>
      <c r="BH24" s="840"/>
      <c r="BI24" s="840"/>
      <c r="BJ24" s="840"/>
      <c r="BK24" s="840"/>
      <c r="BL24" s="840"/>
      <c r="BM24" s="841"/>
      <c r="BN24" s="913">
        <f>'стр. 2_8'!DR233</f>
        <v>52000</v>
      </c>
      <c r="BO24" s="914"/>
      <c r="BP24" s="914"/>
      <c r="BQ24" s="914"/>
      <c r="BR24" s="914"/>
      <c r="BS24" s="914"/>
      <c r="BT24" s="914"/>
      <c r="BU24" s="914"/>
      <c r="BV24" s="914"/>
      <c r="BW24" s="914"/>
      <c r="BX24" s="914"/>
      <c r="BY24" s="914"/>
      <c r="BZ24" s="914"/>
      <c r="CA24" s="914"/>
      <c r="CB24" s="915"/>
      <c r="CD24" s="115"/>
      <c r="CE24" s="115"/>
      <c r="CF24" s="115"/>
      <c r="CG24" s="115">
        <f t="shared" si="0"/>
        <v>0</v>
      </c>
      <c r="CH24" s="255">
        <v>226</v>
      </c>
      <c r="CR24" s="115"/>
      <c r="CS24" s="115"/>
      <c r="CT24" s="115"/>
      <c r="CU24" s="115"/>
    </row>
    <row r="25" spans="1:99" s="255" customFormat="1" ht="21" customHeight="1">
      <c r="A25" s="926">
        <v>18</v>
      </c>
      <c r="B25" s="927"/>
      <c r="C25" s="927"/>
      <c r="D25" s="928"/>
      <c r="E25" s="1047" t="str">
        <f>'стр. 2_8'!A234</f>
        <v>Заливка катка (Краснощелье)(КФО 4 МБ)</v>
      </c>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9"/>
      <c r="AN25" s="932" t="s">
        <v>21</v>
      </c>
      <c r="AO25" s="933"/>
      <c r="AP25" s="933"/>
      <c r="AQ25" s="933"/>
      <c r="AR25" s="933"/>
      <c r="AS25" s="933"/>
      <c r="AT25" s="933"/>
      <c r="AU25" s="933"/>
      <c r="AV25" s="933"/>
      <c r="AW25" s="933"/>
      <c r="AX25" s="933"/>
      <c r="AY25" s="933"/>
      <c r="AZ25" s="933"/>
      <c r="BA25" s="933"/>
      <c r="BB25" s="933"/>
      <c r="BC25" s="934"/>
      <c r="BD25" s="839">
        <v>1</v>
      </c>
      <c r="BE25" s="840"/>
      <c r="BF25" s="840"/>
      <c r="BG25" s="840"/>
      <c r="BH25" s="840"/>
      <c r="BI25" s="840"/>
      <c r="BJ25" s="840"/>
      <c r="BK25" s="840"/>
      <c r="BL25" s="840"/>
      <c r="BM25" s="841"/>
      <c r="BN25" s="913">
        <f>'стр. 2_8'!DR234</f>
        <v>36400</v>
      </c>
      <c r="BO25" s="914"/>
      <c r="BP25" s="914"/>
      <c r="BQ25" s="914"/>
      <c r="BR25" s="914"/>
      <c r="BS25" s="914"/>
      <c r="BT25" s="914"/>
      <c r="BU25" s="914"/>
      <c r="BV25" s="914"/>
      <c r="BW25" s="914"/>
      <c r="BX25" s="914"/>
      <c r="BY25" s="914"/>
      <c r="BZ25" s="914"/>
      <c r="CA25" s="914"/>
      <c r="CB25" s="915"/>
      <c r="CD25" s="115"/>
      <c r="CE25" s="115"/>
      <c r="CF25" s="115"/>
      <c r="CG25" s="115">
        <f t="shared" si="0"/>
        <v>0</v>
      </c>
      <c r="CH25" s="255">
        <v>226</v>
      </c>
      <c r="CR25" s="115"/>
      <c r="CS25" s="115"/>
      <c r="CT25" s="115"/>
      <c r="CU25" s="115"/>
    </row>
    <row r="26" spans="1:99" s="255" customFormat="1" ht="25.2" customHeight="1">
      <c r="A26" s="926">
        <v>19</v>
      </c>
      <c r="B26" s="927"/>
      <c r="C26" s="927"/>
      <c r="D26" s="928"/>
      <c r="E26" s="1047" t="str">
        <f>'стр. 2_8'!A235</f>
        <v>Оказание метрологичеких работ и услуг (поверка манометров и расходомеров)  (КФО 4)</v>
      </c>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8"/>
      <c r="AD26" s="1048"/>
      <c r="AE26" s="1048"/>
      <c r="AF26" s="1048"/>
      <c r="AG26" s="1048"/>
      <c r="AH26" s="1048"/>
      <c r="AI26" s="1048"/>
      <c r="AJ26" s="1048"/>
      <c r="AK26" s="1048"/>
      <c r="AL26" s="1048"/>
      <c r="AM26" s="1049"/>
      <c r="AN26" s="932" t="s">
        <v>21</v>
      </c>
      <c r="AO26" s="933"/>
      <c r="AP26" s="933"/>
      <c r="AQ26" s="933"/>
      <c r="AR26" s="933"/>
      <c r="AS26" s="933"/>
      <c r="AT26" s="933"/>
      <c r="AU26" s="933"/>
      <c r="AV26" s="933"/>
      <c r="AW26" s="933"/>
      <c r="AX26" s="933"/>
      <c r="AY26" s="933"/>
      <c r="AZ26" s="933"/>
      <c r="BA26" s="933"/>
      <c r="BB26" s="933"/>
      <c r="BC26" s="934"/>
      <c r="BD26" s="839">
        <v>1</v>
      </c>
      <c r="BE26" s="840"/>
      <c r="BF26" s="840"/>
      <c r="BG26" s="840"/>
      <c r="BH26" s="840"/>
      <c r="BI26" s="840"/>
      <c r="BJ26" s="840"/>
      <c r="BK26" s="840"/>
      <c r="BL26" s="840"/>
      <c r="BM26" s="841"/>
      <c r="BN26" s="913">
        <f>'стр. 2_8'!DR235</f>
        <v>1000</v>
      </c>
      <c r="BO26" s="914"/>
      <c r="BP26" s="914"/>
      <c r="BQ26" s="914"/>
      <c r="BR26" s="914"/>
      <c r="BS26" s="914"/>
      <c r="BT26" s="914"/>
      <c r="BU26" s="914"/>
      <c r="BV26" s="914"/>
      <c r="BW26" s="914"/>
      <c r="BX26" s="914"/>
      <c r="BY26" s="914"/>
      <c r="BZ26" s="914"/>
      <c r="CA26" s="914"/>
      <c r="CB26" s="915"/>
      <c r="CD26" s="115"/>
      <c r="CE26" s="115"/>
      <c r="CF26" s="115"/>
      <c r="CG26" s="115">
        <f t="shared" si="0"/>
        <v>0</v>
      </c>
      <c r="CH26" s="255">
        <v>226</v>
      </c>
      <c r="CR26" s="115"/>
      <c r="CS26" s="115"/>
      <c r="CT26" s="115"/>
      <c r="CU26" s="115"/>
    </row>
    <row r="27" spans="1:99" s="255" customFormat="1" ht="21.6" customHeight="1">
      <c r="A27" s="926">
        <v>20</v>
      </c>
      <c r="B27" s="927"/>
      <c r="C27" s="927"/>
      <c r="D27" s="928"/>
      <c r="E27" s="1047" t="str">
        <f>'стр. 2_8'!A236</f>
        <v>Оказание метрологичеких работ и услуг (поверка приборов учета тепла)  (КФО 4)</v>
      </c>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c r="AJ27" s="1048"/>
      <c r="AK27" s="1048"/>
      <c r="AL27" s="1048"/>
      <c r="AM27" s="1049"/>
      <c r="AN27" s="932" t="s">
        <v>21</v>
      </c>
      <c r="AO27" s="933"/>
      <c r="AP27" s="933"/>
      <c r="AQ27" s="933"/>
      <c r="AR27" s="933"/>
      <c r="AS27" s="933"/>
      <c r="AT27" s="933"/>
      <c r="AU27" s="933"/>
      <c r="AV27" s="933"/>
      <c r="AW27" s="933"/>
      <c r="AX27" s="933"/>
      <c r="AY27" s="933"/>
      <c r="AZ27" s="933"/>
      <c r="BA27" s="933"/>
      <c r="BB27" s="933"/>
      <c r="BC27" s="934"/>
      <c r="BD27" s="839">
        <v>1</v>
      </c>
      <c r="BE27" s="840"/>
      <c r="BF27" s="840"/>
      <c r="BG27" s="840"/>
      <c r="BH27" s="840"/>
      <c r="BI27" s="840"/>
      <c r="BJ27" s="840"/>
      <c r="BK27" s="840"/>
      <c r="BL27" s="840"/>
      <c r="BM27" s="841"/>
      <c r="BN27" s="913">
        <f>'стр. 2_8'!DR236</f>
        <v>30000</v>
      </c>
      <c r="BO27" s="914"/>
      <c r="BP27" s="914"/>
      <c r="BQ27" s="914"/>
      <c r="BR27" s="914"/>
      <c r="BS27" s="914"/>
      <c r="BT27" s="914"/>
      <c r="BU27" s="914"/>
      <c r="BV27" s="914"/>
      <c r="BW27" s="914"/>
      <c r="BX27" s="914"/>
      <c r="BY27" s="914"/>
      <c r="BZ27" s="914"/>
      <c r="CA27" s="914"/>
      <c r="CB27" s="915"/>
      <c r="CG27" s="115">
        <f t="shared" si="0"/>
        <v>0</v>
      </c>
      <c r="CR27" s="115"/>
      <c r="CS27" s="115"/>
      <c r="CT27" s="115"/>
      <c r="CU27" s="115"/>
    </row>
    <row r="28" spans="1:99" s="255" customFormat="1" ht="24" customHeight="1">
      <c r="A28" s="926">
        <v>21</v>
      </c>
      <c r="B28" s="927"/>
      <c r="C28" s="927"/>
      <c r="D28" s="928"/>
      <c r="E28" s="1047" t="str">
        <f>'стр. 2_8'!A237</f>
        <v>Заправка картриджей, замена барабанов (КФО 4)</v>
      </c>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48"/>
      <c r="AM28" s="1049"/>
      <c r="AN28" s="932" t="s">
        <v>21</v>
      </c>
      <c r="AO28" s="933"/>
      <c r="AP28" s="933"/>
      <c r="AQ28" s="933"/>
      <c r="AR28" s="933"/>
      <c r="AS28" s="933"/>
      <c r="AT28" s="933"/>
      <c r="AU28" s="933"/>
      <c r="AV28" s="933"/>
      <c r="AW28" s="933"/>
      <c r="AX28" s="933"/>
      <c r="AY28" s="933"/>
      <c r="AZ28" s="933"/>
      <c r="BA28" s="933"/>
      <c r="BB28" s="933"/>
      <c r="BC28" s="934"/>
      <c r="BD28" s="839">
        <v>1</v>
      </c>
      <c r="BE28" s="840"/>
      <c r="BF28" s="840"/>
      <c r="BG28" s="840"/>
      <c r="BH28" s="840"/>
      <c r="BI28" s="840"/>
      <c r="BJ28" s="840"/>
      <c r="BK28" s="840"/>
      <c r="BL28" s="840"/>
      <c r="BM28" s="841"/>
      <c r="BN28" s="913">
        <f>'стр. 2_8'!DR237</f>
        <v>16500</v>
      </c>
      <c r="BO28" s="914"/>
      <c r="BP28" s="914"/>
      <c r="BQ28" s="914"/>
      <c r="BR28" s="914"/>
      <c r="BS28" s="914"/>
      <c r="BT28" s="914"/>
      <c r="BU28" s="914"/>
      <c r="BV28" s="914"/>
      <c r="BW28" s="914"/>
      <c r="BX28" s="914"/>
      <c r="BY28" s="914"/>
      <c r="BZ28" s="914"/>
      <c r="CA28" s="914"/>
      <c r="CB28" s="915"/>
      <c r="CG28" s="115">
        <f t="shared" si="0"/>
        <v>0</v>
      </c>
      <c r="CR28" s="115"/>
      <c r="CS28" s="115"/>
      <c r="CT28" s="115"/>
      <c r="CU28" s="115"/>
    </row>
    <row r="29" spans="1:99" s="255" customFormat="1" ht="22.2" hidden="1" customHeight="1">
      <c r="A29" s="926">
        <f t="shared" ref="A29:A30" si="1">A28+1</f>
        <v>22</v>
      </c>
      <c r="B29" s="927"/>
      <c r="C29" s="927"/>
      <c r="D29" s="928"/>
      <c r="E29" s="1047" t="str">
        <f>'стр. 2_8'!A238</f>
        <v>Замена дверей на эвакуационных выходах (КФО 4)</v>
      </c>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H29" s="1048"/>
      <c r="AI29" s="1048"/>
      <c r="AJ29" s="1048"/>
      <c r="AK29" s="1048"/>
      <c r="AL29" s="1048"/>
      <c r="AM29" s="1049"/>
      <c r="AN29" s="932" t="s">
        <v>21</v>
      </c>
      <c r="AO29" s="933"/>
      <c r="AP29" s="933"/>
      <c r="AQ29" s="933"/>
      <c r="AR29" s="933"/>
      <c r="AS29" s="933"/>
      <c r="AT29" s="933"/>
      <c r="AU29" s="933"/>
      <c r="AV29" s="933"/>
      <c r="AW29" s="933"/>
      <c r="AX29" s="933"/>
      <c r="AY29" s="933"/>
      <c r="AZ29" s="933"/>
      <c r="BA29" s="933"/>
      <c r="BB29" s="933"/>
      <c r="BC29" s="934"/>
      <c r="BD29" s="839">
        <v>1</v>
      </c>
      <c r="BE29" s="840"/>
      <c r="BF29" s="840"/>
      <c r="BG29" s="840"/>
      <c r="BH29" s="840"/>
      <c r="BI29" s="840"/>
      <c r="BJ29" s="840"/>
      <c r="BK29" s="840"/>
      <c r="BL29" s="840"/>
      <c r="BM29" s="841"/>
      <c r="BN29" s="913">
        <f>'стр. 2_8'!DR238</f>
        <v>0</v>
      </c>
      <c r="BO29" s="914"/>
      <c r="BP29" s="914"/>
      <c r="BQ29" s="914"/>
      <c r="BR29" s="914"/>
      <c r="BS29" s="914"/>
      <c r="BT29" s="914"/>
      <c r="BU29" s="914"/>
      <c r="BV29" s="914"/>
      <c r="BW29" s="914"/>
      <c r="BX29" s="914"/>
      <c r="BY29" s="914"/>
      <c r="BZ29" s="914"/>
      <c r="CA29" s="914"/>
      <c r="CB29" s="915"/>
      <c r="CG29" s="115">
        <f t="shared" si="0"/>
        <v>0</v>
      </c>
      <c r="CR29" s="115"/>
      <c r="CS29" s="115"/>
      <c r="CT29" s="115"/>
      <c r="CU29" s="115"/>
    </row>
    <row r="30" spans="1:99" s="255" customFormat="1" ht="17.100000000000001" hidden="1" customHeight="1">
      <c r="A30" s="926">
        <f t="shared" si="1"/>
        <v>23</v>
      </c>
      <c r="B30" s="927"/>
      <c r="C30" s="927"/>
      <c r="D30" s="928"/>
      <c r="E30" s="1047" t="str">
        <f>'стр. 2_8'!A239</f>
        <v>Восстановление металлического ограждения (КФО 4)</v>
      </c>
      <c r="F30" s="1048"/>
      <c r="G30" s="1048"/>
      <c r="H30" s="1048"/>
      <c r="I30" s="1048"/>
      <c r="J30" s="1048"/>
      <c r="K30" s="1048"/>
      <c r="L30" s="1048"/>
      <c r="M30" s="1048"/>
      <c r="N30" s="1048"/>
      <c r="O30" s="1048"/>
      <c r="P30" s="1048"/>
      <c r="Q30" s="1048"/>
      <c r="R30" s="1048"/>
      <c r="S30" s="1048"/>
      <c r="T30" s="1048"/>
      <c r="U30" s="1048"/>
      <c r="V30" s="1048"/>
      <c r="W30" s="1048"/>
      <c r="X30" s="1048"/>
      <c r="Y30" s="1048"/>
      <c r="Z30" s="1048"/>
      <c r="AA30" s="1048"/>
      <c r="AB30" s="1048"/>
      <c r="AC30" s="1048"/>
      <c r="AD30" s="1048"/>
      <c r="AE30" s="1048"/>
      <c r="AF30" s="1048"/>
      <c r="AG30" s="1048"/>
      <c r="AH30" s="1048"/>
      <c r="AI30" s="1048"/>
      <c r="AJ30" s="1048"/>
      <c r="AK30" s="1048"/>
      <c r="AL30" s="1048"/>
      <c r="AM30" s="1049"/>
      <c r="AN30" s="932" t="s">
        <v>21</v>
      </c>
      <c r="AO30" s="933"/>
      <c r="AP30" s="933"/>
      <c r="AQ30" s="933"/>
      <c r="AR30" s="933"/>
      <c r="AS30" s="933"/>
      <c r="AT30" s="933"/>
      <c r="AU30" s="933"/>
      <c r="AV30" s="933"/>
      <c r="AW30" s="933"/>
      <c r="AX30" s="933"/>
      <c r="AY30" s="933"/>
      <c r="AZ30" s="933"/>
      <c r="BA30" s="933"/>
      <c r="BB30" s="933"/>
      <c r="BC30" s="934"/>
      <c r="BD30" s="839">
        <v>1</v>
      </c>
      <c r="BE30" s="840"/>
      <c r="BF30" s="840"/>
      <c r="BG30" s="840"/>
      <c r="BH30" s="840"/>
      <c r="BI30" s="840"/>
      <c r="BJ30" s="840"/>
      <c r="BK30" s="840"/>
      <c r="BL30" s="840"/>
      <c r="BM30" s="841"/>
      <c r="BN30" s="913">
        <f>'стр. 2_8'!DR239</f>
        <v>0</v>
      </c>
      <c r="BO30" s="914"/>
      <c r="BP30" s="914"/>
      <c r="BQ30" s="914"/>
      <c r="BR30" s="914"/>
      <c r="BS30" s="914"/>
      <c r="BT30" s="914"/>
      <c r="BU30" s="914"/>
      <c r="BV30" s="914"/>
      <c r="BW30" s="914"/>
      <c r="BX30" s="914"/>
      <c r="BY30" s="914"/>
      <c r="BZ30" s="914"/>
      <c r="CA30" s="914"/>
      <c r="CB30" s="915"/>
      <c r="CG30" s="115">
        <f t="shared" si="0"/>
        <v>0</v>
      </c>
      <c r="CR30" s="115"/>
      <c r="CS30" s="115"/>
      <c r="CT30" s="115"/>
      <c r="CU30" s="115"/>
    </row>
    <row r="31" spans="1:99" s="255" customFormat="1" ht="21" customHeight="1">
      <c r="A31" s="926">
        <v>22</v>
      </c>
      <c r="B31" s="927"/>
      <c r="C31" s="927"/>
      <c r="D31" s="928"/>
      <c r="E31" s="1047" t="str">
        <f>'стр. 2_8'!A240</f>
        <v>Техническое обслуживание наружного освещения лыжной трассы (КФО 4 МБ)</v>
      </c>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9"/>
      <c r="AN31" s="932" t="s">
        <v>21</v>
      </c>
      <c r="AO31" s="933"/>
      <c r="AP31" s="933"/>
      <c r="AQ31" s="933"/>
      <c r="AR31" s="933"/>
      <c r="AS31" s="933"/>
      <c r="AT31" s="933"/>
      <c r="AU31" s="933"/>
      <c r="AV31" s="933"/>
      <c r="AW31" s="933"/>
      <c r="AX31" s="933"/>
      <c r="AY31" s="933"/>
      <c r="AZ31" s="933"/>
      <c r="BA31" s="933"/>
      <c r="BB31" s="933"/>
      <c r="BC31" s="934"/>
      <c r="BD31" s="839">
        <v>4</v>
      </c>
      <c r="BE31" s="840"/>
      <c r="BF31" s="840"/>
      <c r="BG31" s="840"/>
      <c r="BH31" s="840"/>
      <c r="BI31" s="840"/>
      <c r="BJ31" s="840"/>
      <c r="BK31" s="840"/>
      <c r="BL31" s="840"/>
      <c r="BM31" s="841"/>
      <c r="BN31" s="913">
        <f>'стр. 2_8'!DR240</f>
        <v>60800</v>
      </c>
      <c r="BO31" s="914"/>
      <c r="BP31" s="914"/>
      <c r="BQ31" s="914"/>
      <c r="BR31" s="914"/>
      <c r="BS31" s="914"/>
      <c r="BT31" s="914"/>
      <c r="BU31" s="914"/>
      <c r="BV31" s="914"/>
      <c r="BW31" s="914"/>
      <c r="BX31" s="914"/>
      <c r="BY31" s="914"/>
      <c r="BZ31" s="914"/>
      <c r="CA31" s="914"/>
      <c r="CB31" s="915"/>
      <c r="CG31" s="115">
        <f t="shared" si="0"/>
        <v>0</v>
      </c>
      <c r="CR31" s="115"/>
      <c r="CS31" s="115"/>
      <c r="CT31" s="115"/>
      <c r="CU31" s="115"/>
    </row>
    <row r="32" spans="1:99" s="255" customFormat="1" ht="18.600000000000001" customHeight="1">
      <c r="A32" s="926">
        <v>23</v>
      </c>
      <c r="B32" s="927"/>
      <c r="C32" s="927"/>
      <c r="D32" s="928"/>
      <c r="E32" s="1047" t="str">
        <f>'стр. 2_8'!A241</f>
        <v>Замеры сопротивления изоляции (КФО 4 МБ)</v>
      </c>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9"/>
      <c r="AN32" s="932" t="s">
        <v>21</v>
      </c>
      <c r="AO32" s="933"/>
      <c r="AP32" s="933"/>
      <c r="AQ32" s="933"/>
      <c r="AR32" s="933"/>
      <c r="AS32" s="933"/>
      <c r="AT32" s="933"/>
      <c r="AU32" s="933"/>
      <c r="AV32" s="933"/>
      <c r="AW32" s="933"/>
      <c r="AX32" s="933"/>
      <c r="AY32" s="933"/>
      <c r="AZ32" s="933"/>
      <c r="BA32" s="933"/>
      <c r="BB32" s="933"/>
      <c r="BC32" s="934"/>
      <c r="BD32" s="839">
        <v>1</v>
      </c>
      <c r="BE32" s="840"/>
      <c r="BF32" s="840"/>
      <c r="BG32" s="840"/>
      <c r="BH32" s="840"/>
      <c r="BI32" s="840"/>
      <c r="BJ32" s="840"/>
      <c r="BK32" s="840"/>
      <c r="BL32" s="840"/>
      <c r="BM32" s="841"/>
      <c r="BN32" s="913">
        <f>'стр. 2_8'!DR241</f>
        <v>26000</v>
      </c>
      <c r="BO32" s="914"/>
      <c r="BP32" s="914"/>
      <c r="BQ32" s="914"/>
      <c r="BR32" s="914"/>
      <c r="BS32" s="914"/>
      <c r="BT32" s="914"/>
      <c r="BU32" s="914"/>
      <c r="BV32" s="914"/>
      <c r="BW32" s="914"/>
      <c r="BX32" s="914"/>
      <c r="BY32" s="914"/>
      <c r="BZ32" s="914"/>
      <c r="CA32" s="914"/>
      <c r="CB32" s="915"/>
      <c r="CG32" s="115">
        <f t="shared" si="0"/>
        <v>0</v>
      </c>
      <c r="CR32" s="115"/>
      <c r="CS32" s="115"/>
      <c r="CT32" s="115"/>
      <c r="CU32" s="115"/>
    </row>
    <row r="33" spans="1:99" s="255" customFormat="1" ht="27.6" hidden="1" customHeight="1">
      <c r="A33" s="926">
        <f>A31+1</f>
        <v>23</v>
      </c>
      <c r="B33" s="927"/>
      <c r="C33" s="927"/>
      <c r="D33" s="928"/>
      <c r="E33" s="1047">
        <f>'стр. 2_8'!A242</f>
        <v>0</v>
      </c>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9"/>
      <c r="AN33" s="932" t="s">
        <v>21</v>
      </c>
      <c r="AO33" s="933"/>
      <c r="AP33" s="933"/>
      <c r="AQ33" s="933"/>
      <c r="AR33" s="933"/>
      <c r="AS33" s="933"/>
      <c r="AT33" s="933"/>
      <c r="AU33" s="933"/>
      <c r="AV33" s="933"/>
      <c r="AW33" s="933"/>
      <c r="AX33" s="933"/>
      <c r="AY33" s="933"/>
      <c r="AZ33" s="933"/>
      <c r="BA33" s="933"/>
      <c r="BB33" s="933"/>
      <c r="BC33" s="934"/>
      <c r="BD33" s="839"/>
      <c r="BE33" s="840"/>
      <c r="BF33" s="840"/>
      <c r="BG33" s="840"/>
      <c r="BH33" s="840"/>
      <c r="BI33" s="840"/>
      <c r="BJ33" s="840"/>
      <c r="BK33" s="840"/>
      <c r="BL33" s="840"/>
      <c r="BM33" s="841"/>
      <c r="BN33" s="913">
        <f>'стр. 2_8'!DR242</f>
        <v>0</v>
      </c>
      <c r="BO33" s="914"/>
      <c r="BP33" s="914"/>
      <c r="BQ33" s="914"/>
      <c r="BR33" s="914"/>
      <c r="BS33" s="914"/>
      <c r="BT33" s="914"/>
      <c r="BU33" s="914"/>
      <c r="BV33" s="914"/>
      <c r="BW33" s="914"/>
      <c r="BX33" s="914"/>
      <c r="BY33" s="914"/>
      <c r="BZ33" s="914"/>
      <c r="CA33" s="914"/>
      <c r="CB33" s="915"/>
      <c r="CG33" s="115">
        <f t="shared" ref="CG33" si="2">CD33+CE33+CF33</f>
        <v>0</v>
      </c>
      <c r="CR33" s="115"/>
      <c r="CS33" s="115"/>
      <c r="CT33" s="115"/>
      <c r="CU33" s="115"/>
    </row>
    <row r="34" spans="1:99" ht="20.399999999999999" customHeight="1">
      <c r="A34" s="950">
        <v>24</v>
      </c>
      <c r="B34" s="951"/>
      <c r="C34" s="951"/>
      <c r="D34" s="952"/>
      <c r="E34" s="1065" t="str">
        <f>'стр. 2_8'!A243</f>
        <v>Работы, услуги по содержанию имущества, в т.ч.: (КФО 5 всего)</v>
      </c>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066"/>
      <c r="AB34" s="1066"/>
      <c r="AC34" s="1066"/>
      <c r="AD34" s="1066"/>
      <c r="AE34" s="1066"/>
      <c r="AF34" s="1066"/>
      <c r="AG34" s="1066"/>
      <c r="AH34" s="1066"/>
      <c r="AI34" s="1066"/>
      <c r="AJ34" s="1066"/>
      <c r="AK34" s="1066"/>
      <c r="AL34" s="1066"/>
      <c r="AM34" s="1067"/>
      <c r="AN34" s="1087" t="s">
        <v>21</v>
      </c>
      <c r="AO34" s="1088"/>
      <c r="AP34" s="1088"/>
      <c r="AQ34" s="1088"/>
      <c r="AR34" s="1088"/>
      <c r="AS34" s="1088"/>
      <c r="AT34" s="1088"/>
      <c r="AU34" s="1088"/>
      <c r="AV34" s="1088"/>
      <c r="AW34" s="1088"/>
      <c r="AX34" s="1088"/>
      <c r="AY34" s="1088"/>
      <c r="AZ34" s="1088"/>
      <c r="BA34" s="1088"/>
      <c r="BB34" s="1088"/>
      <c r="BC34" s="1089"/>
      <c r="BD34" s="1087" t="s">
        <v>21</v>
      </c>
      <c r="BE34" s="1088"/>
      <c r="BF34" s="1088"/>
      <c r="BG34" s="1088"/>
      <c r="BH34" s="1088"/>
      <c r="BI34" s="1088"/>
      <c r="BJ34" s="1088"/>
      <c r="BK34" s="1088"/>
      <c r="BL34" s="1088"/>
      <c r="BM34" s="1089"/>
      <c r="BN34" s="1044">
        <f>'стр. 2_8'!DR243</f>
        <v>1000000</v>
      </c>
      <c r="BO34" s="1045"/>
      <c r="BP34" s="1045"/>
      <c r="BQ34" s="1045"/>
      <c r="BR34" s="1045"/>
      <c r="BS34" s="1045"/>
      <c r="BT34" s="1045"/>
      <c r="BU34" s="1045"/>
      <c r="BV34" s="1045"/>
      <c r="BW34" s="1045"/>
      <c r="BX34" s="1045"/>
      <c r="BY34" s="1045"/>
      <c r="BZ34" s="1045"/>
      <c r="CA34" s="1045"/>
      <c r="CB34" s="1046"/>
      <c r="CC34" s="114">
        <v>1</v>
      </c>
      <c r="CD34" s="115">
        <v>14400</v>
      </c>
      <c r="CE34" s="115"/>
      <c r="CF34" s="115"/>
      <c r="CG34" s="116">
        <f>CD34+CE34+CF34</f>
        <v>14400</v>
      </c>
    </row>
    <row r="35" spans="1:99" ht="27.6" customHeight="1">
      <c r="A35" s="926">
        <v>25</v>
      </c>
      <c r="B35" s="927"/>
      <c r="C35" s="927"/>
      <c r="D35" s="928"/>
      <c r="E35" s="1065" t="str">
        <f>'стр. 2_8'!A244</f>
        <v>Работы, услуги по содержанию имущества, в т.ч.: (КФО 5 ОБ)</v>
      </c>
      <c r="F35" s="1066"/>
      <c r="G35" s="1066"/>
      <c r="H35" s="1066"/>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6"/>
      <c r="AL35" s="1066"/>
      <c r="AM35" s="1067"/>
      <c r="AN35" s="1087" t="s">
        <v>21</v>
      </c>
      <c r="AO35" s="1088"/>
      <c r="AP35" s="1088"/>
      <c r="AQ35" s="1088"/>
      <c r="AR35" s="1088"/>
      <c r="AS35" s="1088"/>
      <c r="AT35" s="1088"/>
      <c r="AU35" s="1088"/>
      <c r="AV35" s="1088"/>
      <c r="AW35" s="1088"/>
      <c r="AX35" s="1088"/>
      <c r="AY35" s="1088"/>
      <c r="AZ35" s="1088"/>
      <c r="BA35" s="1088"/>
      <c r="BB35" s="1088"/>
      <c r="BC35" s="1089"/>
      <c r="BD35" s="1087" t="s">
        <v>21</v>
      </c>
      <c r="BE35" s="1088"/>
      <c r="BF35" s="1088"/>
      <c r="BG35" s="1088"/>
      <c r="BH35" s="1088"/>
      <c r="BI35" s="1088"/>
      <c r="BJ35" s="1088"/>
      <c r="BK35" s="1088"/>
      <c r="BL35" s="1088"/>
      <c r="BM35" s="1089"/>
      <c r="BN35" s="1044">
        <f>'стр. 2_8'!DR244</f>
        <v>0</v>
      </c>
      <c r="BO35" s="1045"/>
      <c r="BP35" s="1045"/>
      <c r="BQ35" s="1045"/>
      <c r="BR35" s="1045"/>
      <c r="BS35" s="1045"/>
      <c r="BT35" s="1045"/>
      <c r="BU35" s="1045"/>
      <c r="BV35" s="1045"/>
      <c r="BW35" s="1045"/>
      <c r="BX35" s="1045"/>
      <c r="BY35" s="1045"/>
      <c r="BZ35" s="1045"/>
      <c r="CA35" s="1045"/>
      <c r="CB35" s="1046"/>
      <c r="CC35" s="114">
        <v>1</v>
      </c>
      <c r="CD35" s="115">
        <v>5627.95</v>
      </c>
      <c r="CE35" s="115"/>
      <c r="CF35" s="115"/>
      <c r="CG35" s="116">
        <f t="shared" ref="CG35:CG59" si="3">CD35+CE35+CF35</f>
        <v>5627.95</v>
      </c>
    </row>
    <row r="36" spans="1:99" s="255" customFormat="1" ht="23.4" hidden="1" customHeight="1">
      <c r="A36" s="926">
        <v>26</v>
      </c>
      <c r="B36" s="927"/>
      <c r="C36" s="927"/>
      <c r="D36" s="928"/>
      <c r="E36" s="1047">
        <f>'стр. 2_8'!A245</f>
        <v>0</v>
      </c>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9"/>
      <c r="AN36" s="932" t="s">
        <v>21</v>
      </c>
      <c r="AO36" s="933"/>
      <c r="AP36" s="933"/>
      <c r="AQ36" s="933"/>
      <c r="AR36" s="933"/>
      <c r="AS36" s="933"/>
      <c r="AT36" s="933"/>
      <c r="AU36" s="933"/>
      <c r="AV36" s="933"/>
      <c r="AW36" s="933"/>
      <c r="AX36" s="933"/>
      <c r="AY36" s="933"/>
      <c r="AZ36" s="933"/>
      <c r="BA36" s="933"/>
      <c r="BB36" s="933"/>
      <c r="BC36" s="934"/>
      <c r="BD36" s="839"/>
      <c r="BE36" s="840"/>
      <c r="BF36" s="840"/>
      <c r="BG36" s="840"/>
      <c r="BH36" s="840"/>
      <c r="BI36" s="840"/>
      <c r="BJ36" s="840"/>
      <c r="BK36" s="840"/>
      <c r="BL36" s="840"/>
      <c r="BM36" s="841"/>
      <c r="BN36" s="913">
        <f>'стр. 2_8'!DR245</f>
        <v>0</v>
      </c>
      <c r="BO36" s="914"/>
      <c r="BP36" s="914"/>
      <c r="BQ36" s="914"/>
      <c r="BR36" s="914"/>
      <c r="BS36" s="914"/>
      <c r="BT36" s="914"/>
      <c r="BU36" s="914"/>
      <c r="BV36" s="914"/>
      <c r="BW36" s="914"/>
      <c r="BX36" s="914"/>
      <c r="BY36" s="914"/>
      <c r="BZ36" s="914"/>
      <c r="CA36" s="914"/>
      <c r="CB36" s="915"/>
      <c r="CC36" s="255">
        <v>3</v>
      </c>
      <c r="CD36" s="115"/>
      <c r="CE36" s="115">
        <v>17850</v>
      </c>
      <c r="CF36" s="115">
        <v>30259</v>
      </c>
      <c r="CG36" s="115">
        <f t="shared" si="3"/>
        <v>48109</v>
      </c>
    </row>
    <row r="37" spans="1:99" s="255" customFormat="1" ht="20.399999999999999" hidden="1" customHeight="1">
      <c r="A37" s="926">
        <v>2</v>
      </c>
      <c r="B37" s="927"/>
      <c r="C37" s="927"/>
      <c r="D37" s="928"/>
      <c r="E37" s="1047">
        <f>'стр. 2_8'!A246</f>
        <v>0</v>
      </c>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9"/>
      <c r="AN37" s="932" t="s">
        <v>21</v>
      </c>
      <c r="AO37" s="933"/>
      <c r="AP37" s="933"/>
      <c r="AQ37" s="933"/>
      <c r="AR37" s="933"/>
      <c r="AS37" s="933"/>
      <c r="AT37" s="933"/>
      <c r="AU37" s="933"/>
      <c r="AV37" s="933"/>
      <c r="AW37" s="933"/>
      <c r="AX37" s="933"/>
      <c r="AY37" s="933"/>
      <c r="AZ37" s="933"/>
      <c r="BA37" s="933"/>
      <c r="BB37" s="933"/>
      <c r="BC37" s="934"/>
      <c r="BD37" s="839"/>
      <c r="BE37" s="840"/>
      <c r="BF37" s="840"/>
      <c r="BG37" s="840"/>
      <c r="BH37" s="840"/>
      <c r="BI37" s="840"/>
      <c r="BJ37" s="840"/>
      <c r="BK37" s="840"/>
      <c r="BL37" s="840"/>
      <c r="BM37" s="841"/>
      <c r="BN37" s="913">
        <f>'стр. 2_8'!DR246</f>
        <v>0</v>
      </c>
      <c r="BO37" s="914"/>
      <c r="BP37" s="914"/>
      <c r="BQ37" s="914"/>
      <c r="BR37" s="914"/>
      <c r="BS37" s="914"/>
      <c r="BT37" s="914"/>
      <c r="BU37" s="914"/>
      <c r="BV37" s="914"/>
      <c r="BW37" s="914"/>
      <c r="BX37" s="914"/>
      <c r="BY37" s="914"/>
      <c r="BZ37" s="914"/>
      <c r="CA37" s="914"/>
      <c r="CB37" s="915"/>
      <c r="CC37" s="255">
        <v>3</v>
      </c>
      <c r="CD37" s="115"/>
      <c r="CE37" s="115"/>
      <c r="CF37" s="115">
        <v>650</v>
      </c>
      <c r="CG37" s="115">
        <f t="shared" si="3"/>
        <v>650</v>
      </c>
    </row>
    <row r="38" spans="1:99" s="255" customFormat="1" ht="22.2" hidden="1" customHeight="1">
      <c r="A38" s="926">
        <f t="shared" ref="A38:A62" si="4">A37+1</f>
        <v>3</v>
      </c>
      <c r="B38" s="927"/>
      <c r="C38" s="927"/>
      <c r="D38" s="928"/>
      <c r="E38" s="1047">
        <f>'стр. 2_8'!A247</f>
        <v>0</v>
      </c>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9"/>
      <c r="AN38" s="932" t="s">
        <v>21</v>
      </c>
      <c r="AO38" s="933"/>
      <c r="AP38" s="933"/>
      <c r="AQ38" s="933"/>
      <c r="AR38" s="933"/>
      <c r="AS38" s="933"/>
      <c r="AT38" s="933"/>
      <c r="AU38" s="933"/>
      <c r="AV38" s="933"/>
      <c r="AW38" s="933"/>
      <c r="AX38" s="933"/>
      <c r="AY38" s="933"/>
      <c r="AZ38" s="933"/>
      <c r="BA38" s="933"/>
      <c r="BB38" s="933"/>
      <c r="BC38" s="934"/>
      <c r="BD38" s="839"/>
      <c r="BE38" s="840"/>
      <c r="BF38" s="840"/>
      <c r="BG38" s="840"/>
      <c r="BH38" s="840"/>
      <c r="BI38" s="840"/>
      <c r="BJ38" s="840"/>
      <c r="BK38" s="840"/>
      <c r="BL38" s="840"/>
      <c r="BM38" s="841"/>
      <c r="BN38" s="913">
        <f>'стр. 2_8'!DR247</f>
        <v>0</v>
      </c>
      <c r="BO38" s="914"/>
      <c r="BP38" s="914"/>
      <c r="BQ38" s="914"/>
      <c r="BR38" s="914"/>
      <c r="BS38" s="914"/>
      <c r="BT38" s="914"/>
      <c r="BU38" s="914"/>
      <c r="BV38" s="914"/>
      <c r="BW38" s="914"/>
      <c r="BX38" s="914"/>
      <c r="BY38" s="914"/>
      <c r="BZ38" s="914"/>
      <c r="CA38" s="914"/>
      <c r="CB38" s="915"/>
      <c r="CC38" s="255">
        <v>2</v>
      </c>
      <c r="CD38" s="115"/>
      <c r="CE38" s="115">
        <v>34715</v>
      </c>
      <c r="CF38" s="115"/>
      <c r="CG38" s="115">
        <f t="shared" si="3"/>
        <v>34715</v>
      </c>
    </row>
    <row r="39" spans="1:99" s="255" customFormat="1" ht="35.4" hidden="1" customHeight="1">
      <c r="A39" s="926">
        <f t="shared" si="4"/>
        <v>4</v>
      </c>
      <c r="B39" s="927"/>
      <c r="C39" s="927"/>
      <c r="D39" s="928"/>
      <c r="E39" s="1047">
        <f>'стр. 2_8'!A248</f>
        <v>0</v>
      </c>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9"/>
      <c r="AN39" s="932" t="s">
        <v>21</v>
      </c>
      <c r="AO39" s="933"/>
      <c r="AP39" s="933"/>
      <c r="AQ39" s="933"/>
      <c r="AR39" s="933"/>
      <c r="AS39" s="933"/>
      <c r="AT39" s="933"/>
      <c r="AU39" s="933"/>
      <c r="AV39" s="933"/>
      <c r="AW39" s="933"/>
      <c r="AX39" s="933"/>
      <c r="AY39" s="933"/>
      <c r="AZ39" s="933"/>
      <c r="BA39" s="933"/>
      <c r="BB39" s="933"/>
      <c r="BC39" s="934"/>
      <c r="BD39" s="839"/>
      <c r="BE39" s="840"/>
      <c r="BF39" s="840"/>
      <c r="BG39" s="840"/>
      <c r="BH39" s="840"/>
      <c r="BI39" s="840"/>
      <c r="BJ39" s="840"/>
      <c r="BK39" s="840"/>
      <c r="BL39" s="840"/>
      <c r="BM39" s="841"/>
      <c r="BN39" s="913">
        <f>'стр. 2_8'!DR248</f>
        <v>0</v>
      </c>
      <c r="BO39" s="914"/>
      <c r="BP39" s="914"/>
      <c r="BQ39" s="914"/>
      <c r="BR39" s="914"/>
      <c r="BS39" s="914"/>
      <c r="BT39" s="914"/>
      <c r="BU39" s="914"/>
      <c r="BV39" s="914"/>
      <c r="BW39" s="914"/>
      <c r="BX39" s="914"/>
      <c r="BY39" s="914"/>
      <c r="BZ39" s="914"/>
      <c r="CA39" s="914"/>
      <c r="CB39" s="915"/>
      <c r="CC39" s="255">
        <v>2</v>
      </c>
      <c r="CD39" s="115"/>
      <c r="CE39" s="115">
        <v>49059</v>
      </c>
      <c r="CF39" s="115"/>
      <c r="CG39" s="115">
        <f t="shared" si="3"/>
        <v>49059</v>
      </c>
    </row>
    <row r="40" spans="1:99" ht="25.2" customHeight="1">
      <c r="A40" s="926">
        <v>26</v>
      </c>
      <c r="B40" s="927"/>
      <c r="C40" s="927"/>
      <c r="D40" s="928"/>
      <c r="E40" s="1065" t="str">
        <f>'стр. 2_8'!A249</f>
        <v>Работы, услуги по содержанию имущества, в т.ч.: (КФО 5 МБ)</v>
      </c>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c r="AK40" s="1066"/>
      <c r="AL40" s="1066"/>
      <c r="AM40" s="1067"/>
      <c r="AN40" s="1096" t="s">
        <v>21</v>
      </c>
      <c r="AO40" s="1097"/>
      <c r="AP40" s="1097"/>
      <c r="AQ40" s="1097"/>
      <c r="AR40" s="1097"/>
      <c r="AS40" s="1097"/>
      <c r="AT40" s="1097"/>
      <c r="AU40" s="1097"/>
      <c r="AV40" s="1097"/>
      <c r="AW40" s="1097"/>
      <c r="AX40" s="1097"/>
      <c r="AY40" s="1097"/>
      <c r="AZ40" s="1097"/>
      <c r="BA40" s="1097"/>
      <c r="BB40" s="1097"/>
      <c r="BC40" s="1098"/>
      <c r="BD40" s="1087" t="s">
        <v>21</v>
      </c>
      <c r="BE40" s="1088"/>
      <c r="BF40" s="1088"/>
      <c r="BG40" s="1088"/>
      <c r="BH40" s="1088"/>
      <c r="BI40" s="1088"/>
      <c r="BJ40" s="1088"/>
      <c r="BK40" s="1088"/>
      <c r="BL40" s="1088"/>
      <c r="BM40" s="1089"/>
      <c r="BN40" s="1044">
        <f>'стр. 2_8'!DR249</f>
        <v>1000000</v>
      </c>
      <c r="BO40" s="1045"/>
      <c r="BP40" s="1045"/>
      <c r="BQ40" s="1045"/>
      <c r="BR40" s="1045"/>
      <c r="BS40" s="1045"/>
      <c r="BT40" s="1045"/>
      <c r="BU40" s="1045"/>
      <c r="BV40" s="1045"/>
      <c r="BW40" s="1045"/>
      <c r="BX40" s="1045"/>
      <c r="BY40" s="1045"/>
      <c r="BZ40" s="1045"/>
      <c r="CA40" s="1045"/>
      <c r="CB40" s="1046"/>
      <c r="CC40" s="114">
        <v>2</v>
      </c>
      <c r="CD40" s="115"/>
      <c r="CE40" s="115">
        <v>14615</v>
      </c>
      <c r="CF40" s="115"/>
      <c r="CG40" s="116">
        <f t="shared" si="3"/>
        <v>14615</v>
      </c>
    </row>
    <row r="41" spans="1:99" s="255" customFormat="1" ht="29.4" hidden="1" customHeight="1">
      <c r="A41" s="926">
        <v>28</v>
      </c>
      <c r="B41" s="927"/>
      <c r="C41" s="927"/>
      <c r="D41" s="928"/>
      <c r="E41" s="1047" t="str">
        <f>'стр. 2_8'!A250</f>
        <v>Оплата услуг по договору ГПХ (ремонт фасада СДК в с.Каневка) (МЦП 4) (КФО 5 МБ)</v>
      </c>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9"/>
      <c r="AN41" s="932" t="s">
        <v>21</v>
      </c>
      <c r="AO41" s="933"/>
      <c r="AP41" s="933"/>
      <c r="AQ41" s="933"/>
      <c r="AR41" s="933"/>
      <c r="AS41" s="933"/>
      <c r="AT41" s="933"/>
      <c r="AU41" s="933"/>
      <c r="AV41" s="933"/>
      <c r="AW41" s="933"/>
      <c r="AX41" s="933"/>
      <c r="AY41" s="933"/>
      <c r="AZ41" s="933"/>
      <c r="BA41" s="933"/>
      <c r="BB41" s="933"/>
      <c r="BC41" s="934"/>
      <c r="BD41" s="839">
        <v>0</v>
      </c>
      <c r="BE41" s="840"/>
      <c r="BF41" s="840"/>
      <c r="BG41" s="840"/>
      <c r="BH41" s="840"/>
      <c r="BI41" s="840"/>
      <c r="BJ41" s="840"/>
      <c r="BK41" s="840"/>
      <c r="BL41" s="840"/>
      <c r="BM41" s="841"/>
      <c r="BN41" s="913">
        <f>'стр. 2_8'!DR250</f>
        <v>0</v>
      </c>
      <c r="BO41" s="914"/>
      <c r="BP41" s="914"/>
      <c r="BQ41" s="914"/>
      <c r="BR41" s="914"/>
      <c r="BS41" s="914"/>
      <c r="BT41" s="914"/>
      <c r="BU41" s="914"/>
      <c r="BV41" s="914"/>
      <c r="BW41" s="914"/>
      <c r="BX41" s="914"/>
      <c r="BY41" s="914"/>
      <c r="BZ41" s="914"/>
      <c r="CA41" s="914"/>
      <c r="CB41" s="915"/>
      <c r="CC41" s="255">
        <v>2</v>
      </c>
      <c r="CD41" s="115"/>
      <c r="CE41" s="115">
        <v>6000</v>
      </c>
      <c r="CF41" s="115"/>
      <c r="CG41" s="115">
        <f t="shared" si="3"/>
        <v>6000</v>
      </c>
    </row>
    <row r="42" spans="1:99" s="255" customFormat="1" ht="22.2" hidden="1" customHeight="1">
      <c r="A42" s="926">
        <v>29</v>
      </c>
      <c r="B42" s="927"/>
      <c r="C42" s="927"/>
      <c r="D42" s="928"/>
      <c r="E42" s="1047" t="str">
        <f>'стр. 2_8'!A251</f>
        <v>Разработка энергетического паспорта здания ЦРДК (МЦП 3) (КФО 5 МБ)</v>
      </c>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9"/>
      <c r="AN42" s="932" t="s">
        <v>21</v>
      </c>
      <c r="AO42" s="933"/>
      <c r="AP42" s="933"/>
      <c r="AQ42" s="933"/>
      <c r="AR42" s="933"/>
      <c r="AS42" s="933"/>
      <c r="AT42" s="933"/>
      <c r="AU42" s="933"/>
      <c r="AV42" s="933"/>
      <c r="AW42" s="933"/>
      <c r="AX42" s="933"/>
      <c r="AY42" s="933"/>
      <c r="AZ42" s="933"/>
      <c r="BA42" s="933"/>
      <c r="BB42" s="933"/>
      <c r="BC42" s="934"/>
      <c r="BD42" s="839">
        <v>1</v>
      </c>
      <c r="BE42" s="840"/>
      <c r="BF42" s="840"/>
      <c r="BG42" s="840"/>
      <c r="BH42" s="840"/>
      <c r="BI42" s="840"/>
      <c r="BJ42" s="840"/>
      <c r="BK42" s="840"/>
      <c r="BL42" s="840"/>
      <c r="BM42" s="841"/>
      <c r="BN42" s="913">
        <f>'стр. 2_8'!DR251</f>
        <v>0</v>
      </c>
      <c r="BO42" s="914"/>
      <c r="BP42" s="914"/>
      <c r="BQ42" s="914"/>
      <c r="BR42" s="914"/>
      <c r="BS42" s="914"/>
      <c r="BT42" s="914"/>
      <c r="BU42" s="914"/>
      <c r="BV42" s="914"/>
      <c r="BW42" s="914"/>
      <c r="BX42" s="914"/>
      <c r="BY42" s="914"/>
      <c r="BZ42" s="914"/>
      <c r="CA42" s="914"/>
      <c r="CB42" s="915"/>
      <c r="CC42" s="255">
        <v>2</v>
      </c>
      <c r="CD42" s="115"/>
      <c r="CE42" s="115"/>
      <c r="CF42" s="115"/>
      <c r="CG42" s="115">
        <f t="shared" si="3"/>
        <v>0</v>
      </c>
    </row>
    <row r="43" spans="1:99" ht="22.8" customHeight="1">
      <c r="A43" s="926">
        <v>27</v>
      </c>
      <c r="B43" s="927"/>
      <c r="C43" s="927"/>
      <c r="D43" s="928"/>
      <c r="E43" s="1047" t="str">
        <f>'стр. 2_8'!A252</f>
        <v>Текущий ремонт Краснощельского ЭКЦ (МЦП 4) (КФО 5 МБ)</v>
      </c>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9"/>
      <c r="AN43" s="932" t="s">
        <v>21</v>
      </c>
      <c r="AO43" s="933"/>
      <c r="AP43" s="933"/>
      <c r="AQ43" s="933"/>
      <c r="AR43" s="933"/>
      <c r="AS43" s="933"/>
      <c r="AT43" s="933"/>
      <c r="AU43" s="933"/>
      <c r="AV43" s="933"/>
      <c r="AW43" s="933"/>
      <c r="AX43" s="933"/>
      <c r="AY43" s="933"/>
      <c r="AZ43" s="933"/>
      <c r="BA43" s="933"/>
      <c r="BB43" s="933"/>
      <c r="BC43" s="934"/>
      <c r="BD43" s="839">
        <v>2</v>
      </c>
      <c r="BE43" s="840"/>
      <c r="BF43" s="840"/>
      <c r="BG43" s="840"/>
      <c r="BH43" s="840"/>
      <c r="BI43" s="840"/>
      <c r="BJ43" s="840"/>
      <c r="BK43" s="840"/>
      <c r="BL43" s="840"/>
      <c r="BM43" s="841"/>
      <c r="BN43" s="913">
        <f>'стр. 2_8'!DR252</f>
        <v>1000000</v>
      </c>
      <c r="BO43" s="914"/>
      <c r="BP43" s="914"/>
      <c r="BQ43" s="914"/>
      <c r="BR43" s="914"/>
      <c r="BS43" s="914"/>
      <c r="BT43" s="914"/>
      <c r="BU43" s="914"/>
      <c r="BV43" s="914"/>
      <c r="BW43" s="914"/>
      <c r="BX43" s="914"/>
      <c r="BY43" s="914"/>
      <c r="BZ43" s="914"/>
      <c r="CA43" s="914"/>
      <c r="CB43" s="915"/>
      <c r="CC43" s="114">
        <v>2</v>
      </c>
      <c r="CD43" s="115"/>
      <c r="CE43" s="115"/>
      <c r="CF43" s="115"/>
      <c r="CG43" s="116">
        <f t="shared" si="3"/>
        <v>0</v>
      </c>
    </row>
    <row r="44" spans="1:99" s="255" customFormat="1" ht="21.6" hidden="1" customHeight="1">
      <c r="A44" s="926">
        <f t="shared" si="4"/>
        <v>28</v>
      </c>
      <c r="B44" s="927"/>
      <c r="C44" s="927"/>
      <c r="D44" s="928"/>
      <c r="E44" s="1047">
        <f>'стр. 2_8'!A253</f>
        <v>0</v>
      </c>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9"/>
      <c r="AN44" s="932" t="s">
        <v>21</v>
      </c>
      <c r="AO44" s="933"/>
      <c r="AP44" s="933"/>
      <c r="AQ44" s="933"/>
      <c r="AR44" s="933"/>
      <c r="AS44" s="933"/>
      <c r="AT44" s="933"/>
      <c r="AU44" s="933"/>
      <c r="AV44" s="933"/>
      <c r="AW44" s="933"/>
      <c r="AX44" s="933"/>
      <c r="AY44" s="933"/>
      <c r="AZ44" s="933"/>
      <c r="BA44" s="933"/>
      <c r="BB44" s="933"/>
      <c r="BC44" s="934"/>
      <c r="BD44" s="839"/>
      <c r="BE44" s="840"/>
      <c r="BF44" s="840"/>
      <c r="BG44" s="840"/>
      <c r="BH44" s="840"/>
      <c r="BI44" s="840"/>
      <c r="BJ44" s="840"/>
      <c r="BK44" s="840"/>
      <c r="BL44" s="840"/>
      <c r="BM44" s="841"/>
      <c r="BN44" s="913">
        <f>'стр. 2_8'!DR253</f>
        <v>0</v>
      </c>
      <c r="BO44" s="914"/>
      <c r="BP44" s="914"/>
      <c r="BQ44" s="914"/>
      <c r="BR44" s="914"/>
      <c r="BS44" s="914"/>
      <c r="BT44" s="914"/>
      <c r="BU44" s="914"/>
      <c r="BV44" s="914"/>
      <c r="BW44" s="914"/>
      <c r="BX44" s="914"/>
      <c r="BY44" s="914"/>
      <c r="BZ44" s="914"/>
      <c r="CA44" s="914"/>
      <c r="CB44" s="915"/>
      <c r="CC44" s="255">
        <v>1</v>
      </c>
      <c r="CD44" s="115"/>
      <c r="CE44" s="115"/>
      <c r="CF44" s="115">
        <v>13000</v>
      </c>
      <c r="CG44" s="115">
        <f t="shared" si="3"/>
        <v>13000</v>
      </c>
      <c r="CH44" s="255">
        <v>226</v>
      </c>
    </row>
    <row r="45" spans="1:99" s="255" customFormat="1" ht="23.4" hidden="1" customHeight="1">
      <c r="A45" s="926">
        <f t="shared" si="4"/>
        <v>29</v>
      </c>
      <c r="B45" s="927"/>
      <c r="C45" s="927"/>
      <c r="D45" s="928"/>
      <c r="E45" s="1047">
        <f>'стр. 2_8'!A254</f>
        <v>0</v>
      </c>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9"/>
      <c r="AN45" s="932" t="s">
        <v>21</v>
      </c>
      <c r="AO45" s="933"/>
      <c r="AP45" s="933"/>
      <c r="AQ45" s="933"/>
      <c r="AR45" s="933"/>
      <c r="AS45" s="933"/>
      <c r="AT45" s="933"/>
      <c r="AU45" s="933"/>
      <c r="AV45" s="933"/>
      <c r="AW45" s="933"/>
      <c r="AX45" s="933"/>
      <c r="AY45" s="933"/>
      <c r="AZ45" s="933"/>
      <c r="BA45" s="933"/>
      <c r="BB45" s="933"/>
      <c r="BC45" s="934"/>
      <c r="BD45" s="839"/>
      <c r="BE45" s="840"/>
      <c r="BF45" s="840"/>
      <c r="BG45" s="840"/>
      <c r="BH45" s="840"/>
      <c r="BI45" s="840"/>
      <c r="BJ45" s="840"/>
      <c r="BK45" s="840"/>
      <c r="BL45" s="840"/>
      <c r="BM45" s="841"/>
      <c r="BN45" s="913">
        <f>'стр. 2_8'!DR254</f>
        <v>0</v>
      </c>
      <c r="BO45" s="914"/>
      <c r="BP45" s="914"/>
      <c r="BQ45" s="914"/>
      <c r="BR45" s="914"/>
      <c r="BS45" s="914"/>
      <c r="BT45" s="914"/>
      <c r="BU45" s="914"/>
      <c r="BV45" s="914"/>
      <c r="BW45" s="914"/>
      <c r="BX45" s="914"/>
      <c r="BY45" s="914"/>
      <c r="BZ45" s="914"/>
      <c r="CA45" s="914"/>
      <c r="CB45" s="915"/>
      <c r="CC45" s="255">
        <v>3</v>
      </c>
      <c r="CD45" s="115"/>
      <c r="CE45" s="115">
        <v>44000</v>
      </c>
      <c r="CF45" s="115"/>
      <c r="CG45" s="115">
        <f t="shared" si="3"/>
        <v>44000</v>
      </c>
    </row>
    <row r="46" spans="1:99" s="255" customFormat="1" ht="24" hidden="1" customHeight="1">
      <c r="A46" s="926">
        <f t="shared" si="4"/>
        <v>30</v>
      </c>
      <c r="B46" s="927"/>
      <c r="C46" s="927"/>
      <c r="D46" s="928"/>
      <c r="E46" s="1047">
        <f>'стр. 2_8'!A255</f>
        <v>0</v>
      </c>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9"/>
      <c r="AN46" s="932" t="s">
        <v>21</v>
      </c>
      <c r="AO46" s="933"/>
      <c r="AP46" s="933"/>
      <c r="AQ46" s="933"/>
      <c r="AR46" s="933"/>
      <c r="AS46" s="933"/>
      <c r="AT46" s="933"/>
      <c r="AU46" s="933"/>
      <c r="AV46" s="933"/>
      <c r="AW46" s="933"/>
      <c r="AX46" s="933"/>
      <c r="AY46" s="933"/>
      <c r="AZ46" s="933"/>
      <c r="BA46" s="933"/>
      <c r="BB46" s="933"/>
      <c r="BC46" s="934"/>
      <c r="BD46" s="839"/>
      <c r="BE46" s="840"/>
      <c r="BF46" s="840"/>
      <c r="BG46" s="840"/>
      <c r="BH46" s="840"/>
      <c r="BI46" s="840"/>
      <c r="BJ46" s="840"/>
      <c r="BK46" s="840"/>
      <c r="BL46" s="840"/>
      <c r="BM46" s="841"/>
      <c r="BN46" s="913">
        <f>'стр. 2_8'!DR255</f>
        <v>0</v>
      </c>
      <c r="BO46" s="914"/>
      <c r="BP46" s="914"/>
      <c r="BQ46" s="914"/>
      <c r="BR46" s="914"/>
      <c r="BS46" s="914"/>
      <c r="BT46" s="914"/>
      <c r="BU46" s="914"/>
      <c r="BV46" s="914"/>
      <c r="BW46" s="914"/>
      <c r="BX46" s="914"/>
      <c r="BY46" s="914"/>
      <c r="BZ46" s="914"/>
      <c r="CA46" s="914"/>
      <c r="CB46" s="915"/>
      <c r="CC46" s="255">
        <v>3</v>
      </c>
      <c r="CD46" s="115"/>
      <c r="CE46" s="115">
        <v>44000</v>
      </c>
      <c r="CF46" s="115"/>
      <c r="CG46" s="115">
        <f t="shared" si="3"/>
        <v>44000</v>
      </c>
    </row>
    <row r="47" spans="1:99" s="255" customFormat="1" ht="23.4" hidden="1" customHeight="1">
      <c r="A47" s="926">
        <f t="shared" si="4"/>
        <v>31</v>
      </c>
      <c r="B47" s="927"/>
      <c r="C47" s="927"/>
      <c r="D47" s="928"/>
      <c r="E47" s="1047">
        <f>'стр. 2_8'!A256</f>
        <v>0</v>
      </c>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9"/>
      <c r="AN47" s="932" t="s">
        <v>21</v>
      </c>
      <c r="AO47" s="933"/>
      <c r="AP47" s="933"/>
      <c r="AQ47" s="933"/>
      <c r="AR47" s="933"/>
      <c r="AS47" s="933"/>
      <c r="AT47" s="933"/>
      <c r="AU47" s="933"/>
      <c r="AV47" s="933"/>
      <c r="AW47" s="933"/>
      <c r="AX47" s="933"/>
      <c r="AY47" s="933"/>
      <c r="AZ47" s="933"/>
      <c r="BA47" s="933"/>
      <c r="BB47" s="933"/>
      <c r="BC47" s="934"/>
      <c r="BD47" s="839"/>
      <c r="BE47" s="840"/>
      <c r="BF47" s="840"/>
      <c r="BG47" s="840"/>
      <c r="BH47" s="840"/>
      <c r="BI47" s="840"/>
      <c r="BJ47" s="840"/>
      <c r="BK47" s="840"/>
      <c r="BL47" s="840"/>
      <c r="BM47" s="841"/>
      <c r="BN47" s="913">
        <f>'стр. 2_8'!DR256</f>
        <v>0</v>
      </c>
      <c r="BO47" s="914"/>
      <c r="BP47" s="914"/>
      <c r="BQ47" s="914"/>
      <c r="BR47" s="914"/>
      <c r="BS47" s="914"/>
      <c r="BT47" s="914"/>
      <c r="BU47" s="914"/>
      <c r="BV47" s="914"/>
      <c r="BW47" s="914"/>
      <c r="BX47" s="914"/>
      <c r="BY47" s="914"/>
      <c r="BZ47" s="914"/>
      <c r="CA47" s="914"/>
      <c r="CB47" s="915"/>
      <c r="CC47" s="255">
        <v>1</v>
      </c>
      <c r="CD47" s="115">
        <v>140616</v>
      </c>
      <c r="CE47" s="115"/>
      <c r="CF47" s="115"/>
      <c r="CG47" s="115">
        <f t="shared" si="3"/>
        <v>140616</v>
      </c>
    </row>
    <row r="48" spans="1:99" ht="24" customHeight="1">
      <c r="A48" s="926">
        <v>28</v>
      </c>
      <c r="B48" s="927"/>
      <c r="C48" s="927"/>
      <c r="D48" s="928"/>
      <c r="E48" s="1065" t="str">
        <f>'стр. 2_8'!A257</f>
        <v>Работы, услуги по содержанию имущества, в т.ч.: (КФО 2)</v>
      </c>
      <c r="F48" s="1066"/>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6"/>
      <c r="AL48" s="1066"/>
      <c r="AM48" s="1067"/>
      <c r="AN48" s="1096" t="s">
        <v>21</v>
      </c>
      <c r="AO48" s="1097"/>
      <c r="AP48" s="1097"/>
      <c r="AQ48" s="1097"/>
      <c r="AR48" s="1097"/>
      <c r="AS48" s="1097"/>
      <c r="AT48" s="1097"/>
      <c r="AU48" s="1097"/>
      <c r="AV48" s="1097"/>
      <c r="AW48" s="1097"/>
      <c r="AX48" s="1097"/>
      <c r="AY48" s="1097"/>
      <c r="AZ48" s="1097"/>
      <c r="BA48" s="1097"/>
      <c r="BB48" s="1097"/>
      <c r="BC48" s="1098"/>
      <c r="BD48" s="1087" t="s">
        <v>21</v>
      </c>
      <c r="BE48" s="1088"/>
      <c r="BF48" s="1088"/>
      <c r="BG48" s="1088"/>
      <c r="BH48" s="1088"/>
      <c r="BI48" s="1088"/>
      <c r="BJ48" s="1088"/>
      <c r="BK48" s="1088"/>
      <c r="BL48" s="1088"/>
      <c r="BM48" s="1089"/>
      <c r="BN48" s="1044">
        <f>'стр. 2_8'!DR257</f>
        <v>141650</v>
      </c>
      <c r="BO48" s="1045"/>
      <c r="BP48" s="1045"/>
      <c r="BQ48" s="1045"/>
      <c r="BR48" s="1045"/>
      <c r="BS48" s="1045"/>
      <c r="BT48" s="1045"/>
      <c r="BU48" s="1045"/>
      <c r="BV48" s="1045"/>
      <c r="BW48" s="1045"/>
      <c r="BX48" s="1045"/>
      <c r="BY48" s="1045"/>
      <c r="BZ48" s="1045"/>
      <c r="CA48" s="1045"/>
      <c r="CB48" s="1046"/>
      <c r="CC48" s="114">
        <v>1</v>
      </c>
      <c r="CD48" s="115">
        <v>216130</v>
      </c>
      <c r="CE48" s="115"/>
      <c r="CF48" s="115"/>
      <c r="CG48" s="116">
        <f t="shared" si="3"/>
        <v>216130</v>
      </c>
    </row>
    <row r="49" spans="1:99" s="255" customFormat="1" ht="24.6" customHeight="1">
      <c r="A49" s="926">
        <v>29</v>
      </c>
      <c r="B49" s="927"/>
      <c r="C49" s="927"/>
      <c r="D49" s="928"/>
      <c r="E49" s="1047" t="str">
        <f>'стр. 2_8'!A258</f>
        <v>Вывоз крупногабаритного мусора (КФО 2)</v>
      </c>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9"/>
      <c r="AN49" s="932" t="s">
        <v>21</v>
      </c>
      <c r="AO49" s="933"/>
      <c r="AP49" s="933"/>
      <c r="AQ49" s="933"/>
      <c r="AR49" s="933"/>
      <c r="AS49" s="933"/>
      <c r="AT49" s="933"/>
      <c r="AU49" s="933"/>
      <c r="AV49" s="933"/>
      <c r="AW49" s="933"/>
      <c r="AX49" s="933"/>
      <c r="AY49" s="933"/>
      <c r="AZ49" s="933"/>
      <c r="BA49" s="933"/>
      <c r="BB49" s="933"/>
      <c r="BC49" s="934"/>
      <c r="BD49" s="839">
        <v>2</v>
      </c>
      <c r="BE49" s="840"/>
      <c r="BF49" s="840"/>
      <c r="BG49" s="840"/>
      <c r="BH49" s="840"/>
      <c r="BI49" s="840"/>
      <c r="BJ49" s="840"/>
      <c r="BK49" s="840"/>
      <c r="BL49" s="840"/>
      <c r="BM49" s="841"/>
      <c r="BN49" s="913">
        <f>'стр. 2_8'!DR258</f>
        <v>7000</v>
      </c>
      <c r="BO49" s="914"/>
      <c r="BP49" s="914"/>
      <c r="BQ49" s="914"/>
      <c r="BR49" s="914"/>
      <c r="BS49" s="914"/>
      <c r="BT49" s="914"/>
      <c r="BU49" s="914"/>
      <c r="BV49" s="914"/>
      <c r="BW49" s="914"/>
      <c r="BX49" s="914"/>
      <c r="BY49" s="914"/>
      <c r="BZ49" s="914"/>
      <c r="CA49" s="914"/>
      <c r="CB49" s="915"/>
      <c r="CC49" s="255">
        <v>1</v>
      </c>
      <c r="CD49" s="115"/>
      <c r="CE49" s="115"/>
      <c r="CF49" s="115">
        <v>46872</v>
      </c>
      <c r="CG49" s="115">
        <f t="shared" si="3"/>
        <v>46872</v>
      </c>
    </row>
    <row r="50" spans="1:99" s="255" customFormat="1" ht="24" customHeight="1">
      <c r="A50" s="926">
        <v>30</v>
      </c>
      <c r="B50" s="927"/>
      <c r="C50" s="927"/>
      <c r="D50" s="928"/>
      <c r="E50" s="1047" t="str">
        <f>'стр. 2_8'!A259</f>
        <v>Ремонт оборудования  (КФО 2)</v>
      </c>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9"/>
      <c r="AN50" s="932" t="s">
        <v>21</v>
      </c>
      <c r="AO50" s="933"/>
      <c r="AP50" s="933"/>
      <c r="AQ50" s="933"/>
      <c r="AR50" s="933"/>
      <c r="AS50" s="933"/>
      <c r="AT50" s="933"/>
      <c r="AU50" s="933"/>
      <c r="AV50" s="933"/>
      <c r="AW50" s="933"/>
      <c r="AX50" s="933"/>
      <c r="AY50" s="933"/>
      <c r="AZ50" s="933"/>
      <c r="BA50" s="933"/>
      <c r="BB50" s="933"/>
      <c r="BC50" s="934"/>
      <c r="BD50" s="839">
        <v>5</v>
      </c>
      <c r="BE50" s="840"/>
      <c r="BF50" s="840"/>
      <c r="BG50" s="840"/>
      <c r="BH50" s="840"/>
      <c r="BI50" s="840"/>
      <c r="BJ50" s="840"/>
      <c r="BK50" s="840"/>
      <c r="BL50" s="840"/>
      <c r="BM50" s="841"/>
      <c r="BN50" s="913">
        <f>'стр. 2_8'!DR259</f>
        <v>20000</v>
      </c>
      <c r="BO50" s="914"/>
      <c r="BP50" s="914"/>
      <c r="BQ50" s="914"/>
      <c r="BR50" s="914"/>
      <c r="BS50" s="914"/>
      <c r="BT50" s="914"/>
      <c r="BU50" s="914"/>
      <c r="BV50" s="914"/>
      <c r="BW50" s="914"/>
      <c r="BX50" s="914"/>
      <c r="BY50" s="914"/>
      <c r="BZ50" s="914"/>
      <c r="CA50" s="914"/>
      <c r="CB50" s="915"/>
      <c r="CC50" s="255">
        <v>1</v>
      </c>
      <c r="CD50" s="115">
        <v>240000</v>
      </c>
      <c r="CE50" s="115"/>
      <c r="CF50" s="115"/>
      <c r="CG50" s="115">
        <f t="shared" si="3"/>
        <v>240000</v>
      </c>
    </row>
    <row r="51" spans="1:99" s="255" customFormat="1" ht="26.4" customHeight="1">
      <c r="A51" s="926">
        <v>31</v>
      </c>
      <c r="B51" s="927"/>
      <c r="C51" s="927"/>
      <c r="D51" s="928"/>
      <c r="E51" s="1047" t="str">
        <f>'стр. 2_8'!A260</f>
        <v>Заправка картриджей, замена барабанов (КФО 2)</v>
      </c>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9"/>
      <c r="AN51" s="932" t="s">
        <v>21</v>
      </c>
      <c r="AO51" s="933"/>
      <c r="AP51" s="933"/>
      <c r="AQ51" s="933"/>
      <c r="AR51" s="933"/>
      <c r="AS51" s="933"/>
      <c r="AT51" s="933"/>
      <c r="AU51" s="933"/>
      <c r="AV51" s="933"/>
      <c r="AW51" s="933"/>
      <c r="AX51" s="933"/>
      <c r="AY51" s="933"/>
      <c r="AZ51" s="933"/>
      <c r="BA51" s="933"/>
      <c r="BB51" s="933"/>
      <c r="BC51" s="934"/>
      <c r="BD51" s="839">
        <v>3</v>
      </c>
      <c r="BE51" s="840"/>
      <c r="BF51" s="840"/>
      <c r="BG51" s="840"/>
      <c r="BH51" s="840"/>
      <c r="BI51" s="840"/>
      <c r="BJ51" s="840"/>
      <c r="BK51" s="840"/>
      <c r="BL51" s="840"/>
      <c r="BM51" s="841"/>
      <c r="BN51" s="913">
        <f>'стр. 2_8'!DR260</f>
        <v>15000</v>
      </c>
      <c r="BO51" s="914"/>
      <c r="BP51" s="914"/>
      <c r="BQ51" s="914"/>
      <c r="BR51" s="914"/>
      <c r="BS51" s="914"/>
      <c r="BT51" s="914"/>
      <c r="BU51" s="914"/>
      <c r="BV51" s="914"/>
      <c r="BW51" s="914"/>
      <c r="BX51" s="914"/>
      <c r="BY51" s="914"/>
      <c r="BZ51" s="914"/>
      <c r="CA51" s="914"/>
      <c r="CB51" s="915"/>
      <c r="CC51" s="255">
        <v>4</v>
      </c>
      <c r="CD51" s="115"/>
      <c r="CE51" s="115"/>
      <c r="CF51" s="115">
        <v>80000</v>
      </c>
      <c r="CG51" s="115">
        <f t="shared" si="3"/>
        <v>80000</v>
      </c>
    </row>
    <row r="52" spans="1:99" s="255" customFormat="1" ht="33" hidden="1" customHeight="1">
      <c r="A52" s="926">
        <f t="shared" si="4"/>
        <v>32</v>
      </c>
      <c r="B52" s="927"/>
      <c r="C52" s="927"/>
      <c r="D52" s="928"/>
      <c r="E52" s="1047">
        <f>'стр. 2_8'!A261</f>
        <v>0</v>
      </c>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8"/>
      <c r="AI52" s="1048"/>
      <c r="AJ52" s="1048"/>
      <c r="AK52" s="1048"/>
      <c r="AL52" s="1048"/>
      <c r="AM52" s="1049"/>
      <c r="AN52" s="839" t="s">
        <v>21</v>
      </c>
      <c r="AO52" s="840"/>
      <c r="AP52" s="840"/>
      <c r="AQ52" s="840"/>
      <c r="AR52" s="840"/>
      <c r="AS52" s="840"/>
      <c r="AT52" s="840"/>
      <c r="AU52" s="840"/>
      <c r="AV52" s="840"/>
      <c r="AW52" s="840"/>
      <c r="AX52" s="840"/>
      <c r="AY52" s="840"/>
      <c r="AZ52" s="840"/>
      <c r="BA52" s="840"/>
      <c r="BB52" s="840"/>
      <c r="BC52" s="841"/>
      <c r="BD52" s="839"/>
      <c r="BE52" s="840"/>
      <c r="BF52" s="840"/>
      <c r="BG52" s="840"/>
      <c r="BH52" s="840"/>
      <c r="BI52" s="840"/>
      <c r="BJ52" s="840"/>
      <c r="BK52" s="840"/>
      <c r="BL52" s="840"/>
      <c r="BM52" s="841"/>
      <c r="BN52" s="913">
        <f>'стр. 2_8'!DR261</f>
        <v>0</v>
      </c>
      <c r="BO52" s="914"/>
      <c r="BP52" s="914"/>
      <c r="BQ52" s="914"/>
      <c r="BR52" s="914"/>
      <c r="BS52" s="914"/>
      <c r="BT52" s="914"/>
      <c r="BU52" s="914"/>
      <c r="BV52" s="914"/>
      <c r="BW52" s="914"/>
      <c r="BX52" s="914"/>
      <c r="BY52" s="914"/>
      <c r="BZ52" s="914"/>
      <c r="CA52" s="914"/>
      <c r="CB52" s="915"/>
      <c r="CD52" s="115"/>
      <c r="CE52" s="115"/>
      <c r="CF52" s="115"/>
      <c r="CG52" s="115">
        <f t="shared" si="3"/>
        <v>0</v>
      </c>
      <c r="CH52" s="255">
        <v>226</v>
      </c>
      <c r="CR52" s="115"/>
      <c r="CS52" s="115"/>
      <c r="CT52" s="115"/>
      <c r="CU52" s="115"/>
    </row>
    <row r="53" spans="1:99" s="255" customFormat="1" ht="21" customHeight="1">
      <c r="A53" s="926">
        <v>32</v>
      </c>
      <c r="B53" s="927"/>
      <c r="C53" s="927"/>
      <c r="D53" s="928"/>
      <c r="E53" s="1047" t="str">
        <f>'стр. 2_8'!A262</f>
        <v>Замена радиаторов в кабинетах коллективов клубных формирований (МЦП 4) (КФО 2)</v>
      </c>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8"/>
      <c r="AI53" s="1048"/>
      <c r="AJ53" s="1048"/>
      <c r="AK53" s="1048"/>
      <c r="AL53" s="1048"/>
      <c r="AM53" s="1049"/>
      <c r="AN53" s="932" t="s">
        <v>21</v>
      </c>
      <c r="AO53" s="933"/>
      <c r="AP53" s="933"/>
      <c r="AQ53" s="933"/>
      <c r="AR53" s="933"/>
      <c r="AS53" s="933"/>
      <c r="AT53" s="933"/>
      <c r="AU53" s="933"/>
      <c r="AV53" s="933"/>
      <c r="AW53" s="933"/>
      <c r="AX53" s="933"/>
      <c r="AY53" s="933"/>
      <c r="AZ53" s="933"/>
      <c r="BA53" s="933"/>
      <c r="BB53" s="933"/>
      <c r="BC53" s="934"/>
      <c r="BD53" s="839">
        <v>1</v>
      </c>
      <c r="BE53" s="840"/>
      <c r="BF53" s="840"/>
      <c r="BG53" s="840"/>
      <c r="BH53" s="840"/>
      <c r="BI53" s="840"/>
      <c r="BJ53" s="840"/>
      <c r="BK53" s="840"/>
      <c r="BL53" s="840"/>
      <c r="BM53" s="841"/>
      <c r="BN53" s="913">
        <f>'стр. 2_8'!DR262</f>
        <v>40000</v>
      </c>
      <c r="BO53" s="914"/>
      <c r="BP53" s="914"/>
      <c r="BQ53" s="914"/>
      <c r="BR53" s="914"/>
      <c r="BS53" s="914"/>
      <c r="BT53" s="914"/>
      <c r="BU53" s="914"/>
      <c r="BV53" s="914"/>
      <c r="BW53" s="914"/>
      <c r="BX53" s="914"/>
      <c r="BY53" s="914"/>
      <c r="BZ53" s="914"/>
      <c r="CA53" s="914"/>
      <c r="CB53" s="915"/>
      <c r="CD53" s="115"/>
      <c r="CE53" s="115"/>
      <c r="CF53" s="115"/>
      <c r="CG53" s="115">
        <f t="shared" si="3"/>
        <v>0</v>
      </c>
      <c r="CH53" s="255">
        <v>226</v>
      </c>
      <c r="CR53" s="115"/>
      <c r="CS53" s="115"/>
      <c r="CT53" s="115"/>
      <c r="CU53" s="115"/>
    </row>
    <row r="54" spans="1:99" s="255" customFormat="1" ht="22.2" hidden="1" customHeight="1">
      <c r="A54" s="926">
        <f t="shared" si="4"/>
        <v>33</v>
      </c>
      <c r="B54" s="927"/>
      <c r="C54" s="927"/>
      <c r="D54" s="928"/>
      <c r="E54" s="1047">
        <f>'стр. 2_8'!A263</f>
        <v>0</v>
      </c>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c r="AF54" s="1048"/>
      <c r="AG54" s="1048"/>
      <c r="AH54" s="1048"/>
      <c r="AI54" s="1048"/>
      <c r="AJ54" s="1048"/>
      <c r="AK54" s="1048"/>
      <c r="AL54" s="1048"/>
      <c r="AM54" s="1049"/>
      <c r="AN54" s="932" t="s">
        <v>21</v>
      </c>
      <c r="AO54" s="933"/>
      <c r="AP54" s="933"/>
      <c r="AQ54" s="933"/>
      <c r="AR54" s="933"/>
      <c r="AS54" s="933"/>
      <c r="AT54" s="933"/>
      <c r="AU54" s="933"/>
      <c r="AV54" s="933"/>
      <c r="AW54" s="933"/>
      <c r="AX54" s="933"/>
      <c r="AY54" s="933"/>
      <c r="AZ54" s="933"/>
      <c r="BA54" s="933"/>
      <c r="BB54" s="933"/>
      <c r="BC54" s="934"/>
      <c r="BD54" s="839"/>
      <c r="BE54" s="840"/>
      <c r="BF54" s="840"/>
      <c r="BG54" s="840"/>
      <c r="BH54" s="840"/>
      <c r="BI54" s="840"/>
      <c r="BJ54" s="840"/>
      <c r="BK54" s="840"/>
      <c r="BL54" s="840"/>
      <c r="BM54" s="841"/>
      <c r="BN54" s="913">
        <f>'стр. 2_8'!DR263</f>
        <v>0</v>
      </c>
      <c r="BO54" s="914"/>
      <c r="BP54" s="914"/>
      <c r="BQ54" s="914"/>
      <c r="BR54" s="914"/>
      <c r="BS54" s="914"/>
      <c r="BT54" s="914"/>
      <c r="BU54" s="914"/>
      <c r="BV54" s="914"/>
      <c r="BW54" s="914"/>
      <c r="BX54" s="914"/>
      <c r="BY54" s="914"/>
      <c r="BZ54" s="914"/>
      <c r="CA54" s="914"/>
      <c r="CB54" s="915"/>
      <c r="CD54" s="115"/>
      <c r="CE54" s="115"/>
      <c r="CF54" s="115"/>
      <c r="CG54" s="115">
        <f t="shared" si="3"/>
        <v>0</v>
      </c>
      <c r="CH54" s="255">
        <v>226</v>
      </c>
      <c r="CR54" s="115"/>
      <c r="CS54" s="115"/>
      <c r="CT54" s="115"/>
      <c r="CU54" s="115"/>
    </row>
    <row r="55" spans="1:99" s="255" customFormat="1" ht="21.6" hidden="1" customHeight="1">
      <c r="A55" s="926">
        <f t="shared" si="4"/>
        <v>34</v>
      </c>
      <c r="B55" s="927"/>
      <c r="C55" s="927"/>
      <c r="D55" s="928"/>
      <c r="E55" s="1047">
        <f>'стр. 2_8'!A264</f>
        <v>0</v>
      </c>
      <c r="F55" s="1048"/>
      <c r="G55" s="1048"/>
      <c r="H55" s="1048"/>
      <c r="I55" s="1048"/>
      <c r="J55" s="1048"/>
      <c r="K55" s="1048"/>
      <c r="L55" s="1048"/>
      <c r="M55" s="1048"/>
      <c r="N55" s="1048"/>
      <c r="O55" s="1048"/>
      <c r="P55" s="1048"/>
      <c r="Q55" s="1048"/>
      <c r="R55" s="1048"/>
      <c r="S55" s="1048"/>
      <c r="T55" s="1048"/>
      <c r="U55" s="1048"/>
      <c r="V55" s="1048"/>
      <c r="W55" s="1048"/>
      <c r="X55" s="1048"/>
      <c r="Y55" s="1048"/>
      <c r="Z55" s="1048"/>
      <c r="AA55" s="1048"/>
      <c r="AB55" s="1048"/>
      <c r="AC55" s="1048"/>
      <c r="AD55" s="1048"/>
      <c r="AE55" s="1048"/>
      <c r="AF55" s="1048"/>
      <c r="AG55" s="1048"/>
      <c r="AH55" s="1048"/>
      <c r="AI55" s="1048"/>
      <c r="AJ55" s="1048"/>
      <c r="AK55" s="1048"/>
      <c r="AL55" s="1048"/>
      <c r="AM55" s="1049"/>
      <c r="AN55" s="932" t="s">
        <v>21</v>
      </c>
      <c r="AO55" s="933"/>
      <c r="AP55" s="933"/>
      <c r="AQ55" s="933"/>
      <c r="AR55" s="933"/>
      <c r="AS55" s="933"/>
      <c r="AT55" s="933"/>
      <c r="AU55" s="933"/>
      <c r="AV55" s="933"/>
      <c r="AW55" s="933"/>
      <c r="AX55" s="933"/>
      <c r="AY55" s="933"/>
      <c r="AZ55" s="933"/>
      <c r="BA55" s="933"/>
      <c r="BB55" s="933"/>
      <c r="BC55" s="934"/>
      <c r="BD55" s="839"/>
      <c r="BE55" s="840"/>
      <c r="BF55" s="840"/>
      <c r="BG55" s="840"/>
      <c r="BH55" s="840"/>
      <c r="BI55" s="840"/>
      <c r="BJ55" s="840"/>
      <c r="BK55" s="840"/>
      <c r="BL55" s="840"/>
      <c r="BM55" s="841"/>
      <c r="BN55" s="913">
        <f>'стр. 2_8'!DR264</f>
        <v>0</v>
      </c>
      <c r="BO55" s="914"/>
      <c r="BP55" s="914"/>
      <c r="BQ55" s="914"/>
      <c r="BR55" s="914"/>
      <c r="BS55" s="914"/>
      <c r="BT55" s="914"/>
      <c r="BU55" s="914"/>
      <c r="BV55" s="914"/>
      <c r="BW55" s="914"/>
      <c r="BX55" s="914"/>
      <c r="BY55" s="914"/>
      <c r="BZ55" s="914"/>
      <c r="CA55" s="914"/>
      <c r="CB55" s="915"/>
      <c r="CG55" s="115">
        <f t="shared" si="3"/>
        <v>0</v>
      </c>
      <c r="CR55" s="115"/>
      <c r="CS55" s="115"/>
      <c r="CT55" s="115"/>
      <c r="CU55" s="115"/>
    </row>
    <row r="56" spans="1:99" s="255" customFormat="1" ht="24" hidden="1" customHeight="1">
      <c r="A56" s="926">
        <v>34</v>
      </c>
      <c r="B56" s="927"/>
      <c r="C56" s="927"/>
      <c r="D56" s="928"/>
      <c r="E56" s="1047" t="str">
        <f>'стр. 2_8'!A265</f>
        <v>Оказание метрологичеких работ и услуг(поверка манометров и расходомеров)  (КФО 2)</v>
      </c>
      <c r="F56" s="1048"/>
      <c r="G56" s="1048"/>
      <c r="H56" s="1048"/>
      <c r="I56" s="1048"/>
      <c r="J56" s="1048"/>
      <c r="K56" s="1048"/>
      <c r="L56" s="1048"/>
      <c r="M56" s="1048"/>
      <c r="N56" s="1048"/>
      <c r="O56" s="1048"/>
      <c r="P56" s="1048"/>
      <c r="Q56" s="1048"/>
      <c r="R56" s="1048"/>
      <c r="S56" s="1048"/>
      <c r="T56" s="1048"/>
      <c r="U56" s="1048"/>
      <c r="V56" s="1048"/>
      <c r="W56" s="1048"/>
      <c r="X56" s="1048"/>
      <c r="Y56" s="1048"/>
      <c r="Z56" s="1048"/>
      <c r="AA56" s="1048"/>
      <c r="AB56" s="1048"/>
      <c r="AC56" s="1048"/>
      <c r="AD56" s="1048"/>
      <c r="AE56" s="1048"/>
      <c r="AF56" s="1048"/>
      <c r="AG56" s="1048"/>
      <c r="AH56" s="1048"/>
      <c r="AI56" s="1048"/>
      <c r="AJ56" s="1048"/>
      <c r="AK56" s="1048"/>
      <c r="AL56" s="1048"/>
      <c r="AM56" s="1049"/>
      <c r="AN56" s="932" t="s">
        <v>21</v>
      </c>
      <c r="AO56" s="933"/>
      <c r="AP56" s="933"/>
      <c r="AQ56" s="933"/>
      <c r="AR56" s="933"/>
      <c r="AS56" s="933"/>
      <c r="AT56" s="933"/>
      <c r="AU56" s="933"/>
      <c r="AV56" s="933"/>
      <c r="AW56" s="933"/>
      <c r="AX56" s="933"/>
      <c r="AY56" s="933"/>
      <c r="AZ56" s="933"/>
      <c r="BA56" s="933"/>
      <c r="BB56" s="933"/>
      <c r="BC56" s="934"/>
      <c r="BD56" s="839">
        <v>1</v>
      </c>
      <c r="BE56" s="840"/>
      <c r="BF56" s="840"/>
      <c r="BG56" s="840"/>
      <c r="BH56" s="840"/>
      <c r="BI56" s="840"/>
      <c r="BJ56" s="840"/>
      <c r="BK56" s="840"/>
      <c r="BL56" s="840"/>
      <c r="BM56" s="841"/>
      <c r="BN56" s="913">
        <f>'стр. 2_8'!DR265</f>
        <v>0</v>
      </c>
      <c r="BO56" s="914"/>
      <c r="BP56" s="914"/>
      <c r="BQ56" s="914"/>
      <c r="BR56" s="914"/>
      <c r="BS56" s="914"/>
      <c r="BT56" s="914"/>
      <c r="BU56" s="914"/>
      <c r="BV56" s="914"/>
      <c r="BW56" s="914"/>
      <c r="BX56" s="914"/>
      <c r="BY56" s="914"/>
      <c r="BZ56" s="914"/>
      <c r="CA56" s="914"/>
      <c r="CB56" s="915"/>
      <c r="CG56" s="115">
        <f t="shared" si="3"/>
        <v>0</v>
      </c>
      <c r="CR56" s="115"/>
      <c r="CS56" s="115"/>
      <c r="CT56" s="115"/>
      <c r="CU56" s="115"/>
    </row>
    <row r="57" spans="1:99" s="255" customFormat="1" ht="22.2" customHeight="1">
      <c r="A57" s="926">
        <v>33</v>
      </c>
      <c r="B57" s="927"/>
      <c r="C57" s="927"/>
      <c r="D57" s="928"/>
      <c r="E57" s="1047" t="str">
        <f>'стр. 2_8'!A266</f>
        <v>Оплата услуг по обслуживанию стадиона по договору ГПХ  (каток) (КФО 2 МБ)</v>
      </c>
      <c r="F57" s="1048"/>
      <c r="G57" s="1048"/>
      <c r="H57" s="1048"/>
      <c r="I57" s="1048"/>
      <c r="J57" s="1048"/>
      <c r="K57" s="1048"/>
      <c r="L57" s="1048"/>
      <c r="M57" s="1048"/>
      <c r="N57" s="1048"/>
      <c r="O57" s="1048"/>
      <c r="P57" s="1048"/>
      <c r="Q57" s="1048"/>
      <c r="R57" s="1048"/>
      <c r="S57" s="1048"/>
      <c r="T57" s="1048"/>
      <c r="U57" s="1048"/>
      <c r="V57" s="1048"/>
      <c r="W57" s="1048"/>
      <c r="X57" s="1048"/>
      <c r="Y57" s="1048"/>
      <c r="Z57" s="1048"/>
      <c r="AA57" s="1048"/>
      <c r="AB57" s="1048"/>
      <c r="AC57" s="1048"/>
      <c r="AD57" s="1048"/>
      <c r="AE57" s="1048"/>
      <c r="AF57" s="1048"/>
      <c r="AG57" s="1048"/>
      <c r="AH57" s="1048"/>
      <c r="AI57" s="1048"/>
      <c r="AJ57" s="1048"/>
      <c r="AK57" s="1048"/>
      <c r="AL57" s="1048"/>
      <c r="AM57" s="1049"/>
      <c r="AN57" s="932" t="s">
        <v>21</v>
      </c>
      <c r="AO57" s="933"/>
      <c r="AP57" s="933"/>
      <c r="AQ57" s="933"/>
      <c r="AR57" s="933"/>
      <c r="AS57" s="933"/>
      <c r="AT57" s="933"/>
      <c r="AU57" s="933"/>
      <c r="AV57" s="933"/>
      <c r="AW57" s="933"/>
      <c r="AX57" s="933"/>
      <c r="AY57" s="933"/>
      <c r="AZ57" s="933"/>
      <c r="BA57" s="933"/>
      <c r="BB57" s="933"/>
      <c r="BC57" s="934"/>
      <c r="BD57" s="839">
        <v>5</v>
      </c>
      <c r="BE57" s="840"/>
      <c r="BF57" s="840"/>
      <c r="BG57" s="840"/>
      <c r="BH57" s="840"/>
      <c r="BI57" s="840"/>
      <c r="BJ57" s="840"/>
      <c r="BK57" s="840"/>
      <c r="BL57" s="840"/>
      <c r="BM57" s="841"/>
      <c r="BN57" s="913">
        <f>'стр. 2_8'!DR266</f>
        <v>56700</v>
      </c>
      <c r="BO57" s="914"/>
      <c r="BP57" s="914"/>
      <c r="BQ57" s="914"/>
      <c r="BR57" s="914"/>
      <c r="BS57" s="914"/>
      <c r="BT57" s="914"/>
      <c r="BU57" s="914"/>
      <c r="BV57" s="914"/>
      <c r="BW57" s="914"/>
      <c r="BX57" s="914"/>
      <c r="BY57" s="914"/>
      <c r="BZ57" s="914"/>
      <c r="CA57" s="914"/>
      <c r="CB57" s="915"/>
      <c r="CG57" s="115">
        <f t="shared" si="3"/>
        <v>0</v>
      </c>
      <c r="CR57" s="115"/>
      <c r="CS57" s="115"/>
      <c r="CT57" s="115"/>
      <c r="CU57" s="115"/>
    </row>
    <row r="58" spans="1:99" s="255" customFormat="1" ht="25.2" hidden="1" customHeight="1">
      <c r="A58" s="926">
        <v>36</v>
      </c>
      <c r="B58" s="927"/>
      <c r="C58" s="927"/>
      <c r="D58" s="928"/>
      <c r="E58" s="1047" t="str">
        <f>'стр. 2_8'!A267</f>
        <v>Замена прибора учета (КФО 2)</v>
      </c>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048"/>
      <c r="AM58" s="1049"/>
      <c r="AN58" s="932" t="s">
        <v>21</v>
      </c>
      <c r="AO58" s="933"/>
      <c r="AP58" s="933"/>
      <c r="AQ58" s="933"/>
      <c r="AR58" s="933"/>
      <c r="AS58" s="933"/>
      <c r="AT58" s="933"/>
      <c r="AU58" s="933"/>
      <c r="AV58" s="933"/>
      <c r="AW58" s="933"/>
      <c r="AX58" s="933"/>
      <c r="AY58" s="933"/>
      <c r="AZ58" s="933"/>
      <c r="BA58" s="933"/>
      <c r="BB58" s="933"/>
      <c r="BC58" s="934"/>
      <c r="BD58" s="839">
        <v>1</v>
      </c>
      <c r="BE58" s="840"/>
      <c r="BF58" s="840"/>
      <c r="BG58" s="840"/>
      <c r="BH58" s="840"/>
      <c r="BI58" s="840"/>
      <c r="BJ58" s="840"/>
      <c r="BK58" s="840"/>
      <c r="BL58" s="840"/>
      <c r="BM58" s="841"/>
      <c r="BN58" s="913">
        <f>'стр. 2_8'!DR267</f>
        <v>0</v>
      </c>
      <c r="BO58" s="914"/>
      <c r="BP58" s="914"/>
      <c r="BQ58" s="914"/>
      <c r="BR58" s="914"/>
      <c r="BS58" s="914"/>
      <c r="BT58" s="914"/>
      <c r="BU58" s="914"/>
      <c r="BV58" s="914"/>
      <c r="BW58" s="914"/>
      <c r="BX58" s="914"/>
      <c r="BY58" s="914"/>
      <c r="BZ58" s="914"/>
      <c r="CA58" s="914"/>
      <c r="CB58" s="915"/>
      <c r="CG58" s="115">
        <f t="shared" si="3"/>
        <v>0</v>
      </c>
      <c r="CR58" s="115"/>
      <c r="CS58" s="115"/>
      <c r="CT58" s="115"/>
      <c r="CU58" s="115"/>
    </row>
    <row r="59" spans="1:99" s="255" customFormat="1" ht="27.6" customHeight="1">
      <c r="A59" s="926">
        <v>34</v>
      </c>
      <c r="B59" s="927"/>
      <c r="C59" s="927"/>
      <c r="D59" s="928"/>
      <c r="E59" s="1047" t="str">
        <f>'стр. 2_8'!A268</f>
        <v>Настройка музыкальных инструментов (КФО 2)</v>
      </c>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8"/>
      <c r="AE59" s="1048"/>
      <c r="AF59" s="1048"/>
      <c r="AG59" s="1048"/>
      <c r="AH59" s="1048"/>
      <c r="AI59" s="1048"/>
      <c r="AJ59" s="1048"/>
      <c r="AK59" s="1048"/>
      <c r="AL59" s="1048"/>
      <c r="AM59" s="1049"/>
      <c r="AN59" s="932" t="s">
        <v>21</v>
      </c>
      <c r="AO59" s="933"/>
      <c r="AP59" s="933"/>
      <c r="AQ59" s="933"/>
      <c r="AR59" s="933"/>
      <c r="AS59" s="933"/>
      <c r="AT59" s="933"/>
      <c r="AU59" s="933"/>
      <c r="AV59" s="933"/>
      <c r="AW59" s="933"/>
      <c r="AX59" s="933"/>
      <c r="AY59" s="933"/>
      <c r="AZ59" s="933"/>
      <c r="BA59" s="933"/>
      <c r="BB59" s="933"/>
      <c r="BC59" s="934"/>
      <c r="BD59" s="839"/>
      <c r="BE59" s="840"/>
      <c r="BF59" s="840"/>
      <c r="BG59" s="840"/>
      <c r="BH59" s="840"/>
      <c r="BI59" s="840"/>
      <c r="BJ59" s="840"/>
      <c r="BK59" s="840"/>
      <c r="BL59" s="840"/>
      <c r="BM59" s="841"/>
      <c r="BN59" s="913">
        <f>'стр. 2_8'!DR268</f>
        <v>2950</v>
      </c>
      <c r="BO59" s="914"/>
      <c r="BP59" s="914"/>
      <c r="BQ59" s="914"/>
      <c r="BR59" s="914"/>
      <c r="BS59" s="914"/>
      <c r="BT59" s="914"/>
      <c r="BU59" s="914"/>
      <c r="BV59" s="914"/>
      <c r="BW59" s="914"/>
      <c r="BX59" s="914"/>
      <c r="BY59" s="914"/>
      <c r="BZ59" s="914"/>
      <c r="CA59" s="914"/>
      <c r="CB59" s="915"/>
      <c r="CG59" s="115">
        <f t="shared" si="3"/>
        <v>0</v>
      </c>
      <c r="CR59" s="115"/>
      <c r="CS59" s="115"/>
      <c r="CT59" s="115"/>
      <c r="CU59" s="115"/>
    </row>
    <row r="60" spans="1:99" s="255" customFormat="1" ht="21" hidden="1" customHeight="1">
      <c r="A60" s="926">
        <f t="shared" si="4"/>
        <v>35</v>
      </c>
      <c r="B60" s="927"/>
      <c r="C60" s="927"/>
      <c r="D60" s="928"/>
      <c r="E60" s="1047">
        <f>'стр. 2_8'!A269</f>
        <v>0</v>
      </c>
      <c r="F60" s="1048"/>
      <c r="G60" s="1048"/>
      <c r="H60" s="1048"/>
      <c r="I60" s="1048"/>
      <c r="J60" s="1048"/>
      <c r="K60" s="1048"/>
      <c r="L60" s="1048"/>
      <c r="M60" s="1048"/>
      <c r="N60" s="1048"/>
      <c r="O60" s="1048"/>
      <c r="P60" s="1048"/>
      <c r="Q60" s="1048"/>
      <c r="R60" s="1048"/>
      <c r="S60" s="1048"/>
      <c r="T60" s="1048"/>
      <c r="U60" s="1048"/>
      <c r="V60" s="1048"/>
      <c r="W60" s="1048"/>
      <c r="X60" s="1048"/>
      <c r="Y60" s="1048"/>
      <c r="Z60" s="1048"/>
      <c r="AA60" s="1048"/>
      <c r="AB60" s="1048"/>
      <c r="AC60" s="1048"/>
      <c r="AD60" s="1048"/>
      <c r="AE60" s="1048"/>
      <c r="AF60" s="1048"/>
      <c r="AG60" s="1048"/>
      <c r="AH60" s="1048"/>
      <c r="AI60" s="1048"/>
      <c r="AJ60" s="1048"/>
      <c r="AK60" s="1048"/>
      <c r="AL60" s="1048"/>
      <c r="AM60" s="1049"/>
      <c r="AN60" s="932" t="s">
        <v>21</v>
      </c>
      <c r="AO60" s="933"/>
      <c r="AP60" s="933"/>
      <c r="AQ60" s="933"/>
      <c r="AR60" s="933"/>
      <c r="AS60" s="933"/>
      <c r="AT60" s="933"/>
      <c r="AU60" s="933"/>
      <c r="AV60" s="933"/>
      <c r="AW60" s="933"/>
      <c r="AX60" s="933"/>
      <c r="AY60" s="933"/>
      <c r="AZ60" s="933"/>
      <c r="BA60" s="933"/>
      <c r="BB60" s="933"/>
      <c r="BC60" s="934"/>
      <c r="BD60" s="839"/>
      <c r="BE60" s="840"/>
      <c r="BF60" s="840"/>
      <c r="BG60" s="840"/>
      <c r="BH60" s="840"/>
      <c r="BI60" s="840"/>
      <c r="BJ60" s="840"/>
      <c r="BK60" s="840"/>
      <c r="BL60" s="840"/>
      <c r="BM60" s="841"/>
      <c r="BN60" s="913">
        <f>'стр. 2_8'!DR269</f>
        <v>0</v>
      </c>
      <c r="BO60" s="914"/>
      <c r="BP60" s="914"/>
      <c r="BQ60" s="914"/>
      <c r="BR60" s="914"/>
      <c r="BS60" s="914"/>
      <c r="BT60" s="914"/>
      <c r="BU60" s="914"/>
      <c r="BV60" s="914"/>
      <c r="BW60" s="914"/>
      <c r="BX60" s="914"/>
      <c r="BY60" s="914"/>
      <c r="BZ60" s="914"/>
      <c r="CA60" s="914"/>
      <c r="CB60" s="915"/>
      <c r="CD60" s="115"/>
      <c r="CE60" s="115"/>
      <c r="CF60" s="115"/>
      <c r="CG60" s="115">
        <f t="shared" ref="CG60:CG62" si="5">CD60+CE60+CF60</f>
        <v>0</v>
      </c>
      <c r="CH60" s="255">
        <v>226</v>
      </c>
      <c r="CR60" s="115"/>
      <c r="CS60" s="115"/>
      <c r="CT60" s="115"/>
      <c r="CU60" s="115"/>
    </row>
    <row r="61" spans="1:99" s="255" customFormat="1" ht="22.2" hidden="1" customHeight="1">
      <c r="A61" s="926">
        <f t="shared" si="4"/>
        <v>36</v>
      </c>
      <c r="B61" s="927"/>
      <c r="C61" s="927"/>
      <c r="D61" s="928"/>
      <c r="E61" s="1047">
        <f>'стр. 2_8'!A270</f>
        <v>0</v>
      </c>
      <c r="F61" s="1048"/>
      <c r="G61" s="1048"/>
      <c r="H61" s="1048"/>
      <c r="I61" s="1048"/>
      <c r="J61" s="1048"/>
      <c r="K61" s="1048"/>
      <c r="L61" s="1048"/>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9"/>
      <c r="AN61" s="932" t="s">
        <v>21</v>
      </c>
      <c r="AO61" s="933"/>
      <c r="AP61" s="933"/>
      <c r="AQ61" s="933"/>
      <c r="AR61" s="933"/>
      <c r="AS61" s="933"/>
      <c r="AT61" s="933"/>
      <c r="AU61" s="933"/>
      <c r="AV61" s="933"/>
      <c r="AW61" s="933"/>
      <c r="AX61" s="933"/>
      <c r="AY61" s="933"/>
      <c r="AZ61" s="933"/>
      <c r="BA61" s="933"/>
      <c r="BB61" s="933"/>
      <c r="BC61" s="934"/>
      <c r="BD61" s="839"/>
      <c r="BE61" s="840"/>
      <c r="BF61" s="840"/>
      <c r="BG61" s="840"/>
      <c r="BH61" s="840"/>
      <c r="BI61" s="840"/>
      <c r="BJ61" s="840"/>
      <c r="BK61" s="840"/>
      <c r="BL61" s="840"/>
      <c r="BM61" s="841"/>
      <c r="BN61" s="913">
        <f>'стр. 2_8'!DR270</f>
        <v>0</v>
      </c>
      <c r="BO61" s="914"/>
      <c r="BP61" s="914"/>
      <c r="BQ61" s="914"/>
      <c r="BR61" s="914"/>
      <c r="BS61" s="914"/>
      <c r="BT61" s="914"/>
      <c r="BU61" s="914"/>
      <c r="BV61" s="914"/>
      <c r="BW61" s="914"/>
      <c r="BX61" s="914"/>
      <c r="BY61" s="914"/>
      <c r="BZ61" s="914"/>
      <c r="CA61" s="914"/>
      <c r="CB61" s="915"/>
      <c r="CD61" s="115"/>
      <c r="CE61" s="115"/>
      <c r="CF61" s="115"/>
      <c r="CG61" s="115">
        <f t="shared" si="5"/>
        <v>0</v>
      </c>
      <c r="CH61" s="255">
        <v>226</v>
      </c>
      <c r="CR61" s="115"/>
      <c r="CS61" s="115"/>
      <c r="CT61" s="115"/>
      <c r="CU61" s="115"/>
    </row>
    <row r="62" spans="1:99" s="255" customFormat="1" ht="21.6" hidden="1" customHeight="1">
      <c r="A62" s="926">
        <f t="shared" si="4"/>
        <v>37</v>
      </c>
      <c r="B62" s="927"/>
      <c r="C62" s="927"/>
      <c r="D62" s="928"/>
      <c r="E62" s="1047">
        <f>'стр. 2_8'!A271</f>
        <v>0</v>
      </c>
      <c r="F62" s="1048"/>
      <c r="G62" s="1048"/>
      <c r="H62" s="1048"/>
      <c r="I62" s="1048"/>
      <c r="J62" s="1048"/>
      <c r="K62" s="1048"/>
      <c r="L62" s="1048"/>
      <c r="M62" s="1048"/>
      <c r="N62" s="1048"/>
      <c r="O62" s="1048"/>
      <c r="P62" s="1048"/>
      <c r="Q62" s="1048"/>
      <c r="R62" s="1048"/>
      <c r="S62" s="1048"/>
      <c r="T62" s="1048"/>
      <c r="U62" s="1048"/>
      <c r="V62" s="1048"/>
      <c r="W62" s="1048"/>
      <c r="X62" s="1048"/>
      <c r="Y62" s="1048"/>
      <c r="Z62" s="1048"/>
      <c r="AA62" s="1048"/>
      <c r="AB62" s="1048"/>
      <c r="AC62" s="1048"/>
      <c r="AD62" s="1048"/>
      <c r="AE62" s="1048"/>
      <c r="AF62" s="1048"/>
      <c r="AG62" s="1048"/>
      <c r="AH62" s="1048"/>
      <c r="AI62" s="1048"/>
      <c r="AJ62" s="1048"/>
      <c r="AK62" s="1048"/>
      <c r="AL62" s="1048"/>
      <c r="AM62" s="1049"/>
      <c r="AN62" s="932" t="s">
        <v>21</v>
      </c>
      <c r="AO62" s="933"/>
      <c r="AP62" s="933"/>
      <c r="AQ62" s="933"/>
      <c r="AR62" s="933"/>
      <c r="AS62" s="933"/>
      <c r="AT62" s="933"/>
      <c r="AU62" s="933"/>
      <c r="AV62" s="933"/>
      <c r="AW62" s="933"/>
      <c r="AX62" s="933"/>
      <c r="AY62" s="933"/>
      <c r="AZ62" s="933"/>
      <c r="BA62" s="933"/>
      <c r="BB62" s="933"/>
      <c r="BC62" s="934"/>
      <c r="BD62" s="839"/>
      <c r="BE62" s="840"/>
      <c r="BF62" s="840"/>
      <c r="BG62" s="840"/>
      <c r="BH62" s="840"/>
      <c r="BI62" s="840"/>
      <c r="BJ62" s="840"/>
      <c r="BK62" s="840"/>
      <c r="BL62" s="840"/>
      <c r="BM62" s="841"/>
      <c r="BN62" s="913">
        <f>'стр. 2_8'!DR271</f>
        <v>0</v>
      </c>
      <c r="BO62" s="914"/>
      <c r="BP62" s="914"/>
      <c r="BQ62" s="914"/>
      <c r="BR62" s="914"/>
      <c r="BS62" s="914"/>
      <c r="BT62" s="914"/>
      <c r="BU62" s="914"/>
      <c r="BV62" s="914"/>
      <c r="BW62" s="914"/>
      <c r="BX62" s="914"/>
      <c r="BY62" s="914"/>
      <c r="BZ62" s="914"/>
      <c r="CA62" s="914"/>
      <c r="CB62" s="915"/>
      <c r="CG62" s="115">
        <f t="shared" si="5"/>
        <v>0</v>
      </c>
      <c r="CR62" s="115"/>
      <c r="CS62" s="115"/>
      <c r="CT62" s="115"/>
      <c r="CU62" s="115"/>
    </row>
    <row r="63" spans="1:99" ht="17.100000000000001" customHeight="1">
      <c r="A63" s="920"/>
      <c r="B63" s="921"/>
      <c r="C63" s="921"/>
      <c r="D63" s="922"/>
      <c r="E63" s="839" t="s">
        <v>262</v>
      </c>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1"/>
      <c r="AN63" s="926" t="s">
        <v>21</v>
      </c>
      <c r="AO63" s="927"/>
      <c r="AP63" s="927"/>
      <c r="AQ63" s="927"/>
      <c r="AR63" s="927"/>
      <c r="AS63" s="927"/>
      <c r="AT63" s="927"/>
      <c r="AU63" s="927"/>
      <c r="AV63" s="927"/>
      <c r="AW63" s="927"/>
      <c r="AX63" s="927"/>
      <c r="AY63" s="927"/>
      <c r="AZ63" s="927"/>
      <c r="BA63" s="927"/>
      <c r="BB63" s="927"/>
      <c r="BC63" s="928"/>
      <c r="BD63" s="950" t="s">
        <v>21</v>
      </c>
      <c r="BE63" s="951"/>
      <c r="BF63" s="951"/>
      <c r="BG63" s="951"/>
      <c r="BH63" s="951"/>
      <c r="BI63" s="951"/>
      <c r="BJ63" s="951"/>
      <c r="BK63" s="951"/>
      <c r="BL63" s="951"/>
      <c r="BM63" s="952"/>
      <c r="BN63" s="1044">
        <f>BN48+BN34+BN7</f>
        <v>2066792.45</v>
      </c>
      <c r="BO63" s="1085"/>
      <c r="BP63" s="1085"/>
      <c r="BQ63" s="1085"/>
      <c r="BR63" s="1085"/>
      <c r="BS63" s="1085"/>
      <c r="BT63" s="1085"/>
      <c r="BU63" s="1085"/>
      <c r="BV63" s="1085"/>
      <c r="BW63" s="1085"/>
      <c r="BX63" s="1085"/>
      <c r="BY63" s="1085"/>
      <c r="BZ63" s="1085"/>
      <c r="CA63" s="1085"/>
      <c r="CB63" s="1086"/>
      <c r="CD63" s="116">
        <f>SUM(CD34:CD59)</f>
        <v>616773.94999999995</v>
      </c>
      <c r="CE63" s="116">
        <f>SUM(CE34:CE59)</f>
        <v>210239</v>
      </c>
      <c r="CF63" s="116">
        <f>SUM(CF34:CF59)</f>
        <v>170781</v>
      </c>
      <c r="CG63" s="116">
        <f>SUM(CG34:CG59)</f>
        <v>997793.95</v>
      </c>
      <c r="CP63" s="115">
        <f>BN63-'[2]Пок по пост и выб'!D64</f>
        <v>924133.45</v>
      </c>
      <c r="CR63" s="115"/>
      <c r="CS63" s="115"/>
      <c r="CT63" s="115"/>
      <c r="CU63" s="115"/>
    </row>
    <row r="64" spans="1:99" s="112" customFormat="1" ht="17.100000000000001" customHeight="1">
      <c r="CR64" s="204"/>
      <c r="CS64" s="204"/>
      <c r="CT64" s="204"/>
      <c r="CU64" s="204"/>
    </row>
    <row r="65" spans="1:99" s="200" customFormat="1" ht="17.100000000000001" customHeight="1">
      <c r="A65" s="959" t="s">
        <v>529</v>
      </c>
      <c r="B65" s="959"/>
      <c r="C65" s="959"/>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959"/>
      <c r="AB65" s="959"/>
      <c r="AC65" s="959"/>
      <c r="AD65" s="959"/>
      <c r="AE65" s="959"/>
      <c r="AF65" s="959"/>
      <c r="AG65" s="959"/>
      <c r="AH65" s="959"/>
      <c r="AI65" s="959"/>
      <c r="AJ65" s="959"/>
      <c r="AK65" s="959"/>
      <c r="AL65" s="959"/>
      <c r="AM65" s="959"/>
      <c r="AN65" s="959"/>
      <c r="AO65" s="959"/>
      <c r="AP65" s="959"/>
      <c r="AQ65" s="959"/>
      <c r="AR65" s="959"/>
      <c r="AS65" s="959"/>
      <c r="AT65" s="959"/>
      <c r="AU65" s="959"/>
      <c r="AV65" s="959"/>
      <c r="AW65" s="959"/>
      <c r="AX65" s="959"/>
      <c r="AY65" s="959"/>
      <c r="AZ65" s="959"/>
      <c r="BA65" s="959"/>
      <c r="BB65" s="959"/>
      <c r="BC65" s="959"/>
      <c r="BD65" s="959"/>
      <c r="BE65" s="959"/>
      <c r="BF65" s="959"/>
      <c r="BG65" s="959"/>
      <c r="BH65" s="959"/>
      <c r="BI65" s="959"/>
      <c r="BJ65" s="959"/>
      <c r="BK65" s="959"/>
      <c r="BL65" s="959"/>
      <c r="BM65" s="959"/>
      <c r="BN65" s="959"/>
      <c r="BO65" s="959"/>
      <c r="BP65" s="959"/>
      <c r="BQ65" s="959"/>
      <c r="BR65" s="959"/>
      <c r="BS65" s="959"/>
      <c r="BT65" s="959"/>
      <c r="BU65" s="959"/>
      <c r="BV65" s="959"/>
      <c r="BW65" s="959"/>
      <c r="BX65" s="959"/>
      <c r="BY65" s="959"/>
      <c r="BZ65" s="959"/>
      <c r="CA65" s="959"/>
      <c r="CB65" s="959"/>
      <c r="CQ65" s="112"/>
      <c r="CR65" s="204"/>
      <c r="CS65" s="114"/>
      <c r="CT65" s="114"/>
      <c r="CU65" s="114"/>
    </row>
    <row r="66" spans="1:99" s="202" customFormat="1" ht="17.100000000000001" customHeight="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114" t="s">
        <v>586</v>
      </c>
      <c r="CD66" s="114">
        <v>4</v>
      </c>
      <c r="CE66" s="114">
        <v>5</v>
      </c>
      <c r="CF66" s="114">
        <v>2</v>
      </c>
      <c r="CG66" s="212" t="s">
        <v>587</v>
      </c>
      <c r="CQ66" s="114"/>
      <c r="CR66" s="115"/>
      <c r="CS66" s="115"/>
      <c r="CT66" s="115"/>
      <c r="CU66" s="115"/>
    </row>
    <row r="67" spans="1:99" ht="10.199999999999999" customHeight="1">
      <c r="A67" s="1053" t="s">
        <v>583</v>
      </c>
      <c r="B67" s="1054"/>
      <c r="C67" s="1054"/>
      <c r="D67" s="1055"/>
      <c r="E67" s="962" t="s">
        <v>422</v>
      </c>
      <c r="F67" s="963"/>
      <c r="G67" s="963"/>
      <c r="H67" s="963"/>
      <c r="I67" s="963"/>
      <c r="J67" s="963"/>
      <c r="K67" s="963"/>
      <c r="L67" s="963"/>
      <c r="M67" s="963"/>
      <c r="N67" s="963"/>
      <c r="O67" s="963"/>
      <c r="P67" s="963"/>
      <c r="Q67" s="963"/>
      <c r="R67" s="963"/>
      <c r="S67" s="963"/>
      <c r="T67" s="963"/>
      <c r="U67" s="963"/>
      <c r="V67" s="963"/>
      <c r="W67" s="963"/>
      <c r="X67" s="963"/>
      <c r="Y67" s="963"/>
      <c r="Z67" s="963"/>
      <c r="AA67" s="963"/>
      <c r="AB67" s="963"/>
      <c r="AC67" s="963"/>
      <c r="AD67" s="963"/>
      <c r="AE67" s="963"/>
      <c r="AF67" s="963"/>
      <c r="AG67" s="963"/>
      <c r="AH67" s="963"/>
      <c r="AI67" s="963"/>
      <c r="AJ67" s="963"/>
      <c r="AK67" s="963"/>
      <c r="AL67" s="963"/>
      <c r="AM67" s="963"/>
      <c r="AN67" s="963"/>
      <c r="AO67" s="963"/>
      <c r="AP67" s="963"/>
      <c r="AQ67" s="963"/>
      <c r="AR67" s="963"/>
      <c r="AS67" s="963"/>
      <c r="AT67" s="963"/>
      <c r="AU67" s="963"/>
      <c r="AV67" s="963"/>
      <c r="AW67" s="963"/>
      <c r="AX67" s="963"/>
      <c r="AY67" s="963"/>
      <c r="AZ67" s="963"/>
      <c r="BA67" s="963"/>
      <c r="BB67" s="963"/>
      <c r="BC67" s="964"/>
      <c r="BD67" s="1053" t="s">
        <v>588</v>
      </c>
      <c r="BE67" s="1054"/>
      <c r="BF67" s="1054"/>
      <c r="BG67" s="1054"/>
      <c r="BH67" s="1054"/>
      <c r="BI67" s="1054"/>
      <c r="BJ67" s="1054"/>
      <c r="BK67" s="1054"/>
      <c r="BL67" s="1054"/>
      <c r="BM67" s="1055"/>
      <c r="BN67" s="1053" t="s">
        <v>585</v>
      </c>
      <c r="BO67" s="1054"/>
      <c r="BP67" s="1054"/>
      <c r="BQ67" s="1054"/>
      <c r="BR67" s="1054"/>
      <c r="BS67" s="1054"/>
      <c r="BT67" s="1054"/>
      <c r="BU67" s="1054"/>
      <c r="BV67" s="1054"/>
      <c r="BW67" s="1054"/>
      <c r="BX67" s="1054"/>
      <c r="BY67" s="1054"/>
      <c r="BZ67" s="1054"/>
      <c r="CA67" s="1054"/>
      <c r="CB67" s="1055"/>
      <c r="CG67" s="212"/>
      <c r="CR67" s="115"/>
      <c r="CS67" s="115"/>
      <c r="CT67" s="115"/>
      <c r="CU67" s="115"/>
    </row>
    <row r="68" spans="1:99" ht="4.8" customHeight="1">
      <c r="A68" s="1056"/>
      <c r="B68" s="1057"/>
      <c r="C68" s="1057"/>
      <c r="D68" s="1058"/>
      <c r="E68" s="956"/>
      <c r="F68" s="957"/>
      <c r="G68" s="957"/>
      <c r="H68" s="957"/>
      <c r="I68" s="957"/>
      <c r="J68" s="957"/>
      <c r="K68" s="957"/>
      <c r="L68" s="957"/>
      <c r="M68" s="957"/>
      <c r="N68" s="957"/>
      <c r="O68" s="957"/>
      <c r="P68" s="957"/>
      <c r="Q68" s="957"/>
      <c r="R68" s="957"/>
      <c r="S68" s="957"/>
      <c r="T68" s="957"/>
      <c r="U68" s="957"/>
      <c r="V68" s="957"/>
      <c r="W68" s="957"/>
      <c r="X68" s="957"/>
      <c r="Y68" s="957"/>
      <c r="Z68" s="957"/>
      <c r="AA68" s="957"/>
      <c r="AB68" s="957"/>
      <c r="AC68" s="957"/>
      <c r="AD68" s="957"/>
      <c r="AE68" s="957"/>
      <c r="AF68" s="957"/>
      <c r="AG68" s="957"/>
      <c r="AH68" s="957"/>
      <c r="AI68" s="957"/>
      <c r="AJ68" s="957"/>
      <c r="AK68" s="957"/>
      <c r="AL68" s="957"/>
      <c r="AM68" s="957"/>
      <c r="AN68" s="957"/>
      <c r="AO68" s="957"/>
      <c r="AP68" s="957"/>
      <c r="AQ68" s="957"/>
      <c r="AR68" s="957"/>
      <c r="AS68" s="957"/>
      <c r="AT68" s="957"/>
      <c r="AU68" s="957"/>
      <c r="AV68" s="957"/>
      <c r="AW68" s="957"/>
      <c r="AX68" s="957"/>
      <c r="AY68" s="957"/>
      <c r="AZ68" s="957"/>
      <c r="BA68" s="957"/>
      <c r="BB68" s="957"/>
      <c r="BC68" s="958"/>
      <c r="BD68" s="1056"/>
      <c r="BE68" s="1057"/>
      <c r="BF68" s="1057"/>
      <c r="BG68" s="1057"/>
      <c r="BH68" s="1057"/>
      <c r="BI68" s="1057"/>
      <c r="BJ68" s="1057"/>
      <c r="BK68" s="1057"/>
      <c r="BL68" s="1057"/>
      <c r="BM68" s="1058"/>
      <c r="BN68" s="1056"/>
      <c r="BO68" s="1057"/>
      <c r="BP68" s="1057"/>
      <c r="BQ68" s="1057"/>
      <c r="BR68" s="1057"/>
      <c r="BS68" s="1057"/>
      <c r="BT68" s="1057"/>
      <c r="BU68" s="1057"/>
      <c r="BV68" s="1057"/>
      <c r="BW68" s="1057"/>
      <c r="BX68" s="1057"/>
      <c r="BY68" s="1057"/>
      <c r="BZ68" s="1057"/>
      <c r="CA68" s="1057"/>
      <c r="CB68" s="1058"/>
      <c r="CG68" s="212"/>
      <c r="CR68" s="115"/>
      <c r="CS68" s="115"/>
      <c r="CT68" s="115"/>
      <c r="CU68" s="115"/>
    </row>
    <row r="69" spans="1:99" ht="17.100000000000001" customHeight="1">
      <c r="A69" s="1059"/>
      <c r="B69" s="1060"/>
      <c r="C69" s="1060"/>
      <c r="D69" s="1061"/>
      <c r="E69" s="1062"/>
      <c r="F69" s="1063"/>
      <c r="G69" s="1063"/>
      <c r="H69" s="1063"/>
      <c r="I69" s="1063"/>
      <c r="J69" s="1063"/>
      <c r="K69" s="1063"/>
      <c r="L69" s="1063"/>
      <c r="M69" s="1063"/>
      <c r="N69" s="1063"/>
      <c r="O69" s="1063"/>
      <c r="P69" s="1063"/>
      <c r="Q69" s="1063"/>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3"/>
      <c r="BA69" s="1063"/>
      <c r="BB69" s="1063"/>
      <c r="BC69" s="1064"/>
      <c r="BD69" s="1059"/>
      <c r="BE69" s="1060"/>
      <c r="BF69" s="1060"/>
      <c r="BG69" s="1060"/>
      <c r="BH69" s="1060"/>
      <c r="BI69" s="1060"/>
      <c r="BJ69" s="1060"/>
      <c r="BK69" s="1060"/>
      <c r="BL69" s="1060"/>
      <c r="BM69" s="1061"/>
      <c r="BN69" s="1059"/>
      <c r="BO69" s="1060"/>
      <c r="BP69" s="1060"/>
      <c r="BQ69" s="1060"/>
      <c r="BR69" s="1060"/>
      <c r="BS69" s="1060"/>
      <c r="BT69" s="1060"/>
      <c r="BU69" s="1060"/>
      <c r="BV69" s="1060"/>
      <c r="BW69" s="1060"/>
      <c r="BX69" s="1060"/>
      <c r="BY69" s="1060"/>
      <c r="BZ69" s="1060"/>
      <c r="CA69" s="1060"/>
      <c r="CB69" s="1061"/>
      <c r="CG69" s="212"/>
    </row>
    <row r="70" spans="1:99" ht="17.100000000000001" customHeight="1">
      <c r="A70" s="953">
        <v>1</v>
      </c>
      <c r="B70" s="954"/>
      <c r="C70" s="954"/>
      <c r="D70" s="955"/>
      <c r="E70" s="953">
        <v>2</v>
      </c>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4"/>
      <c r="AY70" s="954"/>
      <c r="AZ70" s="954"/>
      <c r="BA70" s="954"/>
      <c r="BB70" s="954"/>
      <c r="BC70" s="955"/>
      <c r="BD70" s="953">
        <v>3</v>
      </c>
      <c r="BE70" s="954"/>
      <c r="BF70" s="954"/>
      <c r="BG70" s="954"/>
      <c r="BH70" s="954"/>
      <c r="BI70" s="954"/>
      <c r="BJ70" s="954"/>
      <c r="BK70" s="954"/>
      <c r="BL70" s="954"/>
      <c r="BM70" s="955"/>
      <c r="BN70" s="953">
        <v>4</v>
      </c>
      <c r="BO70" s="954"/>
      <c r="BP70" s="954"/>
      <c r="BQ70" s="954"/>
      <c r="BR70" s="954"/>
      <c r="BS70" s="954"/>
      <c r="BT70" s="954"/>
      <c r="BU70" s="954"/>
      <c r="BV70" s="954"/>
      <c r="BW70" s="954"/>
      <c r="BX70" s="954"/>
      <c r="BY70" s="954"/>
      <c r="BZ70" s="954"/>
      <c r="CA70" s="954"/>
      <c r="CB70" s="955"/>
      <c r="CG70" s="212"/>
    </row>
    <row r="71" spans="1:99" ht="19.95" customHeight="1">
      <c r="A71" s="926">
        <v>1</v>
      </c>
      <c r="B71" s="927"/>
      <c r="C71" s="927"/>
      <c r="D71" s="928"/>
      <c r="E71" s="1065" t="str">
        <f>'стр. 2_8'!A273</f>
        <v>Прочие работы, услуги, в т.ч.: (КФО 4 МБ)</v>
      </c>
      <c r="F71" s="1066"/>
      <c r="G71" s="1066"/>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6"/>
      <c r="BA71" s="1066"/>
      <c r="BB71" s="1066"/>
      <c r="BC71" s="1067"/>
      <c r="BD71" s="1087" t="s">
        <v>21</v>
      </c>
      <c r="BE71" s="1088"/>
      <c r="BF71" s="1088"/>
      <c r="BG71" s="1088"/>
      <c r="BH71" s="1088"/>
      <c r="BI71" s="1088"/>
      <c r="BJ71" s="1088"/>
      <c r="BK71" s="1088"/>
      <c r="BL71" s="1088"/>
      <c r="BM71" s="1089"/>
      <c r="BN71" s="1044">
        <f>'стр. 2_8'!DR273</f>
        <v>506860</v>
      </c>
      <c r="BO71" s="1045"/>
      <c r="BP71" s="1045"/>
      <c r="BQ71" s="1045"/>
      <c r="BR71" s="1045"/>
      <c r="BS71" s="1045"/>
      <c r="BT71" s="1045"/>
      <c r="BU71" s="1045"/>
      <c r="BV71" s="1045"/>
      <c r="BW71" s="1045"/>
      <c r="BX71" s="1045"/>
      <c r="BY71" s="1045"/>
      <c r="BZ71" s="1045"/>
      <c r="CA71" s="1045"/>
      <c r="CB71" s="1046"/>
      <c r="CC71" s="114">
        <v>2</v>
      </c>
      <c r="CD71" s="115"/>
      <c r="CE71" s="115">
        <v>60000</v>
      </c>
      <c r="CF71" s="115"/>
      <c r="CG71" s="116">
        <f t="shared" ref="CG71:CG91" si="6">CD71+CE71+CF71</f>
        <v>60000</v>
      </c>
      <c r="CQ71" s="112"/>
      <c r="CR71" s="204"/>
    </row>
    <row r="72" spans="1:99" s="255" customFormat="1" ht="19.95" hidden="1" customHeight="1">
      <c r="A72" s="926">
        <f>A71+1</f>
        <v>2</v>
      </c>
      <c r="B72" s="927"/>
      <c r="C72" s="927"/>
      <c r="D72" s="928"/>
      <c r="E72" s="1047">
        <f>'стр. 2_8'!A274</f>
        <v>0</v>
      </c>
      <c r="F72" s="1048"/>
      <c r="G72" s="1048"/>
      <c r="H72" s="1048"/>
      <c r="I72" s="1048"/>
      <c r="J72" s="1048"/>
      <c r="K72" s="1048"/>
      <c r="L72" s="1048"/>
      <c r="M72" s="1048"/>
      <c r="N72" s="1048"/>
      <c r="O72" s="1048"/>
      <c r="P72" s="1048"/>
      <c r="Q72" s="1048"/>
      <c r="R72" s="1048"/>
      <c r="S72" s="1048"/>
      <c r="T72" s="1048"/>
      <c r="U72" s="1048"/>
      <c r="V72" s="1048"/>
      <c r="W72" s="1048"/>
      <c r="X72" s="1048"/>
      <c r="Y72" s="1048"/>
      <c r="Z72" s="1048"/>
      <c r="AA72" s="1048"/>
      <c r="AB72" s="1048"/>
      <c r="AC72" s="1048"/>
      <c r="AD72" s="1048"/>
      <c r="AE72" s="1048"/>
      <c r="AF72" s="1048"/>
      <c r="AG72" s="1048"/>
      <c r="AH72" s="1048"/>
      <c r="AI72" s="1048"/>
      <c r="AJ72" s="1048"/>
      <c r="AK72" s="1048"/>
      <c r="AL72" s="1048"/>
      <c r="AM72" s="1048"/>
      <c r="AN72" s="1048"/>
      <c r="AO72" s="1048"/>
      <c r="AP72" s="1048"/>
      <c r="AQ72" s="1048"/>
      <c r="AR72" s="1048"/>
      <c r="AS72" s="1048"/>
      <c r="AT72" s="1048"/>
      <c r="AU72" s="1048"/>
      <c r="AV72" s="1048"/>
      <c r="AW72" s="1048"/>
      <c r="AX72" s="1048"/>
      <c r="AY72" s="1048"/>
      <c r="AZ72" s="1048"/>
      <c r="BA72" s="1048"/>
      <c r="BB72" s="1048"/>
      <c r="BC72" s="1049"/>
      <c r="BD72" s="1050"/>
      <c r="BE72" s="1051"/>
      <c r="BF72" s="1051"/>
      <c r="BG72" s="1051"/>
      <c r="BH72" s="1051"/>
      <c r="BI72" s="1051"/>
      <c r="BJ72" s="1051"/>
      <c r="BK72" s="1051"/>
      <c r="BL72" s="1051"/>
      <c r="BM72" s="1052"/>
      <c r="BN72" s="913">
        <f>'стр. 2_8'!DR274</f>
        <v>0</v>
      </c>
      <c r="BO72" s="914"/>
      <c r="BP72" s="914"/>
      <c r="BQ72" s="914"/>
      <c r="BR72" s="914"/>
      <c r="BS72" s="914"/>
      <c r="BT72" s="914"/>
      <c r="BU72" s="914"/>
      <c r="BV72" s="914"/>
      <c r="BW72" s="914"/>
      <c r="BX72" s="914"/>
      <c r="BY72" s="914"/>
      <c r="BZ72" s="914"/>
      <c r="CA72" s="914"/>
      <c r="CB72" s="915"/>
      <c r="CC72" s="255">
        <v>1</v>
      </c>
      <c r="CD72" s="115">
        <v>82000</v>
      </c>
      <c r="CE72" s="115"/>
      <c r="CF72" s="115"/>
      <c r="CG72" s="115">
        <f t="shared" si="6"/>
        <v>82000</v>
      </c>
      <c r="CR72" s="115"/>
      <c r="CS72" s="115"/>
      <c r="CT72" s="115"/>
      <c r="CU72" s="115"/>
    </row>
    <row r="73" spans="1:99" s="255" customFormat="1" ht="19.95" hidden="1" customHeight="1">
      <c r="A73" s="926">
        <f t="shared" ref="A73:A96" si="7">A72+1</f>
        <v>3</v>
      </c>
      <c r="B73" s="927"/>
      <c r="C73" s="927"/>
      <c r="D73" s="928"/>
      <c r="E73" s="1047">
        <f>'стр. 2_8'!A275</f>
        <v>0</v>
      </c>
      <c r="F73" s="1048"/>
      <c r="G73" s="1048"/>
      <c r="H73" s="1048"/>
      <c r="I73" s="1048"/>
      <c r="J73" s="1048"/>
      <c r="K73" s="1048"/>
      <c r="L73" s="1048"/>
      <c r="M73" s="1048"/>
      <c r="N73" s="1048"/>
      <c r="O73" s="1048"/>
      <c r="P73" s="1048"/>
      <c r="Q73" s="1048"/>
      <c r="R73" s="1048"/>
      <c r="S73" s="1048"/>
      <c r="T73" s="1048"/>
      <c r="U73" s="1048"/>
      <c r="V73" s="1048"/>
      <c r="W73" s="1048"/>
      <c r="X73" s="1048"/>
      <c r="Y73" s="1048"/>
      <c r="Z73" s="1048"/>
      <c r="AA73" s="1048"/>
      <c r="AB73" s="1048"/>
      <c r="AC73" s="1048"/>
      <c r="AD73" s="1048"/>
      <c r="AE73" s="1048"/>
      <c r="AF73" s="1048"/>
      <c r="AG73" s="1048"/>
      <c r="AH73" s="1048"/>
      <c r="AI73" s="1048"/>
      <c r="AJ73" s="1048"/>
      <c r="AK73" s="1048"/>
      <c r="AL73" s="1048"/>
      <c r="AM73" s="1048"/>
      <c r="AN73" s="1048"/>
      <c r="AO73" s="1048"/>
      <c r="AP73" s="1048"/>
      <c r="AQ73" s="1048"/>
      <c r="AR73" s="1048"/>
      <c r="AS73" s="1048"/>
      <c r="AT73" s="1048"/>
      <c r="AU73" s="1048"/>
      <c r="AV73" s="1048"/>
      <c r="AW73" s="1048"/>
      <c r="AX73" s="1048"/>
      <c r="AY73" s="1048"/>
      <c r="AZ73" s="1048"/>
      <c r="BA73" s="1048"/>
      <c r="BB73" s="1048"/>
      <c r="BC73" s="1049"/>
      <c r="BD73" s="1050"/>
      <c r="BE73" s="1051"/>
      <c r="BF73" s="1051"/>
      <c r="BG73" s="1051"/>
      <c r="BH73" s="1051"/>
      <c r="BI73" s="1051"/>
      <c r="BJ73" s="1051"/>
      <c r="BK73" s="1051"/>
      <c r="BL73" s="1051"/>
      <c r="BM73" s="1052"/>
      <c r="BN73" s="913">
        <f>'стр. 2_8'!DR275</f>
        <v>0</v>
      </c>
      <c r="BO73" s="914"/>
      <c r="BP73" s="914"/>
      <c r="BQ73" s="914"/>
      <c r="BR73" s="914"/>
      <c r="BS73" s="914"/>
      <c r="BT73" s="914"/>
      <c r="BU73" s="914"/>
      <c r="BV73" s="914"/>
      <c r="BW73" s="914"/>
      <c r="BX73" s="914"/>
      <c r="BY73" s="914"/>
      <c r="BZ73" s="914"/>
      <c r="CA73" s="914"/>
      <c r="CB73" s="915"/>
      <c r="CC73" s="255">
        <v>1</v>
      </c>
      <c r="CD73" s="115">
        <v>50000</v>
      </c>
      <c r="CE73" s="115"/>
      <c r="CF73" s="115"/>
      <c r="CG73" s="115">
        <f t="shared" si="6"/>
        <v>50000</v>
      </c>
    </row>
    <row r="74" spans="1:99" s="255" customFormat="1" ht="19.95" customHeight="1">
      <c r="A74" s="926">
        <v>2</v>
      </c>
      <c r="B74" s="927"/>
      <c r="C74" s="927"/>
      <c r="D74" s="928"/>
      <c r="E74" s="1047" t="str">
        <f>'стр. 2_8'!A276</f>
        <v xml:space="preserve">Услуги по охране помещений (охран.пож.сигнализации) (КФО 4 МБ)  </v>
      </c>
      <c r="F74" s="1048"/>
      <c r="G74" s="1048"/>
      <c r="H74" s="1048"/>
      <c r="I74" s="1048"/>
      <c r="J74" s="1048"/>
      <c r="K74" s="1048"/>
      <c r="L74" s="1048"/>
      <c r="M74" s="1048"/>
      <c r="N74" s="1048"/>
      <c r="O74" s="1048"/>
      <c r="P74" s="1048"/>
      <c r="Q74" s="1048"/>
      <c r="R74" s="1048"/>
      <c r="S74" s="1048"/>
      <c r="T74" s="1048"/>
      <c r="U74" s="1048"/>
      <c r="V74" s="1048"/>
      <c r="W74" s="1048"/>
      <c r="X74" s="1048"/>
      <c r="Y74" s="1048"/>
      <c r="Z74" s="1048"/>
      <c r="AA74" s="1048"/>
      <c r="AB74" s="1048"/>
      <c r="AC74" s="1048"/>
      <c r="AD74" s="1048"/>
      <c r="AE74" s="1048"/>
      <c r="AF74" s="1048"/>
      <c r="AG74" s="1048"/>
      <c r="AH74" s="1048"/>
      <c r="AI74" s="1048"/>
      <c r="AJ74" s="1048"/>
      <c r="AK74" s="1048"/>
      <c r="AL74" s="1048"/>
      <c r="AM74" s="1048"/>
      <c r="AN74" s="1048"/>
      <c r="AO74" s="1048"/>
      <c r="AP74" s="1048"/>
      <c r="AQ74" s="1048"/>
      <c r="AR74" s="1048"/>
      <c r="AS74" s="1048"/>
      <c r="AT74" s="1048"/>
      <c r="AU74" s="1048"/>
      <c r="AV74" s="1048"/>
      <c r="AW74" s="1048"/>
      <c r="AX74" s="1048"/>
      <c r="AY74" s="1048"/>
      <c r="AZ74" s="1048"/>
      <c r="BA74" s="1048"/>
      <c r="BB74" s="1048"/>
      <c r="BC74" s="1049"/>
      <c r="BD74" s="1050">
        <v>12</v>
      </c>
      <c r="BE74" s="1051"/>
      <c r="BF74" s="1051"/>
      <c r="BG74" s="1051"/>
      <c r="BH74" s="1051"/>
      <c r="BI74" s="1051"/>
      <c r="BJ74" s="1051"/>
      <c r="BK74" s="1051"/>
      <c r="BL74" s="1051"/>
      <c r="BM74" s="1052"/>
      <c r="BN74" s="913">
        <f>'стр. 2_8'!DR276</f>
        <v>60000</v>
      </c>
      <c r="BO74" s="914"/>
      <c r="BP74" s="914"/>
      <c r="BQ74" s="914"/>
      <c r="BR74" s="914"/>
      <c r="BS74" s="914"/>
      <c r="BT74" s="914"/>
      <c r="BU74" s="914"/>
      <c r="BV74" s="914"/>
      <c r="BW74" s="914"/>
      <c r="BX74" s="914"/>
      <c r="BY74" s="914"/>
      <c r="BZ74" s="914"/>
      <c r="CA74" s="914"/>
      <c r="CB74" s="915"/>
      <c r="CC74" s="255">
        <v>1</v>
      </c>
      <c r="CD74" s="115">
        <v>33852</v>
      </c>
      <c r="CE74" s="115"/>
      <c r="CF74" s="115"/>
      <c r="CG74" s="115">
        <f t="shared" si="6"/>
        <v>33852</v>
      </c>
    </row>
    <row r="75" spans="1:99" s="255" customFormat="1" ht="19.95" customHeight="1">
      <c r="A75" s="926">
        <v>3</v>
      </c>
      <c r="B75" s="927"/>
      <c r="C75" s="927"/>
      <c r="D75" s="928"/>
      <c r="E75" s="1047" t="str">
        <f>'стр. 2_8'!A277</f>
        <v xml:space="preserve">Услуги по охране помещений (охрана с применением КТС) (КФО 4 МБ) </v>
      </c>
      <c r="F75" s="1048"/>
      <c r="G75" s="1048"/>
      <c r="H75" s="1048"/>
      <c r="I75" s="1048"/>
      <c r="J75" s="1048"/>
      <c r="K75" s="1048"/>
      <c r="L75" s="1048"/>
      <c r="M75" s="1048"/>
      <c r="N75" s="1048"/>
      <c r="O75" s="1048"/>
      <c r="P75" s="1048"/>
      <c r="Q75" s="1048"/>
      <c r="R75" s="1048"/>
      <c r="S75" s="1048"/>
      <c r="T75" s="1048"/>
      <c r="U75" s="1048"/>
      <c r="V75" s="1048"/>
      <c r="W75" s="1048"/>
      <c r="X75" s="1048"/>
      <c r="Y75" s="1048"/>
      <c r="Z75" s="1048"/>
      <c r="AA75" s="1048"/>
      <c r="AB75" s="1048"/>
      <c r="AC75" s="1048"/>
      <c r="AD75" s="1048"/>
      <c r="AE75" s="1048"/>
      <c r="AF75" s="1048"/>
      <c r="AG75" s="1048"/>
      <c r="AH75" s="1048"/>
      <c r="AI75" s="1048"/>
      <c r="AJ75" s="1048"/>
      <c r="AK75" s="1048"/>
      <c r="AL75" s="1048"/>
      <c r="AM75" s="1048"/>
      <c r="AN75" s="1048"/>
      <c r="AO75" s="1048"/>
      <c r="AP75" s="1048"/>
      <c r="AQ75" s="1048"/>
      <c r="AR75" s="1048"/>
      <c r="AS75" s="1048"/>
      <c r="AT75" s="1048"/>
      <c r="AU75" s="1048"/>
      <c r="AV75" s="1048"/>
      <c r="AW75" s="1048"/>
      <c r="AX75" s="1048"/>
      <c r="AY75" s="1048"/>
      <c r="AZ75" s="1048"/>
      <c r="BA75" s="1048"/>
      <c r="BB75" s="1048"/>
      <c r="BC75" s="1049"/>
      <c r="BD75" s="1050">
        <v>12</v>
      </c>
      <c r="BE75" s="1051"/>
      <c r="BF75" s="1051"/>
      <c r="BG75" s="1051"/>
      <c r="BH75" s="1051"/>
      <c r="BI75" s="1051"/>
      <c r="BJ75" s="1051"/>
      <c r="BK75" s="1051"/>
      <c r="BL75" s="1051"/>
      <c r="BM75" s="1052"/>
      <c r="BN75" s="913">
        <f>'стр. 2_8'!DR277</f>
        <v>24000</v>
      </c>
      <c r="BO75" s="914"/>
      <c r="BP75" s="914"/>
      <c r="BQ75" s="914"/>
      <c r="BR75" s="914"/>
      <c r="BS75" s="914"/>
      <c r="BT75" s="914"/>
      <c r="BU75" s="914"/>
      <c r="BV75" s="914"/>
      <c r="BW75" s="914"/>
      <c r="BX75" s="914"/>
      <c r="BY75" s="914"/>
      <c r="BZ75" s="914"/>
      <c r="CA75" s="914"/>
      <c r="CB75" s="915"/>
      <c r="CC75" s="255">
        <v>1</v>
      </c>
      <c r="CD75" s="115"/>
      <c r="CE75" s="115"/>
      <c r="CF75" s="115">
        <v>31248</v>
      </c>
      <c r="CG75" s="115">
        <f t="shared" si="6"/>
        <v>31248</v>
      </c>
    </row>
    <row r="76" spans="1:99" s="255" customFormat="1" ht="19.95" customHeight="1">
      <c r="A76" s="926">
        <f t="shared" si="7"/>
        <v>4</v>
      </c>
      <c r="B76" s="927"/>
      <c r="C76" s="927"/>
      <c r="D76" s="928"/>
      <c r="E76" s="1047" t="str">
        <f>'стр. 2_8'!A278</f>
        <v>Приобретение модуля "Малые закупки" (КФО 4 МБ)</v>
      </c>
      <c r="F76" s="1048"/>
      <c r="G76" s="1048"/>
      <c r="H76" s="1048"/>
      <c r="I76" s="1048"/>
      <c r="J76" s="1048"/>
      <c r="K76" s="1048"/>
      <c r="L76" s="1048"/>
      <c r="M76" s="1048"/>
      <c r="N76" s="1048"/>
      <c r="O76" s="1048"/>
      <c r="P76" s="1048"/>
      <c r="Q76" s="1048"/>
      <c r="R76" s="1048"/>
      <c r="S76" s="1048"/>
      <c r="T76" s="1048"/>
      <c r="U76" s="1048"/>
      <c r="V76" s="1048"/>
      <c r="W76" s="1048"/>
      <c r="X76" s="1048"/>
      <c r="Y76" s="1048"/>
      <c r="Z76" s="1048"/>
      <c r="AA76" s="1048"/>
      <c r="AB76" s="1048"/>
      <c r="AC76" s="1048"/>
      <c r="AD76" s="1048"/>
      <c r="AE76" s="1048"/>
      <c r="AF76" s="1048"/>
      <c r="AG76" s="1048"/>
      <c r="AH76" s="1048"/>
      <c r="AI76" s="1048"/>
      <c r="AJ76" s="1048"/>
      <c r="AK76" s="1048"/>
      <c r="AL76" s="1048"/>
      <c r="AM76" s="1048"/>
      <c r="AN76" s="1048"/>
      <c r="AO76" s="1048"/>
      <c r="AP76" s="1048"/>
      <c r="AQ76" s="1048"/>
      <c r="AR76" s="1048"/>
      <c r="AS76" s="1048"/>
      <c r="AT76" s="1048"/>
      <c r="AU76" s="1048"/>
      <c r="AV76" s="1048"/>
      <c r="AW76" s="1048"/>
      <c r="AX76" s="1048"/>
      <c r="AY76" s="1048"/>
      <c r="AZ76" s="1048"/>
      <c r="BA76" s="1048"/>
      <c r="BB76" s="1048"/>
      <c r="BC76" s="1049"/>
      <c r="BD76" s="1050">
        <v>1</v>
      </c>
      <c r="BE76" s="1051"/>
      <c r="BF76" s="1051"/>
      <c r="BG76" s="1051"/>
      <c r="BH76" s="1051"/>
      <c r="BI76" s="1051"/>
      <c r="BJ76" s="1051"/>
      <c r="BK76" s="1051"/>
      <c r="BL76" s="1051"/>
      <c r="BM76" s="1052"/>
      <c r="BN76" s="913">
        <f>'стр. 2_8'!DR278</f>
        <v>0</v>
      </c>
      <c r="BO76" s="914"/>
      <c r="BP76" s="914"/>
      <c r="BQ76" s="914"/>
      <c r="BR76" s="914"/>
      <c r="BS76" s="914"/>
      <c r="BT76" s="914"/>
      <c r="BU76" s="914"/>
      <c r="BV76" s="914"/>
      <c r="BW76" s="914"/>
      <c r="BX76" s="914"/>
      <c r="BY76" s="914"/>
      <c r="BZ76" s="914"/>
      <c r="CA76" s="914"/>
      <c r="CB76" s="915"/>
      <c r="CC76" s="255">
        <v>3</v>
      </c>
      <c r="CD76" s="115"/>
      <c r="CE76" s="115"/>
      <c r="CF76" s="115">
        <v>8091</v>
      </c>
      <c r="CG76" s="115">
        <f t="shared" si="6"/>
        <v>8091</v>
      </c>
    </row>
    <row r="77" spans="1:99" s="255" customFormat="1" ht="19.95" customHeight="1">
      <c r="A77" s="926">
        <v>5</v>
      </c>
      <c r="B77" s="927"/>
      <c r="C77" s="927"/>
      <c r="D77" s="928"/>
      <c r="E77" s="1047" t="str">
        <f>'стр. 2_8'!A279</f>
        <v>Внедрение и обслуживание модуля "Кадры и штатное расписание" (Парус-Бюджет) (КФО 4 МБ)</v>
      </c>
      <c r="F77" s="1048"/>
      <c r="G77" s="1048"/>
      <c r="H77" s="1048"/>
      <c r="I77" s="1048"/>
      <c r="J77" s="1048"/>
      <c r="K77" s="1048"/>
      <c r="L77" s="1048"/>
      <c r="M77" s="1048"/>
      <c r="N77" s="1048"/>
      <c r="O77" s="1048"/>
      <c r="P77" s="1048"/>
      <c r="Q77" s="1048"/>
      <c r="R77" s="1048"/>
      <c r="S77" s="1048"/>
      <c r="T77" s="1048"/>
      <c r="U77" s="1048"/>
      <c r="V77" s="1048"/>
      <c r="W77" s="1048"/>
      <c r="X77" s="1048"/>
      <c r="Y77" s="1048"/>
      <c r="Z77" s="1048"/>
      <c r="AA77" s="1048"/>
      <c r="AB77" s="1048"/>
      <c r="AC77" s="1048"/>
      <c r="AD77" s="1048"/>
      <c r="AE77" s="1048"/>
      <c r="AF77" s="1048"/>
      <c r="AG77" s="1048"/>
      <c r="AH77" s="1048"/>
      <c r="AI77" s="1048"/>
      <c r="AJ77" s="1048"/>
      <c r="AK77" s="1048"/>
      <c r="AL77" s="1048"/>
      <c r="AM77" s="1048"/>
      <c r="AN77" s="1048"/>
      <c r="AO77" s="1048"/>
      <c r="AP77" s="1048"/>
      <c r="AQ77" s="1048"/>
      <c r="AR77" s="1048"/>
      <c r="AS77" s="1048"/>
      <c r="AT77" s="1048"/>
      <c r="AU77" s="1048"/>
      <c r="AV77" s="1048"/>
      <c r="AW77" s="1048"/>
      <c r="AX77" s="1048"/>
      <c r="AY77" s="1048"/>
      <c r="AZ77" s="1048"/>
      <c r="BA77" s="1048"/>
      <c r="BB77" s="1048"/>
      <c r="BC77" s="1049"/>
      <c r="BD77" s="1050">
        <v>1</v>
      </c>
      <c r="BE77" s="1051"/>
      <c r="BF77" s="1051"/>
      <c r="BG77" s="1051"/>
      <c r="BH77" s="1051"/>
      <c r="BI77" s="1051"/>
      <c r="BJ77" s="1051"/>
      <c r="BK77" s="1051"/>
      <c r="BL77" s="1051"/>
      <c r="BM77" s="1052"/>
      <c r="BN77" s="913">
        <f>'стр. 2_8'!DR279</f>
        <v>30390</v>
      </c>
      <c r="BO77" s="914"/>
      <c r="BP77" s="914"/>
      <c r="BQ77" s="914"/>
      <c r="BR77" s="914"/>
      <c r="BS77" s="914"/>
      <c r="BT77" s="914"/>
      <c r="BU77" s="914"/>
      <c r="BV77" s="914"/>
      <c r="BW77" s="914"/>
      <c r="BX77" s="914"/>
      <c r="BY77" s="914"/>
      <c r="BZ77" s="914"/>
      <c r="CA77" s="914"/>
      <c r="CB77" s="915"/>
      <c r="CC77" s="255">
        <v>2</v>
      </c>
      <c r="CD77" s="115"/>
      <c r="CE77" s="115"/>
      <c r="CF77" s="115">
        <v>25000</v>
      </c>
      <c r="CG77" s="115">
        <f t="shared" si="6"/>
        <v>25000</v>
      </c>
    </row>
    <row r="78" spans="1:99" s="255" customFormat="1" ht="19.95" customHeight="1">
      <c r="A78" s="926">
        <v>6</v>
      </c>
      <c r="B78" s="927"/>
      <c r="C78" s="927"/>
      <c r="D78" s="928"/>
      <c r="E78" s="1047" t="str">
        <f>'стр. 2_8'!A280</f>
        <v>Програмное обеспечение (КФО 4 МБ)</v>
      </c>
      <c r="F78" s="1048"/>
      <c r="G78" s="1048"/>
      <c r="H78" s="1048"/>
      <c r="I78" s="1048"/>
      <c r="J78" s="1048"/>
      <c r="K78" s="1048"/>
      <c r="L78" s="1048"/>
      <c r="M78" s="1048"/>
      <c r="N78" s="1048"/>
      <c r="O78" s="1048"/>
      <c r="P78" s="1048"/>
      <c r="Q78" s="1048"/>
      <c r="R78" s="1048"/>
      <c r="S78" s="1048"/>
      <c r="T78" s="1048"/>
      <c r="U78" s="1048"/>
      <c r="V78" s="1048"/>
      <c r="W78" s="1048"/>
      <c r="X78" s="1048"/>
      <c r="Y78" s="1048"/>
      <c r="Z78" s="1048"/>
      <c r="AA78" s="1048"/>
      <c r="AB78" s="1048"/>
      <c r="AC78" s="1048"/>
      <c r="AD78" s="1048"/>
      <c r="AE78" s="1048"/>
      <c r="AF78" s="1048"/>
      <c r="AG78" s="1048"/>
      <c r="AH78" s="1048"/>
      <c r="AI78" s="1048"/>
      <c r="AJ78" s="1048"/>
      <c r="AK78" s="1048"/>
      <c r="AL78" s="1048"/>
      <c r="AM78" s="1048"/>
      <c r="AN78" s="1048"/>
      <c r="AO78" s="1048"/>
      <c r="AP78" s="1048"/>
      <c r="AQ78" s="1048"/>
      <c r="AR78" s="1048"/>
      <c r="AS78" s="1048"/>
      <c r="AT78" s="1048"/>
      <c r="AU78" s="1048"/>
      <c r="AV78" s="1048"/>
      <c r="AW78" s="1048"/>
      <c r="AX78" s="1048"/>
      <c r="AY78" s="1048"/>
      <c r="AZ78" s="1048"/>
      <c r="BA78" s="1048"/>
      <c r="BB78" s="1048"/>
      <c r="BC78" s="1049"/>
      <c r="BD78" s="1050">
        <v>1</v>
      </c>
      <c r="BE78" s="1051"/>
      <c r="BF78" s="1051"/>
      <c r="BG78" s="1051"/>
      <c r="BH78" s="1051"/>
      <c r="BI78" s="1051"/>
      <c r="BJ78" s="1051"/>
      <c r="BK78" s="1051"/>
      <c r="BL78" s="1051"/>
      <c r="BM78" s="1052"/>
      <c r="BN78" s="913">
        <f>'стр. 2_8'!DR280</f>
        <v>12000</v>
      </c>
      <c r="BO78" s="914"/>
      <c r="BP78" s="914"/>
      <c r="BQ78" s="914"/>
      <c r="BR78" s="914"/>
      <c r="BS78" s="914"/>
      <c r="BT78" s="914"/>
      <c r="BU78" s="914"/>
      <c r="BV78" s="914"/>
      <c r="BW78" s="914"/>
      <c r="BX78" s="914"/>
      <c r="BY78" s="914"/>
      <c r="BZ78" s="914"/>
      <c r="CA78" s="914"/>
      <c r="CB78" s="915"/>
      <c r="CC78" s="255">
        <v>1</v>
      </c>
      <c r="CD78" s="115"/>
      <c r="CE78" s="115"/>
      <c r="CF78" s="115">
        <v>22800</v>
      </c>
      <c r="CG78" s="115">
        <f t="shared" si="6"/>
        <v>22800</v>
      </c>
    </row>
    <row r="79" spans="1:99" s="255" customFormat="1" ht="19.95" customHeight="1">
      <c r="A79" s="926">
        <v>7</v>
      </c>
      <c r="B79" s="927"/>
      <c r="C79" s="927"/>
      <c r="D79" s="928"/>
      <c r="E79" s="1047" t="str">
        <f>'стр. 2_8'!A281</f>
        <v>Производственно-лабораторный контроль (КФО 4 МБ)</v>
      </c>
      <c r="F79" s="1048"/>
      <c r="G79" s="1048"/>
      <c r="H79" s="1048"/>
      <c r="I79" s="1048"/>
      <c r="J79" s="1048"/>
      <c r="K79" s="1048"/>
      <c r="L79" s="1048"/>
      <c r="M79" s="1048"/>
      <c r="N79" s="1048"/>
      <c r="O79" s="1048"/>
      <c r="P79" s="1048"/>
      <c r="Q79" s="1048"/>
      <c r="R79" s="1048"/>
      <c r="S79" s="1048"/>
      <c r="T79" s="1048"/>
      <c r="U79" s="1048"/>
      <c r="V79" s="1048"/>
      <c r="W79" s="1048"/>
      <c r="X79" s="1048"/>
      <c r="Y79" s="1048"/>
      <c r="Z79" s="1048"/>
      <c r="AA79" s="1048"/>
      <c r="AB79" s="1048"/>
      <c r="AC79" s="1048"/>
      <c r="AD79" s="1048"/>
      <c r="AE79" s="1048"/>
      <c r="AF79" s="1048"/>
      <c r="AG79" s="1048"/>
      <c r="AH79" s="1048"/>
      <c r="AI79" s="1048"/>
      <c r="AJ79" s="1048"/>
      <c r="AK79" s="1048"/>
      <c r="AL79" s="1048"/>
      <c r="AM79" s="1048"/>
      <c r="AN79" s="1048"/>
      <c r="AO79" s="1048"/>
      <c r="AP79" s="1048"/>
      <c r="AQ79" s="1048"/>
      <c r="AR79" s="1048"/>
      <c r="AS79" s="1048"/>
      <c r="AT79" s="1048"/>
      <c r="AU79" s="1048"/>
      <c r="AV79" s="1048"/>
      <c r="AW79" s="1048"/>
      <c r="AX79" s="1048"/>
      <c r="AY79" s="1048"/>
      <c r="AZ79" s="1048"/>
      <c r="BA79" s="1048"/>
      <c r="BB79" s="1048"/>
      <c r="BC79" s="1049"/>
      <c r="BD79" s="1050">
        <v>1</v>
      </c>
      <c r="BE79" s="1051"/>
      <c r="BF79" s="1051"/>
      <c r="BG79" s="1051"/>
      <c r="BH79" s="1051"/>
      <c r="BI79" s="1051"/>
      <c r="BJ79" s="1051"/>
      <c r="BK79" s="1051"/>
      <c r="BL79" s="1051"/>
      <c r="BM79" s="1052"/>
      <c r="BN79" s="913">
        <f>'стр. 2_8'!DR281</f>
        <v>26800</v>
      </c>
      <c r="BO79" s="914"/>
      <c r="BP79" s="914"/>
      <c r="BQ79" s="914"/>
      <c r="BR79" s="914"/>
      <c r="BS79" s="914"/>
      <c r="BT79" s="914"/>
      <c r="BU79" s="914"/>
      <c r="BV79" s="914"/>
      <c r="BW79" s="914"/>
      <c r="BX79" s="914"/>
      <c r="BY79" s="914"/>
      <c r="BZ79" s="914"/>
      <c r="CA79" s="914"/>
      <c r="CB79" s="915"/>
      <c r="CC79" s="255">
        <v>2</v>
      </c>
      <c r="CD79" s="115"/>
      <c r="CE79" s="115">
        <v>2200</v>
      </c>
      <c r="CF79" s="115"/>
      <c r="CG79" s="115">
        <f t="shared" si="6"/>
        <v>2200</v>
      </c>
    </row>
    <row r="80" spans="1:99" s="255" customFormat="1" ht="19.95" customHeight="1">
      <c r="A80" s="926">
        <v>8</v>
      </c>
      <c r="B80" s="927"/>
      <c r="C80" s="927"/>
      <c r="D80" s="928"/>
      <c r="E80" s="1047" t="str">
        <f>'стр. 2_8'!A282</f>
        <v>Медицинский осмотр (КФО 4 МБ)</v>
      </c>
      <c r="F80" s="1048"/>
      <c r="G80" s="1048"/>
      <c r="H80" s="1048"/>
      <c r="I80" s="1048"/>
      <c r="J80" s="1048"/>
      <c r="K80" s="1048"/>
      <c r="L80" s="1048"/>
      <c r="M80" s="1048"/>
      <c r="N80" s="1048"/>
      <c r="O80" s="1048"/>
      <c r="P80" s="1048"/>
      <c r="Q80" s="1048"/>
      <c r="R80" s="1048"/>
      <c r="S80" s="1048"/>
      <c r="T80" s="1048"/>
      <c r="U80" s="1048"/>
      <c r="V80" s="1048"/>
      <c r="W80" s="1048"/>
      <c r="X80" s="1048"/>
      <c r="Y80" s="1048"/>
      <c r="Z80" s="1048"/>
      <c r="AA80" s="1048"/>
      <c r="AB80" s="1048"/>
      <c r="AC80" s="1048"/>
      <c r="AD80" s="1048"/>
      <c r="AE80" s="1048"/>
      <c r="AF80" s="1048"/>
      <c r="AG80" s="1048"/>
      <c r="AH80" s="1048"/>
      <c r="AI80" s="1048"/>
      <c r="AJ80" s="1048"/>
      <c r="AK80" s="1048"/>
      <c r="AL80" s="1048"/>
      <c r="AM80" s="1048"/>
      <c r="AN80" s="1048"/>
      <c r="AO80" s="1048"/>
      <c r="AP80" s="1048"/>
      <c r="AQ80" s="1048"/>
      <c r="AR80" s="1048"/>
      <c r="AS80" s="1048"/>
      <c r="AT80" s="1048"/>
      <c r="AU80" s="1048"/>
      <c r="AV80" s="1048"/>
      <c r="AW80" s="1048"/>
      <c r="AX80" s="1048"/>
      <c r="AY80" s="1048"/>
      <c r="AZ80" s="1048"/>
      <c r="BA80" s="1048"/>
      <c r="BB80" s="1048"/>
      <c r="BC80" s="1049"/>
      <c r="BD80" s="1050">
        <v>1</v>
      </c>
      <c r="BE80" s="1051"/>
      <c r="BF80" s="1051"/>
      <c r="BG80" s="1051"/>
      <c r="BH80" s="1051"/>
      <c r="BI80" s="1051"/>
      <c r="BJ80" s="1051"/>
      <c r="BK80" s="1051"/>
      <c r="BL80" s="1051"/>
      <c r="BM80" s="1052"/>
      <c r="BN80" s="913">
        <f>'стр. 2_8'!DR282</f>
        <v>113050</v>
      </c>
      <c r="BO80" s="914"/>
      <c r="BP80" s="914"/>
      <c r="BQ80" s="914"/>
      <c r="BR80" s="914"/>
      <c r="BS80" s="914"/>
      <c r="BT80" s="914"/>
      <c r="BU80" s="914"/>
      <c r="BV80" s="914"/>
      <c r="BW80" s="914"/>
      <c r="BX80" s="914"/>
      <c r="BY80" s="914"/>
      <c r="BZ80" s="914"/>
      <c r="CA80" s="914"/>
      <c r="CB80" s="915"/>
      <c r="CC80" s="255">
        <v>2</v>
      </c>
      <c r="CD80" s="115"/>
      <c r="CE80" s="115">
        <v>51126</v>
      </c>
      <c r="CF80" s="115"/>
      <c r="CG80" s="115">
        <f t="shared" si="6"/>
        <v>51126</v>
      </c>
    </row>
    <row r="81" spans="1:85" s="255" customFormat="1" ht="19.95" customHeight="1">
      <c r="A81" s="926">
        <v>9</v>
      </c>
      <c r="B81" s="927"/>
      <c r="C81" s="927"/>
      <c r="D81" s="928"/>
      <c r="E81" s="1047" t="str">
        <f>'стр. 2_8'!A283</f>
        <v>Демеркуризация (КФО 4 МБ)</v>
      </c>
      <c r="F81" s="1048"/>
      <c r="G81" s="1048"/>
      <c r="H81" s="1048"/>
      <c r="I81" s="1048"/>
      <c r="J81" s="1048"/>
      <c r="K81" s="1048"/>
      <c r="L81" s="1048"/>
      <c r="M81" s="1048"/>
      <c r="N81" s="1048"/>
      <c r="O81" s="1048"/>
      <c r="P81" s="1048"/>
      <c r="Q81" s="1048"/>
      <c r="R81" s="1048"/>
      <c r="S81" s="1048"/>
      <c r="T81" s="1048"/>
      <c r="U81" s="1048"/>
      <c r="V81" s="1048"/>
      <c r="W81" s="1048"/>
      <c r="X81" s="1048"/>
      <c r="Y81" s="1048"/>
      <c r="Z81" s="1048"/>
      <c r="AA81" s="1048"/>
      <c r="AB81" s="1048"/>
      <c r="AC81" s="1048"/>
      <c r="AD81" s="1048"/>
      <c r="AE81" s="1048"/>
      <c r="AF81" s="1048"/>
      <c r="AG81" s="1048"/>
      <c r="AH81" s="1048"/>
      <c r="AI81" s="1048"/>
      <c r="AJ81" s="1048"/>
      <c r="AK81" s="1048"/>
      <c r="AL81" s="1048"/>
      <c r="AM81" s="1048"/>
      <c r="AN81" s="1048"/>
      <c r="AO81" s="1048"/>
      <c r="AP81" s="1048"/>
      <c r="AQ81" s="1048"/>
      <c r="AR81" s="1048"/>
      <c r="AS81" s="1048"/>
      <c r="AT81" s="1048"/>
      <c r="AU81" s="1048"/>
      <c r="AV81" s="1048"/>
      <c r="AW81" s="1048"/>
      <c r="AX81" s="1048"/>
      <c r="AY81" s="1048"/>
      <c r="AZ81" s="1048"/>
      <c r="BA81" s="1048"/>
      <c r="BB81" s="1048"/>
      <c r="BC81" s="1049"/>
      <c r="BD81" s="1050">
        <v>1</v>
      </c>
      <c r="BE81" s="1051"/>
      <c r="BF81" s="1051"/>
      <c r="BG81" s="1051"/>
      <c r="BH81" s="1051"/>
      <c r="BI81" s="1051"/>
      <c r="BJ81" s="1051"/>
      <c r="BK81" s="1051"/>
      <c r="BL81" s="1051"/>
      <c r="BM81" s="1052"/>
      <c r="BN81" s="913">
        <f>'стр. 2_8'!DR283</f>
        <v>7000</v>
      </c>
      <c r="BO81" s="914"/>
      <c r="BP81" s="914"/>
      <c r="BQ81" s="914"/>
      <c r="BR81" s="914"/>
      <c r="BS81" s="914"/>
      <c r="BT81" s="914"/>
      <c r="BU81" s="914"/>
      <c r="BV81" s="914"/>
      <c r="BW81" s="914"/>
      <c r="BX81" s="914"/>
      <c r="BY81" s="914"/>
      <c r="BZ81" s="914"/>
      <c r="CA81" s="914"/>
      <c r="CB81" s="915"/>
      <c r="CC81" s="255">
        <v>2</v>
      </c>
      <c r="CD81" s="115"/>
      <c r="CE81" s="115">
        <v>48385</v>
      </c>
      <c r="CF81" s="115"/>
      <c r="CG81" s="115">
        <f t="shared" si="6"/>
        <v>48385</v>
      </c>
    </row>
    <row r="82" spans="1:85" s="255" customFormat="1" ht="19.95" customHeight="1">
      <c r="A82" s="926">
        <v>10</v>
      </c>
      <c r="B82" s="927"/>
      <c r="C82" s="927"/>
      <c r="D82" s="928"/>
      <c r="E82" s="1047" t="str">
        <f>'стр. 2_8'!A284</f>
        <v>Оплата услуг по договору ГПХ (организация досуга в с.Каневка) (КФО 4 МБ)</v>
      </c>
      <c r="F82" s="1048"/>
      <c r="G82" s="1048"/>
      <c r="H82" s="1048"/>
      <c r="I82" s="1048"/>
      <c r="J82" s="1048"/>
      <c r="K82" s="1048"/>
      <c r="L82" s="1048"/>
      <c r="M82" s="1048"/>
      <c r="N82" s="1048"/>
      <c r="O82" s="1048"/>
      <c r="P82" s="1048"/>
      <c r="Q82" s="1048"/>
      <c r="R82" s="1048"/>
      <c r="S82" s="1048"/>
      <c r="T82" s="1048"/>
      <c r="U82" s="1048"/>
      <c r="V82" s="1048"/>
      <c r="W82" s="1048"/>
      <c r="X82" s="1048"/>
      <c r="Y82" s="1048"/>
      <c r="Z82" s="1048"/>
      <c r="AA82" s="1048"/>
      <c r="AB82" s="1048"/>
      <c r="AC82" s="1048"/>
      <c r="AD82" s="1048"/>
      <c r="AE82" s="1048"/>
      <c r="AF82" s="1048"/>
      <c r="AG82" s="1048"/>
      <c r="AH82" s="1048"/>
      <c r="AI82" s="1048"/>
      <c r="AJ82" s="1048"/>
      <c r="AK82" s="1048"/>
      <c r="AL82" s="1048"/>
      <c r="AM82" s="1048"/>
      <c r="AN82" s="1048"/>
      <c r="AO82" s="1048"/>
      <c r="AP82" s="1048"/>
      <c r="AQ82" s="1048"/>
      <c r="AR82" s="1048"/>
      <c r="AS82" s="1048"/>
      <c r="AT82" s="1048"/>
      <c r="AU82" s="1048"/>
      <c r="AV82" s="1048"/>
      <c r="AW82" s="1048"/>
      <c r="AX82" s="1048"/>
      <c r="AY82" s="1048"/>
      <c r="AZ82" s="1048"/>
      <c r="BA82" s="1048"/>
      <c r="BB82" s="1048"/>
      <c r="BC82" s="1049"/>
      <c r="BD82" s="1050">
        <v>2</v>
      </c>
      <c r="BE82" s="1051"/>
      <c r="BF82" s="1051"/>
      <c r="BG82" s="1051"/>
      <c r="BH82" s="1051"/>
      <c r="BI82" s="1051"/>
      <c r="BJ82" s="1051"/>
      <c r="BK82" s="1051"/>
      <c r="BL82" s="1051"/>
      <c r="BM82" s="1052"/>
      <c r="BN82" s="913">
        <f>'стр. 2_8'!DR284</f>
        <v>35210</v>
      </c>
      <c r="BO82" s="914"/>
      <c r="BP82" s="914"/>
      <c r="BQ82" s="914"/>
      <c r="BR82" s="914"/>
      <c r="BS82" s="914"/>
      <c r="BT82" s="914"/>
      <c r="BU82" s="914"/>
      <c r="BV82" s="914"/>
      <c r="BW82" s="914"/>
      <c r="BX82" s="914"/>
      <c r="BY82" s="914"/>
      <c r="BZ82" s="914"/>
      <c r="CA82" s="914"/>
      <c r="CB82" s="915"/>
      <c r="CC82" s="255">
        <v>4</v>
      </c>
      <c r="CD82" s="115"/>
      <c r="CE82" s="115">
        <v>50000</v>
      </c>
      <c r="CF82" s="115"/>
      <c r="CG82" s="115">
        <f t="shared" si="6"/>
        <v>50000</v>
      </c>
    </row>
    <row r="83" spans="1:85" s="255" customFormat="1" ht="19.95" customHeight="1">
      <c r="A83" s="926">
        <v>11</v>
      </c>
      <c r="B83" s="927"/>
      <c r="C83" s="927"/>
      <c r="D83" s="928"/>
      <c r="E83" s="1047" t="str">
        <f>'стр. 2_8'!A285</f>
        <v>Оплата услуг по договору ГПХ (организация досуга в с.Сосновка) (КФО 4 МБ)</v>
      </c>
      <c r="F83" s="1048"/>
      <c r="G83" s="1048"/>
      <c r="H83" s="1048"/>
      <c r="I83" s="1048"/>
      <c r="J83" s="1048"/>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H83" s="1048"/>
      <c r="AI83" s="1048"/>
      <c r="AJ83" s="1048"/>
      <c r="AK83" s="1048"/>
      <c r="AL83" s="1048"/>
      <c r="AM83" s="1048"/>
      <c r="AN83" s="1048"/>
      <c r="AO83" s="1048"/>
      <c r="AP83" s="1048"/>
      <c r="AQ83" s="1048"/>
      <c r="AR83" s="1048"/>
      <c r="AS83" s="1048"/>
      <c r="AT83" s="1048"/>
      <c r="AU83" s="1048"/>
      <c r="AV83" s="1048"/>
      <c r="AW83" s="1048"/>
      <c r="AX83" s="1048"/>
      <c r="AY83" s="1048"/>
      <c r="AZ83" s="1048"/>
      <c r="BA83" s="1048"/>
      <c r="BB83" s="1048"/>
      <c r="BC83" s="1049"/>
      <c r="BD83" s="1050">
        <v>2</v>
      </c>
      <c r="BE83" s="1051"/>
      <c r="BF83" s="1051"/>
      <c r="BG83" s="1051"/>
      <c r="BH83" s="1051"/>
      <c r="BI83" s="1051"/>
      <c r="BJ83" s="1051"/>
      <c r="BK83" s="1051"/>
      <c r="BL83" s="1051"/>
      <c r="BM83" s="1052"/>
      <c r="BN83" s="913">
        <f>'стр. 2_8'!DR285</f>
        <v>35210</v>
      </c>
      <c r="BO83" s="914"/>
      <c r="BP83" s="914"/>
      <c r="BQ83" s="914"/>
      <c r="BR83" s="914"/>
      <c r="BS83" s="914"/>
      <c r="BT83" s="914"/>
      <c r="BU83" s="914"/>
      <c r="BV83" s="914"/>
      <c r="BW83" s="914"/>
      <c r="BX83" s="914"/>
      <c r="BY83" s="914"/>
      <c r="BZ83" s="914"/>
      <c r="CA83" s="914"/>
      <c r="CB83" s="915"/>
      <c r="CC83" s="255">
        <v>1</v>
      </c>
      <c r="CD83" s="115"/>
      <c r="CE83" s="115"/>
      <c r="CF83" s="115"/>
      <c r="CG83" s="115">
        <f t="shared" si="6"/>
        <v>0</v>
      </c>
    </row>
    <row r="84" spans="1:85" s="255" customFormat="1" ht="19.95" customHeight="1">
      <c r="A84" s="926">
        <v>12</v>
      </c>
      <c r="B84" s="927"/>
      <c r="C84" s="927"/>
      <c r="D84" s="928"/>
      <c r="E84" s="1047" t="str">
        <f>'стр. 2_8'!A286</f>
        <v xml:space="preserve">Оплата услуг по укатке и обслуживанию лыжной трассы с. Ловозеро (КФО 4 МБ) </v>
      </c>
      <c r="F84" s="1048"/>
      <c r="G84" s="1048"/>
      <c r="H84" s="1048"/>
      <c r="I84" s="1048"/>
      <c r="J84" s="1048"/>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H84" s="1048"/>
      <c r="AI84" s="1048"/>
      <c r="AJ84" s="1048"/>
      <c r="AK84" s="1048"/>
      <c r="AL84" s="1048"/>
      <c r="AM84" s="1048"/>
      <c r="AN84" s="1048"/>
      <c r="AO84" s="1048"/>
      <c r="AP84" s="1048"/>
      <c r="AQ84" s="1048"/>
      <c r="AR84" s="1048"/>
      <c r="AS84" s="1048"/>
      <c r="AT84" s="1048"/>
      <c r="AU84" s="1048"/>
      <c r="AV84" s="1048"/>
      <c r="AW84" s="1048"/>
      <c r="AX84" s="1048"/>
      <c r="AY84" s="1048"/>
      <c r="AZ84" s="1048"/>
      <c r="BA84" s="1048"/>
      <c r="BB84" s="1048"/>
      <c r="BC84" s="1049"/>
      <c r="BD84" s="1050">
        <v>1</v>
      </c>
      <c r="BE84" s="1051"/>
      <c r="BF84" s="1051"/>
      <c r="BG84" s="1051"/>
      <c r="BH84" s="1051"/>
      <c r="BI84" s="1051"/>
      <c r="BJ84" s="1051"/>
      <c r="BK84" s="1051"/>
      <c r="BL84" s="1051"/>
      <c r="BM84" s="1052"/>
      <c r="BN84" s="913">
        <f>'стр. 2_8'!DR286</f>
        <v>52000</v>
      </c>
      <c r="BO84" s="914"/>
      <c r="BP84" s="914"/>
      <c r="BQ84" s="914"/>
      <c r="BR84" s="914"/>
      <c r="BS84" s="914"/>
      <c r="BT84" s="914"/>
      <c r="BU84" s="914"/>
      <c r="BV84" s="914"/>
      <c r="BW84" s="914"/>
      <c r="BX84" s="914"/>
      <c r="BY84" s="914"/>
      <c r="BZ84" s="914"/>
      <c r="CA84" s="914"/>
      <c r="CB84" s="915"/>
      <c r="CD84" s="115"/>
      <c r="CE84" s="115"/>
      <c r="CF84" s="115"/>
      <c r="CG84" s="115">
        <f t="shared" si="6"/>
        <v>0</v>
      </c>
    </row>
    <row r="85" spans="1:85" s="255" customFormat="1" ht="19.95" customHeight="1">
      <c r="A85" s="926">
        <v>13</v>
      </c>
      <c r="B85" s="927"/>
      <c r="C85" s="927"/>
      <c r="D85" s="928"/>
      <c r="E85" s="1047" t="str">
        <f>'стр. 2_8'!A287</f>
        <v>Оплата услуг по договору ГПХ (заготовка дров) в с.Краснощелье (КФО 4 МБ)</v>
      </c>
      <c r="F85" s="1048"/>
      <c r="G85" s="1048"/>
      <c r="H85" s="1048"/>
      <c r="I85" s="1048"/>
      <c r="J85" s="1048"/>
      <c r="K85" s="1048"/>
      <c r="L85" s="1048"/>
      <c r="M85" s="1048"/>
      <c r="N85" s="1048"/>
      <c r="O85" s="1048"/>
      <c r="P85" s="1048"/>
      <c r="Q85" s="1048"/>
      <c r="R85" s="1048"/>
      <c r="S85" s="1048"/>
      <c r="T85" s="1048"/>
      <c r="U85" s="1048"/>
      <c r="V85" s="1048"/>
      <c r="W85" s="1048"/>
      <c r="X85" s="1048"/>
      <c r="Y85" s="1048"/>
      <c r="Z85" s="1048"/>
      <c r="AA85" s="1048"/>
      <c r="AB85" s="1048"/>
      <c r="AC85" s="1048"/>
      <c r="AD85" s="1048"/>
      <c r="AE85" s="1048"/>
      <c r="AF85" s="1048"/>
      <c r="AG85" s="1048"/>
      <c r="AH85" s="1048"/>
      <c r="AI85" s="1048"/>
      <c r="AJ85" s="1048"/>
      <c r="AK85" s="1048"/>
      <c r="AL85" s="1048"/>
      <c r="AM85" s="1048"/>
      <c r="AN85" s="1048"/>
      <c r="AO85" s="1048"/>
      <c r="AP85" s="1048"/>
      <c r="AQ85" s="1048"/>
      <c r="AR85" s="1048"/>
      <c r="AS85" s="1048"/>
      <c r="AT85" s="1048"/>
      <c r="AU85" s="1048"/>
      <c r="AV85" s="1048"/>
      <c r="AW85" s="1048"/>
      <c r="AX85" s="1048"/>
      <c r="AY85" s="1048"/>
      <c r="AZ85" s="1048"/>
      <c r="BA85" s="1048"/>
      <c r="BB85" s="1048"/>
      <c r="BC85" s="1049"/>
      <c r="BD85" s="1050">
        <v>1</v>
      </c>
      <c r="BE85" s="1051"/>
      <c r="BF85" s="1051"/>
      <c r="BG85" s="1051"/>
      <c r="BH85" s="1051"/>
      <c r="BI85" s="1051"/>
      <c r="BJ85" s="1051"/>
      <c r="BK85" s="1051"/>
      <c r="BL85" s="1051"/>
      <c r="BM85" s="1052"/>
      <c r="BN85" s="913">
        <f>'стр. 2_8'!DR287</f>
        <v>83200</v>
      </c>
      <c r="BO85" s="914"/>
      <c r="BP85" s="914"/>
      <c r="BQ85" s="914"/>
      <c r="BR85" s="914"/>
      <c r="BS85" s="914"/>
      <c r="BT85" s="914"/>
      <c r="BU85" s="914"/>
      <c r="BV85" s="914"/>
      <c r="BW85" s="914"/>
      <c r="BX85" s="914"/>
      <c r="BY85" s="914"/>
      <c r="BZ85" s="914"/>
      <c r="CA85" s="914"/>
      <c r="CB85" s="915"/>
      <c r="CD85" s="115"/>
      <c r="CE85" s="115"/>
      <c r="CF85" s="115"/>
      <c r="CG85" s="115">
        <f t="shared" si="6"/>
        <v>0</v>
      </c>
    </row>
    <row r="86" spans="1:85" s="255" customFormat="1" ht="19.95" hidden="1" customHeight="1">
      <c r="A86" s="926">
        <v>13</v>
      </c>
      <c r="B86" s="927"/>
      <c r="C86" s="927"/>
      <c r="D86" s="928"/>
      <c r="E86" s="1047" t="str">
        <f>'стр. 2_8'!A288</f>
        <v>Специальная оценка условий труда (КФО 4 МБ)</v>
      </c>
      <c r="F86" s="1048"/>
      <c r="G86" s="1048"/>
      <c r="H86" s="1048"/>
      <c r="I86" s="1048"/>
      <c r="J86" s="1048"/>
      <c r="K86" s="1048"/>
      <c r="L86" s="1048"/>
      <c r="M86" s="1048"/>
      <c r="N86" s="1048"/>
      <c r="O86" s="1048"/>
      <c r="P86" s="1048"/>
      <c r="Q86" s="1048"/>
      <c r="R86" s="1048"/>
      <c r="S86" s="1048"/>
      <c r="T86" s="1048"/>
      <c r="U86" s="1048"/>
      <c r="V86" s="1048"/>
      <c r="W86" s="1048"/>
      <c r="X86" s="1048"/>
      <c r="Y86" s="1048"/>
      <c r="Z86" s="1048"/>
      <c r="AA86" s="1048"/>
      <c r="AB86" s="1048"/>
      <c r="AC86" s="1048"/>
      <c r="AD86" s="1048"/>
      <c r="AE86" s="1048"/>
      <c r="AF86" s="1048"/>
      <c r="AG86" s="1048"/>
      <c r="AH86" s="1048"/>
      <c r="AI86" s="1048"/>
      <c r="AJ86" s="1048"/>
      <c r="AK86" s="1048"/>
      <c r="AL86" s="1048"/>
      <c r="AM86" s="1048"/>
      <c r="AN86" s="1048"/>
      <c r="AO86" s="1048"/>
      <c r="AP86" s="1048"/>
      <c r="AQ86" s="1048"/>
      <c r="AR86" s="1048"/>
      <c r="AS86" s="1048"/>
      <c r="AT86" s="1048"/>
      <c r="AU86" s="1048"/>
      <c r="AV86" s="1048"/>
      <c r="AW86" s="1048"/>
      <c r="AX86" s="1048"/>
      <c r="AY86" s="1048"/>
      <c r="AZ86" s="1048"/>
      <c r="BA86" s="1048"/>
      <c r="BB86" s="1048"/>
      <c r="BC86" s="1049"/>
      <c r="BD86" s="1050">
        <v>1</v>
      </c>
      <c r="BE86" s="1051"/>
      <c r="BF86" s="1051"/>
      <c r="BG86" s="1051"/>
      <c r="BH86" s="1051"/>
      <c r="BI86" s="1051"/>
      <c r="BJ86" s="1051"/>
      <c r="BK86" s="1051"/>
      <c r="BL86" s="1051"/>
      <c r="BM86" s="1052"/>
      <c r="BN86" s="913">
        <f>'стр. 2_8'!DR288</f>
        <v>0</v>
      </c>
      <c r="BO86" s="914"/>
      <c r="BP86" s="914"/>
      <c r="BQ86" s="914"/>
      <c r="BR86" s="914"/>
      <c r="BS86" s="914"/>
      <c r="BT86" s="914"/>
      <c r="BU86" s="914"/>
      <c r="BV86" s="914"/>
      <c r="BW86" s="914"/>
      <c r="BX86" s="914"/>
      <c r="BY86" s="914"/>
      <c r="BZ86" s="914"/>
      <c r="CA86" s="914"/>
      <c r="CB86" s="915"/>
      <c r="CD86" s="115"/>
      <c r="CE86" s="115"/>
      <c r="CF86" s="115"/>
      <c r="CG86" s="115">
        <f t="shared" si="6"/>
        <v>0</v>
      </c>
    </row>
    <row r="87" spans="1:85" s="255" customFormat="1" ht="19.95" hidden="1" customHeight="1">
      <c r="A87" s="926">
        <v>14</v>
      </c>
      <c r="B87" s="927"/>
      <c r="C87" s="927"/>
      <c r="D87" s="928"/>
      <c r="E87" s="1047" t="str">
        <f>'стр. 2_8'!A289</f>
        <v>Гигиеническая аттестация декретированного персонала (КФО 4)</v>
      </c>
      <c r="F87" s="1048"/>
      <c r="G87" s="1048"/>
      <c r="H87" s="1048"/>
      <c r="I87" s="1048"/>
      <c r="J87" s="1048"/>
      <c r="K87" s="1048"/>
      <c r="L87" s="1048"/>
      <c r="M87" s="1048"/>
      <c r="N87" s="1048"/>
      <c r="O87" s="1048"/>
      <c r="P87" s="1048"/>
      <c r="Q87" s="1048"/>
      <c r="R87" s="1048"/>
      <c r="S87" s="1048"/>
      <c r="T87" s="1048"/>
      <c r="U87" s="1048"/>
      <c r="V87" s="1048"/>
      <c r="W87" s="1048"/>
      <c r="X87" s="1048"/>
      <c r="Y87" s="1048"/>
      <c r="Z87" s="1048"/>
      <c r="AA87" s="1048"/>
      <c r="AB87" s="1048"/>
      <c r="AC87" s="1048"/>
      <c r="AD87" s="1048"/>
      <c r="AE87" s="1048"/>
      <c r="AF87" s="1048"/>
      <c r="AG87" s="1048"/>
      <c r="AH87" s="1048"/>
      <c r="AI87" s="1048"/>
      <c r="AJ87" s="1048"/>
      <c r="AK87" s="1048"/>
      <c r="AL87" s="1048"/>
      <c r="AM87" s="1048"/>
      <c r="AN87" s="1048"/>
      <c r="AO87" s="1048"/>
      <c r="AP87" s="1048"/>
      <c r="AQ87" s="1048"/>
      <c r="AR87" s="1048"/>
      <c r="AS87" s="1048"/>
      <c r="AT87" s="1048"/>
      <c r="AU87" s="1048"/>
      <c r="AV87" s="1048"/>
      <c r="AW87" s="1048"/>
      <c r="AX87" s="1048"/>
      <c r="AY87" s="1048"/>
      <c r="AZ87" s="1048"/>
      <c r="BA87" s="1048"/>
      <c r="BB87" s="1048"/>
      <c r="BC87" s="1049"/>
      <c r="BD87" s="1050">
        <v>1</v>
      </c>
      <c r="BE87" s="1051"/>
      <c r="BF87" s="1051"/>
      <c r="BG87" s="1051"/>
      <c r="BH87" s="1051"/>
      <c r="BI87" s="1051"/>
      <c r="BJ87" s="1051"/>
      <c r="BK87" s="1051"/>
      <c r="BL87" s="1051"/>
      <c r="BM87" s="1052"/>
      <c r="BN87" s="913">
        <f>'стр. 2_8'!DR289</f>
        <v>0</v>
      </c>
      <c r="BO87" s="914"/>
      <c r="BP87" s="914"/>
      <c r="BQ87" s="914"/>
      <c r="BR87" s="914"/>
      <c r="BS87" s="914"/>
      <c r="BT87" s="914"/>
      <c r="BU87" s="914"/>
      <c r="BV87" s="914"/>
      <c r="BW87" s="914"/>
      <c r="BX87" s="914"/>
      <c r="BY87" s="914"/>
      <c r="BZ87" s="914"/>
      <c r="CA87" s="914"/>
      <c r="CB87" s="915"/>
      <c r="CD87" s="115"/>
      <c r="CE87" s="115"/>
      <c r="CF87" s="115"/>
      <c r="CG87" s="115">
        <f t="shared" si="6"/>
        <v>0</v>
      </c>
    </row>
    <row r="88" spans="1:85" s="255" customFormat="1" ht="19.95" customHeight="1">
      <c r="A88" s="926">
        <v>14</v>
      </c>
      <c r="B88" s="927"/>
      <c r="C88" s="927"/>
      <c r="D88" s="928"/>
      <c r="E88" s="1047" t="str">
        <f>'стр. 2_8'!A290</f>
        <v>Обучение ответственных лиц  (КФО 4)</v>
      </c>
      <c r="F88" s="1048"/>
      <c r="G88" s="1048"/>
      <c r="H88" s="1048"/>
      <c r="I88" s="1048"/>
      <c r="J88" s="1048"/>
      <c r="K88" s="1048"/>
      <c r="L88" s="1048"/>
      <c r="M88" s="1048"/>
      <c r="N88" s="1048"/>
      <c r="O88" s="1048"/>
      <c r="P88" s="1048"/>
      <c r="Q88" s="1048"/>
      <c r="R88" s="1048"/>
      <c r="S88" s="1048"/>
      <c r="T88" s="1048"/>
      <c r="U88" s="1048"/>
      <c r="V88" s="1048"/>
      <c r="W88" s="1048"/>
      <c r="X88" s="1048"/>
      <c r="Y88" s="1048"/>
      <c r="Z88" s="1048"/>
      <c r="AA88" s="1048"/>
      <c r="AB88" s="1048"/>
      <c r="AC88" s="1048"/>
      <c r="AD88" s="1048"/>
      <c r="AE88" s="1048"/>
      <c r="AF88" s="1048"/>
      <c r="AG88" s="1048"/>
      <c r="AH88" s="1048"/>
      <c r="AI88" s="1048"/>
      <c r="AJ88" s="1048"/>
      <c r="AK88" s="1048"/>
      <c r="AL88" s="1048"/>
      <c r="AM88" s="1048"/>
      <c r="AN88" s="1048"/>
      <c r="AO88" s="1048"/>
      <c r="AP88" s="1048"/>
      <c r="AQ88" s="1048"/>
      <c r="AR88" s="1048"/>
      <c r="AS88" s="1048"/>
      <c r="AT88" s="1048"/>
      <c r="AU88" s="1048"/>
      <c r="AV88" s="1048"/>
      <c r="AW88" s="1048"/>
      <c r="AX88" s="1048"/>
      <c r="AY88" s="1048"/>
      <c r="AZ88" s="1048"/>
      <c r="BA88" s="1048"/>
      <c r="BB88" s="1048"/>
      <c r="BC88" s="1049"/>
      <c r="BD88" s="1050">
        <v>2</v>
      </c>
      <c r="BE88" s="1051"/>
      <c r="BF88" s="1051"/>
      <c r="BG88" s="1051"/>
      <c r="BH88" s="1051"/>
      <c r="BI88" s="1051"/>
      <c r="BJ88" s="1051"/>
      <c r="BK88" s="1051"/>
      <c r="BL88" s="1051"/>
      <c r="BM88" s="1052"/>
      <c r="BN88" s="913">
        <f>'стр. 2_8'!DR290</f>
        <v>25000</v>
      </c>
      <c r="BO88" s="914"/>
      <c r="BP88" s="914"/>
      <c r="BQ88" s="914"/>
      <c r="BR88" s="914"/>
      <c r="BS88" s="914"/>
      <c r="BT88" s="914"/>
      <c r="BU88" s="914"/>
      <c r="BV88" s="914"/>
      <c r="BW88" s="914"/>
      <c r="BX88" s="914"/>
      <c r="BY88" s="914"/>
      <c r="BZ88" s="914"/>
      <c r="CA88" s="914"/>
      <c r="CB88" s="915"/>
      <c r="CD88" s="115"/>
      <c r="CE88" s="115"/>
      <c r="CF88" s="115"/>
      <c r="CG88" s="115">
        <f t="shared" si="6"/>
        <v>0</v>
      </c>
    </row>
    <row r="89" spans="1:85" s="255" customFormat="1" ht="19.95" hidden="1" customHeight="1">
      <c r="A89" s="926">
        <v>16</v>
      </c>
      <c r="B89" s="927"/>
      <c r="C89" s="927"/>
      <c r="D89" s="928"/>
      <c r="E89" s="1047" t="str">
        <f>'стр. 2_8'!A291</f>
        <v>Выполнение работ по определению категорий помещений по предписанию  (КФО 4)</v>
      </c>
      <c r="F89" s="1048"/>
      <c r="G89" s="1048"/>
      <c r="H89" s="1048"/>
      <c r="I89" s="1048"/>
      <c r="J89" s="1048"/>
      <c r="K89" s="1048"/>
      <c r="L89" s="1048"/>
      <c r="M89" s="1048"/>
      <c r="N89" s="1048"/>
      <c r="O89" s="1048"/>
      <c r="P89" s="1048"/>
      <c r="Q89" s="1048"/>
      <c r="R89" s="1048"/>
      <c r="S89" s="1048"/>
      <c r="T89" s="1048"/>
      <c r="U89" s="1048"/>
      <c r="V89" s="1048"/>
      <c r="W89" s="1048"/>
      <c r="X89" s="1048"/>
      <c r="Y89" s="1048"/>
      <c r="Z89" s="1048"/>
      <c r="AA89" s="1048"/>
      <c r="AB89" s="1048"/>
      <c r="AC89" s="1048"/>
      <c r="AD89" s="1048"/>
      <c r="AE89" s="1048"/>
      <c r="AF89" s="1048"/>
      <c r="AG89" s="1048"/>
      <c r="AH89" s="1048"/>
      <c r="AI89" s="1048"/>
      <c r="AJ89" s="1048"/>
      <c r="AK89" s="1048"/>
      <c r="AL89" s="1048"/>
      <c r="AM89" s="1048"/>
      <c r="AN89" s="1048"/>
      <c r="AO89" s="1048"/>
      <c r="AP89" s="1048"/>
      <c r="AQ89" s="1048"/>
      <c r="AR89" s="1048"/>
      <c r="AS89" s="1048"/>
      <c r="AT89" s="1048"/>
      <c r="AU89" s="1048"/>
      <c r="AV89" s="1048"/>
      <c r="AW89" s="1048"/>
      <c r="AX89" s="1048"/>
      <c r="AY89" s="1048"/>
      <c r="AZ89" s="1048"/>
      <c r="BA89" s="1048"/>
      <c r="BB89" s="1048"/>
      <c r="BC89" s="1049"/>
      <c r="BD89" s="1050">
        <v>1</v>
      </c>
      <c r="BE89" s="1051"/>
      <c r="BF89" s="1051"/>
      <c r="BG89" s="1051"/>
      <c r="BH89" s="1051"/>
      <c r="BI89" s="1051"/>
      <c r="BJ89" s="1051"/>
      <c r="BK89" s="1051"/>
      <c r="BL89" s="1051"/>
      <c r="BM89" s="1052"/>
      <c r="BN89" s="913">
        <f>'стр. 2_8'!DR291</f>
        <v>0</v>
      </c>
      <c r="BO89" s="914"/>
      <c r="BP89" s="914"/>
      <c r="BQ89" s="914"/>
      <c r="BR89" s="914"/>
      <c r="BS89" s="914"/>
      <c r="BT89" s="914"/>
      <c r="BU89" s="914"/>
      <c r="BV89" s="914"/>
      <c r="BW89" s="914"/>
      <c r="BX89" s="914"/>
      <c r="BY89" s="914"/>
      <c r="BZ89" s="914"/>
      <c r="CA89" s="914"/>
      <c r="CB89" s="915"/>
      <c r="CD89" s="115"/>
      <c r="CE89" s="115"/>
      <c r="CF89" s="115"/>
      <c r="CG89" s="115">
        <f t="shared" si="6"/>
        <v>0</v>
      </c>
    </row>
    <row r="90" spans="1:85" s="255" customFormat="1" ht="19.95" customHeight="1">
      <c r="A90" s="926">
        <v>15</v>
      </c>
      <c r="B90" s="927"/>
      <c r="C90" s="927"/>
      <c r="D90" s="928"/>
      <c r="E90" s="1047" t="str">
        <f>'стр. 2_8'!A292</f>
        <v>Услуги оператора торговой площадки  (КФО 4)</v>
      </c>
      <c r="F90" s="1048"/>
      <c r="G90" s="1048"/>
      <c r="H90" s="1048"/>
      <c r="I90" s="1048"/>
      <c r="J90" s="1048"/>
      <c r="K90" s="1048"/>
      <c r="L90" s="1048"/>
      <c r="M90" s="1048"/>
      <c r="N90" s="1048"/>
      <c r="O90" s="1048"/>
      <c r="P90" s="1048"/>
      <c r="Q90" s="1048"/>
      <c r="R90" s="1048"/>
      <c r="S90" s="1048"/>
      <c r="T90" s="1048"/>
      <c r="U90" s="1048"/>
      <c r="V90" s="1048"/>
      <c r="W90" s="1048"/>
      <c r="X90" s="1048"/>
      <c r="Y90" s="1048"/>
      <c r="Z90" s="1048"/>
      <c r="AA90" s="1048"/>
      <c r="AB90" s="1048"/>
      <c r="AC90" s="1048"/>
      <c r="AD90" s="1048"/>
      <c r="AE90" s="1048"/>
      <c r="AF90" s="1048"/>
      <c r="AG90" s="1048"/>
      <c r="AH90" s="1048"/>
      <c r="AI90" s="1048"/>
      <c r="AJ90" s="1048"/>
      <c r="AK90" s="1048"/>
      <c r="AL90" s="1048"/>
      <c r="AM90" s="1048"/>
      <c r="AN90" s="1048"/>
      <c r="AO90" s="1048"/>
      <c r="AP90" s="1048"/>
      <c r="AQ90" s="1048"/>
      <c r="AR90" s="1048"/>
      <c r="AS90" s="1048"/>
      <c r="AT90" s="1048"/>
      <c r="AU90" s="1048"/>
      <c r="AV90" s="1048"/>
      <c r="AW90" s="1048"/>
      <c r="AX90" s="1048"/>
      <c r="AY90" s="1048"/>
      <c r="AZ90" s="1048"/>
      <c r="BA90" s="1048"/>
      <c r="BB90" s="1048"/>
      <c r="BC90" s="1049"/>
      <c r="BD90" s="1050">
        <v>1</v>
      </c>
      <c r="BE90" s="1051"/>
      <c r="BF90" s="1051"/>
      <c r="BG90" s="1051"/>
      <c r="BH90" s="1051"/>
      <c r="BI90" s="1051"/>
      <c r="BJ90" s="1051"/>
      <c r="BK90" s="1051"/>
      <c r="BL90" s="1051"/>
      <c r="BM90" s="1052"/>
      <c r="BN90" s="913">
        <f>'стр. 2_8'!DR292</f>
        <v>3000</v>
      </c>
      <c r="BO90" s="914"/>
      <c r="BP90" s="914"/>
      <c r="BQ90" s="914"/>
      <c r="BR90" s="914"/>
      <c r="BS90" s="914"/>
      <c r="BT90" s="914"/>
      <c r="BU90" s="914"/>
      <c r="BV90" s="914"/>
      <c r="BW90" s="914"/>
      <c r="BX90" s="914"/>
      <c r="BY90" s="914"/>
      <c r="BZ90" s="914"/>
      <c r="CA90" s="914"/>
      <c r="CB90" s="915"/>
      <c r="CD90" s="115"/>
      <c r="CE90" s="115"/>
      <c r="CF90" s="115"/>
      <c r="CG90" s="115">
        <f t="shared" si="6"/>
        <v>0</v>
      </c>
    </row>
    <row r="91" spans="1:85" s="255" customFormat="1" ht="19.95" hidden="1" customHeight="1">
      <c r="A91" s="926">
        <f t="shared" si="7"/>
        <v>16</v>
      </c>
      <c r="B91" s="927"/>
      <c r="C91" s="927"/>
      <c r="D91" s="928"/>
      <c r="E91" s="1047">
        <f>'стр. 2_8'!A293</f>
        <v>0</v>
      </c>
      <c r="F91" s="1048"/>
      <c r="G91" s="1048"/>
      <c r="H91" s="1048"/>
      <c r="I91" s="1048"/>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8"/>
      <c r="AH91" s="1048"/>
      <c r="AI91" s="1048"/>
      <c r="AJ91" s="1048"/>
      <c r="AK91" s="1048"/>
      <c r="AL91" s="1048"/>
      <c r="AM91" s="1048"/>
      <c r="AN91" s="1048"/>
      <c r="AO91" s="1048"/>
      <c r="AP91" s="1048"/>
      <c r="AQ91" s="1048"/>
      <c r="AR91" s="1048"/>
      <c r="AS91" s="1048"/>
      <c r="AT91" s="1048"/>
      <c r="AU91" s="1048"/>
      <c r="AV91" s="1048"/>
      <c r="AW91" s="1048"/>
      <c r="AX91" s="1048"/>
      <c r="AY91" s="1048"/>
      <c r="AZ91" s="1048"/>
      <c r="BA91" s="1048"/>
      <c r="BB91" s="1048"/>
      <c r="BC91" s="1049"/>
      <c r="BD91" s="1050"/>
      <c r="BE91" s="1051"/>
      <c r="BF91" s="1051"/>
      <c r="BG91" s="1051"/>
      <c r="BH91" s="1051"/>
      <c r="BI91" s="1051"/>
      <c r="BJ91" s="1051"/>
      <c r="BK91" s="1051"/>
      <c r="BL91" s="1051"/>
      <c r="BM91" s="1052"/>
      <c r="BN91" s="913">
        <f>'стр. 2_8'!DR293</f>
        <v>0</v>
      </c>
      <c r="BO91" s="914"/>
      <c r="BP91" s="914"/>
      <c r="BQ91" s="914"/>
      <c r="BR91" s="914"/>
      <c r="BS91" s="914"/>
      <c r="BT91" s="914"/>
      <c r="BU91" s="914"/>
      <c r="BV91" s="914"/>
      <c r="BW91" s="914"/>
      <c r="BX91" s="914"/>
      <c r="BY91" s="914"/>
      <c r="BZ91" s="914"/>
      <c r="CA91" s="914"/>
      <c r="CB91" s="915"/>
      <c r="CD91" s="115"/>
      <c r="CE91" s="115"/>
      <c r="CF91" s="115"/>
      <c r="CG91" s="115">
        <f t="shared" si="6"/>
        <v>0</v>
      </c>
    </row>
    <row r="92" spans="1:85" s="255" customFormat="1" ht="19.95" hidden="1" customHeight="1">
      <c r="A92" s="926">
        <f t="shared" si="7"/>
        <v>17</v>
      </c>
      <c r="B92" s="927"/>
      <c r="C92" s="927"/>
      <c r="D92" s="928"/>
      <c r="E92" s="1047">
        <f>'стр. 2_8'!A294</f>
        <v>0</v>
      </c>
      <c r="F92" s="1048"/>
      <c r="G92" s="1048"/>
      <c r="H92" s="1048"/>
      <c r="I92" s="1048"/>
      <c r="J92" s="1048"/>
      <c r="K92" s="1048"/>
      <c r="L92" s="1048"/>
      <c r="M92" s="1048"/>
      <c r="N92" s="1048"/>
      <c r="O92" s="1048"/>
      <c r="P92" s="1048"/>
      <c r="Q92" s="1048"/>
      <c r="R92" s="1048"/>
      <c r="S92" s="1048"/>
      <c r="T92" s="1048"/>
      <c r="U92" s="1048"/>
      <c r="V92" s="1048"/>
      <c r="W92" s="1048"/>
      <c r="X92" s="1048"/>
      <c r="Y92" s="1048"/>
      <c r="Z92" s="1048"/>
      <c r="AA92" s="1048"/>
      <c r="AB92" s="1048"/>
      <c r="AC92" s="1048"/>
      <c r="AD92" s="1048"/>
      <c r="AE92" s="1048"/>
      <c r="AF92" s="1048"/>
      <c r="AG92" s="1048"/>
      <c r="AH92" s="1048"/>
      <c r="AI92" s="1048"/>
      <c r="AJ92" s="1048"/>
      <c r="AK92" s="1048"/>
      <c r="AL92" s="1048"/>
      <c r="AM92" s="1048"/>
      <c r="AN92" s="1048"/>
      <c r="AO92" s="1048"/>
      <c r="AP92" s="1048"/>
      <c r="AQ92" s="1048"/>
      <c r="AR92" s="1048"/>
      <c r="AS92" s="1048"/>
      <c r="AT92" s="1048"/>
      <c r="AU92" s="1048"/>
      <c r="AV92" s="1048"/>
      <c r="AW92" s="1048"/>
      <c r="AX92" s="1048"/>
      <c r="AY92" s="1048"/>
      <c r="AZ92" s="1048"/>
      <c r="BA92" s="1048"/>
      <c r="BB92" s="1048"/>
      <c r="BC92" s="1049"/>
      <c r="BD92" s="1050"/>
      <c r="BE92" s="1051"/>
      <c r="BF92" s="1051"/>
      <c r="BG92" s="1051"/>
      <c r="BH92" s="1051"/>
      <c r="BI92" s="1051"/>
      <c r="BJ92" s="1051"/>
      <c r="BK92" s="1051"/>
      <c r="BL92" s="1051"/>
      <c r="BM92" s="1052"/>
      <c r="BN92" s="913">
        <f>'стр. 2_8'!DR294</f>
        <v>0</v>
      </c>
      <c r="BO92" s="914"/>
      <c r="BP92" s="914"/>
      <c r="BQ92" s="914"/>
      <c r="BR92" s="914"/>
      <c r="BS92" s="914"/>
      <c r="BT92" s="914"/>
      <c r="BU92" s="914"/>
      <c r="BV92" s="914"/>
      <c r="BW92" s="914"/>
      <c r="BX92" s="914"/>
      <c r="BY92" s="914"/>
      <c r="BZ92" s="914"/>
      <c r="CA92" s="914"/>
      <c r="CB92" s="915"/>
      <c r="CD92" s="115"/>
      <c r="CE92" s="115"/>
      <c r="CF92" s="115"/>
      <c r="CG92" s="115">
        <f>CD92+CE92+CF92</f>
        <v>0</v>
      </c>
    </row>
    <row r="93" spans="1:85" s="255" customFormat="1" ht="19.95" hidden="1" customHeight="1">
      <c r="A93" s="926">
        <f t="shared" si="7"/>
        <v>18</v>
      </c>
      <c r="B93" s="927"/>
      <c r="C93" s="927"/>
      <c r="D93" s="928"/>
      <c r="E93" s="1047">
        <f>'стр. 2_8'!A295</f>
        <v>0</v>
      </c>
      <c r="F93" s="1048"/>
      <c r="G93" s="1048"/>
      <c r="H93" s="1048"/>
      <c r="I93" s="1048"/>
      <c r="J93" s="1048"/>
      <c r="K93" s="1048"/>
      <c r="L93" s="1048"/>
      <c r="M93" s="1048"/>
      <c r="N93" s="1048"/>
      <c r="O93" s="1048"/>
      <c r="P93" s="1048"/>
      <c r="Q93" s="1048"/>
      <c r="R93" s="1048"/>
      <c r="S93" s="1048"/>
      <c r="T93" s="1048"/>
      <c r="U93" s="1048"/>
      <c r="V93" s="1048"/>
      <c r="W93" s="1048"/>
      <c r="X93" s="1048"/>
      <c r="Y93" s="1048"/>
      <c r="Z93" s="1048"/>
      <c r="AA93" s="1048"/>
      <c r="AB93" s="1048"/>
      <c r="AC93" s="1048"/>
      <c r="AD93" s="1048"/>
      <c r="AE93" s="1048"/>
      <c r="AF93" s="1048"/>
      <c r="AG93" s="1048"/>
      <c r="AH93" s="1048"/>
      <c r="AI93" s="1048"/>
      <c r="AJ93" s="1048"/>
      <c r="AK93" s="1048"/>
      <c r="AL93" s="1048"/>
      <c r="AM93" s="1048"/>
      <c r="AN93" s="1048"/>
      <c r="AO93" s="1048"/>
      <c r="AP93" s="1048"/>
      <c r="AQ93" s="1048"/>
      <c r="AR93" s="1048"/>
      <c r="AS93" s="1048"/>
      <c r="AT93" s="1048"/>
      <c r="AU93" s="1048"/>
      <c r="AV93" s="1048"/>
      <c r="AW93" s="1048"/>
      <c r="AX93" s="1048"/>
      <c r="AY93" s="1048"/>
      <c r="AZ93" s="1048"/>
      <c r="BA93" s="1048"/>
      <c r="BB93" s="1048"/>
      <c r="BC93" s="1049"/>
      <c r="BD93" s="1050"/>
      <c r="BE93" s="1051"/>
      <c r="BF93" s="1051"/>
      <c r="BG93" s="1051"/>
      <c r="BH93" s="1051"/>
      <c r="BI93" s="1051"/>
      <c r="BJ93" s="1051"/>
      <c r="BK93" s="1051"/>
      <c r="BL93" s="1051"/>
      <c r="BM93" s="1052"/>
      <c r="BN93" s="913">
        <f>'стр. 2_8'!DR295</f>
        <v>0</v>
      </c>
      <c r="BO93" s="914"/>
      <c r="BP93" s="914"/>
      <c r="BQ93" s="914"/>
      <c r="BR93" s="914"/>
      <c r="BS93" s="914"/>
      <c r="BT93" s="914"/>
      <c r="BU93" s="914"/>
      <c r="BV93" s="914"/>
      <c r="BW93" s="914"/>
      <c r="BX93" s="914"/>
      <c r="BY93" s="914"/>
      <c r="BZ93" s="914"/>
      <c r="CA93" s="914"/>
      <c r="CB93" s="915"/>
      <c r="CD93" s="115"/>
      <c r="CE93" s="115"/>
      <c r="CF93" s="115"/>
      <c r="CG93" s="115">
        <f>CD93+CE93+CF93</f>
        <v>0</v>
      </c>
    </row>
    <row r="94" spans="1:85" s="255" customFormat="1" ht="19.95" hidden="1" customHeight="1">
      <c r="A94" s="926">
        <f t="shared" si="7"/>
        <v>19</v>
      </c>
      <c r="B94" s="927"/>
      <c r="C94" s="927"/>
      <c r="D94" s="928"/>
      <c r="E94" s="1047">
        <f>'стр. 2_8'!A296</f>
        <v>0</v>
      </c>
      <c r="F94" s="1048"/>
      <c r="G94" s="1048"/>
      <c r="H94" s="1048"/>
      <c r="I94" s="1048"/>
      <c r="J94" s="1048"/>
      <c r="K94" s="1048"/>
      <c r="L94" s="1048"/>
      <c r="M94" s="1048"/>
      <c r="N94" s="1048"/>
      <c r="O94" s="1048"/>
      <c r="P94" s="1048"/>
      <c r="Q94" s="1048"/>
      <c r="R94" s="1048"/>
      <c r="S94" s="1048"/>
      <c r="T94" s="1048"/>
      <c r="U94" s="1048"/>
      <c r="V94" s="1048"/>
      <c r="W94" s="1048"/>
      <c r="X94" s="1048"/>
      <c r="Y94" s="1048"/>
      <c r="Z94" s="1048"/>
      <c r="AA94" s="1048"/>
      <c r="AB94" s="1048"/>
      <c r="AC94" s="1048"/>
      <c r="AD94" s="1048"/>
      <c r="AE94" s="1048"/>
      <c r="AF94" s="1048"/>
      <c r="AG94" s="1048"/>
      <c r="AH94" s="1048"/>
      <c r="AI94" s="1048"/>
      <c r="AJ94" s="1048"/>
      <c r="AK94" s="1048"/>
      <c r="AL94" s="1048"/>
      <c r="AM94" s="1048"/>
      <c r="AN94" s="1048"/>
      <c r="AO94" s="1048"/>
      <c r="AP94" s="1048"/>
      <c r="AQ94" s="1048"/>
      <c r="AR94" s="1048"/>
      <c r="AS94" s="1048"/>
      <c r="AT94" s="1048"/>
      <c r="AU94" s="1048"/>
      <c r="AV94" s="1048"/>
      <c r="AW94" s="1048"/>
      <c r="AX94" s="1048"/>
      <c r="AY94" s="1048"/>
      <c r="AZ94" s="1048"/>
      <c r="BA94" s="1048"/>
      <c r="BB94" s="1048"/>
      <c r="BC94" s="1049"/>
      <c r="BD94" s="1050"/>
      <c r="BE94" s="1051"/>
      <c r="BF94" s="1051"/>
      <c r="BG94" s="1051"/>
      <c r="BH94" s="1051"/>
      <c r="BI94" s="1051"/>
      <c r="BJ94" s="1051"/>
      <c r="BK94" s="1051"/>
      <c r="BL94" s="1051"/>
      <c r="BM94" s="1052"/>
      <c r="BN94" s="913">
        <f>'стр. 2_8'!DR296</f>
        <v>0</v>
      </c>
      <c r="BO94" s="914"/>
      <c r="BP94" s="914"/>
      <c r="BQ94" s="914"/>
      <c r="BR94" s="914"/>
      <c r="BS94" s="914"/>
      <c r="BT94" s="914"/>
      <c r="BU94" s="914"/>
      <c r="BV94" s="914"/>
      <c r="BW94" s="914"/>
      <c r="BX94" s="914"/>
      <c r="BY94" s="914"/>
      <c r="BZ94" s="914"/>
      <c r="CA94" s="914"/>
      <c r="CB94" s="915"/>
      <c r="CD94" s="115"/>
      <c r="CE94" s="115"/>
      <c r="CF94" s="115"/>
      <c r="CG94" s="115">
        <f t="shared" ref="CG94:CG98" si="8">CD94+CE94+CF94</f>
        <v>0</v>
      </c>
    </row>
    <row r="95" spans="1:85" s="255" customFormat="1" ht="19.95" hidden="1" customHeight="1">
      <c r="A95" s="926">
        <f t="shared" si="7"/>
        <v>20</v>
      </c>
      <c r="B95" s="927"/>
      <c r="C95" s="927"/>
      <c r="D95" s="928"/>
      <c r="E95" s="1047">
        <f>'стр. 2_8'!A297</f>
        <v>0</v>
      </c>
      <c r="F95" s="1048"/>
      <c r="G95" s="1048"/>
      <c r="H95" s="1048"/>
      <c r="I95" s="1048"/>
      <c r="J95" s="1048"/>
      <c r="K95" s="1048"/>
      <c r="L95" s="1048"/>
      <c r="M95" s="1048"/>
      <c r="N95" s="1048"/>
      <c r="O95" s="1048"/>
      <c r="P95" s="1048"/>
      <c r="Q95" s="1048"/>
      <c r="R95" s="1048"/>
      <c r="S95" s="1048"/>
      <c r="T95" s="1048"/>
      <c r="U95" s="1048"/>
      <c r="V95" s="1048"/>
      <c r="W95" s="1048"/>
      <c r="X95" s="1048"/>
      <c r="Y95" s="1048"/>
      <c r="Z95" s="1048"/>
      <c r="AA95" s="1048"/>
      <c r="AB95" s="1048"/>
      <c r="AC95" s="1048"/>
      <c r="AD95" s="1048"/>
      <c r="AE95" s="1048"/>
      <c r="AF95" s="1048"/>
      <c r="AG95" s="1048"/>
      <c r="AH95" s="1048"/>
      <c r="AI95" s="1048"/>
      <c r="AJ95" s="1048"/>
      <c r="AK95" s="1048"/>
      <c r="AL95" s="1048"/>
      <c r="AM95" s="1048"/>
      <c r="AN95" s="1048"/>
      <c r="AO95" s="1048"/>
      <c r="AP95" s="1048"/>
      <c r="AQ95" s="1048"/>
      <c r="AR95" s="1048"/>
      <c r="AS95" s="1048"/>
      <c r="AT95" s="1048"/>
      <c r="AU95" s="1048"/>
      <c r="AV95" s="1048"/>
      <c r="AW95" s="1048"/>
      <c r="AX95" s="1048"/>
      <c r="AY95" s="1048"/>
      <c r="AZ95" s="1048"/>
      <c r="BA95" s="1048"/>
      <c r="BB95" s="1048"/>
      <c r="BC95" s="1049"/>
      <c r="BD95" s="1050"/>
      <c r="BE95" s="1051"/>
      <c r="BF95" s="1051"/>
      <c r="BG95" s="1051"/>
      <c r="BH95" s="1051"/>
      <c r="BI95" s="1051"/>
      <c r="BJ95" s="1051"/>
      <c r="BK95" s="1051"/>
      <c r="BL95" s="1051"/>
      <c r="BM95" s="1052"/>
      <c r="BN95" s="913">
        <f>'стр. 2_8'!DR297</f>
        <v>0</v>
      </c>
      <c r="BO95" s="914"/>
      <c r="BP95" s="914"/>
      <c r="BQ95" s="914"/>
      <c r="BR95" s="914"/>
      <c r="BS95" s="914"/>
      <c r="BT95" s="914"/>
      <c r="BU95" s="914"/>
      <c r="BV95" s="914"/>
      <c r="BW95" s="914"/>
      <c r="BX95" s="914"/>
      <c r="BY95" s="914"/>
      <c r="BZ95" s="914"/>
      <c r="CA95" s="914"/>
      <c r="CB95" s="915"/>
      <c r="CC95" s="255">
        <v>2</v>
      </c>
      <c r="CD95" s="115"/>
      <c r="CE95" s="115">
        <v>51126</v>
      </c>
      <c r="CF95" s="115"/>
      <c r="CG95" s="115">
        <f t="shared" si="8"/>
        <v>51126</v>
      </c>
    </row>
    <row r="96" spans="1:85" s="255" customFormat="1" ht="19.95" hidden="1" customHeight="1">
      <c r="A96" s="926">
        <f t="shared" si="7"/>
        <v>21</v>
      </c>
      <c r="B96" s="927"/>
      <c r="C96" s="927"/>
      <c r="D96" s="928"/>
      <c r="E96" s="1047">
        <f>'стр. 2_8'!A298</f>
        <v>0</v>
      </c>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8"/>
      <c r="AK96" s="1048"/>
      <c r="AL96" s="1048"/>
      <c r="AM96" s="1048"/>
      <c r="AN96" s="1048"/>
      <c r="AO96" s="1048"/>
      <c r="AP96" s="1048"/>
      <c r="AQ96" s="1048"/>
      <c r="AR96" s="1048"/>
      <c r="AS96" s="1048"/>
      <c r="AT96" s="1048"/>
      <c r="AU96" s="1048"/>
      <c r="AV96" s="1048"/>
      <c r="AW96" s="1048"/>
      <c r="AX96" s="1048"/>
      <c r="AY96" s="1048"/>
      <c r="AZ96" s="1048"/>
      <c r="BA96" s="1048"/>
      <c r="BB96" s="1048"/>
      <c r="BC96" s="1049"/>
      <c r="BD96" s="1050"/>
      <c r="BE96" s="1051"/>
      <c r="BF96" s="1051"/>
      <c r="BG96" s="1051"/>
      <c r="BH96" s="1051"/>
      <c r="BI96" s="1051"/>
      <c r="BJ96" s="1051"/>
      <c r="BK96" s="1051"/>
      <c r="BL96" s="1051"/>
      <c r="BM96" s="1052"/>
      <c r="BN96" s="913">
        <f>'стр. 2_8'!DR298</f>
        <v>0</v>
      </c>
      <c r="BO96" s="914"/>
      <c r="BP96" s="914"/>
      <c r="BQ96" s="914"/>
      <c r="BR96" s="914"/>
      <c r="BS96" s="914"/>
      <c r="BT96" s="914"/>
      <c r="BU96" s="914"/>
      <c r="BV96" s="914"/>
      <c r="BW96" s="914"/>
      <c r="BX96" s="914"/>
      <c r="BY96" s="914"/>
      <c r="BZ96" s="914"/>
      <c r="CA96" s="914"/>
      <c r="CB96" s="915"/>
      <c r="CC96" s="255">
        <v>2</v>
      </c>
      <c r="CD96" s="115"/>
      <c r="CE96" s="115">
        <v>48385</v>
      </c>
      <c r="CF96" s="115"/>
      <c r="CG96" s="115">
        <f t="shared" si="8"/>
        <v>48385</v>
      </c>
    </row>
    <row r="97" spans="1:99" ht="19.95" customHeight="1">
      <c r="A97" s="926">
        <v>16</v>
      </c>
      <c r="B97" s="927"/>
      <c r="C97" s="927"/>
      <c r="D97" s="928"/>
      <c r="E97" s="1065" t="str">
        <f>'стр. 2_8'!A299</f>
        <v>Прочие работы, услуги в т.ч.: (КФО 5 всего)</v>
      </c>
      <c r="F97" s="1066"/>
      <c r="G97" s="1066"/>
      <c r="H97" s="1066"/>
      <c r="I97" s="1066"/>
      <c r="J97" s="1066"/>
      <c r="K97" s="1066"/>
      <c r="L97" s="1066"/>
      <c r="M97" s="1066"/>
      <c r="N97" s="1066"/>
      <c r="O97" s="1066"/>
      <c r="P97" s="1066"/>
      <c r="Q97" s="1066"/>
      <c r="R97" s="1066"/>
      <c r="S97" s="1066"/>
      <c r="T97" s="1066"/>
      <c r="U97" s="1066"/>
      <c r="V97" s="1066"/>
      <c r="W97" s="1066"/>
      <c r="X97" s="1066"/>
      <c r="Y97" s="1066"/>
      <c r="Z97" s="1066"/>
      <c r="AA97" s="1066"/>
      <c r="AB97" s="1066"/>
      <c r="AC97" s="1066"/>
      <c r="AD97" s="1066"/>
      <c r="AE97" s="1066"/>
      <c r="AF97" s="1066"/>
      <c r="AG97" s="1066"/>
      <c r="AH97" s="1066"/>
      <c r="AI97" s="1066"/>
      <c r="AJ97" s="1066"/>
      <c r="AK97" s="1066"/>
      <c r="AL97" s="1066"/>
      <c r="AM97" s="1066"/>
      <c r="AN97" s="1066"/>
      <c r="AO97" s="1066"/>
      <c r="AP97" s="1066"/>
      <c r="AQ97" s="1066"/>
      <c r="AR97" s="1066"/>
      <c r="AS97" s="1066"/>
      <c r="AT97" s="1066"/>
      <c r="AU97" s="1066"/>
      <c r="AV97" s="1066"/>
      <c r="AW97" s="1066"/>
      <c r="AX97" s="1066"/>
      <c r="AY97" s="1066"/>
      <c r="AZ97" s="1066"/>
      <c r="BA97" s="1066"/>
      <c r="BB97" s="1066"/>
      <c r="BC97" s="1067"/>
      <c r="BD97" s="1087" t="s">
        <v>21</v>
      </c>
      <c r="BE97" s="1088"/>
      <c r="BF97" s="1088"/>
      <c r="BG97" s="1088"/>
      <c r="BH97" s="1088"/>
      <c r="BI97" s="1088"/>
      <c r="BJ97" s="1088"/>
      <c r="BK97" s="1088"/>
      <c r="BL97" s="1088"/>
      <c r="BM97" s="1089"/>
      <c r="BN97" s="1044">
        <f>'стр. 2_8'!DR299</f>
        <v>1107050.8999999999</v>
      </c>
      <c r="BO97" s="1045"/>
      <c r="BP97" s="1045"/>
      <c r="BQ97" s="1045"/>
      <c r="BR97" s="1045"/>
      <c r="BS97" s="1045"/>
      <c r="BT97" s="1045"/>
      <c r="BU97" s="1045"/>
      <c r="BV97" s="1045"/>
      <c r="BW97" s="1045"/>
      <c r="BX97" s="1045"/>
      <c r="BY97" s="1045"/>
      <c r="BZ97" s="1045"/>
      <c r="CA97" s="1045"/>
      <c r="CB97" s="1046"/>
      <c r="CC97" s="114">
        <v>4</v>
      </c>
      <c r="CD97" s="115"/>
      <c r="CE97" s="115">
        <v>50000</v>
      </c>
      <c r="CF97" s="115"/>
      <c r="CG97" s="116">
        <f t="shared" si="8"/>
        <v>50000</v>
      </c>
    </row>
    <row r="98" spans="1:99" ht="19.95" customHeight="1">
      <c r="A98" s="926">
        <v>17</v>
      </c>
      <c r="B98" s="927"/>
      <c r="C98" s="927"/>
      <c r="D98" s="928"/>
      <c r="E98" s="1065" t="str">
        <f>'стр. 2_8'!A300</f>
        <v>Прочие работы, услуги, в т.ч.: (КФО 5 ОБ)</v>
      </c>
      <c r="F98" s="1066"/>
      <c r="G98" s="1066"/>
      <c r="H98" s="1066"/>
      <c r="I98" s="1066"/>
      <c r="J98" s="1066"/>
      <c r="K98" s="1066"/>
      <c r="L98" s="1066"/>
      <c r="M98" s="1066"/>
      <c r="N98" s="1066"/>
      <c r="O98" s="1066"/>
      <c r="P98" s="1066"/>
      <c r="Q98" s="1066"/>
      <c r="R98" s="1066"/>
      <c r="S98" s="1066"/>
      <c r="T98" s="1066"/>
      <c r="U98" s="1066"/>
      <c r="V98" s="1066"/>
      <c r="W98" s="1066"/>
      <c r="X98" s="1066"/>
      <c r="Y98" s="1066"/>
      <c r="Z98" s="1066"/>
      <c r="AA98" s="1066"/>
      <c r="AB98" s="1066"/>
      <c r="AC98" s="1066"/>
      <c r="AD98" s="1066"/>
      <c r="AE98" s="1066"/>
      <c r="AF98" s="1066"/>
      <c r="AG98" s="1066"/>
      <c r="AH98" s="1066"/>
      <c r="AI98" s="1066"/>
      <c r="AJ98" s="1066"/>
      <c r="AK98" s="1066"/>
      <c r="AL98" s="1066"/>
      <c r="AM98" s="1066"/>
      <c r="AN98" s="1066"/>
      <c r="AO98" s="1066"/>
      <c r="AP98" s="1066"/>
      <c r="AQ98" s="1066"/>
      <c r="AR98" s="1066"/>
      <c r="AS98" s="1066"/>
      <c r="AT98" s="1066"/>
      <c r="AU98" s="1066"/>
      <c r="AV98" s="1066"/>
      <c r="AW98" s="1066"/>
      <c r="AX98" s="1066"/>
      <c r="AY98" s="1066"/>
      <c r="AZ98" s="1066"/>
      <c r="BA98" s="1066"/>
      <c r="BB98" s="1066"/>
      <c r="BC98" s="1067"/>
      <c r="BD98" s="839" t="s">
        <v>21</v>
      </c>
      <c r="BE98" s="840"/>
      <c r="BF98" s="840"/>
      <c r="BG98" s="840"/>
      <c r="BH98" s="840"/>
      <c r="BI98" s="840"/>
      <c r="BJ98" s="840"/>
      <c r="BK98" s="840"/>
      <c r="BL98" s="840"/>
      <c r="BM98" s="841"/>
      <c r="BN98" s="1044">
        <f>'стр. 2_8'!DR300</f>
        <v>504082</v>
      </c>
      <c r="BO98" s="1045"/>
      <c r="BP98" s="1045"/>
      <c r="BQ98" s="1045"/>
      <c r="BR98" s="1045"/>
      <c r="BS98" s="1045"/>
      <c r="BT98" s="1045"/>
      <c r="BU98" s="1045"/>
      <c r="BV98" s="1045"/>
      <c r="BW98" s="1045"/>
      <c r="BX98" s="1045"/>
      <c r="BY98" s="1045"/>
      <c r="BZ98" s="1045"/>
      <c r="CA98" s="1045"/>
      <c r="CB98" s="1046"/>
      <c r="CC98" s="114">
        <v>1</v>
      </c>
      <c r="CD98" s="115"/>
      <c r="CE98" s="115"/>
      <c r="CF98" s="115"/>
      <c r="CG98" s="116">
        <f t="shared" si="8"/>
        <v>0</v>
      </c>
    </row>
    <row r="99" spans="1:99" s="255" customFormat="1" ht="19.95" hidden="1" customHeight="1">
      <c r="A99" s="926">
        <v>19</v>
      </c>
      <c r="B99" s="927"/>
      <c r="C99" s="927"/>
      <c r="D99" s="928"/>
      <c r="E99" s="1047" t="str">
        <f>'стр. 2_8'!A301</f>
        <v>Устройство освещения лыжной трассы протяженностью 900 м, находящейся в границах муниципального образования сельское поселение Ловозеро Ловозерского района за счет средств областного бюджета (МЦП 4) (КФО 5 ОБ)</v>
      </c>
      <c r="F99" s="1048"/>
      <c r="G99" s="1048"/>
      <c r="H99" s="1048"/>
      <c r="I99" s="1048"/>
      <c r="J99" s="1048"/>
      <c r="K99" s="1048"/>
      <c r="L99" s="1048"/>
      <c r="M99" s="1048"/>
      <c r="N99" s="1048"/>
      <c r="O99" s="1048"/>
      <c r="P99" s="1048"/>
      <c r="Q99" s="1048"/>
      <c r="R99" s="1048"/>
      <c r="S99" s="1048"/>
      <c r="T99" s="1048"/>
      <c r="U99" s="1048"/>
      <c r="V99" s="1048"/>
      <c r="W99" s="1048"/>
      <c r="X99" s="1048"/>
      <c r="Y99" s="1048"/>
      <c r="Z99" s="1048"/>
      <c r="AA99" s="1048"/>
      <c r="AB99" s="1048"/>
      <c r="AC99" s="1048"/>
      <c r="AD99" s="1048"/>
      <c r="AE99" s="1048"/>
      <c r="AF99" s="1048"/>
      <c r="AG99" s="1048"/>
      <c r="AH99" s="1048"/>
      <c r="AI99" s="1048"/>
      <c r="AJ99" s="1048"/>
      <c r="AK99" s="1048"/>
      <c r="AL99" s="1048"/>
      <c r="AM99" s="1048"/>
      <c r="AN99" s="1048"/>
      <c r="AO99" s="1048"/>
      <c r="AP99" s="1048"/>
      <c r="AQ99" s="1048"/>
      <c r="AR99" s="1048"/>
      <c r="AS99" s="1048"/>
      <c r="AT99" s="1048"/>
      <c r="AU99" s="1048"/>
      <c r="AV99" s="1048"/>
      <c r="AW99" s="1048"/>
      <c r="AX99" s="1048"/>
      <c r="AY99" s="1048"/>
      <c r="AZ99" s="1048"/>
      <c r="BA99" s="1048"/>
      <c r="BB99" s="1048"/>
      <c r="BC99" s="1049"/>
      <c r="BD99" s="1050">
        <v>4</v>
      </c>
      <c r="BE99" s="1051"/>
      <c r="BF99" s="1051"/>
      <c r="BG99" s="1051"/>
      <c r="BH99" s="1051"/>
      <c r="BI99" s="1051"/>
      <c r="BJ99" s="1051"/>
      <c r="BK99" s="1051"/>
      <c r="BL99" s="1051"/>
      <c r="BM99" s="1052"/>
      <c r="BN99" s="913">
        <f>'стр. 2_8'!DR301</f>
        <v>0</v>
      </c>
      <c r="BO99" s="914"/>
      <c r="BP99" s="914"/>
      <c r="BQ99" s="914"/>
      <c r="BR99" s="914"/>
      <c r="BS99" s="914"/>
      <c r="BT99" s="914"/>
      <c r="BU99" s="914"/>
      <c r="BV99" s="914"/>
      <c r="BW99" s="914"/>
      <c r="BX99" s="914"/>
      <c r="BY99" s="914"/>
      <c r="BZ99" s="914"/>
      <c r="CA99" s="914"/>
      <c r="CB99" s="915"/>
      <c r="CC99" s="255">
        <v>2</v>
      </c>
      <c r="CD99" s="115"/>
      <c r="CE99" s="115">
        <v>60000</v>
      </c>
      <c r="CF99" s="115"/>
      <c r="CG99" s="115">
        <f t="shared" ref="CG99:CG119" si="9">CD99+CE99+CF99</f>
        <v>60000</v>
      </c>
      <c r="CQ99" s="112"/>
      <c r="CR99" s="204"/>
    </row>
    <row r="100" spans="1:99" s="255" customFormat="1" ht="36" customHeight="1">
      <c r="A100" s="926">
        <v>18</v>
      </c>
      <c r="B100" s="927"/>
      <c r="C100" s="927"/>
      <c r="D100" s="928"/>
      <c r="E100" s="1047" t="str">
        <f>'стр. 2_8'!A302</f>
        <v>Инициативный проект "Обустройство места отдыха на территории МБУ «Ловозерский ЦРДК» по адресу: ул.Советская д. 30 с.Ловозеро")</v>
      </c>
      <c r="F100" s="1048"/>
      <c r="G100" s="1048"/>
      <c r="H100" s="1048"/>
      <c r="I100" s="1048"/>
      <c r="J100" s="1048"/>
      <c r="K100" s="1048"/>
      <c r="L100" s="1048"/>
      <c r="M100" s="1048"/>
      <c r="N100" s="1048"/>
      <c r="O100" s="1048"/>
      <c r="P100" s="1048"/>
      <c r="Q100" s="1048"/>
      <c r="R100" s="1048"/>
      <c r="S100" s="1048"/>
      <c r="T100" s="1048"/>
      <c r="U100" s="1048"/>
      <c r="V100" s="1048"/>
      <c r="W100" s="1048"/>
      <c r="X100" s="1048"/>
      <c r="Y100" s="1048"/>
      <c r="Z100" s="1048"/>
      <c r="AA100" s="1048"/>
      <c r="AB100" s="1048"/>
      <c r="AC100" s="1048"/>
      <c r="AD100" s="1048"/>
      <c r="AE100" s="1048"/>
      <c r="AF100" s="1048"/>
      <c r="AG100" s="1048"/>
      <c r="AH100" s="1048"/>
      <c r="AI100" s="1048"/>
      <c r="AJ100" s="1048"/>
      <c r="AK100" s="1048"/>
      <c r="AL100" s="1048"/>
      <c r="AM100" s="1048"/>
      <c r="AN100" s="1048"/>
      <c r="AO100" s="1048"/>
      <c r="AP100" s="1048"/>
      <c r="AQ100" s="1048"/>
      <c r="AR100" s="1048"/>
      <c r="AS100" s="1048"/>
      <c r="AT100" s="1048"/>
      <c r="AU100" s="1048"/>
      <c r="AV100" s="1048"/>
      <c r="AW100" s="1048"/>
      <c r="AX100" s="1048"/>
      <c r="AY100" s="1048"/>
      <c r="AZ100" s="1048"/>
      <c r="BA100" s="1048"/>
      <c r="BB100" s="1048"/>
      <c r="BC100" s="1049"/>
      <c r="BD100" s="1050"/>
      <c r="BE100" s="1051"/>
      <c r="BF100" s="1051"/>
      <c r="BG100" s="1051"/>
      <c r="BH100" s="1051"/>
      <c r="BI100" s="1051"/>
      <c r="BJ100" s="1051"/>
      <c r="BK100" s="1051"/>
      <c r="BL100" s="1051"/>
      <c r="BM100" s="1052"/>
      <c r="BN100" s="913">
        <f>'стр. 2_8'!DR302</f>
        <v>504082</v>
      </c>
      <c r="BO100" s="914"/>
      <c r="BP100" s="914"/>
      <c r="BQ100" s="914"/>
      <c r="BR100" s="914"/>
      <c r="BS100" s="914"/>
      <c r="BT100" s="914"/>
      <c r="BU100" s="914"/>
      <c r="BV100" s="914"/>
      <c r="BW100" s="914"/>
      <c r="BX100" s="914"/>
      <c r="BY100" s="914"/>
      <c r="BZ100" s="914"/>
      <c r="CA100" s="914"/>
      <c r="CB100" s="915"/>
      <c r="CC100" s="255">
        <v>1</v>
      </c>
      <c r="CD100" s="115">
        <v>82000</v>
      </c>
      <c r="CE100" s="115"/>
      <c r="CF100" s="115"/>
      <c r="CG100" s="115">
        <f t="shared" si="9"/>
        <v>82000</v>
      </c>
      <c r="CR100" s="115"/>
      <c r="CS100" s="115"/>
      <c r="CT100" s="115"/>
      <c r="CU100" s="115"/>
    </row>
    <row r="101" spans="1:99" s="255" customFormat="1" ht="19.95" hidden="1" customHeight="1">
      <c r="A101" s="926">
        <f t="shared" ref="A101:A136" si="10">A100+1</f>
        <v>19</v>
      </c>
      <c r="B101" s="927"/>
      <c r="C101" s="927"/>
      <c r="D101" s="928"/>
      <c r="E101" s="1047">
        <f>'стр. 2_8'!A303</f>
        <v>0</v>
      </c>
      <c r="F101" s="1048"/>
      <c r="G101" s="1048"/>
      <c r="H101" s="1048"/>
      <c r="I101" s="1048"/>
      <c r="J101" s="1048"/>
      <c r="K101" s="1048"/>
      <c r="L101" s="1048"/>
      <c r="M101" s="1048"/>
      <c r="N101" s="1048"/>
      <c r="O101" s="1048"/>
      <c r="P101" s="1048"/>
      <c r="Q101" s="1048"/>
      <c r="R101" s="1048"/>
      <c r="S101" s="1048"/>
      <c r="T101" s="1048"/>
      <c r="U101" s="1048"/>
      <c r="V101" s="1048"/>
      <c r="W101" s="1048"/>
      <c r="X101" s="1048"/>
      <c r="Y101" s="1048"/>
      <c r="Z101" s="1048"/>
      <c r="AA101" s="1048"/>
      <c r="AB101" s="1048"/>
      <c r="AC101" s="1048"/>
      <c r="AD101" s="1048"/>
      <c r="AE101" s="1048"/>
      <c r="AF101" s="1048"/>
      <c r="AG101" s="1048"/>
      <c r="AH101" s="1048"/>
      <c r="AI101" s="1048"/>
      <c r="AJ101" s="1048"/>
      <c r="AK101" s="1048"/>
      <c r="AL101" s="1048"/>
      <c r="AM101" s="1048"/>
      <c r="AN101" s="1048"/>
      <c r="AO101" s="1048"/>
      <c r="AP101" s="1048"/>
      <c r="AQ101" s="1048"/>
      <c r="AR101" s="1048"/>
      <c r="AS101" s="1048"/>
      <c r="AT101" s="1048"/>
      <c r="AU101" s="1048"/>
      <c r="AV101" s="1048"/>
      <c r="AW101" s="1048"/>
      <c r="AX101" s="1048"/>
      <c r="AY101" s="1048"/>
      <c r="AZ101" s="1048"/>
      <c r="BA101" s="1048"/>
      <c r="BB101" s="1048"/>
      <c r="BC101" s="1049"/>
      <c r="BD101" s="1050"/>
      <c r="BE101" s="1051"/>
      <c r="BF101" s="1051"/>
      <c r="BG101" s="1051"/>
      <c r="BH101" s="1051"/>
      <c r="BI101" s="1051"/>
      <c r="BJ101" s="1051"/>
      <c r="BK101" s="1051"/>
      <c r="BL101" s="1051"/>
      <c r="BM101" s="1052"/>
      <c r="BN101" s="913">
        <f>'стр. 2_8'!DR303</f>
        <v>0</v>
      </c>
      <c r="BO101" s="914"/>
      <c r="BP101" s="914"/>
      <c r="BQ101" s="914"/>
      <c r="BR101" s="914"/>
      <c r="BS101" s="914"/>
      <c r="BT101" s="914"/>
      <c r="BU101" s="914"/>
      <c r="BV101" s="914"/>
      <c r="BW101" s="914"/>
      <c r="BX101" s="914"/>
      <c r="BY101" s="914"/>
      <c r="BZ101" s="914"/>
      <c r="CA101" s="914"/>
      <c r="CB101" s="915"/>
      <c r="CC101" s="255">
        <v>1</v>
      </c>
      <c r="CD101" s="115">
        <v>50000</v>
      </c>
      <c r="CE101" s="115"/>
      <c r="CF101" s="115"/>
      <c r="CG101" s="115">
        <f t="shared" si="9"/>
        <v>50000</v>
      </c>
    </row>
    <row r="102" spans="1:99" s="255" customFormat="1" ht="19.95" hidden="1" customHeight="1">
      <c r="A102" s="926">
        <f t="shared" si="10"/>
        <v>20</v>
      </c>
      <c r="B102" s="927"/>
      <c r="C102" s="927"/>
      <c r="D102" s="928"/>
      <c r="E102" s="1047">
        <f>'стр. 2_8'!A304</f>
        <v>0</v>
      </c>
      <c r="F102" s="1048"/>
      <c r="G102" s="1048"/>
      <c r="H102" s="1048"/>
      <c r="I102" s="1048"/>
      <c r="J102" s="1048"/>
      <c r="K102" s="1048"/>
      <c r="L102" s="1048"/>
      <c r="M102" s="1048"/>
      <c r="N102" s="1048"/>
      <c r="O102" s="1048"/>
      <c r="P102" s="1048"/>
      <c r="Q102" s="1048"/>
      <c r="R102" s="1048"/>
      <c r="S102" s="1048"/>
      <c r="T102" s="1048"/>
      <c r="U102" s="1048"/>
      <c r="V102" s="1048"/>
      <c r="W102" s="1048"/>
      <c r="X102" s="1048"/>
      <c r="Y102" s="1048"/>
      <c r="Z102" s="1048"/>
      <c r="AA102" s="1048"/>
      <c r="AB102" s="1048"/>
      <c r="AC102" s="1048"/>
      <c r="AD102" s="1048"/>
      <c r="AE102" s="1048"/>
      <c r="AF102" s="1048"/>
      <c r="AG102" s="1048"/>
      <c r="AH102" s="1048"/>
      <c r="AI102" s="1048"/>
      <c r="AJ102" s="1048"/>
      <c r="AK102" s="1048"/>
      <c r="AL102" s="1048"/>
      <c r="AM102" s="1048"/>
      <c r="AN102" s="1048"/>
      <c r="AO102" s="1048"/>
      <c r="AP102" s="1048"/>
      <c r="AQ102" s="1048"/>
      <c r="AR102" s="1048"/>
      <c r="AS102" s="1048"/>
      <c r="AT102" s="1048"/>
      <c r="AU102" s="1048"/>
      <c r="AV102" s="1048"/>
      <c r="AW102" s="1048"/>
      <c r="AX102" s="1048"/>
      <c r="AY102" s="1048"/>
      <c r="AZ102" s="1048"/>
      <c r="BA102" s="1048"/>
      <c r="BB102" s="1048"/>
      <c r="BC102" s="1049"/>
      <c r="BD102" s="1050"/>
      <c r="BE102" s="1051"/>
      <c r="BF102" s="1051"/>
      <c r="BG102" s="1051"/>
      <c r="BH102" s="1051"/>
      <c r="BI102" s="1051"/>
      <c r="BJ102" s="1051"/>
      <c r="BK102" s="1051"/>
      <c r="BL102" s="1051"/>
      <c r="BM102" s="1052"/>
      <c r="BN102" s="913">
        <f>'стр. 2_8'!DR304</f>
        <v>0</v>
      </c>
      <c r="BO102" s="914"/>
      <c r="BP102" s="914"/>
      <c r="BQ102" s="914"/>
      <c r="BR102" s="914"/>
      <c r="BS102" s="914"/>
      <c r="BT102" s="914"/>
      <c r="BU102" s="914"/>
      <c r="BV102" s="914"/>
      <c r="BW102" s="914"/>
      <c r="BX102" s="914"/>
      <c r="BY102" s="914"/>
      <c r="BZ102" s="914"/>
      <c r="CA102" s="914"/>
      <c r="CB102" s="915"/>
      <c r="CC102" s="255">
        <v>1</v>
      </c>
      <c r="CD102" s="115">
        <v>33852</v>
      </c>
      <c r="CE102" s="115"/>
      <c r="CF102" s="115"/>
      <c r="CG102" s="115">
        <f t="shared" si="9"/>
        <v>33852</v>
      </c>
    </row>
    <row r="103" spans="1:99" s="255" customFormat="1" ht="19.95" hidden="1" customHeight="1">
      <c r="A103" s="926">
        <f t="shared" si="10"/>
        <v>21</v>
      </c>
      <c r="B103" s="927"/>
      <c r="C103" s="927"/>
      <c r="D103" s="928"/>
      <c r="E103" s="1047">
        <f>'стр. 2_8'!A305</f>
        <v>0</v>
      </c>
      <c r="F103" s="1048"/>
      <c r="G103" s="1048"/>
      <c r="H103" s="1048"/>
      <c r="I103" s="1048"/>
      <c r="J103" s="1048"/>
      <c r="K103" s="1048"/>
      <c r="L103" s="1048"/>
      <c r="M103" s="1048"/>
      <c r="N103" s="1048"/>
      <c r="O103" s="1048"/>
      <c r="P103" s="1048"/>
      <c r="Q103" s="1048"/>
      <c r="R103" s="1048"/>
      <c r="S103" s="1048"/>
      <c r="T103" s="1048"/>
      <c r="U103" s="1048"/>
      <c r="V103" s="1048"/>
      <c r="W103" s="1048"/>
      <c r="X103" s="1048"/>
      <c r="Y103" s="1048"/>
      <c r="Z103" s="1048"/>
      <c r="AA103" s="1048"/>
      <c r="AB103" s="1048"/>
      <c r="AC103" s="1048"/>
      <c r="AD103" s="1048"/>
      <c r="AE103" s="1048"/>
      <c r="AF103" s="1048"/>
      <c r="AG103" s="1048"/>
      <c r="AH103" s="1048"/>
      <c r="AI103" s="1048"/>
      <c r="AJ103" s="1048"/>
      <c r="AK103" s="1048"/>
      <c r="AL103" s="1048"/>
      <c r="AM103" s="1048"/>
      <c r="AN103" s="1048"/>
      <c r="AO103" s="1048"/>
      <c r="AP103" s="1048"/>
      <c r="AQ103" s="1048"/>
      <c r="AR103" s="1048"/>
      <c r="AS103" s="1048"/>
      <c r="AT103" s="1048"/>
      <c r="AU103" s="1048"/>
      <c r="AV103" s="1048"/>
      <c r="AW103" s="1048"/>
      <c r="AX103" s="1048"/>
      <c r="AY103" s="1048"/>
      <c r="AZ103" s="1048"/>
      <c r="BA103" s="1048"/>
      <c r="BB103" s="1048"/>
      <c r="BC103" s="1049"/>
      <c r="BD103" s="1050"/>
      <c r="BE103" s="1051"/>
      <c r="BF103" s="1051"/>
      <c r="BG103" s="1051"/>
      <c r="BH103" s="1051"/>
      <c r="BI103" s="1051"/>
      <c r="BJ103" s="1051"/>
      <c r="BK103" s="1051"/>
      <c r="BL103" s="1051"/>
      <c r="BM103" s="1052"/>
      <c r="BN103" s="913">
        <f>'стр. 2_8'!DR305</f>
        <v>0</v>
      </c>
      <c r="BO103" s="914"/>
      <c r="BP103" s="914"/>
      <c r="BQ103" s="914"/>
      <c r="BR103" s="914"/>
      <c r="BS103" s="914"/>
      <c r="BT103" s="914"/>
      <c r="BU103" s="914"/>
      <c r="BV103" s="914"/>
      <c r="BW103" s="914"/>
      <c r="BX103" s="914"/>
      <c r="BY103" s="914"/>
      <c r="BZ103" s="914"/>
      <c r="CA103" s="914"/>
      <c r="CB103" s="915"/>
      <c r="CC103" s="255">
        <v>1</v>
      </c>
      <c r="CD103" s="115"/>
      <c r="CE103" s="115"/>
      <c r="CF103" s="115">
        <v>31248</v>
      </c>
      <c r="CG103" s="115">
        <f t="shared" si="9"/>
        <v>31248</v>
      </c>
    </row>
    <row r="104" spans="1:99" ht="19.95" customHeight="1">
      <c r="A104" s="926">
        <v>19</v>
      </c>
      <c r="B104" s="927"/>
      <c r="C104" s="927"/>
      <c r="D104" s="928"/>
      <c r="E104" s="1065" t="str">
        <f>'стр. 2_8'!A306</f>
        <v>Прочие работы, услуги в т.ч.: (КФО 5 МБ)</v>
      </c>
      <c r="F104" s="1066"/>
      <c r="G104" s="1066"/>
      <c r="H104" s="1066"/>
      <c r="I104" s="1066"/>
      <c r="J104" s="1066"/>
      <c r="K104" s="1066"/>
      <c r="L104" s="1066"/>
      <c r="M104" s="1066"/>
      <c r="N104" s="1066"/>
      <c r="O104" s="1066"/>
      <c r="P104" s="1066"/>
      <c r="Q104" s="1066"/>
      <c r="R104" s="1066"/>
      <c r="S104" s="1066"/>
      <c r="T104" s="1066"/>
      <c r="U104" s="1066"/>
      <c r="V104" s="1066"/>
      <c r="W104" s="1066"/>
      <c r="X104" s="1066"/>
      <c r="Y104" s="1066"/>
      <c r="Z104" s="1066"/>
      <c r="AA104" s="1066"/>
      <c r="AB104" s="1066"/>
      <c r="AC104" s="1066"/>
      <c r="AD104" s="1066"/>
      <c r="AE104" s="1066"/>
      <c r="AF104" s="1066"/>
      <c r="AG104" s="1066"/>
      <c r="AH104" s="1066"/>
      <c r="AI104" s="1066"/>
      <c r="AJ104" s="1066"/>
      <c r="AK104" s="1066"/>
      <c r="AL104" s="1066"/>
      <c r="AM104" s="1066"/>
      <c r="AN104" s="1066"/>
      <c r="AO104" s="1066"/>
      <c r="AP104" s="1066"/>
      <c r="AQ104" s="1066"/>
      <c r="AR104" s="1066"/>
      <c r="AS104" s="1066"/>
      <c r="AT104" s="1066"/>
      <c r="AU104" s="1066"/>
      <c r="AV104" s="1066"/>
      <c r="AW104" s="1066"/>
      <c r="AX104" s="1066"/>
      <c r="AY104" s="1066"/>
      <c r="AZ104" s="1066"/>
      <c r="BA104" s="1066"/>
      <c r="BB104" s="1066"/>
      <c r="BC104" s="1067"/>
      <c r="BD104" s="839" t="s">
        <v>21</v>
      </c>
      <c r="BE104" s="840"/>
      <c r="BF104" s="840"/>
      <c r="BG104" s="840"/>
      <c r="BH104" s="840"/>
      <c r="BI104" s="840"/>
      <c r="BJ104" s="840"/>
      <c r="BK104" s="840"/>
      <c r="BL104" s="840"/>
      <c r="BM104" s="841"/>
      <c r="BN104" s="1044">
        <f>'стр. 2_8'!DR306</f>
        <v>602968.9</v>
      </c>
      <c r="BO104" s="1045"/>
      <c r="BP104" s="1045"/>
      <c r="BQ104" s="1045"/>
      <c r="BR104" s="1045"/>
      <c r="BS104" s="1045"/>
      <c r="BT104" s="1045"/>
      <c r="BU104" s="1045"/>
      <c r="BV104" s="1045"/>
      <c r="BW104" s="1045"/>
      <c r="BX104" s="1045"/>
      <c r="BY104" s="1045"/>
      <c r="BZ104" s="1045"/>
      <c r="CA104" s="1045"/>
      <c r="CB104" s="1046"/>
      <c r="CC104" s="114">
        <v>3</v>
      </c>
      <c r="CD104" s="115"/>
      <c r="CE104" s="115"/>
      <c r="CF104" s="115">
        <v>8091</v>
      </c>
      <c r="CG104" s="116">
        <f t="shared" si="9"/>
        <v>8091</v>
      </c>
    </row>
    <row r="105" spans="1:99" s="255" customFormat="1" ht="19.95" customHeight="1">
      <c r="A105" s="926">
        <v>20</v>
      </c>
      <c r="B105" s="927"/>
      <c r="C105" s="927"/>
      <c r="D105" s="928"/>
      <c r="E105" s="1047" t="str">
        <f>'стр. 2_8'!A307</f>
        <v>Монтаж системы оповещения и управления эвакуацией при пожаре и ЧС (МЦП 2) (КФО 5 МБ)</v>
      </c>
      <c r="F105" s="1048"/>
      <c r="G105" s="1048"/>
      <c r="H105" s="1048"/>
      <c r="I105" s="1048"/>
      <c r="J105" s="1048"/>
      <c r="K105" s="1048"/>
      <c r="L105" s="1048"/>
      <c r="M105" s="1048"/>
      <c r="N105" s="1048"/>
      <c r="O105" s="1048"/>
      <c r="P105" s="1048"/>
      <c r="Q105" s="1048"/>
      <c r="R105" s="1048"/>
      <c r="S105" s="1048"/>
      <c r="T105" s="1048"/>
      <c r="U105" s="1048"/>
      <c r="V105" s="1048"/>
      <c r="W105" s="1048"/>
      <c r="X105" s="1048"/>
      <c r="Y105" s="1048"/>
      <c r="Z105" s="1048"/>
      <c r="AA105" s="1048"/>
      <c r="AB105" s="1048"/>
      <c r="AC105" s="1048"/>
      <c r="AD105" s="1048"/>
      <c r="AE105" s="1048"/>
      <c r="AF105" s="1048"/>
      <c r="AG105" s="1048"/>
      <c r="AH105" s="1048"/>
      <c r="AI105" s="1048"/>
      <c r="AJ105" s="1048"/>
      <c r="AK105" s="1048"/>
      <c r="AL105" s="1048"/>
      <c r="AM105" s="1048"/>
      <c r="AN105" s="1048"/>
      <c r="AO105" s="1048"/>
      <c r="AP105" s="1048"/>
      <c r="AQ105" s="1048"/>
      <c r="AR105" s="1048"/>
      <c r="AS105" s="1048"/>
      <c r="AT105" s="1048"/>
      <c r="AU105" s="1048"/>
      <c r="AV105" s="1048"/>
      <c r="AW105" s="1048"/>
      <c r="AX105" s="1048"/>
      <c r="AY105" s="1048"/>
      <c r="AZ105" s="1048"/>
      <c r="BA105" s="1048"/>
      <c r="BB105" s="1048"/>
      <c r="BC105" s="1049"/>
      <c r="BD105" s="1050">
        <v>1</v>
      </c>
      <c r="BE105" s="1051"/>
      <c r="BF105" s="1051"/>
      <c r="BG105" s="1051"/>
      <c r="BH105" s="1051"/>
      <c r="BI105" s="1051"/>
      <c r="BJ105" s="1051"/>
      <c r="BK105" s="1051"/>
      <c r="BL105" s="1051"/>
      <c r="BM105" s="1052"/>
      <c r="BN105" s="913">
        <f>'стр. 2_8'!DR307</f>
        <v>378625</v>
      </c>
      <c r="BO105" s="914"/>
      <c r="BP105" s="914"/>
      <c r="BQ105" s="914"/>
      <c r="BR105" s="914"/>
      <c r="BS105" s="914"/>
      <c r="BT105" s="914"/>
      <c r="BU105" s="914"/>
      <c r="BV105" s="914"/>
      <c r="BW105" s="914"/>
      <c r="BX105" s="914"/>
      <c r="BY105" s="914"/>
      <c r="BZ105" s="914"/>
      <c r="CA105" s="914"/>
      <c r="CB105" s="915"/>
      <c r="CC105" s="255">
        <v>2</v>
      </c>
      <c r="CD105" s="115"/>
      <c r="CE105" s="115"/>
      <c r="CF105" s="115">
        <v>25000</v>
      </c>
      <c r="CG105" s="115">
        <f t="shared" si="9"/>
        <v>25000</v>
      </c>
    </row>
    <row r="106" spans="1:99" s="255" customFormat="1" ht="33" customHeight="1">
      <c r="A106" s="926">
        <v>21</v>
      </c>
      <c r="B106" s="927"/>
      <c r="C106" s="927"/>
      <c r="D106" s="928"/>
      <c r="E106" s="1047" t="str">
        <f>'стр. 2_8'!A308</f>
        <v>Инициативный проект "Обустройство места отдыха на территории МБУ «Ловозерский ЦРДК» по адресу: ул.Советская д. 30 с.Ловозеро")</v>
      </c>
      <c r="F106" s="1048"/>
      <c r="G106" s="1048"/>
      <c r="H106" s="1048"/>
      <c r="I106" s="1048"/>
      <c r="J106" s="1048"/>
      <c r="K106" s="1048"/>
      <c r="L106" s="1048"/>
      <c r="M106" s="1048"/>
      <c r="N106" s="1048"/>
      <c r="O106" s="1048"/>
      <c r="P106" s="1048"/>
      <c r="Q106" s="1048"/>
      <c r="R106" s="1048"/>
      <c r="S106" s="1048"/>
      <c r="T106" s="1048"/>
      <c r="U106" s="1048"/>
      <c r="V106" s="1048"/>
      <c r="W106" s="1048"/>
      <c r="X106" s="1048"/>
      <c r="Y106" s="1048"/>
      <c r="Z106" s="1048"/>
      <c r="AA106" s="1048"/>
      <c r="AB106" s="1048"/>
      <c r="AC106" s="1048"/>
      <c r="AD106" s="1048"/>
      <c r="AE106" s="1048"/>
      <c r="AF106" s="1048"/>
      <c r="AG106" s="1048"/>
      <c r="AH106" s="1048"/>
      <c r="AI106" s="1048"/>
      <c r="AJ106" s="1048"/>
      <c r="AK106" s="1048"/>
      <c r="AL106" s="1048"/>
      <c r="AM106" s="1048"/>
      <c r="AN106" s="1048"/>
      <c r="AO106" s="1048"/>
      <c r="AP106" s="1048"/>
      <c r="AQ106" s="1048"/>
      <c r="AR106" s="1048"/>
      <c r="AS106" s="1048"/>
      <c r="AT106" s="1048"/>
      <c r="AU106" s="1048"/>
      <c r="AV106" s="1048"/>
      <c r="AW106" s="1048"/>
      <c r="AX106" s="1048"/>
      <c r="AY106" s="1048"/>
      <c r="AZ106" s="1048"/>
      <c r="BA106" s="1048"/>
      <c r="BB106" s="1048"/>
      <c r="BC106" s="1049"/>
      <c r="BD106" s="1050"/>
      <c r="BE106" s="1051"/>
      <c r="BF106" s="1051"/>
      <c r="BG106" s="1051"/>
      <c r="BH106" s="1051"/>
      <c r="BI106" s="1051"/>
      <c r="BJ106" s="1051"/>
      <c r="BK106" s="1051"/>
      <c r="BL106" s="1051"/>
      <c r="BM106" s="1052"/>
      <c r="BN106" s="913">
        <f>'стр. 2_8'!DR308</f>
        <v>216343.9</v>
      </c>
      <c r="BO106" s="914"/>
      <c r="BP106" s="914"/>
      <c r="BQ106" s="914"/>
      <c r="BR106" s="914"/>
      <c r="BS106" s="914"/>
      <c r="BT106" s="914"/>
      <c r="BU106" s="914"/>
      <c r="BV106" s="914"/>
      <c r="BW106" s="914"/>
      <c r="BX106" s="914"/>
      <c r="BY106" s="914"/>
      <c r="BZ106" s="914"/>
      <c r="CA106" s="914"/>
      <c r="CB106" s="915"/>
      <c r="CC106" s="255">
        <v>1</v>
      </c>
      <c r="CD106" s="115"/>
      <c r="CE106" s="115"/>
      <c r="CF106" s="115">
        <v>22800</v>
      </c>
      <c r="CG106" s="115">
        <f t="shared" si="9"/>
        <v>22800</v>
      </c>
    </row>
    <row r="107" spans="1:99" s="255" customFormat="1" ht="19.95" hidden="1" customHeight="1">
      <c r="A107" s="926">
        <v>22</v>
      </c>
      <c r="B107" s="927"/>
      <c r="C107" s="927"/>
      <c r="D107" s="928"/>
      <c r="E107" s="1047" t="str">
        <f>'стр. 2_8'!A309</f>
        <v>Устройство освещения лыжной трассы протяженностью 900 м, находящейся в границах муниципального образования сельское поселение Ловозеро Ловозерского района за счет средств областного бюджета (МЦП 4) (КФО 5 МБ)</v>
      </c>
      <c r="F107" s="1048"/>
      <c r="G107" s="1048"/>
      <c r="H107" s="1048"/>
      <c r="I107" s="1048"/>
      <c r="J107" s="1048"/>
      <c r="K107" s="1048"/>
      <c r="L107" s="1048"/>
      <c r="M107" s="1048"/>
      <c r="N107" s="1048"/>
      <c r="O107" s="1048"/>
      <c r="P107" s="1048"/>
      <c r="Q107" s="1048"/>
      <c r="R107" s="1048"/>
      <c r="S107" s="1048"/>
      <c r="T107" s="1048"/>
      <c r="U107" s="1048"/>
      <c r="V107" s="1048"/>
      <c r="W107" s="1048"/>
      <c r="X107" s="1048"/>
      <c r="Y107" s="1048"/>
      <c r="Z107" s="1048"/>
      <c r="AA107" s="1048"/>
      <c r="AB107" s="1048"/>
      <c r="AC107" s="1048"/>
      <c r="AD107" s="1048"/>
      <c r="AE107" s="1048"/>
      <c r="AF107" s="1048"/>
      <c r="AG107" s="1048"/>
      <c r="AH107" s="1048"/>
      <c r="AI107" s="1048"/>
      <c r="AJ107" s="1048"/>
      <c r="AK107" s="1048"/>
      <c r="AL107" s="1048"/>
      <c r="AM107" s="1048"/>
      <c r="AN107" s="1048"/>
      <c r="AO107" s="1048"/>
      <c r="AP107" s="1048"/>
      <c r="AQ107" s="1048"/>
      <c r="AR107" s="1048"/>
      <c r="AS107" s="1048"/>
      <c r="AT107" s="1048"/>
      <c r="AU107" s="1048"/>
      <c r="AV107" s="1048"/>
      <c r="AW107" s="1048"/>
      <c r="AX107" s="1048"/>
      <c r="AY107" s="1048"/>
      <c r="AZ107" s="1048"/>
      <c r="BA107" s="1048"/>
      <c r="BB107" s="1048"/>
      <c r="BC107" s="1049"/>
      <c r="BD107" s="1050">
        <v>4</v>
      </c>
      <c r="BE107" s="1051"/>
      <c r="BF107" s="1051"/>
      <c r="BG107" s="1051"/>
      <c r="BH107" s="1051"/>
      <c r="BI107" s="1051"/>
      <c r="BJ107" s="1051"/>
      <c r="BK107" s="1051"/>
      <c r="BL107" s="1051"/>
      <c r="BM107" s="1052"/>
      <c r="BN107" s="913">
        <f>'стр. 2_8'!DR309</f>
        <v>0</v>
      </c>
      <c r="BO107" s="914"/>
      <c r="BP107" s="914"/>
      <c r="BQ107" s="914"/>
      <c r="BR107" s="914"/>
      <c r="BS107" s="914"/>
      <c r="BT107" s="914"/>
      <c r="BU107" s="914"/>
      <c r="BV107" s="914"/>
      <c r="BW107" s="914"/>
      <c r="BX107" s="914"/>
      <c r="BY107" s="914"/>
      <c r="BZ107" s="914"/>
      <c r="CA107" s="914"/>
      <c r="CB107" s="915"/>
      <c r="CC107" s="255">
        <v>2</v>
      </c>
      <c r="CD107" s="115"/>
      <c r="CE107" s="115">
        <v>2200</v>
      </c>
      <c r="CF107" s="115"/>
      <c r="CG107" s="115">
        <f t="shared" si="9"/>
        <v>2200</v>
      </c>
    </row>
    <row r="108" spans="1:99" s="255" customFormat="1" ht="19.95" hidden="1" customHeight="1">
      <c r="A108" s="926">
        <v>23</v>
      </c>
      <c r="B108" s="927"/>
      <c r="C108" s="927"/>
      <c r="D108" s="928"/>
      <c r="E108" s="1047" t="str">
        <f>'стр. 2_8'!A310</f>
        <v>Проведение работ по расчистке и подготовке земельного участка для устройства освещения лыжной трассы, находящейся в границах МО СП Ловозеро Ловозерского района (КФО 5 МБ)</v>
      </c>
      <c r="F108" s="1048"/>
      <c r="G108" s="1048"/>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c r="AF108" s="1048"/>
      <c r="AG108" s="1048"/>
      <c r="AH108" s="1048"/>
      <c r="AI108" s="1048"/>
      <c r="AJ108" s="1048"/>
      <c r="AK108" s="1048"/>
      <c r="AL108" s="1048"/>
      <c r="AM108" s="1048"/>
      <c r="AN108" s="1048"/>
      <c r="AO108" s="1048"/>
      <c r="AP108" s="1048"/>
      <c r="AQ108" s="1048"/>
      <c r="AR108" s="1048"/>
      <c r="AS108" s="1048"/>
      <c r="AT108" s="1048"/>
      <c r="AU108" s="1048"/>
      <c r="AV108" s="1048"/>
      <c r="AW108" s="1048"/>
      <c r="AX108" s="1048"/>
      <c r="AY108" s="1048"/>
      <c r="AZ108" s="1048"/>
      <c r="BA108" s="1048"/>
      <c r="BB108" s="1048"/>
      <c r="BC108" s="1049"/>
      <c r="BD108" s="1050">
        <v>1</v>
      </c>
      <c r="BE108" s="1051"/>
      <c r="BF108" s="1051"/>
      <c r="BG108" s="1051"/>
      <c r="BH108" s="1051"/>
      <c r="BI108" s="1051"/>
      <c r="BJ108" s="1051"/>
      <c r="BK108" s="1051"/>
      <c r="BL108" s="1051"/>
      <c r="BM108" s="1052"/>
      <c r="BN108" s="913">
        <f>'стр. 2_8'!DR310</f>
        <v>0</v>
      </c>
      <c r="BO108" s="914"/>
      <c r="BP108" s="914"/>
      <c r="BQ108" s="914"/>
      <c r="BR108" s="914"/>
      <c r="BS108" s="914"/>
      <c r="BT108" s="914"/>
      <c r="BU108" s="914"/>
      <c r="BV108" s="914"/>
      <c r="BW108" s="914"/>
      <c r="BX108" s="914"/>
      <c r="BY108" s="914"/>
      <c r="BZ108" s="914"/>
      <c r="CA108" s="914"/>
      <c r="CB108" s="915"/>
      <c r="CC108" s="255">
        <v>2</v>
      </c>
      <c r="CD108" s="115"/>
      <c r="CE108" s="115">
        <v>51126</v>
      </c>
      <c r="CF108" s="115"/>
      <c r="CG108" s="115">
        <f t="shared" si="9"/>
        <v>51126</v>
      </c>
    </row>
    <row r="109" spans="1:99" s="255" customFormat="1" ht="19.95" hidden="1" customHeight="1">
      <c r="A109" s="926">
        <v>24</v>
      </c>
      <c r="B109" s="927"/>
      <c r="C109" s="927"/>
      <c r="D109" s="928"/>
      <c r="E109" s="1047" t="str">
        <f>'стр. 2_8'!A311</f>
        <v>Разработка ПСД на ремонт фасада СДК с.Каневка (МЦП 3) (КФО 5 МБ)</v>
      </c>
      <c r="F109" s="1048"/>
      <c r="G109" s="1048"/>
      <c r="H109" s="1048"/>
      <c r="I109" s="1048"/>
      <c r="J109" s="1048"/>
      <c r="K109" s="1048"/>
      <c r="L109" s="1048"/>
      <c r="M109" s="1048"/>
      <c r="N109" s="1048"/>
      <c r="O109" s="1048"/>
      <c r="P109" s="1048"/>
      <c r="Q109" s="1048"/>
      <c r="R109" s="1048"/>
      <c r="S109" s="1048"/>
      <c r="T109" s="1048"/>
      <c r="U109" s="1048"/>
      <c r="V109" s="1048"/>
      <c r="W109" s="1048"/>
      <c r="X109" s="1048"/>
      <c r="Y109" s="1048"/>
      <c r="Z109" s="1048"/>
      <c r="AA109" s="1048"/>
      <c r="AB109" s="1048"/>
      <c r="AC109" s="1048"/>
      <c r="AD109" s="1048"/>
      <c r="AE109" s="1048"/>
      <c r="AF109" s="1048"/>
      <c r="AG109" s="1048"/>
      <c r="AH109" s="1048"/>
      <c r="AI109" s="1048"/>
      <c r="AJ109" s="1048"/>
      <c r="AK109" s="1048"/>
      <c r="AL109" s="1048"/>
      <c r="AM109" s="1048"/>
      <c r="AN109" s="1048"/>
      <c r="AO109" s="1048"/>
      <c r="AP109" s="1048"/>
      <c r="AQ109" s="1048"/>
      <c r="AR109" s="1048"/>
      <c r="AS109" s="1048"/>
      <c r="AT109" s="1048"/>
      <c r="AU109" s="1048"/>
      <c r="AV109" s="1048"/>
      <c r="AW109" s="1048"/>
      <c r="AX109" s="1048"/>
      <c r="AY109" s="1048"/>
      <c r="AZ109" s="1048"/>
      <c r="BA109" s="1048"/>
      <c r="BB109" s="1048"/>
      <c r="BC109" s="1049"/>
      <c r="BD109" s="1050">
        <v>1</v>
      </c>
      <c r="BE109" s="1051"/>
      <c r="BF109" s="1051"/>
      <c r="BG109" s="1051"/>
      <c r="BH109" s="1051"/>
      <c r="BI109" s="1051"/>
      <c r="BJ109" s="1051"/>
      <c r="BK109" s="1051"/>
      <c r="BL109" s="1051"/>
      <c r="BM109" s="1052"/>
      <c r="BN109" s="913">
        <f>'стр. 2_8'!DR311</f>
        <v>0</v>
      </c>
      <c r="BO109" s="914"/>
      <c r="BP109" s="914"/>
      <c r="BQ109" s="914"/>
      <c r="BR109" s="914"/>
      <c r="BS109" s="914"/>
      <c r="BT109" s="914"/>
      <c r="BU109" s="914"/>
      <c r="BV109" s="914"/>
      <c r="BW109" s="914"/>
      <c r="BX109" s="914"/>
      <c r="BY109" s="914"/>
      <c r="BZ109" s="914"/>
      <c r="CA109" s="914"/>
      <c r="CB109" s="915"/>
      <c r="CC109" s="255">
        <v>2</v>
      </c>
      <c r="CD109" s="115"/>
      <c r="CE109" s="115">
        <v>48385</v>
      </c>
      <c r="CF109" s="115"/>
      <c r="CG109" s="115">
        <f t="shared" si="9"/>
        <v>48385</v>
      </c>
    </row>
    <row r="110" spans="1:99" s="255" customFormat="1" ht="19.95" hidden="1" customHeight="1">
      <c r="A110" s="926">
        <v>25</v>
      </c>
      <c r="B110" s="927"/>
      <c r="C110" s="927"/>
      <c r="D110" s="928"/>
      <c r="E110" s="1047" t="str">
        <f>'стр. 2_8'!A312</f>
        <v>Разработка ПСД на ремонт подвала с.Ловозеро (МЦП 3) (КФО 5 МБ)</v>
      </c>
      <c r="F110" s="1048"/>
      <c r="G110" s="1048"/>
      <c r="H110" s="1048"/>
      <c r="I110" s="1048"/>
      <c r="J110" s="1048"/>
      <c r="K110" s="1048"/>
      <c r="L110" s="1048"/>
      <c r="M110" s="1048"/>
      <c r="N110" s="1048"/>
      <c r="O110" s="1048"/>
      <c r="P110" s="1048"/>
      <c r="Q110" s="1048"/>
      <c r="R110" s="1048"/>
      <c r="S110" s="1048"/>
      <c r="T110" s="1048"/>
      <c r="U110" s="1048"/>
      <c r="V110" s="1048"/>
      <c r="W110" s="1048"/>
      <c r="X110" s="1048"/>
      <c r="Y110" s="1048"/>
      <c r="Z110" s="1048"/>
      <c r="AA110" s="1048"/>
      <c r="AB110" s="1048"/>
      <c r="AC110" s="1048"/>
      <c r="AD110" s="1048"/>
      <c r="AE110" s="1048"/>
      <c r="AF110" s="1048"/>
      <c r="AG110" s="1048"/>
      <c r="AH110" s="1048"/>
      <c r="AI110" s="1048"/>
      <c r="AJ110" s="1048"/>
      <c r="AK110" s="1048"/>
      <c r="AL110" s="1048"/>
      <c r="AM110" s="1048"/>
      <c r="AN110" s="1048"/>
      <c r="AO110" s="1048"/>
      <c r="AP110" s="1048"/>
      <c r="AQ110" s="1048"/>
      <c r="AR110" s="1048"/>
      <c r="AS110" s="1048"/>
      <c r="AT110" s="1048"/>
      <c r="AU110" s="1048"/>
      <c r="AV110" s="1048"/>
      <c r="AW110" s="1048"/>
      <c r="AX110" s="1048"/>
      <c r="AY110" s="1048"/>
      <c r="AZ110" s="1048"/>
      <c r="BA110" s="1048"/>
      <c r="BB110" s="1048"/>
      <c r="BC110" s="1049"/>
      <c r="BD110" s="1050">
        <v>1</v>
      </c>
      <c r="BE110" s="1051"/>
      <c r="BF110" s="1051"/>
      <c r="BG110" s="1051"/>
      <c r="BH110" s="1051"/>
      <c r="BI110" s="1051"/>
      <c r="BJ110" s="1051"/>
      <c r="BK110" s="1051"/>
      <c r="BL110" s="1051"/>
      <c r="BM110" s="1052"/>
      <c r="BN110" s="913">
        <f>'стр. 2_8'!DR312</f>
        <v>0</v>
      </c>
      <c r="BO110" s="914"/>
      <c r="BP110" s="914"/>
      <c r="BQ110" s="914"/>
      <c r="BR110" s="914"/>
      <c r="BS110" s="914"/>
      <c r="BT110" s="914"/>
      <c r="BU110" s="914"/>
      <c r="BV110" s="914"/>
      <c r="BW110" s="914"/>
      <c r="BX110" s="914"/>
      <c r="BY110" s="914"/>
      <c r="BZ110" s="914"/>
      <c r="CA110" s="914"/>
      <c r="CB110" s="915"/>
      <c r="CC110" s="255">
        <v>4</v>
      </c>
      <c r="CD110" s="115"/>
      <c r="CE110" s="115">
        <v>50000</v>
      </c>
      <c r="CF110" s="115"/>
      <c r="CG110" s="115">
        <f t="shared" si="9"/>
        <v>50000</v>
      </c>
    </row>
    <row r="111" spans="1:99" s="255" customFormat="1" ht="19.95" customHeight="1">
      <c r="A111" s="926">
        <v>22</v>
      </c>
      <c r="B111" s="927"/>
      <c r="C111" s="927"/>
      <c r="D111" s="928"/>
      <c r="E111" s="1047" t="str">
        <f>'стр. 2_8'!A313</f>
        <v>Разработка программы в области энергосбережения (МЦП 3) (КФО 5 МБ)</v>
      </c>
      <c r="F111" s="1048"/>
      <c r="G111" s="1048"/>
      <c r="H111" s="1048"/>
      <c r="I111" s="1048"/>
      <c r="J111" s="1048"/>
      <c r="K111" s="1048"/>
      <c r="L111" s="1048"/>
      <c r="M111" s="1048"/>
      <c r="N111" s="1048"/>
      <c r="O111" s="1048"/>
      <c r="P111" s="1048"/>
      <c r="Q111" s="1048"/>
      <c r="R111" s="1048"/>
      <c r="S111" s="1048"/>
      <c r="T111" s="1048"/>
      <c r="U111" s="1048"/>
      <c r="V111" s="1048"/>
      <c r="W111" s="1048"/>
      <c r="X111" s="1048"/>
      <c r="Y111" s="1048"/>
      <c r="Z111" s="1048"/>
      <c r="AA111" s="1048"/>
      <c r="AB111" s="1048"/>
      <c r="AC111" s="1048"/>
      <c r="AD111" s="1048"/>
      <c r="AE111" s="1048"/>
      <c r="AF111" s="1048"/>
      <c r="AG111" s="1048"/>
      <c r="AH111" s="1048"/>
      <c r="AI111" s="1048"/>
      <c r="AJ111" s="1048"/>
      <c r="AK111" s="1048"/>
      <c r="AL111" s="1048"/>
      <c r="AM111" s="1048"/>
      <c r="AN111" s="1048"/>
      <c r="AO111" s="1048"/>
      <c r="AP111" s="1048"/>
      <c r="AQ111" s="1048"/>
      <c r="AR111" s="1048"/>
      <c r="AS111" s="1048"/>
      <c r="AT111" s="1048"/>
      <c r="AU111" s="1048"/>
      <c r="AV111" s="1048"/>
      <c r="AW111" s="1048"/>
      <c r="AX111" s="1048"/>
      <c r="AY111" s="1048"/>
      <c r="AZ111" s="1048"/>
      <c r="BA111" s="1048"/>
      <c r="BB111" s="1048"/>
      <c r="BC111" s="1049"/>
      <c r="BD111" s="1050">
        <v>1</v>
      </c>
      <c r="BE111" s="1051"/>
      <c r="BF111" s="1051"/>
      <c r="BG111" s="1051"/>
      <c r="BH111" s="1051"/>
      <c r="BI111" s="1051"/>
      <c r="BJ111" s="1051"/>
      <c r="BK111" s="1051"/>
      <c r="BL111" s="1051"/>
      <c r="BM111" s="1052"/>
      <c r="BN111" s="913">
        <f>'стр. 2_8'!DR313</f>
        <v>8000</v>
      </c>
      <c r="BO111" s="914"/>
      <c r="BP111" s="914"/>
      <c r="BQ111" s="914"/>
      <c r="BR111" s="914"/>
      <c r="BS111" s="914"/>
      <c r="BT111" s="914"/>
      <c r="BU111" s="914"/>
      <c r="BV111" s="914"/>
      <c r="BW111" s="914"/>
      <c r="BX111" s="914"/>
      <c r="BY111" s="914"/>
      <c r="BZ111" s="914"/>
      <c r="CA111" s="914"/>
      <c r="CB111" s="915"/>
      <c r="CC111" s="255">
        <v>1</v>
      </c>
      <c r="CD111" s="115"/>
      <c r="CE111" s="115"/>
      <c r="CF111" s="115"/>
      <c r="CG111" s="115">
        <f t="shared" si="9"/>
        <v>0</v>
      </c>
    </row>
    <row r="112" spans="1:99" s="255" customFormat="1" ht="19.95" hidden="1" customHeight="1">
      <c r="A112" s="926">
        <v>26</v>
      </c>
      <c r="B112" s="927"/>
      <c r="C112" s="927"/>
      <c r="D112" s="928"/>
      <c r="E112" s="1047">
        <f>'стр. 2_8'!A314</f>
        <v>0</v>
      </c>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8"/>
      <c r="AA112" s="1048"/>
      <c r="AB112" s="1048"/>
      <c r="AC112" s="1048"/>
      <c r="AD112" s="1048"/>
      <c r="AE112" s="1048"/>
      <c r="AF112" s="1048"/>
      <c r="AG112" s="1048"/>
      <c r="AH112" s="1048"/>
      <c r="AI112" s="1048"/>
      <c r="AJ112" s="1048"/>
      <c r="AK112" s="1048"/>
      <c r="AL112" s="1048"/>
      <c r="AM112" s="1048"/>
      <c r="AN112" s="1048"/>
      <c r="AO112" s="1048"/>
      <c r="AP112" s="1048"/>
      <c r="AQ112" s="1048"/>
      <c r="AR112" s="1048"/>
      <c r="AS112" s="1048"/>
      <c r="AT112" s="1048"/>
      <c r="AU112" s="1048"/>
      <c r="AV112" s="1048"/>
      <c r="AW112" s="1048"/>
      <c r="AX112" s="1048"/>
      <c r="AY112" s="1048"/>
      <c r="AZ112" s="1048"/>
      <c r="BA112" s="1048"/>
      <c r="BB112" s="1048"/>
      <c r="BC112" s="1049"/>
      <c r="BD112" s="839" t="s">
        <v>21</v>
      </c>
      <c r="BE112" s="840"/>
      <c r="BF112" s="840"/>
      <c r="BG112" s="840"/>
      <c r="BH112" s="840"/>
      <c r="BI112" s="840"/>
      <c r="BJ112" s="840"/>
      <c r="BK112" s="840"/>
      <c r="BL112" s="840"/>
      <c r="BM112" s="841"/>
      <c r="BN112" s="913">
        <f>'стр. 2_8'!DR314</f>
        <v>0</v>
      </c>
      <c r="BO112" s="914"/>
      <c r="BP112" s="914"/>
      <c r="BQ112" s="914"/>
      <c r="BR112" s="914"/>
      <c r="BS112" s="914"/>
      <c r="BT112" s="914"/>
      <c r="BU112" s="914"/>
      <c r="BV112" s="914"/>
      <c r="BW112" s="914"/>
      <c r="BX112" s="914"/>
      <c r="BY112" s="914"/>
      <c r="BZ112" s="914"/>
      <c r="CA112" s="914"/>
      <c r="CB112" s="915"/>
      <c r="CD112" s="115"/>
      <c r="CE112" s="115"/>
      <c r="CF112" s="115"/>
      <c r="CG112" s="115">
        <f t="shared" si="9"/>
        <v>0</v>
      </c>
    </row>
    <row r="113" spans="1:85" s="255" customFormat="1" ht="19.95" hidden="1" customHeight="1">
      <c r="A113" s="926">
        <v>27</v>
      </c>
      <c r="B113" s="927"/>
      <c r="C113" s="927"/>
      <c r="D113" s="928"/>
      <c r="E113" s="1047">
        <f>'стр. 2_8'!A315</f>
        <v>0</v>
      </c>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8"/>
      <c r="AA113" s="1048"/>
      <c r="AB113" s="1048"/>
      <c r="AC113" s="1048"/>
      <c r="AD113" s="1048"/>
      <c r="AE113" s="1048"/>
      <c r="AF113" s="1048"/>
      <c r="AG113" s="1048"/>
      <c r="AH113" s="1048"/>
      <c r="AI113" s="1048"/>
      <c r="AJ113" s="1048"/>
      <c r="AK113" s="1048"/>
      <c r="AL113" s="1048"/>
      <c r="AM113" s="1048"/>
      <c r="AN113" s="1048"/>
      <c r="AO113" s="1048"/>
      <c r="AP113" s="1048"/>
      <c r="AQ113" s="1048"/>
      <c r="AR113" s="1048"/>
      <c r="AS113" s="1048"/>
      <c r="AT113" s="1048"/>
      <c r="AU113" s="1048"/>
      <c r="AV113" s="1048"/>
      <c r="AW113" s="1048"/>
      <c r="AX113" s="1048"/>
      <c r="AY113" s="1048"/>
      <c r="AZ113" s="1048"/>
      <c r="BA113" s="1048"/>
      <c r="BB113" s="1048"/>
      <c r="BC113" s="1049"/>
      <c r="BD113" s="1050">
        <v>1</v>
      </c>
      <c r="BE113" s="1051"/>
      <c r="BF113" s="1051"/>
      <c r="BG113" s="1051"/>
      <c r="BH113" s="1051"/>
      <c r="BI113" s="1051"/>
      <c r="BJ113" s="1051"/>
      <c r="BK113" s="1051"/>
      <c r="BL113" s="1051"/>
      <c r="BM113" s="1052"/>
      <c r="BN113" s="913">
        <f>'стр. 2_8'!DR315</f>
        <v>0</v>
      </c>
      <c r="BO113" s="914"/>
      <c r="BP113" s="914"/>
      <c r="BQ113" s="914"/>
      <c r="BR113" s="914"/>
      <c r="BS113" s="914"/>
      <c r="BT113" s="914"/>
      <c r="BU113" s="914"/>
      <c r="BV113" s="914"/>
      <c r="BW113" s="914"/>
      <c r="BX113" s="914"/>
      <c r="BY113" s="914"/>
      <c r="BZ113" s="914"/>
      <c r="CA113" s="914"/>
      <c r="CB113" s="915"/>
      <c r="CD113" s="115"/>
      <c r="CE113" s="115"/>
      <c r="CF113" s="115"/>
      <c r="CG113" s="115">
        <f t="shared" si="9"/>
        <v>0</v>
      </c>
    </row>
    <row r="114" spans="1:85" s="255" customFormat="1" ht="19.95" hidden="1" customHeight="1">
      <c r="A114" s="926">
        <v>28</v>
      </c>
      <c r="B114" s="927"/>
      <c r="C114" s="927"/>
      <c r="D114" s="928"/>
      <c r="E114" s="1047">
        <f>'стр. 2_8'!A316</f>
        <v>0</v>
      </c>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8"/>
      <c r="AA114" s="1048"/>
      <c r="AB114" s="1048"/>
      <c r="AC114" s="1048"/>
      <c r="AD114" s="1048"/>
      <c r="AE114" s="1048"/>
      <c r="AF114" s="1048"/>
      <c r="AG114" s="1048"/>
      <c r="AH114" s="1048"/>
      <c r="AI114" s="1048"/>
      <c r="AJ114" s="1048"/>
      <c r="AK114" s="1048"/>
      <c r="AL114" s="1048"/>
      <c r="AM114" s="1048"/>
      <c r="AN114" s="1048"/>
      <c r="AO114" s="1048"/>
      <c r="AP114" s="1048"/>
      <c r="AQ114" s="1048"/>
      <c r="AR114" s="1048"/>
      <c r="AS114" s="1048"/>
      <c r="AT114" s="1048"/>
      <c r="AU114" s="1048"/>
      <c r="AV114" s="1048"/>
      <c r="AW114" s="1048"/>
      <c r="AX114" s="1048"/>
      <c r="AY114" s="1048"/>
      <c r="AZ114" s="1048"/>
      <c r="BA114" s="1048"/>
      <c r="BB114" s="1048"/>
      <c r="BC114" s="1049"/>
      <c r="BD114" s="1050">
        <v>4</v>
      </c>
      <c r="BE114" s="1051"/>
      <c r="BF114" s="1051"/>
      <c r="BG114" s="1051"/>
      <c r="BH114" s="1051"/>
      <c r="BI114" s="1051"/>
      <c r="BJ114" s="1051"/>
      <c r="BK114" s="1051"/>
      <c r="BL114" s="1051"/>
      <c r="BM114" s="1052"/>
      <c r="BN114" s="913">
        <f>'стр. 2_8'!DR316</f>
        <v>0</v>
      </c>
      <c r="BO114" s="914"/>
      <c r="BP114" s="914"/>
      <c r="BQ114" s="914"/>
      <c r="BR114" s="914"/>
      <c r="BS114" s="914"/>
      <c r="BT114" s="914"/>
      <c r="BU114" s="914"/>
      <c r="BV114" s="914"/>
      <c r="BW114" s="914"/>
      <c r="BX114" s="914"/>
      <c r="BY114" s="914"/>
      <c r="BZ114" s="914"/>
      <c r="CA114" s="914"/>
      <c r="CB114" s="915"/>
      <c r="CD114" s="115"/>
      <c r="CE114" s="115"/>
      <c r="CF114" s="115"/>
      <c r="CG114" s="115">
        <f t="shared" si="9"/>
        <v>0</v>
      </c>
    </row>
    <row r="115" spans="1:85" ht="19.95" customHeight="1">
      <c r="A115" s="926">
        <v>23</v>
      </c>
      <c r="B115" s="927"/>
      <c r="C115" s="927"/>
      <c r="D115" s="928"/>
      <c r="E115" s="1065" t="str">
        <f>'стр. 2_8'!A317</f>
        <v>Прочие работы, услуги, в т.ч.: (КФО 2)</v>
      </c>
      <c r="F115" s="1066"/>
      <c r="G115" s="1066"/>
      <c r="H115" s="1066"/>
      <c r="I115" s="1066"/>
      <c r="J115" s="1066"/>
      <c r="K115" s="1066"/>
      <c r="L115" s="1066"/>
      <c r="M115" s="1066"/>
      <c r="N115" s="1066"/>
      <c r="O115" s="1066"/>
      <c r="P115" s="1066"/>
      <c r="Q115" s="1066"/>
      <c r="R115" s="1066"/>
      <c r="S115" s="1066"/>
      <c r="T115" s="1066"/>
      <c r="U115" s="1066"/>
      <c r="V115" s="1066"/>
      <c r="W115" s="1066"/>
      <c r="X115" s="1066"/>
      <c r="Y115" s="1066"/>
      <c r="Z115" s="1066"/>
      <c r="AA115" s="1066"/>
      <c r="AB115" s="1066"/>
      <c r="AC115" s="1066"/>
      <c r="AD115" s="1066"/>
      <c r="AE115" s="1066"/>
      <c r="AF115" s="1066"/>
      <c r="AG115" s="1066"/>
      <c r="AH115" s="1066"/>
      <c r="AI115" s="1066"/>
      <c r="AJ115" s="1066"/>
      <c r="AK115" s="1066"/>
      <c r="AL115" s="1066"/>
      <c r="AM115" s="1066"/>
      <c r="AN115" s="1066"/>
      <c r="AO115" s="1066"/>
      <c r="AP115" s="1066"/>
      <c r="AQ115" s="1066"/>
      <c r="AR115" s="1066"/>
      <c r="AS115" s="1066"/>
      <c r="AT115" s="1066"/>
      <c r="AU115" s="1066"/>
      <c r="AV115" s="1066"/>
      <c r="AW115" s="1066"/>
      <c r="AX115" s="1066"/>
      <c r="AY115" s="1066"/>
      <c r="AZ115" s="1066"/>
      <c r="BA115" s="1066"/>
      <c r="BB115" s="1066"/>
      <c r="BC115" s="1067"/>
      <c r="BD115" s="1050">
        <v>1</v>
      </c>
      <c r="BE115" s="1051"/>
      <c r="BF115" s="1051"/>
      <c r="BG115" s="1051"/>
      <c r="BH115" s="1051"/>
      <c r="BI115" s="1051"/>
      <c r="BJ115" s="1051"/>
      <c r="BK115" s="1051"/>
      <c r="BL115" s="1051"/>
      <c r="BM115" s="1052"/>
      <c r="BN115" s="1044">
        <f>'стр. 2_8'!DR317</f>
        <v>74700</v>
      </c>
      <c r="BO115" s="1045"/>
      <c r="BP115" s="1045"/>
      <c r="BQ115" s="1045"/>
      <c r="BR115" s="1045"/>
      <c r="BS115" s="1045"/>
      <c r="BT115" s="1045"/>
      <c r="BU115" s="1045"/>
      <c r="BV115" s="1045"/>
      <c r="BW115" s="1045"/>
      <c r="BX115" s="1045"/>
      <c r="BY115" s="1045"/>
      <c r="BZ115" s="1045"/>
      <c r="CA115" s="1045"/>
      <c r="CB115" s="1046"/>
      <c r="CD115" s="115"/>
      <c r="CE115" s="115"/>
      <c r="CF115" s="115"/>
      <c r="CG115" s="116">
        <f t="shared" si="9"/>
        <v>0</v>
      </c>
    </row>
    <row r="116" spans="1:85" s="255" customFormat="1" ht="19.95" hidden="1" customHeight="1">
      <c r="A116" s="926">
        <v>22</v>
      </c>
      <c r="B116" s="927"/>
      <c r="C116" s="927"/>
      <c r="D116" s="928"/>
      <c r="E116" s="1047" t="str">
        <f>'стр. 2_8'!A318</f>
        <v>Приобретение неисключительных прав на программное обеспечение (КФО 2)</v>
      </c>
      <c r="F116" s="1048"/>
      <c r="G116" s="1048"/>
      <c r="H116" s="1048"/>
      <c r="I116" s="1048"/>
      <c r="J116" s="1048"/>
      <c r="K116" s="1048"/>
      <c r="L116" s="1048"/>
      <c r="M116" s="1048"/>
      <c r="N116" s="1048"/>
      <c r="O116" s="1048"/>
      <c r="P116" s="1048"/>
      <c r="Q116" s="1048"/>
      <c r="R116" s="1048"/>
      <c r="S116" s="1048"/>
      <c r="T116" s="1048"/>
      <c r="U116" s="1048"/>
      <c r="V116" s="1048"/>
      <c r="W116" s="1048"/>
      <c r="X116" s="1048"/>
      <c r="Y116" s="1048"/>
      <c r="Z116" s="1048"/>
      <c r="AA116" s="1048"/>
      <c r="AB116" s="1048"/>
      <c r="AC116" s="1048"/>
      <c r="AD116" s="1048"/>
      <c r="AE116" s="1048"/>
      <c r="AF116" s="1048"/>
      <c r="AG116" s="1048"/>
      <c r="AH116" s="1048"/>
      <c r="AI116" s="1048"/>
      <c r="AJ116" s="1048"/>
      <c r="AK116" s="1048"/>
      <c r="AL116" s="1048"/>
      <c r="AM116" s="1048"/>
      <c r="AN116" s="1048"/>
      <c r="AO116" s="1048"/>
      <c r="AP116" s="1048"/>
      <c r="AQ116" s="1048"/>
      <c r="AR116" s="1048"/>
      <c r="AS116" s="1048"/>
      <c r="AT116" s="1048"/>
      <c r="AU116" s="1048"/>
      <c r="AV116" s="1048"/>
      <c r="AW116" s="1048"/>
      <c r="AX116" s="1048"/>
      <c r="AY116" s="1048"/>
      <c r="AZ116" s="1048"/>
      <c r="BA116" s="1048"/>
      <c r="BB116" s="1048"/>
      <c r="BC116" s="1049"/>
      <c r="BD116" s="1050">
        <v>1</v>
      </c>
      <c r="BE116" s="1051"/>
      <c r="BF116" s="1051"/>
      <c r="BG116" s="1051"/>
      <c r="BH116" s="1051"/>
      <c r="BI116" s="1051"/>
      <c r="BJ116" s="1051"/>
      <c r="BK116" s="1051"/>
      <c r="BL116" s="1051"/>
      <c r="BM116" s="1052"/>
      <c r="BN116" s="913">
        <f>'стр. 2_8'!DR318</f>
        <v>0</v>
      </c>
      <c r="BO116" s="914"/>
      <c r="BP116" s="914"/>
      <c r="BQ116" s="914"/>
      <c r="BR116" s="914"/>
      <c r="BS116" s="914"/>
      <c r="BT116" s="914"/>
      <c r="BU116" s="914"/>
      <c r="BV116" s="914"/>
      <c r="BW116" s="914"/>
      <c r="BX116" s="914"/>
      <c r="BY116" s="914"/>
      <c r="BZ116" s="914"/>
      <c r="CA116" s="914"/>
      <c r="CB116" s="915"/>
      <c r="CD116" s="115"/>
      <c r="CE116" s="115"/>
      <c r="CF116" s="115"/>
      <c r="CG116" s="115">
        <f t="shared" si="9"/>
        <v>0</v>
      </c>
    </row>
    <row r="117" spans="1:85" s="255" customFormat="1" ht="19.95" customHeight="1">
      <c r="A117" s="926">
        <v>24</v>
      </c>
      <c r="B117" s="927"/>
      <c r="C117" s="927"/>
      <c r="D117" s="928"/>
      <c r="E117" s="1047" t="str">
        <f>'стр. 2_8'!A319</f>
        <v>Оплата авторского вознаграждения по лицензионному договору (КФО 2)</v>
      </c>
      <c r="F117" s="1048"/>
      <c r="G117" s="1048"/>
      <c r="H117" s="1048"/>
      <c r="I117" s="1048"/>
      <c r="J117" s="1048"/>
      <c r="K117" s="1048"/>
      <c r="L117" s="1048"/>
      <c r="M117" s="1048"/>
      <c r="N117" s="1048"/>
      <c r="O117" s="1048"/>
      <c r="P117" s="1048"/>
      <c r="Q117" s="1048"/>
      <c r="R117" s="1048"/>
      <c r="S117" s="1048"/>
      <c r="T117" s="1048"/>
      <c r="U117" s="1048"/>
      <c r="V117" s="1048"/>
      <c r="W117" s="1048"/>
      <c r="X117" s="1048"/>
      <c r="Y117" s="1048"/>
      <c r="Z117" s="1048"/>
      <c r="AA117" s="1048"/>
      <c r="AB117" s="1048"/>
      <c r="AC117" s="1048"/>
      <c r="AD117" s="1048"/>
      <c r="AE117" s="1048"/>
      <c r="AF117" s="1048"/>
      <c r="AG117" s="1048"/>
      <c r="AH117" s="1048"/>
      <c r="AI117" s="1048"/>
      <c r="AJ117" s="1048"/>
      <c r="AK117" s="1048"/>
      <c r="AL117" s="1048"/>
      <c r="AM117" s="1048"/>
      <c r="AN117" s="1048"/>
      <c r="AO117" s="1048"/>
      <c r="AP117" s="1048"/>
      <c r="AQ117" s="1048"/>
      <c r="AR117" s="1048"/>
      <c r="AS117" s="1048"/>
      <c r="AT117" s="1048"/>
      <c r="AU117" s="1048"/>
      <c r="AV117" s="1048"/>
      <c r="AW117" s="1048"/>
      <c r="AX117" s="1048"/>
      <c r="AY117" s="1048"/>
      <c r="AZ117" s="1048"/>
      <c r="BA117" s="1048"/>
      <c r="BB117" s="1048"/>
      <c r="BC117" s="1049"/>
      <c r="BD117" s="1050">
        <v>4</v>
      </c>
      <c r="BE117" s="1051"/>
      <c r="BF117" s="1051"/>
      <c r="BG117" s="1051"/>
      <c r="BH117" s="1051"/>
      <c r="BI117" s="1051"/>
      <c r="BJ117" s="1051"/>
      <c r="BK117" s="1051"/>
      <c r="BL117" s="1051"/>
      <c r="BM117" s="1052"/>
      <c r="BN117" s="913">
        <f>'стр. 2_8'!DR319</f>
        <v>20000</v>
      </c>
      <c r="BO117" s="914"/>
      <c r="BP117" s="914"/>
      <c r="BQ117" s="914"/>
      <c r="BR117" s="914"/>
      <c r="BS117" s="914"/>
      <c r="BT117" s="914"/>
      <c r="BU117" s="914"/>
      <c r="BV117" s="914"/>
      <c r="BW117" s="914"/>
      <c r="BX117" s="914"/>
      <c r="BY117" s="914"/>
      <c r="BZ117" s="914"/>
      <c r="CA117" s="914"/>
      <c r="CB117" s="915"/>
      <c r="CD117" s="115"/>
      <c r="CE117" s="115"/>
      <c r="CF117" s="115"/>
      <c r="CG117" s="115">
        <f t="shared" si="9"/>
        <v>0</v>
      </c>
    </row>
    <row r="118" spans="1:85" s="255" customFormat="1" ht="19.95" customHeight="1">
      <c r="A118" s="926">
        <v>25</v>
      </c>
      <c r="B118" s="927"/>
      <c r="C118" s="927"/>
      <c r="D118" s="928"/>
      <c r="E118" s="1047" t="str">
        <f>'стр. 2_8'!A320</f>
        <v>Продление лицензии на ОФД (КФО 2)</v>
      </c>
      <c r="F118" s="1048"/>
      <c r="G118" s="1048"/>
      <c r="H118" s="1048"/>
      <c r="I118" s="1048"/>
      <c r="J118" s="1048"/>
      <c r="K118" s="1048"/>
      <c r="L118" s="1048"/>
      <c r="M118" s="1048"/>
      <c r="N118" s="1048"/>
      <c r="O118" s="1048"/>
      <c r="P118" s="1048"/>
      <c r="Q118" s="1048"/>
      <c r="R118" s="1048"/>
      <c r="S118" s="1048"/>
      <c r="T118" s="1048"/>
      <c r="U118" s="1048"/>
      <c r="V118" s="1048"/>
      <c r="W118" s="1048"/>
      <c r="X118" s="1048"/>
      <c r="Y118" s="1048"/>
      <c r="Z118" s="1048"/>
      <c r="AA118" s="1048"/>
      <c r="AB118" s="1048"/>
      <c r="AC118" s="1048"/>
      <c r="AD118" s="1048"/>
      <c r="AE118" s="1048"/>
      <c r="AF118" s="1048"/>
      <c r="AG118" s="1048"/>
      <c r="AH118" s="1048"/>
      <c r="AI118" s="1048"/>
      <c r="AJ118" s="1048"/>
      <c r="AK118" s="1048"/>
      <c r="AL118" s="1048"/>
      <c r="AM118" s="1048"/>
      <c r="AN118" s="1048"/>
      <c r="AO118" s="1048"/>
      <c r="AP118" s="1048"/>
      <c r="AQ118" s="1048"/>
      <c r="AR118" s="1048"/>
      <c r="AS118" s="1048"/>
      <c r="AT118" s="1048"/>
      <c r="AU118" s="1048"/>
      <c r="AV118" s="1048"/>
      <c r="AW118" s="1048"/>
      <c r="AX118" s="1048"/>
      <c r="AY118" s="1048"/>
      <c r="AZ118" s="1048"/>
      <c r="BA118" s="1048"/>
      <c r="BB118" s="1048"/>
      <c r="BC118" s="1049"/>
      <c r="BD118" s="1050">
        <v>1</v>
      </c>
      <c r="BE118" s="1051"/>
      <c r="BF118" s="1051"/>
      <c r="BG118" s="1051"/>
      <c r="BH118" s="1051"/>
      <c r="BI118" s="1051"/>
      <c r="BJ118" s="1051"/>
      <c r="BK118" s="1051"/>
      <c r="BL118" s="1051"/>
      <c r="BM118" s="1052"/>
      <c r="BN118" s="913">
        <f>'стр. 2_8'!DR320</f>
        <v>3000</v>
      </c>
      <c r="BO118" s="914"/>
      <c r="BP118" s="914"/>
      <c r="BQ118" s="914"/>
      <c r="BR118" s="914"/>
      <c r="BS118" s="914"/>
      <c r="BT118" s="914"/>
      <c r="BU118" s="914"/>
      <c r="BV118" s="914"/>
      <c r="BW118" s="914"/>
      <c r="BX118" s="914"/>
      <c r="BY118" s="914"/>
      <c r="BZ118" s="914"/>
      <c r="CA118" s="914"/>
      <c r="CB118" s="915"/>
      <c r="CD118" s="115"/>
      <c r="CE118" s="115"/>
      <c r="CF118" s="115"/>
      <c r="CG118" s="115">
        <f t="shared" si="9"/>
        <v>0</v>
      </c>
    </row>
    <row r="119" spans="1:85" s="255" customFormat="1" ht="19.95" customHeight="1">
      <c r="A119" s="926">
        <v>26</v>
      </c>
      <c r="B119" s="927"/>
      <c r="C119" s="927"/>
      <c r="D119" s="928"/>
      <c r="E119" s="1047" t="str">
        <f>'стр. 2_8'!A321</f>
        <v>Обслуживание интернет-сайта (КФО 2)</v>
      </c>
      <c r="F119" s="1048"/>
      <c r="G119" s="1048"/>
      <c r="H119" s="1048"/>
      <c r="I119" s="1048"/>
      <c r="J119" s="1048"/>
      <c r="K119" s="1048"/>
      <c r="L119" s="1048"/>
      <c r="M119" s="1048"/>
      <c r="N119" s="1048"/>
      <c r="O119" s="1048"/>
      <c r="P119" s="1048"/>
      <c r="Q119" s="1048"/>
      <c r="R119" s="1048"/>
      <c r="S119" s="1048"/>
      <c r="T119" s="1048"/>
      <c r="U119" s="1048"/>
      <c r="V119" s="1048"/>
      <c r="W119" s="1048"/>
      <c r="X119" s="1048"/>
      <c r="Y119" s="1048"/>
      <c r="Z119" s="1048"/>
      <c r="AA119" s="1048"/>
      <c r="AB119" s="1048"/>
      <c r="AC119" s="1048"/>
      <c r="AD119" s="1048"/>
      <c r="AE119" s="1048"/>
      <c r="AF119" s="1048"/>
      <c r="AG119" s="1048"/>
      <c r="AH119" s="1048"/>
      <c r="AI119" s="1048"/>
      <c r="AJ119" s="1048"/>
      <c r="AK119" s="1048"/>
      <c r="AL119" s="1048"/>
      <c r="AM119" s="1048"/>
      <c r="AN119" s="1048"/>
      <c r="AO119" s="1048"/>
      <c r="AP119" s="1048"/>
      <c r="AQ119" s="1048"/>
      <c r="AR119" s="1048"/>
      <c r="AS119" s="1048"/>
      <c r="AT119" s="1048"/>
      <c r="AU119" s="1048"/>
      <c r="AV119" s="1048"/>
      <c r="AW119" s="1048"/>
      <c r="AX119" s="1048"/>
      <c r="AY119" s="1048"/>
      <c r="AZ119" s="1048"/>
      <c r="BA119" s="1048"/>
      <c r="BB119" s="1048"/>
      <c r="BC119" s="1049"/>
      <c r="BD119" s="1050">
        <v>1</v>
      </c>
      <c r="BE119" s="1051"/>
      <c r="BF119" s="1051"/>
      <c r="BG119" s="1051"/>
      <c r="BH119" s="1051"/>
      <c r="BI119" s="1051"/>
      <c r="BJ119" s="1051"/>
      <c r="BK119" s="1051"/>
      <c r="BL119" s="1051"/>
      <c r="BM119" s="1052"/>
      <c r="BN119" s="913">
        <f>'стр. 2_8'!DR321</f>
        <v>5500</v>
      </c>
      <c r="BO119" s="914"/>
      <c r="BP119" s="914"/>
      <c r="BQ119" s="914"/>
      <c r="BR119" s="914"/>
      <c r="BS119" s="914"/>
      <c r="BT119" s="914"/>
      <c r="BU119" s="914"/>
      <c r="BV119" s="914"/>
      <c r="BW119" s="914"/>
      <c r="BX119" s="914"/>
      <c r="BY119" s="914"/>
      <c r="BZ119" s="914"/>
      <c r="CA119" s="914"/>
      <c r="CB119" s="915"/>
      <c r="CD119" s="115"/>
      <c r="CE119" s="115"/>
      <c r="CF119" s="115"/>
      <c r="CG119" s="115">
        <f t="shared" si="9"/>
        <v>0</v>
      </c>
    </row>
    <row r="120" spans="1:85" s="255" customFormat="1" ht="19.95" customHeight="1">
      <c r="A120" s="926">
        <v>27</v>
      </c>
      <c r="B120" s="927"/>
      <c r="C120" s="927"/>
      <c r="D120" s="928"/>
      <c r="E120" s="1047" t="str">
        <f>'стр. 2_8'!A322</f>
        <v>Подписка на электронный ресурс "Справочная система Культура"  (КФО 2)</v>
      </c>
      <c r="F120" s="1048"/>
      <c r="G120" s="1048"/>
      <c r="H120" s="1048"/>
      <c r="I120" s="1048"/>
      <c r="J120" s="1048"/>
      <c r="K120" s="1048"/>
      <c r="L120" s="1048"/>
      <c r="M120" s="1048"/>
      <c r="N120" s="1048"/>
      <c r="O120" s="1048"/>
      <c r="P120" s="1048"/>
      <c r="Q120" s="1048"/>
      <c r="R120" s="1048"/>
      <c r="S120" s="1048"/>
      <c r="T120" s="1048"/>
      <c r="U120" s="1048"/>
      <c r="V120" s="1048"/>
      <c r="W120" s="1048"/>
      <c r="X120" s="1048"/>
      <c r="Y120" s="1048"/>
      <c r="Z120" s="1048"/>
      <c r="AA120" s="1048"/>
      <c r="AB120" s="1048"/>
      <c r="AC120" s="1048"/>
      <c r="AD120" s="1048"/>
      <c r="AE120" s="1048"/>
      <c r="AF120" s="1048"/>
      <c r="AG120" s="1048"/>
      <c r="AH120" s="1048"/>
      <c r="AI120" s="1048"/>
      <c r="AJ120" s="1048"/>
      <c r="AK120" s="1048"/>
      <c r="AL120" s="1048"/>
      <c r="AM120" s="1048"/>
      <c r="AN120" s="1048"/>
      <c r="AO120" s="1048"/>
      <c r="AP120" s="1048"/>
      <c r="AQ120" s="1048"/>
      <c r="AR120" s="1048"/>
      <c r="AS120" s="1048"/>
      <c r="AT120" s="1048"/>
      <c r="AU120" s="1048"/>
      <c r="AV120" s="1048"/>
      <c r="AW120" s="1048"/>
      <c r="AX120" s="1048"/>
      <c r="AY120" s="1048"/>
      <c r="AZ120" s="1048"/>
      <c r="BA120" s="1048"/>
      <c r="BB120" s="1048"/>
      <c r="BC120" s="1049"/>
      <c r="BD120" s="1050">
        <v>1</v>
      </c>
      <c r="BE120" s="1051"/>
      <c r="BF120" s="1051"/>
      <c r="BG120" s="1051"/>
      <c r="BH120" s="1051"/>
      <c r="BI120" s="1051"/>
      <c r="BJ120" s="1051"/>
      <c r="BK120" s="1051"/>
      <c r="BL120" s="1051"/>
      <c r="BM120" s="1052"/>
      <c r="BN120" s="913">
        <f>'стр. 2_8'!DR322</f>
        <v>35000</v>
      </c>
      <c r="BO120" s="914"/>
      <c r="BP120" s="914"/>
      <c r="BQ120" s="914"/>
      <c r="BR120" s="914"/>
      <c r="BS120" s="914"/>
      <c r="BT120" s="914"/>
      <c r="BU120" s="914"/>
      <c r="BV120" s="914"/>
      <c r="BW120" s="914"/>
      <c r="BX120" s="914"/>
      <c r="BY120" s="914"/>
      <c r="BZ120" s="914"/>
      <c r="CA120" s="914"/>
      <c r="CB120" s="915"/>
      <c r="CD120" s="115"/>
      <c r="CE120" s="115"/>
      <c r="CF120" s="115"/>
      <c r="CG120" s="115">
        <f>CD120+CE120+CF120</f>
        <v>0</v>
      </c>
    </row>
    <row r="121" spans="1:85" s="255" customFormat="1" ht="19.95" customHeight="1">
      <c r="A121" s="926">
        <v>28</v>
      </c>
      <c r="B121" s="927"/>
      <c r="C121" s="927"/>
      <c r="D121" s="928"/>
      <c r="E121" s="1047" t="str">
        <f>'стр. 2_8'!A323</f>
        <v>Оплата услуг по договору ГПХ (организация досуга в с.Каневка) (КФО 2)</v>
      </c>
      <c r="F121" s="1048"/>
      <c r="G121" s="1048"/>
      <c r="H121" s="1048"/>
      <c r="I121" s="1048"/>
      <c r="J121" s="1048"/>
      <c r="K121" s="1048"/>
      <c r="L121" s="1048"/>
      <c r="M121" s="1048"/>
      <c r="N121" s="1048"/>
      <c r="O121" s="1048"/>
      <c r="P121" s="1048"/>
      <c r="Q121" s="1048"/>
      <c r="R121" s="1048"/>
      <c r="S121" s="1048"/>
      <c r="T121" s="1048"/>
      <c r="U121" s="1048"/>
      <c r="V121" s="1048"/>
      <c r="W121" s="1048"/>
      <c r="X121" s="1048"/>
      <c r="Y121" s="1048"/>
      <c r="Z121" s="1048"/>
      <c r="AA121" s="1048"/>
      <c r="AB121" s="1048"/>
      <c r="AC121" s="1048"/>
      <c r="AD121" s="1048"/>
      <c r="AE121" s="1048"/>
      <c r="AF121" s="1048"/>
      <c r="AG121" s="1048"/>
      <c r="AH121" s="1048"/>
      <c r="AI121" s="1048"/>
      <c r="AJ121" s="1048"/>
      <c r="AK121" s="1048"/>
      <c r="AL121" s="1048"/>
      <c r="AM121" s="1048"/>
      <c r="AN121" s="1048"/>
      <c r="AO121" s="1048"/>
      <c r="AP121" s="1048"/>
      <c r="AQ121" s="1048"/>
      <c r="AR121" s="1048"/>
      <c r="AS121" s="1048"/>
      <c r="AT121" s="1048"/>
      <c r="AU121" s="1048"/>
      <c r="AV121" s="1048"/>
      <c r="AW121" s="1048"/>
      <c r="AX121" s="1048"/>
      <c r="AY121" s="1048"/>
      <c r="AZ121" s="1048"/>
      <c r="BA121" s="1048"/>
      <c r="BB121" s="1048"/>
      <c r="BC121" s="1049"/>
      <c r="BD121" s="1050">
        <v>1</v>
      </c>
      <c r="BE121" s="1051"/>
      <c r="BF121" s="1051"/>
      <c r="BG121" s="1051"/>
      <c r="BH121" s="1051"/>
      <c r="BI121" s="1051"/>
      <c r="BJ121" s="1051"/>
      <c r="BK121" s="1051"/>
      <c r="BL121" s="1051"/>
      <c r="BM121" s="1052"/>
      <c r="BN121" s="913">
        <f>'стр. 2_8'!DR323</f>
        <v>4100</v>
      </c>
      <c r="BO121" s="914"/>
      <c r="BP121" s="914"/>
      <c r="BQ121" s="914"/>
      <c r="BR121" s="914"/>
      <c r="BS121" s="914"/>
      <c r="BT121" s="914"/>
      <c r="BU121" s="914"/>
      <c r="BV121" s="914"/>
      <c r="BW121" s="914"/>
      <c r="BX121" s="914"/>
      <c r="BY121" s="914"/>
      <c r="BZ121" s="914"/>
      <c r="CA121" s="914"/>
      <c r="CB121" s="915"/>
      <c r="CD121" s="115"/>
      <c r="CE121" s="115"/>
      <c r="CF121" s="115"/>
      <c r="CG121" s="115">
        <f>CD121+CE121+CF121</f>
        <v>0</v>
      </c>
    </row>
    <row r="122" spans="1:85" s="255" customFormat="1" ht="19.95" customHeight="1">
      <c r="A122" s="926">
        <v>29</v>
      </c>
      <c r="B122" s="927"/>
      <c r="C122" s="927"/>
      <c r="D122" s="928"/>
      <c r="E122" s="1047" t="str">
        <f>'стр. 2_8'!A324</f>
        <v>Обучение ответственных лиц (МЦП 3) (КФО 2)</v>
      </c>
      <c r="F122" s="1048"/>
      <c r="G122" s="1048"/>
      <c r="H122" s="1048"/>
      <c r="I122" s="1048"/>
      <c r="J122" s="1048"/>
      <c r="K122" s="1048"/>
      <c r="L122" s="1048"/>
      <c r="M122" s="1048"/>
      <c r="N122" s="1048"/>
      <c r="O122" s="1048"/>
      <c r="P122" s="1048"/>
      <c r="Q122" s="1048"/>
      <c r="R122" s="1048"/>
      <c r="S122" s="1048"/>
      <c r="T122" s="1048"/>
      <c r="U122" s="1048"/>
      <c r="V122" s="1048"/>
      <c r="W122" s="1048"/>
      <c r="X122" s="1048"/>
      <c r="Y122" s="1048"/>
      <c r="Z122" s="1048"/>
      <c r="AA122" s="1048"/>
      <c r="AB122" s="1048"/>
      <c r="AC122" s="1048"/>
      <c r="AD122" s="1048"/>
      <c r="AE122" s="1048"/>
      <c r="AF122" s="1048"/>
      <c r="AG122" s="1048"/>
      <c r="AH122" s="1048"/>
      <c r="AI122" s="1048"/>
      <c r="AJ122" s="1048"/>
      <c r="AK122" s="1048"/>
      <c r="AL122" s="1048"/>
      <c r="AM122" s="1048"/>
      <c r="AN122" s="1048"/>
      <c r="AO122" s="1048"/>
      <c r="AP122" s="1048"/>
      <c r="AQ122" s="1048"/>
      <c r="AR122" s="1048"/>
      <c r="AS122" s="1048"/>
      <c r="AT122" s="1048"/>
      <c r="AU122" s="1048"/>
      <c r="AV122" s="1048"/>
      <c r="AW122" s="1048"/>
      <c r="AX122" s="1048"/>
      <c r="AY122" s="1048"/>
      <c r="AZ122" s="1048"/>
      <c r="BA122" s="1048"/>
      <c r="BB122" s="1048"/>
      <c r="BC122" s="1049"/>
      <c r="BD122" s="1050">
        <v>1</v>
      </c>
      <c r="BE122" s="1051"/>
      <c r="BF122" s="1051"/>
      <c r="BG122" s="1051"/>
      <c r="BH122" s="1051"/>
      <c r="BI122" s="1051"/>
      <c r="BJ122" s="1051"/>
      <c r="BK122" s="1051"/>
      <c r="BL122" s="1051"/>
      <c r="BM122" s="1052"/>
      <c r="BN122" s="913">
        <f>'стр. 2_8'!DR324</f>
        <v>5500</v>
      </c>
      <c r="BO122" s="914"/>
      <c r="BP122" s="914"/>
      <c r="BQ122" s="914"/>
      <c r="BR122" s="914"/>
      <c r="BS122" s="914"/>
      <c r="BT122" s="914"/>
      <c r="BU122" s="914"/>
      <c r="BV122" s="914"/>
      <c r="BW122" s="914"/>
      <c r="BX122" s="914"/>
      <c r="BY122" s="914"/>
      <c r="BZ122" s="914"/>
      <c r="CA122" s="914"/>
      <c r="CB122" s="915"/>
      <c r="CD122" s="115"/>
      <c r="CE122" s="115"/>
      <c r="CF122" s="115"/>
      <c r="CG122" s="115">
        <f t="shared" ref="CG122:CG131" si="11">CD122+CE122+CF122</f>
        <v>0</v>
      </c>
    </row>
    <row r="123" spans="1:85" s="255" customFormat="1" ht="19.95" hidden="1" customHeight="1">
      <c r="A123" s="926">
        <v>35</v>
      </c>
      <c r="B123" s="927"/>
      <c r="C123" s="927"/>
      <c r="D123" s="928"/>
      <c r="E123" s="1047" t="str">
        <f>'стр. 2_8'!A325</f>
        <v>Разработка ПСД на ремонт фасада СДК с.Каневка (МЦП 3) (КФО 2)</v>
      </c>
      <c r="F123" s="1048"/>
      <c r="G123" s="1048"/>
      <c r="H123" s="1048"/>
      <c r="I123" s="1048"/>
      <c r="J123" s="1048"/>
      <c r="K123" s="1048"/>
      <c r="L123" s="1048"/>
      <c r="M123" s="1048"/>
      <c r="N123" s="1048"/>
      <c r="O123" s="1048"/>
      <c r="P123" s="1048"/>
      <c r="Q123" s="1048"/>
      <c r="R123" s="1048"/>
      <c r="S123" s="1048"/>
      <c r="T123" s="1048"/>
      <c r="U123" s="1048"/>
      <c r="V123" s="1048"/>
      <c r="W123" s="1048"/>
      <c r="X123" s="1048"/>
      <c r="Y123" s="1048"/>
      <c r="Z123" s="1048"/>
      <c r="AA123" s="1048"/>
      <c r="AB123" s="1048"/>
      <c r="AC123" s="1048"/>
      <c r="AD123" s="1048"/>
      <c r="AE123" s="1048"/>
      <c r="AF123" s="1048"/>
      <c r="AG123" s="1048"/>
      <c r="AH123" s="1048"/>
      <c r="AI123" s="1048"/>
      <c r="AJ123" s="1048"/>
      <c r="AK123" s="1048"/>
      <c r="AL123" s="1048"/>
      <c r="AM123" s="1048"/>
      <c r="AN123" s="1048"/>
      <c r="AO123" s="1048"/>
      <c r="AP123" s="1048"/>
      <c r="AQ123" s="1048"/>
      <c r="AR123" s="1048"/>
      <c r="AS123" s="1048"/>
      <c r="AT123" s="1048"/>
      <c r="AU123" s="1048"/>
      <c r="AV123" s="1048"/>
      <c r="AW123" s="1048"/>
      <c r="AX123" s="1048"/>
      <c r="AY123" s="1048"/>
      <c r="AZ123" s="1048"/>
      <c r="BA123" s="1048"/>
      <c r="BB123" s="1048"/>
      <c r="BC123" s="1049"/>
      <c r="BD123" s="1050">
        <v>10</v>
      </c>
      <c r="BE123" s="1051"/>
      <c r="BF123" s="1051"/>
      <c r="BG123" s="1051"/>
      <c r="BH123" s="1051"/>
      <c r="BI123" s="1051"/>
      <c r="BJ123" s="1051"/>
      <c r="BK123" s="1051"/>
      <c r="BL123" s="1051"/>
      <c r="BM123" s="1052"/>
      <c r="BN123" s="913">
        <f>'стр. 2_8'!DR325</f>
        <v>0</v>
      </c>
      <c r="BO123" s="914"/>
      <c r="BP123" s="914"/>
      <c r="BQ123" s="914"/>
      <c r="BR123" s="914"/>
      <c r="BS123" s="914"/>
      <c r="BT123" s="914"/>
      <c r="BU123" s="914"/>
      <c r="BV123" s="914"/>
      <c r="BW123" s="914"/>
      <c r="BX123" s="914"/>
      <c r="BY123" s="914"/>
      <c r="BZ123" s="914"/>
      <c r="CA123" s="914"/>
      <c r="CB123" s="915"/>
      <c r="CC123" s="255">
        <v>2</v>
      </c>
      <c r="CD123" s="115"/>
      <c r="CE123" s="115">
        <v>51126</v>
      </c>
      <c r="CF123" s="115"/>
      <c r="CG123" s="115">
        <f t="shared" si="11"/>
        <v>51126</v>
      </c>
    </row>
    <row r="124" spans="1:85" s="255" customFormat="1" ht="19.95" hidden="1" customHeight="1">
      <c r="A124" s="926">
        <v>36</v>
      </c>
      <c r="B124" s="927"/>
      <c r="C124" s="927"/>
      <c r="D124" s="928"/>
      <c r="E124" s="1047" t="str">
        <f>'стр. 2_8'!A326</f>
        <v>Разработка ПСД на ремонт подвала с.Ловозеро (МЦП 3) (КФО 2)</v>
      </c>
      <c r="F124" s="1048"/>
      <c r="G124" s="1048"/>
      <c r="H124" s="1048"/>
      <c r="I124" s="1048"/>
      <c r="J124" s="1048"/>
      <c r="K124" s="1048"/>
      <c r="L124" s="1048"/>
      <c r="M124" s="1048"/>
      <c r="N124" s="1048"/>
      <c r="O124" s="1048"/>
      <c r="P124" s="1048"/>
      <c r="Q124" s="1048"/>
      <c r="R124" s="1048"/>
      <c r="S124" s="1048"/>
      <c r="T124" s="1048"/>
      <c r="U124" s="1048"/>
      <c r="V124" s="1048"/>
      <c r="W124" s="1048"/>
      <c r="X124" s="1048"/>
      <c r="Y124" s="1048"/>
      <c r="Z124" s="1048"/>
      <c r="AA124" s="1048"/>
      <c r="AB124" s="1048"/>
      <c r="AC124" s="1048"/>
      <c r="AD124" s="1048"/>
      <c r="AE124" s="1048"/>
      <c r="AF124" s="1048"/>
      <c r="AG124" s="1048"/>
      <c r="AH124" s="1048"/>
      <c r="AI124" s="1048"/>
      <c r="AJ124" s="1048"/>
      <c r="AK124" s="1048"/>
      <c r="AL124" s="1048"/>
      <c r="AM124" s="1048"/>
      <c r="AN124" s="1048"/>
      <c r="AO124" s="1048"/>
      <c r="AP124" s="1048"/>
      <c r="AQ124" s="1048"/>
      <c r="AR124" s="1048"/>
      <c r="AS124" s="1048"/>
      <c r="AT124" s="1048"/>
      <c r="AU124" s="1048"/>
      <c r="AV124" s="1048"/>
      <c r="AW124" s="1048"/>
      <c r="AX124" s="1048"/>
      <c r="AY124" s="1048"/>
      <c r="AZ124" s="1048"/>
      <c r="BA124" s="1048"/>
      <c r="BB124" s="1048"/>
      <c r="BC124" s="1049"/>
      <c r="BD124" s="1050">
        <v>1</v>
      </c>
      <c r="BE124" s="1051"/>
      <c r="BF124" s="1051"/>
      <c r="BG124" s="1051"/>
      <c r="BH124" s="1051"/>
      <c r="BI124" s="1051"/>
      <c r="BJ124" s="1051"/>
      <c r="BK124" s="1051"/>
      <c r="BL124" s="1051"/>
      <c r="BM124" s="1052"/>
      <c r="BN124" s="913">
        <f>'стр. 2_8'!DR326</f>
        <v>0</v>
      </c>
      <c r="BO124" s="914"/>
      <c r="BP124" s="914"/>
      <c r="BQ124" s="914"/>
      <c r="BR124" s="914"/>
      <c r="BS124" s="914"/>
      <c r="BT124" s="914"/>
      <c r="BU124" s="914"/>
      <c r="BV124" s="914"/>
      <c r="BW124" s="914"/>
      <c r="BX124" s="914"/>
      <c r="BY124" s="914"/>
      <c r="BZ124" s="914"/>
      <c r="CA124" s="914"/>
      <c r="CB124" s="915"/>
      <c r="CC124" s="255">
        <v>2</v>
      </c>
      <c r="CD124" s="115"/>
      <c r="CE124" s="115">
        <v>48385</v>
      </c>
      <c r="CF124" s="115"/>
      <c r="CG124" s="115">
        <f t="shared" si="11"/>
        <v>48385</v>
      </c>
    </row>
    <row r="125" spans="1:85" s="255" customFormat="1" ht="19.95" hidden="1" customHeight="1">
      <c r="A125" s="926">
        <f t="shared" si="10"/>
        <v>37</v>
      </c>
      <c r="B125" s="927"/>
      <c r="C125" s="927"/>
      <c r="D125" s="928"/>
      <c r="E125" s="1047" t="str">
        <f>'стр. 2_8'!A327</f>
        <v>Подписка на электронный журнал "Справочник руководителя учреждений культуры" (КФО 2)</v>
      </c>
      <c r="F125" s="1048"/>
      <c r="G125" s="1048"/>
      <c r="H125" s="1048"/>
      <c r="I125" s="1048"/>
      <c r="J125" s="1048"/>
      <c r="K125" s="1048"/>
      <c r="L125" s="1048"/>
      <c r="M125" s="1048"/>
      <c r="N125" s="1048"/>
      <c r="O125" s="1048"/>
      <c r="P125" s="1048"/>
      <c r="Q125" s="1048"/>
      <c r="R125" s="1048"/>
      <c r="S125" s="1048"/>
      <c r="T125" s="1048"/>
      <c r="U125" s="1048"/>
      <c r="V125" s="1048"/>
      <c r="W125" s="1048"/>
      <c r="X125" s="1048"/>
      <c r="Y125" s="1048"/>
      <c r="Z125" s="1048"/>
      <c r="AA125" s="1048"/>
      <c r="AB125" s="1048"/>
      <c r="AC125" s="1048"/>
      <c r="AD125" s="1048"/>
      <c r="AE125" s="1048"/>
      <c r="AF125" s="1048"/>
      <c r="AG125" s="1048"/>
      <c r="AH125" s="1048"/>
      <c r="AI125" s="1048"/>
      <c r="AJ125" s="1048"/>
      <c r="AK125" s="1048"/>
      <c r="AL125" s="1048"/>
      <c r="AM125" s="1048"/>
      <c r="AN125" s="1048"/>
      <c r="AO125" s="1048"/>
      <c r="AP125" s="1048"/>
      <c r="AQ125" s="1048"/>
      <c r="AR125" s="1048"/>
      <c r="AS125" s="1048"/>
      <c r="AT125" s="1048"/>
      <c r="AU125" s="1048"/>
      <c r="AV125" s="1048"/>
      <c r="AW125" s="1048"/>
      <c r="AX125" s="1048"/>
      <c r="AY125" s="1048"/>
      <c r="AZ125" s="1048"/>
      <c r="BA125" s="1048"/>
      <c r="BB125" s="1048"/>
      <c r="BC125" s="1049"/>
      <c r="BD125" s="1050"/>
      <c r="BE125" s="1051"/>
      <c r="BF125" s="1051"/>
      <c r="BG125" s="1051"/>
      <c r="BH125" s="1051"/>
      <c r="BI125" s="1051"/>
      <c r="BJ125" s="1051"/>
      <c r="BK125" s="1051"/>
      <c r="BL125" s="1051"/>
      <c r="BM125" s="1052"/>
      <c r="BN125" s="913">
        <f>'стр. 2_8'!DR327</f>
        <v>0</v>
      </c>
      <c r="BO125" s="914"/>
      <c r="BP125" s="914"/>
      <c r="BQ125" s="914"/>
      <c r="BR125" s="914"/>
      <c r="BS125" s="914"/>
      <c r="BT125" s="914"/>
      <c r="BU125" s="914"/>
      <c r="BV125" s="914"/>
      <c r="BW125" s="914"/>
      <c r="BX125" s="914"/>
      <c r="BY125" s="914"/>
      <c r="BZ125" s="914"/>
      <c r="CA125" s="914"/>
      <c r="CB125" s="915"/>
      <c r="CC125" s="255">
        <v>4</v>
      </c>
      <c r="CD125" s="115"/>
      <c r="CE125" s="115">
        <v>50000</v>
      </c>
      <c r="CF125" s="115"/>
      <c r="CG125" s="115">
        <f t="shared" si="11"/>
        <v>50000</v>
      </c>
    </row>
    <row r="126" spans="1:85" s="255" customFormat="1" ht="19.95" hidden="1" customHeight="1">
      <c r="A126" s="926">
        <f t="shared" si="10"/>
        <v>38</v>
      </c>
      <c r="B126" s="927"/>
      <c r="C126" s="927"/>
      <c r="D126" s="928"/>
      <c r="E126" s="1047" t="str">
        <f>'стр. 2_8'!A328</f>
        <v>Проведение мероприятий (КФО 2)</v>
      </c>
      <c r="F126" s="1048"/>
      <c r="G126" s="1048"/>
      <c r="H126" s="1048"/>
      <c r="I126" s="1048"/>
      <c r="J126" s="1048"/>
      <c r="K126" s="1048"/>
      <c r="L126" s="1048"/>
      <c r="M126" s="1048"/>
      <c r="N126" s="1048"/>
      <c r="O126" s="1048"/>
      <c r="P126" s="1048"/>
      <c r="Q126" s="1048"/>
      <c r="R126" s="1048"/>
      <c r="S126" s="1048"/>
      <c r="T126" s="1048"/>
      <c r="U126" s="1048"/>
      <c r="V126" s="1048"/>
      <c r="W126" s="1048"/>
      <c r="X126" s="1048"/>
      <c r="Y126" s="1048"/>
      <c r="Z126" s="1048"/>
      <c r="AA126" s="1048"/>
      <c r="AB126" s="1048"/>
      <c r="AC126" s="1048"/>
      <c r="AD126" s="1048"/>
      <c r="AE126" s="1048"/>
      <c r="AF126" s="1048"/>
      <c r="AG126" s="1048"/>
      <c r="AH126" s="1048"/>
      <c r="AI126" s="1048"/>
      <c r="AJ126" s="1048"/>
      <c r="AK126" s="1048"/>
      <c r="AL126" s="1048"/>
      <c r="AM126" s="1048"/>
      <c r="AN126" s="1048"/>
      <c r="AO126" s="1048"/>
      <c r="AP126" s="1048"/>
      <c r="AQ126" s="1048"/>
      <c r="AR126" s="1048"/>
      <c r="AS126" s="1048"/>
      <c r="AT126" s="1048"/>
      <c r="AU126" s="1048"/>
      <c r="AV126" s="1048"/>
      <c r="AW126" s="1048"/>
      <c r="AX126" s="1048"/>
      <c r="AY126" s="1048"/>
      <c r="AZ126" s="1048"/>
      <c r="BA126" s="1048"/>
      <c r="BB126" s="1048"/>
      <c r="BC126" s="1049"/>
      <c r="BD126" s="1050"/>
      <c r="BE126" s="1051"/>
      <c r="BF126" s="1051"/>
      <c r="BG126" s="1051"/>
      <c r="BH126" s="1051"/>
      <c r="BI126" s="1051"/>
      <c r="BJ126" s="1051"/>
      <c r="BK126" s="1051"/>
      <c r="BL126" s="1051"/>
      <c r="BM126" s="1052"/>
      <c r="BN126" s="913">
        <f>'стр. 2_8'!DR328</f>
        <v>0</v>
      </c>
      <c r="BO126" s="914"/>
      <c r="BP126" s="914"/>
      <c r="BQ126" s="914"/>
      <c r="BR126" s="914"/>
      <c r="BS126" s="914"/>
      <c r="BT126" s="914"/>
      <c r="BU126" s="914"/>
      <c r="BV126" s="914"/>
      <c r="BW126" s="914"/>
      <c r="BX126" s="914"/>
      <c r="BY126" s="914"/>
      <c r="BZ126" s="914"/>
      <c r="CA126" s="914"/>
      <c r="CB126" s="915"/>
      <c r="CC126" s="255">
        <v>1</v>
      </c>
      <c r="CD126" s="115"/>
      <c r="CE126" s="115"/>
      <c r="CF126" s="115"/>
      <c r="CG126" s="115">
        <f t="shared" si="11"/>
        <v>0</v>
      </c>
    </row>
    <row r="127" spans="1:85" s="255" customFormat="1" ht="19.95" hidden="1" customHeight="1">
      <c r="A127" s="926">
        <v>29</v>
      </c>
      <c r="B127" s="927"/>
      <c r="C127" s="927"/>
      <c r="D127" s="928"/>
      <c r="E127" s="1047" t="str">
        <f>'стр. 2_8'!A329</f>
        <v>Перерегистрация ККТ с заменой фискального накопителя (КФО 2)</v>
      </c>
      <c r="F127" s="1048"/>
      <c r="G127" s="1048"/>
      <c r="H127" s="1048"/>
      <c r="I127" s="1048"/>
      <c r="J127" s="1048"/>
      <c r="K127" s="1048"/>
      <c r="L127" s="1048"/>
      <c r="M127" s="1048"/>
      <c r="N127" s="1048"/>
      <c r="O127" s="1048"/>
      <c r="P127" s="1048"/>
      <c r="Q127" s="1048"/>
      <c r="R127" s="1048"/>
      <c r="S127" s="1048"/>
      <c r="T127" s="1048"/>
      <c r="U127" s="1048"/>
      <c r="V127" s="1048"/>
      <c r="W127" s="1048"/>
      <c r="X127" s="1048"/>
      <c r="Y127" s="1048"/>
      <c r="Z127" s="1048"/>
      <c r="AA127" s="1048"/>
      <c r="AB127" s="1048"/>
      <c r="AC127" s="1048"/>
      <c r="AD127" s="1048"/>
      <c r="AE127" s="1048"/>
      <c r="AF127" s="1048"/>
      <c r="AG127" s="1048"/>
      <c r="AH127" s="1048"/>
      <c r="AI127" s="1048"/>
      <c r="AJ127" s="1048"/>
      <c r="AK127" s="1048"/>
      <c r="AL127" s="1048"/>
      <c r="AM127" s="1048"/>
      <c r="AN127" s="1048"/>
      <c r="AO127" s="1048"/>
      <c r="AP127" s="1048"/>
      <c r="AQ127" s="1048"/>
      <c r="AR127" s="1048"/>
      <c r="AS127" s="1048"/>
      <c r="AT127" s="1048"/>
      <c r="AU127" s="1048"/>
      <c r="AV127" s="1048"/>
      <c r="AW127" s="1048"/>
      <c r="AX127" s="1048"/>
      <c r="AY127" s="1048"/>
      <c r="AZ127" s="1048"/>
      <c r="BA127" s="1048"/>
      <c r="BB127" s="1048"/>
      <c r="BC127" s="1049"/>
      <c r="BD127" s="1050">
        <v>1</v>
      </c>
      <c r="BE127" s="1051"/>
      <c r="BF127" s="1051"/>
      <c r="BG127" s="1051"/>
      <c r="BH127" s="1051"/>
      <c r="BI127" s="1051"/>
      <c r="BJ127" s="1051"/>
      <c r="BK127" s="1051"/>
      <c r="BL127" s="1051"/>
      <c r="BM127" s="1052"/>
      <c r="BN127" s="913">
        <f>'стр. 2_8'!DR329</f>
        <v>1600</v>
      </c>
      <c r="BO127" s="914"/>
      <c r="BP127" s="914"/>
      <c r="BQ127" s="914"/>
      <c r="BR127" s="914"/>
      <c r="BS127" s="914"/>
      <c r="BT127" s="914"/>
      <c r="BU127" s="914"/>
      <c r="BV127" s="914"/>
      <c r="BW127" s="914"/>
      <c r="BX127" s="914"/>
      <c r="BY127" s="914"/>
      <c r="BZ127" s="914"/>
      <c r="CA127" s="914"/>
      <c r="CB127" s="915"/>
      <c r="CD127" s="115"/>
      <c r="CE127" s="115"/>
      <c r="CF127" s="115"/>
      <c r="CG127" s="115">
        <f t="shared" si="11"/>
        <v>0</v>
      </c>
    </row>
    <row r="128" spans="1:85" s="255" customFormat="1" ht="19.95" hidden="1" customHeight="1">
      <c r="A128" s="926">
        <f t="shared" si="10"/>
        <v>30</v>
      </c>
      <c r="B128" s="927"/>
      <c r="C128" s="927"/>
      <c r="D128" s="928"/>
      <c r="E128" s="1047">
        <f>'стр. 2_8'!A330</f>
        <v>0</v>
      </c>
      <c r="F128" s="1048"/>
      <c r="G128" s="1048"/>
      <c r="H128" s="1048"/>
      <c r="I128" s="1048"/>
      <c r="J128" s="1048"/>
      <c r="K128" s="1048"/>
      <c r="L128" s="1048"/>
      <c r="M128" s="1048"/>
      <c r="N128" s="1048"/>
      <c r="O128" s="1048"/>
      <c r="P128" s="1048"/>
      <c r="Q128" s="1048"/>
      <c r="R128" s="1048"/>
      <c r="S128" s="1048"/>
      <c r="T128" s="1048"/>
      <c r="U128" s="1048"/>
      <c r="V128" s="1048"/>
      <c r="W128" s="1048"/>
      <c r="X128" s="1048"/>
      <c r="Y128" s="1048"/>
      <c r="Z128" s="1048"/>
      <c r="AA128" s="1048"/>
      <c r="AB128" s="1048"/>
      <c r="AC128" s="1048"/>
      <c r="AD128" s="1048"/>
      <c r="AE128" s="1048"/>
      <c r="AF128" s="1048"/>
      <c r="AG128" s="1048"/>
      <c r="AH128" s="1048"/>
      <c r="AI128" s="1048"/>
      <c r="AJ128" s="1048"/>
      <c r="AK128" s="1048"/>
      <c r="AL128" s="1048"/>
      <c r="AM128" s="1048"/>
      <c r="AN128" s="1048"/>
      <c r="AO128" s="1048"/>
      <c r="AP128" s="1048"/>
      <c r="AQ128" s="1048"/>
      <c r="AR128" s="1048"/>
      <c r="AS128" s="1048"/>
      <c r="AT128" s="1048"/>
      <c r="AU128" s="1048"/>
      <c r="AV128" s="1048"/>
      <c r="AW128" s="1048"/>
      <c r="AX128" s="1048"/>
      <c r="AY128" s="1048"/>
      <c r="AZ128" s="1048"/>
      <c r="BA128" s="1048"/>
      <c r="BB128" s="1048"/>
      <c r="BC128" s="1049"/>
      <c r="BD128" s="1050"/>
      <c r="BE128" s="1051"/>
      <c r="BF128" s="1051"/>
      <c r="BG128" s="1051"/>
      <c r="BH128" s="1051"/>
      <c r="BI128" s="1051"/>
      <c r="BJ128" s="1051"/>
      <c r="BK128" s="1051"/>
      <c r="BL128" s="1051"/>
      <c r="BM128" s="1052"/>
      <c r="BN128" s="913">
        <f>'стр. 2_8'!DR330</f>
        <v>0</v>
      </c>
      <c r="BO128" s="914"/>
      <c r="BP128" s="914"/>
      <c r="BQ128" s="914"/>
      <c r="BR128" s="914"/>
      <c r="BS128" s="914"/>
      <c r="BT128" s="914"/>
      <c r="BU128" s="914"/>
      <c r="BV128" s="914"/>
      <c r="BW128" s="914"/>
      <c r="BX128" s="914"/>
      <c r="BY128" s="914"/>
      <c r="BZ128" s="914"/>
      <c r="CA128" s="914"/>
      <c r="CB128" s="915"/>
      <c r="CC128" s="255">
        <v>2</v>
      </c>
      <c r="CD128" s="115"/>
      <c r="CE128" s="115">
        <v>51126</v>
      </c>
      <c r="CF128" s="115"/>
      <c r="CG128" s="115">
        <f t="shared" si="11"/>
        <v>51126</v>
      </c>
    </row>
    <row r="129" spans="1:99" s="255" customFormat="1" ht="19.95" hidden="1" customHeight="1">
      <c r="A129" s="926">
        <f t="shared" si="10"/>
        <v>31</v>
      </c>
      <c r="B129" s="927"/>
      <c r="C129" s="927"/>
      <c r="D129" s="928"/>
      <c r="E129" s="1047">
        <f>'стр. 2_8'!A331</f>
        <v>0</v>
      </c>
      <c r="F129" s="1048"/>
      <c r="G129" s="1048"/>
      <c r="H129" s="1048"/>
      <c r="I129" s="1048"/>
      <c r="J129" s="1048"/>
      <c r="K129" s="1048"/>
      <c r="L129" s="1048"/>
      <c r="M129" s="1048"/>
      <c r="N129" s="1048"/>
      <c r="O129" s="1048"/>
      <c r="P129" s="1048"/>
      <c r="Q129" s="1048"/>
      <c r="R129" s="1048"/>
      <c r="S129" s="1048"/>
      <c r="T129" s="1048"/>
      <c r="U129" s="1048"/>
      <c r="V129" s="1048"/>
      <c r="W129" s="1048"/>
      <c r="X129" s="1048"/>
      <c r="Y129" s="1048"/>
      <c r="Z129" s="1048"/>
      <c r="AA129" s="1048"/>
      <c r="AB129" s="1048"/>
      <c r="AC129" s="1048"/>
      <c r="AD129" s="1048"/>
      <c r="AE129" s="1048"/>
      <c r="AF129" s="1048"/>
      <c r="AG129" s="1048"/>
      <c r="AH129" s="1048"/>
      <c r="AI129" s="1048"/>
      <c r="AJ129" s="1048"/>
      <c r="AK129" s="1048"/>
      <c r="AL129" s="1048"/>
      <c r="AM129" s="1048"/>
      <c r="AN129" s="1048"/>
      <c r="AO129" s="1048"/>
      <c r="AP129" s="1048"/>
      <c r="AQ129" s="1048"/>
      <c r="AR129" s="1048"/>
      <c r="AS129" s="1048"/>
      <c r="AT129" s="1048"/>
      <c r="AU129" s="1048"/>
      <c r="AV129" s="1048"/>
      <c r="AW129" s="1048"/>
      <c r="AX129" s="1048"/>
      <c r="AY129" s="1048"/>
      <c r="AZ129" s="1048"/>
      <c r="BA129" s="1048"/>
      <c r="BB129" s="1048"/>
      <c r="BC129" s="1049"/>
      <c r="BD129" s="1050"/>
      <c r="BE129" s="1051"/>
      <c r="BF129" s="1051"/>
      <c r="BG129" s="1051"/>
      <c r="BH129" s="1051"/>
      <c r="BI129" s="1051"/>
      <c r="BJ129" s="1051"/>
      <c r="BK129" s="1051"/>
      <c r="BL129" s="1051"/>
      <c r="BM129" s="1052"/>
      <c r="BN129" s="913">
        <f>'стр. 2_8'!DR331</f>
        <v>0</v>
      </c>
      <c r="BO129" s="914"/>
      <c r="BP129" s="914"/>
      <c r="BQ129" s="914"/>
      <c r="BR129" s="914"/>
      <c r="BS129" s="914"/>
      <c r="BT129" s="914"/>
      <c r="BU129" s="914"/>
      <c r="BV129" s="914"/>
      <c r="BW129" s="914"/>
      <c r="BX129" s="914"/>
      <c r="BY129" s="914"/>
      <c r="BZ129" s="914"/>
      <c r="CA129" s="914"/>
      <c r="CB129" s="915"/>
      <c r="CC129" s="255">
        <v>2</v>
      </c>
      <c r="CD129" s="115"/>
      <c r="CE129" s="115">
        <v>48385</v>
      </c>
      <c r="CF129" s="115"/>
      <c r="CG129" s="115">
        <f t="shared" si="11"/>
        <v>48385</v>
      </c>
    </row>
    <row r="130" spans="1:99" s="255" customFormat="1" ht="19.95" hidden="1" customHeight="1">
      <c r="A130" s="926">
        <f t="shared" si="10"/>
        <v>32</v>
      </c>
      <c r="B130" s="927"/>
      <c r="C130" s="927"/>
      <c r="D130" s="928"/>
      <c r="E130" s="1047">
        <f>'стр. 2_8'!A332</f>
        <v>0</v>
      </c>
      <c r="F130" s="1048"/>
      <c r="G130" s="1048"/>
      <c r="H130" s="1048"/>
      <c r="I130" s="1048"/>
      <c r="J130" s="1048"/>
      <c r="K130" s="1048"/>
      <c r="L130" s="1048"/>
      <c r="M130" s="1048"/>
      <c r="N130" s="1048"/>
      <c r="O130" s="1048"/>
      <c r="P130" s="1048"/>
      <c r="Q130" s="1048"/>
      <c r="R130" s="1048"/>
      <c r="S130" s="1048"/>
      <c r="T130" s="1048"/>
      <c r="U130" s="1048"/>
      <c r="V130" s="1048"/>
      <c r="W130" s="1048"/>
      <c r="X130" s="1048"/>
      <c r="Y130" s="1048"/>
      <c r="Z130" s="1048"/>
      <c r="AA130" s="1048"/>
      <c r="AB130" s="1048"/>
      <c r="AC130" s="1048"/>
      <c r="AD130" s="1048"/>
      <c r="AE130" s="1048"/>
      <c r="AF130" s="1048"/>
      <c r="AG130" s="1048"/>
      <c r="AH130" s="1048"/>
      <c r="AI130" s="1048"/>
      <c r="AJ130" s="1048"/>
      <c r="AK130" s="1048"/>
      <c r="AL130" s="1048"/>
      <c r="AM130" s="1048"/>
      <c r="AN130" s="1048"/>
      <c r="AO130" s="1048"/>
      <c r="AP130" s="1048"/>
      <c r="AQ130" s="1048"/>
      <c r="AR130" s="1048"/>
      <c r="AS130" s="1048"/>
      <c r="AT130" s="1048"/>
      <c r="AU130" s="1048"/>
      <c r="AV130" s="1048"/>
      <c r="AW130" s="1048"/>
      <c r="AX130" s="1048"/>
      <c r="AY130" s="1048"/>
      <c r="AZ130" s="1048"/>
      <c r="BA130" s="1048"/>
      <c r="BB130" s="1048"/>
      <c r="BC130" s="1049"/>
      <c r="BD130" s="1050"/>
      <c r="BE130" s="1051"/>
      <c r="BF130" s="1051"/>
      <c r="BG130" s="1051"/>
      <c r="BH130" s="1051"/>
      <c r="BI130" s="1051"/>
      <c r="BJ130" s="1051"/>
      <c r="BK130" s="1051"/>
      <c r="BL130" s="1051"/>
      <c r="BM130" s="1052"/>
      <c r="BN130" s="913">
        <f>'стр. 2_8'!DR332</f>
        <v>0</v>
      </c>
      <c r="BO130" s="914"/>
      <c r="BP130" s="914"/>
      <c r="BQ130" s="914"/>
      <c r="BR130" s="914"/>
      <c r="BS130" s="914"/>
      <c r="BT130" s="914"/>
      <c r="BU130" s="914"/>
      <c r="BV130" s="914"/>
      <c r="BW130" s="914"/>
      <c r="BX130" s="914"/>
      <c r="BY130" s="914"/>
      <c r="BZ130" s="914"/>
      <c r="CA130" s="914"/>
      <c r="CB130" s="915"/>
      <c r="CC130" s="255">
        <v>4</v>
      </c>
      <c r="CD130" s="115"/>
      <c r="CE130" s="115">
        <v>50000</v>
      </c>
      <c r="CF130" s="115"/>
      <c r="CG130" s="115">
        <f t="shared" si="11"/>
        <v>50000</v>
      </c>
    </row>
    <row r="131" spans="1:99" s="255" customFormat="1" ht="19.95" hidden="1" customHeight="1">
      <c r="A131" s="926">
        <f t="shared" si="10"/>
        <v>33</v>
      </c>
      <c r="B131" s="927"/>
      <c r="C131" s="927"/>
      <c r="D131" s="928"/>
      <c r="E131" s="1047">
        <f>'стр. 2_8'!A333</f>
        <v>0</v>
      </c>
      <c r="F131" s="1048"/>
      <c r="G131" s="1048"/>
      <c r="H131" s="1048"/>
      <c r="I131" s="1048"/>
      <c r="J131" s="1048"/>
      <c r="K131" s="1048"/>
      <c r="L131" s="1048"/>
      <c r="M131" s="1048"/>
      <c r="N131" s="1048"/>
      <c r="O131" s="1048"/>
      <c r="P131" s="1048"/>
      <c r="Q131" s="1048"/>
      <c r="R131" s="1048"/>
      <c r="S131" s="1048"/>
      <c r="T131" s="1048"/>
      <c r="U131" s="1048"/>
      <c r="V131" s="1048"/>
      <c r="W131" s="1048"/>
      <c r="X131" s="1048"/>
      <c r="Y131" s="1048"/>
      <c r="Z131" s="1048"/>
      <c r="AA131" s="1048"/>
      <c r="AB131" s="1048"/>
      <c r="AC131" s="1048"/>
      <c r="AD131" s="1048"/>
      <c r="AE131" s="1048"/>
      <c r="AF131" s="1048"/>
      <c r="AG131" s="1048"/>
      <c r="AH131" s="1048"/>
      <c r="AI131" s="1048"/>
      <c r="AJ131" s="1048"/>
      <c r="AK131" s="1048"/>
      <c r="AL131" s="1048"/>
      <c r="AM131" s="1048"/>
      <c r="AN131" s="1048"/>
      <c r="AO131" s="1048"/>
      <c r="AP131" s="1048"/>
      <c r="AQ131" s="1048"/>
      <c r="AR131" s="1048"/>
      <c r="AS131" s="1048"/>
      <c r="AT131" s="1048"/>
      <c r="AU131" s="1048"/>
      <c r="AV131" s="1048"/>
      <c r="AW131" s="1048"/>
      <c r="AX131" s="1048"/>
      <c r="AY131" s="1048"/>
      <c r="AZ131" s="1048"/>
      <c r="BA131" s="1048"/>
      <c r="BB131" s="1048"/>
      <c r="BC131" s="1049"/>
      <c r="BD131" s="1050"/>
      <c r="BE131" s="1051"/>
      <c r="BF131" s="1051"/>
      <c r="BG131" s="1051"/>
      <c r="BH131" s="1051"/>
      <c r="BI131" s="1051"/>
      <c r="BJ131" s="1051"/>
      <c r="BK131" s="1051"/>
      <c r="BL131" s="1051"/>
      <c r="BM131" s="1052"/>
      <c r="BN131" s="913">
        <f>'стр. 2_8'!DR333</f>
        <v>0</v>
      </c>
      <c r="BO131" s="914"/>
      <c r="BP131" s="914"/>
      <c r="BQ131" s="914"/>
      <c r="BR131" s="914"/>
      <c r="BS131" s="914"/>
      <c r="BT131" s="914"/>
      <c r="BU131" s="914"/>
      <c r="BV131" s="914"/>
      <c r="BW131" s="914"/>
      <c r="BX131" s="914"/>
      <c r="BY131" s="914"/>
      <c r="BZ131" s="914"/>
      <c r="CA131" s="914"/>
      <c r="CB131" s="915"/>
      <c r="CC131" s="255">
        <v>1</v>
      </c>
      <c r="CD131" s="115"/>
      <c r="CE131" s="115"/>
      <c r="CF131" s="115"/>
      <c r="CG131" s="115">
        <f t="shared" si="11"/>
        <v>0</v>
      </c>
    </row>
    <row r="132" spans="1:99" s="255" customFormat="1" ht="19.95" hidden="1" customHeight="1">
      <c r="A132" s="926">
        <f>A116+1</f>
        <v>23</v>
      </c>
      <c r="B132" s="927"/>
      <c r="C132" s="927"/>
      <c r="D132" s="928"/>
      <c r="E132" s="1047">
        <f>'стр. 2_8'!A334</f>
        <v>0</v>
      </c>
      <c r="F132" s="1048"/>
      <c r="G132" s="1048"/>
      <c r="H132" s="1048"/>
      <c r="I132" s="1048"/>
      <c r="J132" s="1048"/>
      <c r="K132" s="1048"/>
      <c r="L132" s="1048"/>
      <c r="M132" s="1048"/>
      <c r="N132" s="1048"/>
      <c r="O132" s="1048"/>
      <c r="P132" s="1048"/>
      <c r="Q132" s="1048"/>
      <c r="R132" s="1048"/>
      <c r="S132" s="1048"/>
      <c r="T132" s="1048"/>
      <c r="U132" s="1048"/>
      <c r="V132" s="1048"/>
      <c r="W132" s="1048"/>
      <c r="X132" s="1048"/>
      <c r="Y132" s="1048"/>
      <c r="Z132" s="1048"/>
      <c r="AA132" s="1048"/>
      <c r="AB132" s="1048"/>
      <c r="AC132" s="1048"/>
      <c r="AD132" s="1048"/>
      <c r="AE132" s="1048"/>
      <c r="AF132" s="1048"/>
      <c r="AG132" s="1048"/>
      <c r="AH132" s="1048"/>
      <c r="AI132" s="1048"/>
      <c r="AJ132" s="1048"/>
      <c r="AK132" s="1048"/>
      <c r="AL132" s="1048"/>
      <c r="AM132" s="1048"/>
      <c r="AN132" s="1048"/>
      <c r="AO132" s="1048"/>
      <c r="AP132" s="1048"/>
      <c r="AQ132" s="1048"/>
      <c r="AR132" s="1048"/>
      <c r="AS132" s="1048"/>
      <c r="AT132" s="1048"/>
      <c r="AU132" s="1048"/>
      <c r="AV132" s="1048"/>
      <c r="AW132" s="1048"/>
      <c r="AX132" s="1048"/>
      <c r="AY132" s="1048"/>
      <c r="AZ132" s="1048"/>
      <c r="BA132" s="1048"/>
      <c r="BB132" s="1048"/>
      <c r="BC132" s="1049"/>
      <c r="BD132" s="1050"/>
      <c r="BE132" s="1051"/>
      <c r="BF132" s="1051"/>
      <c r="BG132" s="1051"/>
      <c r="BH132" s="1051"/>
      <c r="BI132" s="1051"/>
      <c r="BJ132" s="1051"/>
      <c r="BK132" s="1051"/>
      <c r="BL132" s="1051"/>
      <c r="BM132" s="1052"/>
      <c r="BN132" s="913">
        <f>'стр. 2_8'!DR334</f>
        <v>0</v>
      </c>
      <c r="BO132" s="914"/>
      <c r="BP132" s="914"/>
      <c r="BQ132" s="914"/>
      <c r="BR132" s="914"/>
      <c r="BS132" s="914"/>
      <c r="BT132" s="914"/>
      <c r="BU132" s="914"/>
      <c r="BV132" s="914"/>
      <c r="BW132" s="914"/>
      <c r="BX132" s="914"/>
      <c r="BY132" s="914"/>
      <c r="BZ132" s="914"/>
      <c r="CA132" s="914"/>
      <c r="CB132" s="915"/>
      <c r="CD132" s="115"/>
      <c r="CE132" s="115"/>
      <c r="CF132" s="115"/>
      <c r="CG132" s="115">
        <f t="shared" ref="CG132:CG136" si="12">CD132+CE132+CF132</f>
        <v>0</v>
      </c>
    </row>
    <row r="133" spans="1:99" s="255" customFormat="1" ht="19.95" hidden="1" customHeight="1">
      <c r="A133" s="926">
        <f t="shared" si="10"/>
        <v>24</v>
      </c>
      <c r="B133" s="927"/>
      <c r="C133" s="927"/>
      <c r="D133" s="928"/>
      <c r="E133" s="1047">
        <f>'стр. 2_8'!A335</f>
        <v>0</v>
      </c>
      <c r="F133" s="1048"/>
      <c r="G133" s="1048"/>
      <c r="H133" s="1048"/>
      <c r="I133" s="1048"/>
      <c r="J133" s="1048"/>
      <c r="K133" s="1048"/>
      <c r="L133" s="1048"/>
      <c r="M133" s="1048"/>
      <c r="N133" s="1048"/>
      <c r="O133" s="1048"/>
      <c r="P133" s="1048"/>
      <c r="Q133" s="1048"/>
      <c r="R133" s="1048"/>
      <c r="S133" s="1048"/>
      <c r="T133" s="1048"/>
      <c r="U133" s="1048"/>
      <c r="V133" s="1048"/>
      <c r="W133" s="1048"/>
      <c r="X133" s="1048"/>
      <c r="Y133" s="1048"/>
      <c r="Z133" s="1048"/>
      <c r="AA133" s="1048"/>
      <c r="AB133" s="1048"/>
      <c r="AC133" s="1048"/>
      <c r="AD133" s="1048"/>
      <c r="AE133" s="1048"/>
      <c r="AF133" s="1048"/>
      <c r="AG133" s="1048"/>
      <c r="AH133" s="1048"/>
      <c r="AI133" s="1048"/>
      <c r="AJ133" s="1048"/>
      <c r="AK133" s="1048"/>
      <c r="AL133" s="1048"/>
      <c r="AM133" s="1048"/>
      <c r="AN133" s="1048"/>
      <c r="AO133" s="1048"/>
      <c r="AP133" s="1048"/>
      <c r="AQ133" s="1048"/>
      <c r="AR133" s="1048"/>
      <c r="AS133" s="1048"/>
      <c r="AT133" s="1048"/>
      <c r="AU133" s="1048"/>
      <c r="AV133" s="1048"/>
      <c r="AW133" s="1048"/>
      <c r="AX133" s="1048"/>
      <c r="AY133" s="1048"/>
      <c r="AZ133" s="1048"/>
      <c r="BA133" s="1048"/>
      <c r="BB133" s="1048"/>
      <c r="BC133" s="1049"/>
      <c r="BD133" s="1050"/>
      <c r="BE133" s="1051"/>
      <c r="BF133" s="1051"/>
      <c r="BG133" s="1051"/>
      <c r="BH133" s="1051"/>
      <c r="BI133" s="1051"/>
      <c r="BJ133" s="1051"/>
      <c r="BK133" s="1051"/>
      <c r="BL133" s="1051"/>
      <c r="BM133" s="1052"/>
      <c r="BN133" s="913">
        <f>'стр. 2_8'!DR335</f>
        <v>0</v>
      </c>
      <c r="BO133" s="914"/>
      <c r="BP133" s="914"/>
      <c r="BQ133" s="914"/>
      <c r="BR133" s="914"/>
      <c r="BS133" s="914"/>
      <c r="BT133" s="914"/>
      <c r="BU133" s="914"/>
      <c r="BV133" s="914"/>
      <c r="BW133" s="914"/>
      <c r="BX133" s="914"/>
      <c r="BY133" s="914"/>
      <c r="BZ133" s="914"/>
      <c r="CA133" s="914"/>
      <c r="CB133" s="915"/>
      <c r="CC133" s="255">
        <v>2</v>
      </c>
      <c r="CD133" s="115"/>
      <c r="CE133" s="115">
        <v>51126</v>
      </c>
      <c r="CF133" s="115"/>
      <c r="CG133" s="115">
        <f t="shared" si="12"/>
        <v>51126</v>
      </c>
    </row>
    <row r="134" spans="1:99" s="255" customFormat="1" ht="19.95" hidden="1" customHeight="1">
      <c r="A134" s="926">
        <f t="shared" si="10"/>
        <v>25</v>
      </c>
      <c r="B134" s="927"/>
      <c r="C134" s="927"/>
      <c r="D134" s="928"/>
      <c r="E134" s="1047">
        <f>'стр. 2_8'!A336</f>
        <v>0</v>
      </c>
      <c r="F134" s="1048"/>
      <c r="G134" s="1048"/>
      <c r="H134" s="1048"/>
      <c r="I134" s="1048"/>
      <c r="J134" s="1048"/>
      <c r="K134" s="1048"/>
      <c r="L134" s="1048"/>
      <c r="M134" s="1048"/>
      <c r="N134" s="1048"/>
      <c r="O134" s="1048"/>
      <c r="P134" s="1048"/>
      <c r="Q134" s="1048"/>
      <c r="R134" s="1048"/>
      <c r="S134" s="1048"/>
      <c r="T134" s="1048"/>
      <c r="U134" s="1048"/>
      <c r="V134" s="1048"/>
      <c r="W134" s="1048"/>
      <c r="X134" s="1048"/>
      <c r="Y134" s="1048"/>
      <c r="Z134" s="1048"/>
      <c r="AA134" s="1048"/>
      <c r="AB134" s="1048"/>
      <c r="AC134" s="1048"/>
      <c r="AD134" s="1048"/>
      <c r="AE134" s="1048"/>
      <c r="AF134" s="1048"/>
      <c r="AG134" s="1048"/>
      <c r="AH134" s="1048"/>
      <c r="AI134" s="1048"/>
      <c r="AJ134" s="1048"/>
      <c r="AK134" s="1048"/>
      <c r="AL134" s="1048"/>
      <c r="AM134" s="1048"/>
      <c r="AN134" s="1048"/>
      <c r="AO134" s="1048"/>
      <c r="AP134" s="1048"/>
      <c r="AQ134" s="1048"/>
      <c r="AR134" s="1048"/>
      <c r="AS134" s="1048"/>
      <c r="AT134" s="1048"/>
      <c r="AU134" s="1048"/>
      <c r="AV134" s="1048"/>
      <c r="AW134" s="1048"/>
      <c r="AX134" s="1048"/>
      <c r="AY134" s="1048"/>
      <c r="AZ134" s="1048"/>
      <c r="BA134" s="1048"/>
      <c r="BB134" s="1048"/>
      <c r="BC134" s="1049"/>
      <c r="BD134" s="1050"/>
      <c r="BE134" s="1051"/>
      <c r="BF134" s="1051"/>
      <c r="BG134" s="1051"/>
      <c r="BH134" s="1051"/>
      <c r="BI134" s="1051"/>
      <c r="BJ134" s="1051"/>
      <c r="BK134" s="1051"/>
      <c r="BL134" s="1051"/>
      <c r="BM134" s="1052"/>
      <c r="BN134" s="913">
        <f>'стр. 2_8'!DR336</f>
        <v>0</v>
      </c>
      <c r="BO134" s="914"/>
      <c r="BP134" s="914"/>
      <c r="BQ134" s="914"/>
      <c r="BR134" s="914"/>
      <c r="BS134" s="914"/>
      <c r="BT134" s="914"/>
      <c r="BU134" s="914"/>
      <c r="BV134" s="914"/>
      <c r="BW134" s="914"/>
      <c r="BX134" s="914"/>
      <c r="BY134" s="914"/>
      <c r="BZ134" s="914"/>
      <c r="CA134" s="914"/>
      <c r="CB134" s="915"/>
      <c r="CC134" s="255">
        <v>2</v>
      </c>
      <c r="CD134" s="115"/>
      <c r="CE134" s="115">
        <v>48385</v>
      </c>
      <c r="CF134" s="115"/>
      <c r="CG134" s="115">
        <f t="shared" si="12"/>
        <v>48385</v>
      </c>
    </row>
    <row r="135" spans="1:99" s="255" customFormat="1" ht="19.95" hidden="1" customHeight="1">
      <c r="A135" s="926">
        <f t="shared" si="10"/>
        <v>26</v>
      </c>
      <c r="B135" s="927"/>
      <c r="C135" s="927"/>
      <c r="D135" s="928"/>
      <c r="E135" s="1047">
        <f>'стр. 2_8'!A337</f>
        <v>0</v>
      </c>
      <c r="F135" s="1048"/>
      <c r="G135" s="1048"/>
      <c r="H135" s="1048"/>
      <c r="I135" s="1048"/>
      <c r="J135" s="1048"/>
      <c r="K135" s="1048"/>
      <c r="L135" s="1048"/>
      <c r="M135" s="1048"/>
      <c r="N135" s="1048"/>
      <c r="O135" s="1048"/>
      <c r="P135" s="1048"/>
      <c r="Q135" s="1048"/>
      <c r="R135" s="1048"/>
      <c r="S135" s="1048"/>
      <c r="T135" s="1048"/>
      <c r="U135" s="1048"/>
      <c r="V135" s="1048"/>
      <c r="W135" s="1048"/>
      <c r="X135" s="1048"/>
      <c r="Y135" s="1048"/>
      <c r="Z135" s="1048"/>
      <c r="AA135" s="1048"/>
      <c r="AB135" s="1048"/>
      <c r="AC135" s="1048"/>
      <c r="AD135" s="1048"/>
      <c r="AE135" s="1048"/>
      <c r="AF135" s="1048"/>
      <c r="AG135" s="1048"/>
      <c r="AH135" s="1048"/>
      <c r="AI135" s="1048"/>
      <c r="AJ135" s="1048"/>
      <c r="AK135" s="1048"/>
      <c r="AL135" s="1048"/>
      <c r="AM135" s="1048"/>
      <c r="AN135" s="1048"/>
      <c r="AO135" s="1048"/>
      <c r="AP135" s="1048"/>
      <c r="AQ135" s="1048"/>
      <c r="AR135" s="1048"/>
      <c r="AS135" s="1048"/>
      <c r="AT135" s="1048"/>
      <c r="AU135" s="1048"/>
      <c r="AV135" s="1048"/>
      <c r="AW135" s="1048"/>
      <c r="AX135" s="1048"/>
      <c r="AY135" s="1048"/>
      <c r="AZ135" s="1048"/>
      <c r="BA135" s="1048"/>
      <c r="BB135" s="1048"/>
      <c r="BC135" s="1049"/>
      <c r="BD135" s="1050"/>
      <c r="BE135" s="1051"/>
      <c r="BF135" s="1051"/>
      <c r="BG135" s="1051"/>
      <c r="BH135" s="1051"/>
      <c r="BI135" s="1051"/>
      <c r="BJ135" s="1051"/>
      <c r="BK135" s="1051"/>
      <c r="BL135" s="1051"/>
      <c r="BM135" s="1052"/>
      <c r="BN135" s="913">
        <f>'стр. 2_8'!DR337</f>
        <v>0</v>
      </c>
      <c r="BO135" s="914"/>
      <c r="BP135" s="914"/>
      <c r="BQ135" s="914"/>
      <c r="BR135" s="914"/>
      <c r="BS135" s="914"/>
      <c r="BT135" s="914"/>
      <c r="BU135" s="914"/>
      <c r="BV135" s="914"/>
      <c r="BW135" s="914"/>
      <c r="BX135" s="914"/>
      <c r="BY135" s="914"/>
      <c r="BZ135" s="914"/>
      <c r="CA135" s="914"/>
      <c r="CB135" s="915"/>
      <c r="CC135" s="255">
        <v>4</v>
      </c>
      <c r="CD135" s="115"/>
      <c r="CE135" s="115">
        <v>50000</v>
      </c>
      <c r="CF135" s="115"/>
      <c r="CG135" s="115">
        <f t="shared" si="12"/>
        <v>50000</v>
      </c>
    </row>
    <row r="136" spans="1:99" s="255" customFormat="1" ht="19.95" hidden="1" customHeight="1">
      <c r="A136" s="926">
        <f t="shared" si="10"/>
        <v>27</v>
      </c>
      <c r="B136" s="927"/>
      <c r="C136" s="927"/>
      <c r="D136" s="928"/>
      <c r="E136" s="1047">
        <f>'стр. 2_8'!A338</f>
        <v>0</v>
      </c>
      <c r="F136" s="1048"/>
      <c r="G136" s="1048"/>
      <c r="H136" s="1048"/>
      <c r="I136" s="1048"/>
      <c r="J136" s="1048"/>
      <c r="K136" s="1048"/>
      <c r="L136" s="1048"/>
      <c r="M136" s="1048"/>
      <c r="N136" s="1048"/>
      <c r="O136" s="1048"/>
      <c r="P136" s="1048"/>
      <c r="Q136" s="1048"/>
      <c r="R136" s="1048"/>
      <c r="S136" s="1048"/>
      <c r="T136" s="1048"/>
      <c r="U136" s="1048"/>
      <c r="V136" s="1048"/>
      <c r="W136" s="1048"/>
      <c r="X136" s="1048"/>
      <c r="Y136" s="1048"/>
      <c r="Z136" s="1048"/>
      <c r="AA136" s="1048"/>
      <c r="AB136" s="1048"/>
      <c r="AC136" s="1048"/>
      <c r="AD136" s="1048"/>
      <c r="AE136" s="1048"/>
      <c r="AF136" s="1048"/>
      <c r="AG136" s="1048"/>
      <c r="AH136" s="1048"/>
      <c r="AI136" s="1048"/>
      <c r="AJ136" s="1048"/>
      <c r="AK136" s="1048"/>
      <c r="AL136" s="1048"/>
      <c r="AM136" s="1048"/>
      <c r="AN136" s="1048"/>
      <c r="AO136" s="1048"/>
      <c r="AP136" s="1048"/>
      <c r="AQ136" s="1048"/>
      <c r="AR136" s="1048"/>
      <c r="AS136" s="1048"/>
      <c r="AT136" s="1048"/>
      <c r="AU136" s="1048"/>
      <c r="AV136" s="1048"/>
      <c r="AW136" s="1048"/>
      <c r="AX136" s="1048"/>
      <c r="AY136" s="1048"/>
      <c r="AZ136" s="1048"/>
      <c r="BA136" s="1048"/>
      <c r="BB136" s="1048"/>
      <c r="BC136" s="1049"/>
      <c r="BD136" s="1050"/>
      <c r="BE136" s="1051"/>
      <c r="BF136" s="1051"/>
      <c r="BG136" s="1051"/>
      <c r="BH136" s="1051"/>
      <c r="BI136" s="1051"/>
      <c r="BJ136" s="1051"/>
      <c r="BK136" s="1051"/>
      <c r="BL136" s="1051"/>
      <c r="BM136" s="1052"/>
      <c r="BN136" s="913">
        <f>'стр. 2_8'!DR338</f>
        <v>0</v>
      </c>
      <c r="BO136" s="914"/>
      <c r="BP136" s="914"/>
      <c r="BQ136" s="914"/>
      <c r="BR136" s="914"/>
      <c r="BS136" s="914"/>
      <c r="BT136" s="914"/>
      <c r="BU136" s="914"/>
      <c r="BV136" s="914"/>
      <c r="BW136" s="914"/>
      <c r="BX136" s="914"/>
      <c r="BY136" s="914"/>
      <c r="BZ136" s="914"/>
      <c r="CA136" s="914"/>
      <c r="CB136" s="915"/>
      <c r="CC136" s="255">
        <v>1</v>
      </c>
      <c r="CD136" s="115"/>
      <c r="CE136" s="115"/>
      <c r="CF136" s="115"/>
      <c r="CG136" s="115">
        <f t="shared" si="12"/>
        <v>0</v>
      </c>
    </row>
    <row r="137" spans="1:99" ht="19.95" customHeight="1">
      <c r="A137" s="926"/>
      <c r="B137" s="927"/>
      <c r="C137" s="927"/>
      <c r="D137" s="928"/>
      <c r="E137" s="1065"/>
      <c r="F137" s="1066"/>
      <c r="G137" s="1066"/>
      <c r="H137" s="1066"/>
      <c r="I137" s="1066"/>
      <c r="J137" s="1066"/>
      <c r="K137" s="1066"/>
      <c r="L137" s="1066"/>
      <c r="M137" s="1066"/>
      <c r="N137" s="1066"/>
      <c r="O137" s="1066"/>
      <c r="P137" s="1066"/>
      <c r="Q137" s="1066"/>
      <c r="R137" s="1066"/>
      <c r="S137" s="1066"/>
      <c r="T137" s="1066"/>
      <c r="U137" s="1066"/>
      <c r="V137" s="1066"/>
      <c r="W137" s="1066"/>
      <c r="X137" s="1066"/>
      <c r="Y137" s="1066"/>
      <c r="Z137" s="1066"/>
      <c r="AA137" s="1066"/>
      <c r="AB137" s="1066"/>
      <c r="AC137" s="1066"/>
      <c r="AD137" s="1066"/>
      <c r="AE137" s="1066"/>
      <c r="AF137" s="1066"/>
      <c r="AG137" s="1066"/>
      <c r="AH137" s="1066"/>
      <c r="AI137" s="1066"/>
      <c r="AJ137" s="1066"/>
      <c r="AK137" s="1066"/>
      <c r="AL137" s="1066"/>
      <c r="AM137" s="1066"/>
      <c r="AN137" s="1066"/>
      <c r="AO137" s="1066"/>
      <c r="AP137" s="1066"/>
      <c r="AQ137" s="1066"/>
      <c r="AR137" s="1066"/>
      <c r="AS137" s="1066"/>
      <c r="AT137" s="1066"/>
      <c r="AU137" s="1066"/>
      <c r="AV137" s="1066"/>
      <c r="AW137" s="1066"/>
      <c r="AX137" s="1066"/>
      <c r="AY137" s="1066"/>
      <c r="AZ137" s="1066"/>
      <c r="BA137" s="1066"/>
      <c r="BB137" s="1066"/>
      <c r="BC137" s="1067"/>
      <c r="BD137" s="950" t="s">
        <v>21</v>
      </c>
      <c r="BE137" s="951"/>
      <c r="BF137" s="951"/>
      <c r="BG137" s="951"/>
      <c r="BH137" s="951"/>
      <c r="BI137" s="951"/>
      <c r="BJ137" s="951"/>
      <c r="BK137" s="951"/>
      <c r="BL137" s="951"/>
      <c r="BM137" s="952"/>
      <c r="BN137" s="1044">
        <f>BN115+BN97+BN71</f>
        <v>1688610.9</v>
      </c>
      <c r="BO137" s="1045"/>
      <c r="BP137" s="1045"/>
      <c r="BQ137" s="1045"/>
      <c r="BR137" s="1045"/>
      <c r="BS137" s="1045"/>
      <c r="BT137" s="1045"/>
      <c r="BU137" s="1045"/>
      <c r="BV137" s="1045"/>
      <c r="BW137" s="1045"/>
      <c r="BX137" s="1045"/>
      <c r="BY137" s="1045"/>
      <c r="BZ137" s="1045"/>
      <c r="CA137" s="1045"/>
      <c r="CB137" s="1046"/>
      <c r="CD137" s="116">
        <f>SUM(CD99:CD136)</f>
        <v>165852</v>
      </c>
      <c r="CE137" s="116">
        <f>SUM(CE99:CE136)</f>
        <v>660244</v>
      </c>
      <c r="CF137" s="116">
        <f>SUM(CF99:CF136)</f>
        <v>87139</v>
      </c>
      <c r="CG137" s="116">
        <f>SUM(CG99:CG136)</f>
        <v>913235</v>
      </c>
      <c r="CP137" s="115">
        <f>BN137-'[2]Пок по пост и выб'!D55</f>
        <v>1635869.27</v>
      </c>
      <c r="CS137" s="115"/>
    </row>
    <row r="138" spans="1:99" s="200" customFormat="1" ht="37.799999999999997" customHeight="1">
      <c r="A138" s="959" t="s">
        <v>1028</v>
      </c>
      <c r="B138" s="959"/>
      <c r="C138" s="959"/>
      <c r="D138" s="959"/>
      <c r="E138" s="959"/>
      <c r="F138" s="959"/>
      <c r="G138" s="959"/>
      <c r="H138" s="959"/>
      <c r="I138" s="959"/>
      <c r="J138" s="959"/>
      <c r="K138" s="959"/>
      <c r="L138" s="959"/>
      <c r="M138" s="959"/>
      <c r="N138" s="959"/>
      <c r="O138" s="959"/>
      <c r="P138" s="959"/>
      <c r="Q138" s="959"/>
      <c r="R138" s="959"/>
      <c r="S138" s="959"/>
      <c r="T138" s="959"/>
      <c r="U138" s="959"/>
      <c r="V138" s="959"/>
      <c r="W138" s="959"/>
      <c r="X138" s="959"/>
      <c r="Y138" s="959"/>
      <c r="Z138" s="959"/>
      <c r="AA138" s="959"/>
      <c r="AB138" s="959"/>
      <c r="AC138" s="959"/>
      <c r="AD138" s="959"/>
      <c r="AE138" s="959"/>
      <c r="AF138" s="959"/>
      <c r="AG138" s="959"/>
      <c r="AH138" s="959"/>
      <c r="AI138" s="959"/>
      <c r="AJ138" s="959"/>
      <c r="AK138" s="959"/>
      <c r="AL138" s="959"/>
      <c r="AM138" s="959"/>
      <c r="AN138" s="959"/>
      <c r="AO138" s="959"/>
      <c r="AP138" s="959"/>
      <c r="AQ138" s="959"/>
      <c r="AR138" s="959"/>
      <c r="AS138" s="959"/>
      <c r="AT138" s="959"/>
      <c r="AU138" s="959"/>
      <c r="AV138" s="959"/>
      <c r="AW138" s="959"/>
      <c r="AX138" s="959"/>
      <c r="AY138" s="959"/>
      <c r="AZ138" s="959"/>
      <c r="BA138" s="959"/>
      <c r="BB138" s="959"/>
      <c r="BC138" s="959"/>
      <c r="BD138" s="959"/>
      <c r="BE138" s="959"/>
      <c r="BF138" s="959"/>
      <c r="BG138" s="959"/>
      <c r="BH138" s="959"/>
      <c r="BI138" s="959"/>
      <c r="BJ138" s="959"/>
      <c r="BK138" s="959"/>
      <c r="BL138" s="959"/>
      <c r="BM138" s="959"/>
      <c r="BN138" s="959"/>
      <c r="BO138" s="959"/>
      <c r="BP138" s="959"/>
      <c r="BQ138" s="959"/>
      <c r="BR138" s="959"/>
      <c r="BS138" s="959"/>
      <c r="BT138" s="959"/>
      <c r="BU138" s="959"/>
      <c r="BV138" s="959"/>
      <c r="BW138" s="959"/>
      <c r="BX138" s="959"/>
      <c r="BY138" s="959"/>
      <c r="BZ138" s="959"/>
      <c r="CA138" s="959"/>
      <c r="CB138" s="959"/>
      <c r="CQ138" s="112"/>
      <c r="CR138" s="204"/>
      <c r="CS138" s="114"/>
      <c r="CT138" s="114"/>
      <c r="CU138" s="114"/>
    </row>
    <row r="139" spans="1:99" s="202" customFormat="1" ht="17.100000000000001" customHeight="1">
      <c r="A139" s="201"/>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114" t="s">
        <v>586</v>
      </c>
      <c r="CD139" s="114">
        <v>4</v>
      </c>
      <c r="CE139" s="114">
        <v>5</v>
      </c>
      <c r="CF139" s="114">
        <v>2</v>
      </c>
      <c r="CG139" s="212" t="s">
        <v>587</v>
      </c>
      <c r="CQ139" s="114"/>
      <c r="CR139" s="115"/>
      <c r="CS139" s="115"/>
      <c r="CT139" s="115"/>
      <c r="CU139" s="115"/>
    </row>
    <row r="140" spans="1:99" ht="10.199999999999999" customHeight="1">
      <c r="A140" s="1053" t="s">
        <v>583</v>
      </c>
      <c r="B140" s="1054"/>
      <c r="C140" s="1054"/>
      <c r="D140" s="1055"/>
      <c r="E140" s="962" t="s">
        <v>422</v>
      </c>
      <c r="F140" s="963"/>
      <c r="G140" s="963"/>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963"/>
      <c r="AE140" s="963"/>
      <c r="AF140" s="963"/>
      <c r="AG140" s="963"/>
      <c r="AH140" s="963"/>
      <c r="AI140" s="963"/>
      <c r="AJ140" s="963"/>
      <c r="AK140" s="963"/>
      <c r="AL140" s="963"/>
      <c r="AM140" s="963"/>
      <c r="AN140" s="963"/>
      <c r="AO140" s="963"/>
      <c r="AP140" s="963"/>
      <c r="AQ140" s="963"/>
      <c r="AR140" s="963"/>
      <c r="AS140" s="963"/>
      <c r="AT140" s="963"/>
      <c r="AU140" s="963"/>
      <c r="AV140" s="963"/>
      <c r="AW140" s="963"/>
      <c r="AX140" s="963"/>
      <c r="AY140" s="963"/>
      <c r="AZ140" s="963"/>
      <c r="BA140" s="963"/>
      <c r="BB140" s="963"/>
      <c r="BC140" s="964"/>
      <c r="BD140" s="1053" t="s">
        <v>588</v>
      </c>
      <c r="BE140" s="1054"/>
      <c r="BF140" s="1054"/>
      <c r="BG140" s="1054"/>
      <c r="BH140" s="1054"/>
      <c r="BI140" s="1054"/>
      <c r="BJ140" s="1054"/>
      <c r="BK140" s="1054"/>
      <c r="BL140" s="1054"/>
      <c r="BM140" s="1055"/>
      <c r="BN140" s="1053" t="s">
        <v>585</v>
      </c>
      <c r="BO140" s="1054"/>
      <c r="BP140" s="1054"/>
      <c r="BQ140" s="1054"/>
      <c r="BR140" s="1054"/>
      <c r="BS140" s="1054"/>
      <c r="BT140" s="1054"/>
      <c r="BU140" s="1054"/>
      <c r="BV140" s="1054"/>
      <c r="BW140" s="1054"/>
      <c r="BX140" s="1054"/>
      <c r="BY140" s="1054"/>
      <c r="BZ140" s="1054"/>
      <c r="CA140" s="1054"/>
      <c r="CB140" s="1055"/>
      <c r="CG140" s="212"/>
      <c r="CR140" s="115"/>
      <c r="CS140" s="115"/>
      <c r="CT140" s="115"/>
      <c r="CU140" s="115"/>
    </row>
    <row r="141" spans="1:99" ht="4.8" customHeight="1">
      <c r="A141" s="1056"/>
      <c r="B141" s="1057"/>
      <c r="C141" s="1057"/>
      <c r="D141" s="1058"/>
      <c r="E141" s="956"/>
      <c r="F141" s="957"/>
      <c r="G141" s="957"/>
      <c r="H141" s="957"/>
      <c r="I141" s="957"/>
      <c r="J141" s="957"/>
      <c r="K141" s="957"/>
      <c r="L141" s="957"/>
      <c r="M141" s="957"/>
      <c r="N141" s="957"/>
      <c r="O141" s="957"/>
      <c r="P141" s="957"/>
      <c r="Q141" s="957"/>
      <c r="R141" s="957"/>
      <c r="S141" s="957"/>
      <c r="T141" s="957"/>
      <c r="U141" s="957"/>
      <c r="V141" s="957"/>
      <c r="W141" s="957"/>
      <c r="X141" s="957"/>
      <c r="Y141" s="957"/>
      <c r="Z141" s="957"/>
      <c r="AA141" s="957"/>
      <c r="AB141" s="957"/>
      <c r="AC141" s="957"/>
      <c r="AD141" s="957"/>
      <c r="AE141" s="957"/>
      <c r="AF141" s="957"/>
      <c r="AG141" s="957"/>
      <c r="AH141" s="957"/>
      <c r="AI141" s="957"/>
      <c r="AJ141" s="957"/>
      <c r="AK141" s="957"/>
      <c r="AL141" s="957"/>
      <c r="AM141" s="957"/>
      <c r="AN141" s="957"/>
      <c r="AO141" s="957"/>
      <c r="AP141" s="957"/>
      <c r="AQ141" s="957"/>
      <c r="AR141" s="957"/>
      <c r="AS141" s="957"/>
      <c r="AT141" s="957"/>
      <c r="AU141" s="957"/>
      <c r="AV141" s="957"/>
      <c r="AW141" s="957"/>
      <c r="AX141" s="957"/>
      <c r="AY141" s="957"/>
      <c r="AZ141" s="957"/>
      <c r="BA141" s="957"/>
      <c r="BB141" s="957"/>
      <c r="BC141" s="958"/>
      <c r="BD141" s="1056"/>
      <c r="BE141" s="1057"/>
      <c r="BF141" s="1057"/>
      <c r="BG141" s="1057"/>
      <c r="BH141" s="1057"/>
      <c r="BI141" s="1057"/>
      <c r="BJ141" s="1057"/>
      <c r="BK141" s="1057"/>
      <c r="BL141" s="1057"/>
      <c r="BM141" s="1058"/>
      <c r="BN141" s="1056"/>
      <c r="BO141" s="1057"/>
      <c r="BP141" s="1057"/>
      <c r="BQ141" s="1057"/>
      <c r="BR141" s="1057"/>
      <c r="BS141" s="1057"/>
      <c r="BT141" s="1057"/>
      <c r="BU141" s="1057"/>
      <c r="BV141" s="1057"/>
      <c r="BW141" s="1057"/>
      <c r="BX141" s="1057"/>
      <c r="BY141" s="1057"/>
      <c r="BZ141" s="1057"/>
      <c r="CA141" s="1057"/>
      <c r="CB141" s="1058"/>
      <c r="CG141" s="212"/>
      <c r="CR141" s="115"/>
      <c r="CS141" s="115"/>
      <c r="CT141" s="115"/>
      <c r="CU141" s="115"/>
    </row>
    <row r="142" spans="1:99" ht="17.100000000000001" customHeight="1">
      <c r="A142" s="1059"/>
      <c r="B142" s="1060"/>
      <c r="C142" s="1060"/>
      <c r="D142" s="1061"/>
      <c r="E142" s="1062"/>
      <c r="F142" s="1063"/>
      <c r="G142" s="1063"/>
      <c r="H142" s="1063"/>
      <c r="I142" s="1063"/>
      <c r="J142" s="1063"/>
      <c r="K142" s="1063"/>
      <c r="L142" s="1063"/>
      <c r="M142" s="1063"/>
      <c r="N142" s="1063"/>
      <c r="O142" s="1063"/>
      <c r="P142" s="1063"/>
      <c r="Q142" s="1063"/>
      <c r="R142" s="1063"/>
      <c r="S142" s="1063"/>
      <c r="T142" s="1063"/>
      <c r="U142" s="1063"/>
      <c r="V142" s="1063"/>
      <c r="W142" s="1063"/>
      <c r="X142" s="1063"/>
      <c r="Y142" s="1063"/>
      <c r="Z142" s="1063"/>
      <c r="AA142" s="1063"/>
      <c r="AB142" s="1063"/>
      <c r="AC142" s="1063"/>
      <c r="AD142" s="1063"/>
      <c r="AE142" s="1063"/>
      <c r="AF142" s="1063"/>
      <c r="AG142" s="1063"/>
      <c r="AH142" s="1063"/>
      <c r="AI142" s="1063"/>
      <c r="AJ142" s="1063"/>
      <c r="AK142" s="1063"/>
      <c r="AL142" s="1063"/>
      <c r="AM142" s="1063"/>
      <c r="AN142" s="1063"/>
      <c r="AO142" s="1063"/>
      <c r="AP142" s="1063"/>
      <c r="AQ142" s="1063"/>
      <c r="AR142" s="1063"/>
      <c r="AS142" s="1063"/>
      <c r="AT142" s="1063"/>
      <c r="AU142" s="1063"/>
      <c r="AV142" s="1063"/>
      <c r="AW142" s="1063"/>
      <c r="AX142" s="1063"/>
      <c r="AY142" s="1063"/>
      <c r="AZ142" s="1063"/>
      <c r="BA142" s="1063"/>
      <c r="BB142" s="1063"/>
      <c r="BC142" s="1064"/>
      <c r="BD142" s="1059"/>
      <c r="BE142" s="1060"/>
      <c r="BF142" s="1060"/>
      <c r="BG142" s="1060"/>
      <c r="BH142" s="1060"/>
      <c r="BI142" s="1060"/>
      <c r="BJ142" s="1060"/>
      <c r="BK142" s="1060"/>
      <c r="BL142" s="1060"/>
      <c r="BM142" s="1061"/>
      <c r="BN142" s="1059"/>
      <c r="BO142" s="1060"/>
      <c r="BP142" s="1060"/>
      <c r="BQ142" s="1060"/>
      <c r="BR142" s="1060"/>
      <c r="BS142" s="1060"/>
      <c r="BT142" s="1060"/>
      <c r="BU142" s="1060"/>
      <c r="BV142" s="1060"/>
      <c r="BW142" s="1060"/>
      <c r="BX142" s="1060"/>
      <c r="BY142" s="1060"/>
      <c r="BZ142" s="1060"/>
      <c r="CA142" s="1060"/>
      <c r="CB142" s="1061"/>
      <c r="CG142" s="212"/>
    </row>
    <row r="143" spans="1:99" ht="17.100000000000001" customHeight="1">
      <c r="A143" s="953">
        <v>1</v>
      </c>
      <c r="B143" s="954"/>
      <c r="C143" s="954"/>
      <c r="D143" s="955"/>
      <c r="E143" s="953">
        <v>2</v>
      </c>
      <c r="F143" s="954"/>
      <c r="G143" s="954"/>
      <c r="H143" s="954"/>
      <c r="I143" s="954"/>
      <c r="J143" s="954"/>
      <c r="K143" s="954"/>
      <c r="L143" s="954"/>
      <c r="M143" s="954"/>
      <c r="N143" s="954"/>
      <c r="O143" s="954"/>
      <c r="P143" s="954"/>
      <c r="Q143" s="954"/>
      <c r="R143" s="954"/>
      <c r="S143" s="954"/>
      <c r="T143" s="954"/>
      <c r="U143" s="954"/>
      <c r="V143" s="954"/>
      <c r="W143" s="954"/>
      <c r="X143" s="954"/>
      <c r="Y143" s="954"/>
      <c r="Z143" s="954"/>
      <c r="AA143" s="954"/>
      <c r="AB143" s="954"/>
      <c r="AC143" s="954"/>
      <c r="AD143" s="954"/>
      <c r="AE143" s="954"/>
      <c r="AF143" s="954"/>
      <c r="AG143" s="954"/>
      <c r="AH143" s="954"/>
      <c r="AI143" s="954"/>
      <c r="AJ143" s="954"/>
      <c r="AK143" s="954"/>
      <c r="AL143" s="954"/>
      <c r="AM143" s="954"/>
      <c r="AN143" s="954"/>
      <c r="AO143" s="954"/>
      <c r="AP143" s="954"/>
      <c r="AQ143" s="954"/>
      <c r="AR143" s="954"/>
      <c r="AS143" s="954"/>
      <c r="AT143" s="954"/>
      <c r="AU143" s="954"/>
      <c r="AV143" s="954"/>
      <c r="AW143" s="954"/>
      <c r="AX143" s="954"/>
      <c r="AY143" s="954"/>
      <c r="AZ143" s="954"/>
      <c r="BA143" s="954"/>
      <c r="BB143" s="954"/>
      <c r="BC143" s="955"/>
      <c r="BD143" s="953">
        <v>3</v>
      </c>
      <c r="BE143" s="954"/>
      <c r="BF143" s="954"/>
      <c r="BG143" s="954"/>
      <c r="BH143" s="954"/>
      <c r="BI143" s="954"/>
      <c r="BJ143" s="954"/>
      <c r="BK143" s="954"/>
      <c r="BL143" s="954"/>
      <c r="BM143" s="955"/>
      <c r="BN143" s="953">
        <v>4</v>
      </c>
      <c r="BO143" s="954"/>
      <c r="BP143" s="954"/>
      <c r="BQ143" s="954"/>
      <c r="BR143" s="954"/>
      <c r="BS143" s="954"/>
      <c r="BT143" s="954"/>
      <c r="BU143" s="954"/>
      <c r="BV143" s="954"/>
      <c r="BW143" s="954"/>
      <c r="BX143" s="954"/>
      <c r="BY143" s="954"/>
      <c r="BZ143" s="954"/>
      <c r="CA143" s="954"/>
      <c r="CB143" s="955"/>
      <c r="CG143" s="212"/>
    </row>
    <row r="144" spans="1:99" ht="28.2" hidden="1" customHeight="1">
      <c r="A144" s="926">
        <v>1</v>
      </c>
      <c r="B144" s="927"/>
      <c r="C144" s="927"/>
      <c r="D144" s="928"/>
      <c r="E144" s="1047" t="str">
        <f>'стр. 2_8'!A190</f>
        <v>Разработка ПСД на капитальный ремонт кровли с.Ловозеро с экспертизой (МЦП 3) (КФО 5 МБ)</v>
      </c>
      <c r="F144" s="1048"/>
      <c r="G144" s="1048"/>
      <c r="H144" s="1048"/>
      <c r="I144" s="1048"/>
      <c r="J144" s="1048"/>
      <c r="K144" s="1048"/>
      <c r="L144" s="1048"/>
      <c r="M144" s="1048"/>
      <c r="N144" s="1048"/>
      <c r="O144" s="1048"/>
      <c r="P144" s="1048"/>
      <c r="Q144" s="1048"/>
      <c r="R144" s="1048"/>
      <c r="S144" s="1048"/>
      <c r="T144" s="1048"/>
      <c r="U144" s="1048"/>
      <c r="V144" s="1048"/>
      <c r="W144" s="1048"/>
      <c r="X144" s="1048"/>
      <c r="Y144" s="1048"/>
      <c r="Z144" s="1048"/>
      <c r="AA144" s="1048"/>
      <c r="AB144" s="1048"/>
      <c r="AC144" s="1048"/>
      <c r="AD144" s="1048"/>
      <c r="AE144" s="1048"/>
      <c r="AF144" s="1048"/>
      <c r="AG144" s="1048"/>
      <c r="AH144" s="1048"/>
      <c r="AI144" s="1048"/>
      <c r="AJ144" s="1048"/>
      <c r="AK144" s="1048"/>
      <c r="AL144" s="1048"/>
      <c r="AM144" s="1048"/>
      <c r="AN144" s="1048"/>
      <c r="AO144" s="1048"/>
      <c r="AP144" s="1048"/>
      <c r="AQ144" s="1048"/>
      <c r="AR144" s="1048"/>
      <c r="AS144" s="1048"/>
      <c r="AT144" s="1048"/>
      <c r="AU144" s="1048"/>
      <c r="AV144" s="1048"/>
      <c r="AW144" s="1048"/>
      <c r="AX144" s="1048"/>
      <c r="AY144" s="1048"/>
      <c r="AZ144" s="1048"/>
      <c r="BA144" s="1048"/>
      <c r="BB144" s="1048"/>
      <c r="BC144" s="1049"/>
      <c r="BD144" s="839" t="s">
        <v>21</v>
      </c>
      <c r="BE144" s="840"/>
      <c r="BF144" s="840"/>
      <c r="BG144" s="840"/>
      <c r="BH144" s="840"/>
      <c r="BI144" s="840"/>
      <c r="BJ144" s="840"/>
      <c r="BK144" s="840"/>
      <c r="BL144" s="840"/>
      <c r="BM144" s="841"/>
      <c r="BN144" s="913">
        <f>'стр. 2_8'!DR190</f>
        <v>0</v>
      </c>
      <c r="BO144" s="914"/>
      <c r="BP144" s="914"/>
      <c r="BQ144" s="914"/>
      <c r="BR144" s="914"/>
      <c r="BS144" s="914"/>
      <c r="BT144" s="914"/>
      <c r="BU144" s="914"/>
      <c r="BV144" s="914"/>
      <c r="BW144" s="914"/>
      <c r="BX144" s="914"/>
      <c r="BY144" s="914"/>
      <c r="BZ144" s="914"/>
      <c r="CA144" s="914"/>
      <c r="CB144" s="915"/>
      <c r="CC144" s="114">
        <v>2</v>
      </c>
      <c r="CD144" s="115"/>
      <c r="CE144" s="115">
        <v>60000</v>
      </c>
      <c r="CF144" s="115"/>
      <c r="CG144" s="116">
        <f t="shared" ref="CG144:CG146" si="13">CD144+CE144+CF144</f>
        <v>60000</v>
      </c>
      <c r="CQ144" s="112"/>
      <c r="CR144" s="204"/>
    </row>
    <row r="145" spans="1:99" ht="19.95" customHeight="1">
      <c r="A145" s="926">
        <v>1</v>
      </c>
      <c r="B145" s="927"/>
      <c r="C145" s="927"/>
      <c r="D145" s="928"/>
      <c r="E145" s="1047" t="str">
        <f>'стр. 2_8'!A191</f>
        <v>Капитальный ремонт кровли с.Ловозеро  (МЦП 3) (КФО 5 МБ)</v>
      </c>
      <c r="F145" s="1048"/>
      <c r="G145" s="1048"/>
      <c r="H145" s="1048"/>
      <c r="I145" s="1048"/>
      <c r="J145" s="1048"/>
      <c r="K145" s="1048"/>
      <c r="L145" s="1048"/>
      <c r="M145" s="1048"/>
      <c r="N145" s="1048"/>
      <c r="O145" s="1048"/>
      <c r="P145" s="1048"/>
      <c r="Q145" s="1048"/>
      <c r="R145" s="1048"/>
      <c r="S145" s="1048"/>
      <c r="T145" s="1048"/>
      <c r="U145" s="1048"/>
      <c r="V145" s="1048"/>
      <c r="W145" s="1048"/>
      <c r="X145" s="1048"/>
      <c r="Y145" s="1048"/>
      <c r="Z145" s="1048"/>
      <c r="AA145" s="1048"/>
      <c r="AB145" s="1048"/>
      <c r="AC145" s="1048"/>
      <c r="AD145" s="1048"/>
      <c r="AE145" s="1048"/>
      <c r="AF145" s="1048"/>
      <c r="AG145" s="1048"/>
      <c r="AH145" s="1048"/>
      <c r="AI145" s="1048"/>
      <c r="AJ145" s="1048"/>
      <c r="AK145" s="1048"/>
      <c r="AL145" s="1048"/>
      <c r="AM145" s="1048"/>
      <c r="AN145" s="1048"/>
      <c r="AO145" s="1048"/>
      <c r="AP145" s="1048"/>
      <c r="AQ145" s="1048"/>
      <c r="AR145" s="1048"/>
      <c r="AS145" s="1048"/>
      <c r="AT145" s="1048"/>
      <c r="AU145" s="1048"/>
      <c r="AV145" s="1048"/>
      <c r="AW145" s="1048"/>
      <c r="AX145" s="1048"/>
      <c r="AY145" s="1048"/>
      <c r="AZ145" s="1048"/>
      <c r="BA145" s="1048"/>
      <c r="BB145" s="1048"/>
      <c r="BC145" s="1049"/>
      <c r="BD145" s="1050">
        <v>1</v>
      </c>
      <c r="BE145" s="1051"/>
      <c r="BF145" s="1051"/>
      <c r="BG145" s="1051"/>
      <c r="BH145" s="1051"/>
      <c r="BI145" s="1051"/>
      <c r="BJ145" s="1051"/>
      <c r="BK145" s="1051"/>
      <c r="BL145" s="1051"/>
      <c r="BM145" s="1052"/>
      <c r="BN145" s="913">
        <f>'стр. 2_8'!DR191</f>
        <v>473000</v>
      </c>
      <c r="BO145" s="914"/>
      <c r="BP145" s="914"/>
      <c r="BQ145" s="914"/>
      <c r="BR145" s="914"/>
      <c r="BS145" s="914"/>
      <c r="BT145" s="914"/>
      <c r="BU145" s="914"/>
      <c r="BV145" s="914"/>
      <c r="BW145" s="914"/>
      <c r="BX145" s="914"/>
      <c r="BY145" s="914"/>
      <c r="BZ145" s="914"/>
      <c r="CA145" s="914"/>
      <c r="CB145" s="915"/>
      <c r="CC145" s="114">
        <v>1</v>
      </c>
      <c r="CD145" s="115">
        <v>82000</v>
      </c>
      <c r="CE145" s="115"/>
      <c r="CF145" s="115"/>
      <c r="CG145" s="116">
        <f t="shared" si="13"/>
        <v>82000</v>
      </c>
      <c r="CR145" s="115"/>
      <c r="CS145" s="115"/>
      <c r="CT145" s="115"/>
      <c r="CU145" s="115"/>
    </row>
    <row r="146" spans="1:99" ht="19.95" customHeight="1">
      <c r="A146" s="926">
        <f t="shared" ref="A146" si="14">A145+1</f>
        <v>2</v>
      </c>
      <c r="B146" s="927"/>
      <c r="C146" s="927"/>
      <c r="D146" s="928"/>
      <c r="E146" s="1047" t="str">
        <f>'стр. 2_8'!A192</f>
        <v>Капитальный ремонт кровли с.Ловозеро (МЦП 3) (КФО 5 ОБ)</v>
      </c>
      <c r="F146" s="1048"/>
      <c r="G146" s="1048"/>
      <c r="H146" s="1048"/>
      <c r="I146" s="1048"/>
      <c r="J146" s="1048"/>
      <c r="K146" s="1048"/>
      <c r="L146" s="1048"/>
      <c r="M146" s="1048"/>
      <c r="N146" s="1048"/>
      <c r="O146" s="1048"/>
      <c r="P146" s="1048"/>
      <c r="Q146" s="1048"/>
      <c r="R146" s="1048"/>
      <c r="S146" s="1048"/>
      <c r="T146" s="1048"/>
      <c r="U146" s="1048"/>
      <c r="V146" s="1048"/>
      <c r="W146" s="1048"/>
      <c r="X146" s="1048"/>
      <c r="Y146" s="1048"/>
      <c r="Z146" s="1048"/>
      <c r="AA146" s="1048"/>
      <c r="AB146" s="1048"/>
      <c r="AC146" s="1048"/>
      <c r="AD146" s="1048"/>
      <c r="AE146" s="1048"/>
      <c r="AF146" s="1048"/>
      <c r="AG146" s="1048"/>
      <c r="AH146" s="1048"/>
      <c r="AI146" s="1048"/>
      <c r="AJ146" s="1048"/>
      <c r="AK146" s="1048"/>
      <c r="AL146" s="1048"/>
      <c r="AM146" s="1048"/>
      <c r="AN146" s="1048"/>
      <c r="AO146" s="1048"/>
      <c r="AP146" s="1048"/>
      <c r="AQ146" s="1048"/>
      <c r="AR146" s="1048"/>
      <c r="AS146" s="1048"/>
      <c r="AT146" s="1048"/>
      <c r="AU146" s="1048"/>
      <c r="AV146" s="1048"/>
      <c r="AW146" s="1048"/>
      <c r="AX146" s="1048"/>
      <c r="AY146" s="1048"/>
      <c r="AZ146" s="1048"/>
      <c r="BA146" s="1048"/>
      <c r="BB146" s="1048"/>
      <c r="BC146" s="1049"/>
      <c r="BD146" s="1050"/>
      <c r="BE146" s="1051"/>
      <c r="BF146" s="1051"/>
      <c r="BG146" s="1051"/>
      <c r="BH146" s="1051"/>
      <c r="BI146" s="1051"/>
      <c r="BJ146" s="1051"/>
      <c r="BK146" s="1051"/>
      <c r="BL146" s="1051"/>
      <c r="BM146" s="1052"/>
      <c r="BN146" s="913">
        <f>'стр. 2_8'!DR192</f>
        <v>0</v>
      </c>
      <c r="BO146" s="914"/>
      <c r="BP146" s="914"/>
      <c r="BQ146" s="914"/>
      <c r="BR146" s="914"/>
      <c r="BS146" s="914"/>
      <c r="BT146" s="914"/>
      <c r="BU146" s="914"/>
      <c r="BV146" s="914"/>
      <c r="BW146" s="914"/>
      <c r="BX146" s="914"/>
      <c r="BY146" s="914"/>
      <c r="BZ146" s="914"/>
      <c r="CA146" s="914"/>
      <c r="CB146" s="915"/>
      <c r="CC146" s="114">
        <v>1</v>
      </c>
      <c r="CD146" s="115">
        <v>50000</v>
      </c>
      <c r="CE146" s="115"/>
      <c r="CF146" s="115"/>
      <c r="CG146" s="116">
        <f t="shared" si="13"/>
        <v>50000</v>
      </c>
    </row>
    <row r="147" spans="1:99" ht="19.95" customHeight="1">
      <c r="A147" s="926"/>
      <c r="B147" s="927"/>
      <c r="C147" s="927"/>
      <c r="D147" s="928"/>
      <c r="E147" s="839" t="s">
        <v>262</v>
      </c>
      <c r="F147" s="840"/>
      <c r="G147" s="840"/>
      <c r="H147" s="840"/>
      <c r="I147" s="840"/>
      <c r="J147" s="840"/>
      <c r="K147" s="840"/>
      <c r="L147" s="840"/>
      <c r="M147" s="840"/>
      <c r="N147" s="840"/>
      <c r="O147" s="840"/>
      <c r="P147" s="840"/>
      <c r="Q147" s="840"/>
      <c r="R147" s="840"/>
      <c r="S147" s="840"/>
      <c r="T147" s="840"/>
      <c r="U147" s="840"/>
      <c r="V147" s="840"/>
      <c r="W147" s="840"/>
      <c r="X147" s="840"/>
      <c r="Y147" s="840"/>
      <c r="Z147" s="840"/>
      <c r="AA147" s="840"/>
      <c r="AB147" s="840"/>
      <c r="AC147" s="840"/>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0"/>
      <c r="AY147" s="840"/>
      <c r="AZ147" s="840"/>
      <c r="BA147" s="840"/>
      <c r="BB147" s="840"/>
      <c r="BC147" s="841"/>
      <c r="BD147" s="950" t="s">
        <v>21</v>
      </c>
      <c r="BE147" s="951"/>
      <c r="BF147" s="951"/>
      <c r="BG147" s="951"/>
      <c r="BH147" s="951"/>
      <c r="BI147" s="951"/>
      <c r="BJ147" s="951"/>
      <c r="BK147" s="951"/>
      <c r="BL147" s="951"/>
      <c r="BM147" s="952"/>
      <c r="BN147" s="1044">
        <f>SUM(BM144:CB146)</f>
        <v>473000</v>
      </c>
      <c r="BO147" s="1045"/>
      <c r="BP147" s="1045"/>
      <c r="BQ147" s="1045"/>
      <c r="BR147" s="1045"/>
      <c r="BS147" s="1045"/>
      <c r="BT147" s="1045"/>
      <c r="BU147" s="1045"/>
      <c r="BV147" s="1045"/>
      <c r="BW147" s="1045"/>
      <c r="BX147" s="1045"/>
      <c r="BY147" s="1045"/>
      <c r="BZ147" s="1045"/>
      <c r="CA147" s="1045"/>
      <c r="CB147" s="1046"/>
      <c r="CD147" s="116" t="e">
        <f>SUM(#REF!)</f>
        <v>#REF!</v>
      </c>
      <c r="CE147" s="116" t="e">
        <f>SUM(#REF!)</f>
        <v>#REF!</v>
      </c>
      <c r="CF147" s="116" t="e">
        <f>SUM(#REF!)</f>
        <v>#REF!</v>
      </c>
      <c r="CG147" s="116" t="e">
        <f>SUM(#REF!)</f>
        <v>#REF!</v>
      </c>
      <c r="CP147" s="115" t="e">
        <f>BN147-'[2]Пок по пост и выб'!D128</f>
        <v>#REF!</v>
      </c>
      <c r="CS147" s="115"/>
    </row>
    <row r="148" spans="1:99" s="200" customFormat="1" ht="19.95" customHeight="1">
      <c r="A148" s="959" t="s">
        <v>1029</v>
      </c>
      <c r="B148" s="959"/>
      <c r="C148" s="959"/>
      <c r="D148" s="959"/>
      <c r="E148" s="959"/>
      <c r="F148" s="959"/>
      <c r="G148" s="959"/>
      <c r="H148" s="959"/>
      <c r="I148" s="959"/>
      <c r="J148" s="959"/>
      <c r="K148" s="959"/>
      <c r="L148" s="959"/>
      <c r="M148" s="959"/>
      <c r="N148" s="959"/>
      <c r="O148" s="959"/>
      <c r="P148" s="959"/>
      <c r="Q148" s="959"/>
      <c r="R148" s="959"/>
      <c r="S148" s="959"/>
      <c r="T148" s="959"/>
      <c r="U148" s="959"/>
      <c r="V148" s="959"/>
      <c r="W148" s="959"/>
      <c r="X148" s="959"/>
      <c r="Y148" s="959"/>
      <c r="Z148" s="959"/>
      <c r="AA148" s="959"/>
      <c r="AB148" s="959"/>
      <c r="AC148" s="959"/>
      <c r="AD148" s="959"/>
      <c r="AE148" s="959"/>
      <c r="AF148" s="959"/>
      <c r="AG148" s="959"/>
      <c r="AH148" s="959"/>
      <c r="AI148" s="959"/>
      <c r="AJ148" s="959"/>
      <c r="AK148" s="959"/>
      <c r="AL148" s="959"/>
      <c r="AM148" s="959"/>
      <c r="AN148" s="959"/>
      <c r="AO148" s="959"/>
      <c r="AP148" s="959"/>
      <c r="AQ148" s="959"/>
      <c r="AR148" s="959"/>
      <c r="AS148" s="959"/>
      <c r="AT148" s="959"/>
      <c r="AU148" s="959"/>
      <c r="AV148" s="959"/>
      <c r="AW148" s="959"/>
      <c r="AX148" s="959"/>
      <c r="AY148" s="959"/>
      <c r="AZ148" s="959"/>
      <c r="BA148" s="959"/>
      <c r="BB148" s="959"/>
      <c r="BC148" s="959"/>
      <c r="BD148" s="959"/>
      <c r="BE148" s="959"/>
      <c r="BF148" s="959"/>
      <c r="BG148" s="959"/>
      <c r="BH148" s="959"/>
      <c r="BI148" s="959"/>
      <c r="BJ148" s="959"/>
      <c r="BK148" s="959"/>
      <c r="BL148" s="959"/>
      <c r="BM148" s="959"/>
      <c r="BN148" s="959"/>
      <c r="BO148" s="959"/>
      <c r="BP148" s="959"/>
      <c r="BQ148" s="959"/>
      <c r="BR148" s="959"/>
      <c r="BS148" s="959"/>
      <c r="BT148" s="959"/>
      <c r="BU148" s="959"/>
      <c r="BV148" s="959"/>
      <c r="BW148" s="959"/>
      <c r="BX148" s="959"/>
      <c r="BY148" s="959"/>
      <c r="BZ148" s="959"/>
      <c r="CA148" s="959"/>
      <c r="CB148" s="959"/>
    </row>
    <row r="149" spans="1:99" s="202" customFormat="1" ht="19.95" customHeight="1">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114" t="s">
        <v>586</v>
      </c>
      <c r="CD149" s="114">
        <v>4</v>
      </c>
      <c r="CE149" s="114">
        <v>5</v>
      </c>
      <c r="CF149" s="114">
        <v>2</v>
      </c>
      <c r="CG149" s="212" t="s">
        <v>587</v>
      </c>
    </row>
    <row r="150" spans="1:99" ht="19.95" customHeight="1">
      <c r="A150" s="1053" t="s">
        <v>583</v>
      </c>
      <c r="B150" s="1054"/>
      <c r="C150" s="1054"/>
      <c r="D150" s="1055"/>
      <c r="E150" s="962" t="s">
        <v>422</v>
      </c>
      <c r="F150" s="963"/>
      <c r="G150" s="963"/>
      <c r="H150" s="963"/>
      <c r="I150" s="963"/>
      <c r="J150" s="963"/>
      <c r="K150" s="963"/>
      <c r="L150" s="963"/>
      <c r="M150" s="963"/>
      <c r="N150" s="963"/>
      <c r="O150" s="963"/>
      <c r="P150" s="963"/>
      <c r="Q150" s="963"/>
      <c r="R150" s="963"/>
      <c r="S150" s="963"/>
      <c r="T150" s="963"/>
      <c r="U150" s="963"/>
      <c r="V150" s="963"/>
      <c r="W150" s="963"/>
      <c r="X150" s="963"/>
      <c r="Y150" s="963"/>
      <c r="Z150" s="963"/>
      <c r="AA150" s="963"/>
      <c r="AB150" s="963"/>
      <c r="AC150" s="963"/>
      <c r="AD150" s="963"/>
      <c r="AE150" s="963"/>
      <c r="AF150" s="963"/>
      <c r="AG150" s="963"/>
      <c r="AH150" s="963"/>
      <c r="AI150" s="963"/>
      <c r="AJ150" s="963"/>
      <c r="AK150" s="963"/>
      <c r="AL150" s="963"/>
      <c r="AM150" s="963"/>
      <c r="AN150" s="963"/>
      <c r="AO150" s="963"/>
      <c r="AP150" s="963"/>
      <c r="AQ150" s="963"/>
      <c r="AR150" s="964"/>
      <c r="AS150" s="1053" t="s">
        <v>424</v>
      </c>
      <c r="AT150" s="1054"/>
      <c r="AU150" s="1054"/>
      <c r="AV150" s="1054"/>
      <c r="AW150" s="1054"/>
      <c r="AX150" s="1054"/>
      <c r="AY150" s="1054"/>
      <c r="AZ150" s="1054"/>
      <c r="BA150" s="1054"/>
      <c r="BB150" s="1055"/>
      <c r="BC150" s="1053" t="s">
        <v>589</v>
      </c>
      <c r="BD150" s="1054"/>
      <c r="BE150" s="1054"/>
      <c r="BF150" s="1054"/>
      <c r="BG150" s="1054"/>
      <c r="BH150" s="1054"/>
      <c r="BI150" s="1054"/>
      <c r="BJ150" s="1054"/>
      <c r="BK150" s="1054"/>
      <c r="BL150" s="1054"/>
      <c r="BM150" s="1055"/>
      <c r="BN150" s="962" t="s">
        <v>269</v>
      </c>
      <c r="BO150" s="963"/>
      <c r="BP150" s="963"/>
      <c r="BQ150" s="963"/>
      <c r="BR150" s="963"/>
      <c r="BS150" s="963"/>
      <c r="BT150" s="963"/>
      <c r="BU150" s="963"/>
      <c r="BV150" s="963"/>
      <c r="BW150" s="963"/>
      <c r="BX150" s="963"/>
      <c r="BY150" s="963"/>
      <c r="BZ150" s="963"/>
      <c r="CA150" s="963"/>
      <c r="CB150" s="964"/>
      <c r="CG150" s="212"/>
    </row>
    <row r="151" spans="1:99" ht="12" customHeight="1">
      <c r="A151" s="1056"/>
      <c r="B151" s="1057"/>
      <c r="C151" s="1057"/>
      <c r="D151" s="1058"/>
      <c r="E151" s="956"/>
      <c r="F151" s="957"/>
      <c r="G151" s="957"/>
      <c r="H151" s="957"/>
      <c r="I151" s="957"/>
      <c r="J151" s="957"/>
      <c r="K151" s="957"/>
      <c r="L151" s="957"/>
      <c r="M151" s="957"/>
      <c r="N151" s="957"/>
      <c r="O151" s="957"/>
      <c r="P151" s="957"/>
      <c r="Q151" s="957"/>
      <c r="R151" s="957"/>
      <c r="S151" s="957"/>
      <c r="T151" s="957"/>
      <c r="U151" s="957"/>
      <c r="V151" s="957"/>
      <c r="W151" s="957"/>
      <c r="X151" s="957"/>
      <c r="Y151" s="957"/>
      <c r="Z151" s="957"/>
      <c r="AA151" s="957"/>
      <c r="AB151" s="957"/>
      <c r="AC151" s="957"/>
      <c r="AD151" s="957"/>
      <c r="AE151" s="957"/>
      <c r="AF151" s="957"/>
      <c r="AG151" s="957"/>
      <c r="AH151" s="957"/>
      <c r="AI151" s="957"/>
      <c r="AJ151" s="957"/>
      <c r="AK151" s="957"/>
      <c r="AL151" s="957"/>
      <c r="AM151" s="957"/>
      <c r="AN151" s="957"/>
      <c r="AO151" s="957"/>
      <c r="AP151" s="957"/>
      <c r="AQ151" s="957"/>
      <c r="AR151" s="958"/>
      <c r="AS151" s="1056"/>
      <c r="AT151" s="1057"/>
      <c r="AU151" s="1057"/>
      <c r="AV151" s="1057"/>
      <c r="AW151" s="1057"/>
      <c r="AX151" s="1057"/>
      <c r="AY151" s="1057"/>
      <c r="AZ151" s="1057"/>
      <c r="BA151" s="1057"/>
      <c r="BB151" s="1058"/>
      <c r="BC151" s="1056"/>
      <c r="BD151" s="1057"/>
      <c r="BE151" s="1057"/>
      <c r="BF151" s="1057"/>
      <c r="BG151" s="1057"/>
      <c r="BH151" s="1057"/>
      <c r="BI151" s="1057"/>
      <c r="BJ151" s="1057"/>
      <c r="BK151" s="1057"/>
      <c r="BL151" s="1057"/>
      <c r="BM151" s="1058"/>
      <c r="BN151" s="956" t="s">
        <v>533</v>
      </c>
      <c r="BO151" s="957"/>
      <c r="BP151" s="957"/>
      <c r="BQ151" s="957"/>
      <c r="BR151" s="957"/>
      <c r="BS151" s="957"/>
      <c r="BT151" s="957"/>
      <c r="BU151" s="957"/>
      <c r="BV151" s="957"/>
      <c r="BW151" s="957"/>
      <c r="BX151" s="957"/>
      <c r="BY151" s="957"/>
      <c r="BZ151" s="957"/>
      <c r="CA151" s="957"/>
      <c r="CB151" s="958"/>
      <c r="CG151" s="212"/>
    </row>
    <row r="152" spans="1:99" ht="8.4" customHeight="1">
      <c r="A152" s="1059"/>
      <c r="B152" s="1060"/>
      <c r="C152" s="1060"/>
      <c r="D152" s="1061"/>
      <c r="E152" s="1062"/>
      <c r="F152" s="1063"/>
      <c r="G152" s="1063"/>
      <c r="H152" s="1063"/>
      <c r="I152" s="1063"/>
      <c r="J152" s="1063"/>
      <c r="K152" s="1063"/>
      <c r="L152" s="1063"/>
      <c r="M152" s="1063"/>
      <c r="N152" s="1063"/>
      <c r="O152" s="1063"/>
      <c r="P152" s="1063"/>
      <c r="Q152" s="1063"/>
      <c r="R152" s="1063"/>
      <c r="S152" s="1063"/>
      <c r="T152" s="1063"/>
      <c r="U152" s="1063"/>
      <c r="V152" s="1063"/>
      <c r="W152" s="1063"/>
      <c r="X152" s="1063"/>
      <c r="Y152" s="1063"/>
      <c r="Z152" s="1063"/>
      <c r="AA152" s="1063"/>
      <c r="AB152" s="1063"/>
      <c r="AC152" s="1063"/>
      <c r="AD152" s="1063"/>
      <c r="AE152" s="1063"/>
      <c r="AF152" s="1063"/>
      <c r="AG152" s="1063"/>
      <c r="AH152" s="1063"/>
      <c r="AI152" s="1063"/>
      <c r="AJ152" s="1063"/>
      <c r="AK152" s="1063"/>
      <c r="AL152" s="1063"/>
      <c r="AM152" s="1063"/>
      <c r="AN152" s="1063"/>
      <c r="AO152" s="1063"/>
      <c r="AP152" s="1063"/>
      <c r="AQ152" s="1063"/>
      <c r="AR152" s="1064"/>
      <c r="AS152" s="1059"/>
      <c r="AT152" s="1060"/>
      <c r="AU152" s="1060"/>
      <c r="AV152" s="1060"/>
      <c r="AW152" s="1060"/>
      <c r="AX152" s="1060"/>
      <c r="AY152" s="1060"/>
      <c r="AZ152" s="1060"/>
      <c r="BA152" s="1060"/>
      <c r="BB152" s="1061"/>
      <c r="BC152" s="1059"/>
      <c r="BD152" s="1060"/>
      <c r="BE152" s="1060"/>
      <c r="BF152" s="1060"/>
      <c r="BG152" s="1060"/>
      <c r="BH152" s="1060"/>
      <c r="BI152" s="1060"/>
      <c r="BJ152" s="1060"/>
      <c r="BK152" s="1060"/>
      <c r="BL152" s="1060"/>
      <c r="BM152" s="1061"/>
      <c r="BN152" s="956"/>
      <c r="BO152" s="957"/>
      <c r="BP152" s="957"/>
      <c r="BQ152" s="957"/>
      <c r="BR152" s="957"/>
      <c r="BS152" s="957"/>
      <c r="BT152" s="957"/>
      <c r="BU152" s="957"/>
      <c r="BV152" s="957"/>
      <c r="BW152" s="957"/>
      <c r="BX152" s="957"/>
      <c r="BY152" s="957"/>
      <c r="BZ152" s="957"/>
      <c r="CA152" s="957"/>
      <c r="CB152" s="958"/>
      <c r="CG152" s="212"/>
    </row>
    <row r="153" spans="1:99" ht="19.95" customHeight="1">
      <c r="A153" s="953"/>
      <c r="B153" s="954"/>
      <c r="C153" s="954"/>
      <c r="D153" s="955"/>
      <c r="E153" s="953">
        <v>1</v>
      </c>
      <c r="F153" s="954"/>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4"/>
      <c r="AK153" s="954"/>
      <c r="AL153" s="954"/>
      <c r="AM153" s="954"/>
      <c r="AN153" s="954"/>
      <c r="AO153" s="954"/>
      <c r="AP153" s="954"/>
      <c r="AQ153" s="954"/>
      <c r="AR153" s="955"/>
      <c r="AS153" s="953">
        <v>2</v>
      </c>
      <c r="AT153" s="954"/>
      <c r="AU153" s="954"/>
      <c r="AV153" s="954"/>
      <c r="AW153" s="954"/>
      <c r="AX153" s="954"/>
      <c r="AY153" s="954"/>
      <c r="AZ153" s="954"/>
      <c r="BA153" s="954"/>
      <c r="BB153" s="955"/>
      <c r="BC153" s="953">
        <v>3</v>
      </c>
      <c r="BD153" s="954"/>
      <c r="BE153" s="954"/>
      <c r="BF153" s="954"/>
      <c r="BG153" s="954"/>
      <c r="BH153" s="954"/>
      <c r="BI153" s="954"/>
      <c r="BJ153" s="954"/>
      <c r="BK153" s="954"/>
      <c r="BL153" s="954"/>
      <c r="BM153" s="955"/>
      <c r="BN153" s="953">
        <v>4</v>
      </c>
      <c r="BO153" s="954"/>
      <c r="BP153" s="954"/>
      <c r="BQ153" s="954"/>
      <c r="BR153" s="954"/>
      <c r="BS153" s="954"/>
      <c r="BT153" s="954"/>
      <c r="BU153" s="954"/>
      <c r="BV153" s="954"/>
      <c r="BW153" s="954"/>
      <c r="BX153" s="954"/>
      <c r="BY153" s="954"/>
      <c r="BZ153" s="954"/>
      <c r="CA153" s="954"/>
      <c r="CB153" s="955"/>
      <c r="CG153" s="212"/>
    </row>
    <row r="154" spans="1:99" ht="19.95" customHeight="1">
      <c r="A154" s="926">
        <v>1</v>
      </c>
      <c r="B154" s="927"/>
      <c r="C154" s="927"/>
      <c r="D154" s="928"/>
      <c r="E154" s="1082" t="str">
        <f>'стр. 2_8'!A346</f>
        <v>Увеличение стоимости основных средств, в т.ч.: (КФО 4 МБ)</v>
      </c>
      <c r="F154" s="1083"/>
      <c r="G154" s="1083"/>
      <c r="H154" s="1083"/>
      <c r="I154" s="1083"/>
      <c r="J154" s="1083"/>
      <c r="K154" s="1083"/>
      <c r="L154" s="1083"/>
      <c r="M154" s="1083"/>
      <c r="N154" s="1083"/>
      <c r="O154" s="1083"/>
      <c r="P154" s="1083"/>
      <c r="Q154" s="1083"/>
      <c r="R154" s="1083"/>
      <c r="S154" s="1083"/>
      <c r="T154" s="1083"/>
      <c r="U154" s="1083"/>
      <c r="V154" s="1083"/>
      <c r="W154" s="1083"/>
      <c r="X154" s="1083"/>
      <c r="Y154" s="1083"/>
      <c r="Z154" s="1083"/>
      <c r="AA154" s="1083"/>
      <c r="AB154" s="1083"/>
      <c r="AC154" s="1083"/>
      <c r="AD154" s="1083"/>
      <c r="AE154" s="1083"/>
      <c r="AF154" s="1083"/>
      <c r="AG154" s="1083"/>
      <c r="AH154" s="1083"/>
      <c r="AI154" s="1083"/>
      <c r="AJ154" s="1083"/>
      <c r="AK154" s="1083"/>
      <c r="AL154" s="1083"/>
      <c r="AM154" s="1083"/>
      <c r="AN154" s="1083"/>
      <c r="AO154" s="1083"/>
      <c r="AP154" s="1083"/>
      <c r="AQ154" s="1083"/>
      <c r="AR154" s="1084"/>
      <c r="AS154" s="977" t="s">
        <v>21</v>
      </c>
      <c r="AT154" s="978"/>
      <c r="AU154" s="978"/>
      <c r="AV154" s="978"/>
      <c r="AW154" s="978"/>
      <c r="AX154" s="978"/>
      <c r="AY154" s="978"/>
      <c r="AZ154" s="978"/>
      <c r="BA154" s="978"/>
      <c r="BB154" s="979"/>
      <c r="BC154" s="977" t="s">
        <v>21</v>
      </c>
      <c r="BD154" s="978"/>
      <c r="BE154" s="978"/>
      <c r="BF154" s="978"/>
      <c r="BG154" s="978"/>
      <c r="BH154" s="978"/>
      <c r="BI154" s="978"/>
      <c r="BJ154" s="978"/>
      <c r="BK154" s="978"/>
      <c r="BL154" s="978"/>
      <c r="BM154" s="979"/>
      <c r="BN154" s="1044">
        <f>'стр. 2_8'!DR346</f>
        <v>48406</v>
      </c>
      <c r="BO154" s="1085"/>
      <c r="BP154" s="1085"/>
      <c r="BQ154" s="1085"/>
      <c r="BR154" s="1085"/>
      <c r="BS154" s="1085"/>
      <c r="BT154" s="1085"/>
      <c r="BU154" s="1085"/>
      <c r="BV154" s="1085"/>
      <c r="BW154" s="1085"/>
      <c r="BX154" s="1085"/>
      <c r="BY154" s="1085"/>
      <c r="BZ154" s="1085"/>
      <c r="CA154" s="1085"/>
      <c r="CB154" s="1086"/>
      <c r="CC154" s="114">
        <v>4</v>
      </c>
      <c r="CD154" s="115"/>
      <c r="CE154" s="115"/>
      <c r="CF154" s="115">
        <v>30000</v>
      </c>
      <c r="CG154" s="116">
        <f t="shared" ref="CG154:CG163" si="15">CD154+CE154+CF154</f>
        <v>30000</v>
      </c>
    </row>
    <row r="155" spans="1:99" s="255" customFormat="1" ht="19.95" hidden="1" customHeight="1">
      <c r="A155" s="926">
        <v>2</v>
      </c>
      <c r="B155" s="927"/>
      <c r="C155" s="927"/>
      <c r="D155" s="928"/>
      <c r="E155" s="1077" t="str">
        <f>'стр. 2_8'!A347</f>
        <v>Приобретение манометров (КФО 4 МБ)</v>
      </c>
      <c r="F155" s="1078"/>
      <c r="G155" s="1078"/>
      <c r="H155" s="1078"/>
      <c r="I155" s="1078"/>
      <c r="J155" s="1078"/>
      <c r="K155" s="1078"/>
      <c r="L155" s="1078"/>
      <c r="M155" s="1078"/>
      <c r="N155" s="1078"/>
      <c r="O155" s="1078"/>
      <c r="P155" s="1078"/>
      <c r="Q155" s="1078"/>
      <c r="R155" s="1078"/>
      <c r="S155" s="1078"/>
      <c r="T155" s="1078"/>
      <c r="U155" s="1078"/>
      <c r="V155" s="1078"/>
      <c r="W155" s="1078"/>
      <c r="X155" s="1078"/>
      <c r="Y155" s="1078"/>
      <c r="Z155" s="1078"/>
      <c r="AA155" s="1078"/>
      <c r="AB155" s="1078"/>
      <c r="AC155" s="1078"/>
      <c r="AD155" s="1078"/>
      <c r="AE155" s="1078"/>
      <c r="AF155" s="1078"/>
      <c r="AG155" s="1078"/>
      <c r="AH155" s="1078"/>
      <c r="AI155" s="1078"/>
      <c r="AJ155" s="1078"/>
      <c r="AK155" s="1078"/>
      <c r="AL155" s="1078"/>
      <c r="AM155" s="1078"/>
      <c r="AN155" s="1078"/>
      <c r="AO155" s="1078"/>
      <c r="AP155" s="1078"/>
      <c r="AQ155" s="1078"/>
      <c r="AR155" s="1079"/>
      <c r="AS155" s="950">
        <v>2</v>
      </c>
      <c r="AT155" s="951"/>
      <c r="AU155" s="951"/>
      <c r="AV155" s="951"/>
      <c r="AW155" s="951"/>
      <c r="AX155" s="951"/>
      <c r="AY155" s="951"/>
      <c r="AZ155" s="951"/>
      <c r="BA155" s="951"/>
      <c r="BB155" s="952"/>
      <c r="BC155" s="831">
        <v>480</v>
      </c>
      <c r="BD155" s="832"/>
      <c r="BE155" s="832"/>
      <c r="BF155" s="832"/>
      <c r="BG155" s="832"/>
      <c r="BH155" s="832"/>
      <c r="BI155" s="832"/>
      <c r="BJ155" s="832"/>
      <c r="BK155" s="832"/>
      <c r="BL155" s="832"/>
      <c r="BM155" s="833"/>
      <c r="BN155" s="913">
        <f>'стр. 2_8'!DR347</f>
        <v>0</v>
      </c>
      <c r="BO155" s="1080"/>
      <c r="BP155" s="1080"/>
      <c r="BQ155" s="1080"/>
      <c r="BR155" s="1080"/>
      <c r="BS155" s="1080"/>
      <c r="BT155" s="1080"/>
      <c r="BU155" s="1080"/>
      <c r="BV155" s="1080"/>
      <c r="BW155" s="1080"/>
      <c r="BX155" s="1080"/>
      <c r="BY155" s="1080"/>
      <c r="BZ155" s="1080"/>
      <c r="CA155" s="1080"/>
      <c r="CB155" s="1081"/>
      <c r="CC155" s="255">
        <v>4</v>
      </c>
      <c r="CD155" s="115"/>
      <c r="CE155" s="115">
        <f>585347.05</f>
        <v>585347.05000000005</v>
      </c>
      <c r="CF155" s="115">
        <v>146660</v>
      </c>
      <c r="CG155" s="115">
        <f t="shared" si="15"/>
        <v>732007.05</v>
      </c>
    </row>
    <row r="156" spans="1:99" s="255" customFormat="1" ht="19.95" hidden="1" customHeight="1">
      <c r="A156" s="926">
        <v>3</v>
      </c>
      <c r="B156" s="927"/>
      <c r="C156" s="927"/>
      <c r="D156" s="928"/>
      <c r="E156" s="1077" t="str">
        <f>'стр. 2_8'!A348</f>
        <v>Приобретение  рециркуляторов и термометров инфракрасных (КФО 4 МБ)</v>
      </c>
      <c r="F156" s="1078"/>
      <c r="G156" s="1078"/>
      <c r="H156" s="1078"/>
      <c r="I156" s="1078"/>
      <c r="J156" s="1078"/>
      <c r="K156" s="1078"/>
      <c r="L156" s="1078"/>
      <c r="M156" s="1078"/>
      <c r="N156" s="1078"/>
      <c r="O156" s="1078"/>
      <c r="P156" s="1078"/>
      <c r="Q156" s="1078"/>
      <c r="R156" s="1078"/>
      <c r="S156" s="1078"/>
      <c r="T156" s="1078"/>
      <c r="U156" s="1078"/>
      <c r="V156" s="1078"/>
      <c r="W156" s="1078"/>
      <c r="X156" s="1078"/>
      <c r="Y156" s="1078"/>
      <c r="Z156" s="1078"/>
      <c r="AA156" s="1078"/>
      <c r="AB156" s="1078"/>
      <c r="AC156" s="1078"/>
      <c r="AD156" s="1078"/>
      <c r="AE156" s="1078"/>
      <c r="AF156" s="1078"/>
      <c r="AG156" s="1078"/>
      <c r="AH156" s="1078"/>
      <c r="AI156" s="1078"/>
      <c r="AJ156" s="1078"/>
      <c r="AK156" s="1078"/>
      <c r="AL156" s="1078"/>
      <c r="AM156" s="1078"/>
      <c r="AN156" s="1078"/>
      <c r="AO156" s="1078"/>
      <c r="AP156" s="1078"/>
      <c r="AQ156" s="1078"/>
      <c r="AR156" s="1079"/>
      <c r="AS156" s="950">
        <v>6</v>
      </c>
      <c r="AT156" s="951"/>
      <c r="AU156" s="951"/>
      <c r="AV156" s="951"/>
      <c r="AW156" s="951"/>
      <c r="AX156" s="951"/>
      <c r="AY156" s="951"/>
      <c r="AZ156" s="951"/>
      <c r="BA156" s="951"/>
      <c r="BB156" s="952"/>
      <c r="BC156" s="831">
        <v>14246.33</v>
      </c>
      <c r="BD156" s="832"/>
      <c r="BE156" s="832"/>
      <c r="BF156" s="832"/>
      <c r="BG156" s="832"/>
      <c r="BH156" s="832"/>
      <c r="BI156" s="832"/>
      <c r="BJ156" s="832"/>
      <c r="BK156" s="832"/>
      <c r="BL156" s="832"/>
      <c r="BM156" s="833"/>
      <c r="BN156" s="913">
        <f>'стр. 2_8'!DR348</f>
        <v>0</v>
      </c>
      <c r="BO156" s="1080"/>
      <c r="BP156" s="1080"/>
      <c r="BQ156" s="1080"/>
      <c r="BR156" s="1080"/>
      <c r="BS156" s="1080"/>
      <c r="BT156" s="1080"/>
      <c r="BU156" s="1080"/>
      <c r="BV156" s="1080"/>
      <c r="BW156" s="1080"/>
      <c r="BX156" s="1080"/>
      <c r="BY156" s="1080"/>
      <c r="BZ156" s="1080"/>
      <c r="CA156" s="1080"/>
      <c r="CB156" s="1081"/>
      <c r="CC156" s="255">
        <v>4</v>
      </c>
      <c r="CD156" s="115"/>
      <c r="CE156" s="115">
        <v>31000</v>
      </c>
      <c r="CF156" s="115"/>
      <c r="CG156" s="115">
        <f t="shared" si="15"/>
        <v>31000</v>
      </c>
    </row>
    <row r="157" spans="1:99" s="255" customFormat="1" ht="19.95" customHeight="1">
      <c r="A157" s="926">
        <v>2</v>
      </c>
      <c r="B157" s="927"/>
      <c r="C157" s="927"/>
      <c r="D157" s="928"/>
      <c r="E157" s="1077" t="str">
        <f>'стр. 2_8'!A349</f>
        <v>Приобретение компьютерной техники и оргтехники (КФО 4 МБ)</v>
      </c>
      <c r="F157" s="1078"/>
      <c r="G157" s="1078"/>
      <c r="H157" s="1078"/>
      <c r="I157" s="1078"/>
      <c r="J157" s="1078"/>
      <c r="K157" s="1078"/>
      <c r="L157" s="1078"/>
      <c r="M157" s="1078"/>
      <c r="N157" s="1078"/>
      <c r="O157" s="1078"/>
      <c r="P157" s="1078"/>
      <c r="Q157" s="1078"/>
      <c r="R157" s="1078"/>
      <c r="S157" s="1078"/>
      <c r="T157" s="1078"/>
      <c r="U157" s="1078"/>
      <c r="V157" s="1078"/>
      <c r="W157" s="1078"/>
      <c r="X157" s="1078"/>
      <c r="Y157" s="1078"/>
      <c r="Z157" s="1078"/>
      <c r="AA157" s="1078"/>
      <c r="AB157" s="1078"/>
      <c r="AC157" s="1078"/>
      <c r="AD157" s="1078"/>
      <c r="AE157" s="1078"/>
      <c r="AF157" s="1078"/>
      <c r="AG157" s="1078"/>
      <c r="AH157" s="1078"/>
      <c r="AI157" s="1078"/>
      <c r="AJ157" s="1078"/>
      <c r="AK157" s="1078"/>
      <c r="AL157" s="1078"/>
      <c r="AM157" s="1078"/>
      <c r="AN157" s="1078"/>
      <c r="AO157" s="1078"/>
      <c r="AP157" s="1078"/>
      <c r="AQ157" s="1078"/>
      <c r="AR157" s="1079"/>
      <c r="AS157" s="932" t="s">
        <v>526</v>
      </c>
      <c r="AT157" s="933"/>
      <c r="AU157" s="933"/>
      <c r="AV157" s="933"/>
      <c r="AW157" s="933"/>
      <c r="AX157" s="933"/>
      <c r="AY157" s="933"/>
      <c r="AZ157" s="933"/>
      <c r="BA157" s="933"/>
      <c r="BB157" s="934"/>
      <c r="BC157" s="839" t="s">
        <v>526</v>
      </c>
      <c r="BD157" s="840"/>
      <c r="BE157" s="840"/>
      <c r="BF157" s="840"/>
      <c r="BG157" s="840"/>
      <c r="BH157" s="840"/>
      <c r="BI157" s="840"/>
      <c r="BJ157" s="840"/>
      <c r="BK157" s="840"/>
      <c r="BL157" s="840"/>
      <c r="BM157" s="841"/>
      <c r="BN157" s="913">
        <f>'стр. 2_8'!DR349</f>
        <v>48406</v>
      </c>
      <c r="BO157" s="1080"/>
      <c r="BP157" s="1080"/>
      <c r="BQ157" s="1080"/>
      <c r="BR157" s="1080"/>
      <c r="BS157" s="1080"/>
      <c r="BT157" s="1080"/>
      <c r="BU157" s="1080"/>
      <c r="BV157" s="1080"/>
      <c r="BW157" s="1080"/>
      <c r="BX157" s="1080"/>
      <c r="BY157" s="1080"/>
      <c r="BZ157" s="1080"/>
      <c r="CA157" s="1080"/>
      <c r="CB157" s="1081"/>
      <c r="CC157" s="255">
        <v>1</v>
      </c>
      <c r="CD157" s="115"/>
      <c r="CE157" s="115"/>
      <c r="CF157" s="115"/>
      <c r="CG157" s="115">
        <f t="shared" si="15"/>
        <v>0</v>
      </c>
    </row>
    <row r="158" spans="1:99" s="255" customFormat="1" ht="19.95" hidden="1" customHeight="1">
      <c r="A158" s="926">
        <v>5</v>
      </c>
      <c r="B158" s="927"/>
      <c r="C158" s="927"/>
      <c r="D158" s="928"/>
      <c r="E158" s="1077">
        <f>'стр. 2_8'!A350</f>
        <v>0</v>
      </c>
      <c r="F158" s="1078"/>
      <c r="G158" s="1078"/>
      <c r="H158" s="1078"/>
      <c r="I158" s="1078"/>
      <c r="J158" s="1078"/>
      <c r="K158" s="1078"/>
      <c r="L158" s="1078"/>
      <c r="M158" s="1078"/>
      <c r="N158" s="1078"/>
      <c r="O158" s="1078"/>
      <c r="P158" s="1078"/>
      <c r="Q158" s="1078"/>
      <c r="R158" s="1078"/>
      <c r="S158" s="1078"/>
      <c r="T158" s="1078"/>
      <c r="U158" s="1078"/>
      <c r="V158" s="1078"/>
      <c r="W158" s="1078"/>
      <c r="X158" s="1078"/>
      <c r="Y158" s="1078"/>
      <c r="Z158" s="1078"/>
      <c r="AA158" s="1078"/>
      <c r="AB158" s="1078"/>
      <c r="AC158" s="1078"/>
      <c r="AD158" s="1078"/>
      <c r="AE158" s="1078"/>
      <c r="AF158" s="1078"/>
      <c r="AG158" s="1078"/>
      <c r="AH158" s="1078"/>
      <c r="AI158" s="1078"/>
      <c r="AJ158" s="1078"/>
      <c r="AK158" s="1078"/>
      <c r="AL158" s="1078"/>
      <c r="AM158" s="1078"/>
      <c r="AN158" s="1078"/>
      <c r="AO158" s="1078"/>
      <c r="AP158" s="1078"/>
      <c r="AQ158" s="1078"/>
      <c r="AR158" s="1079"/>
      <c r="AS158" s="932"/>
      <c r="AT158" s="933"/>
      <c r="AU158" s="933"/>
      <c r="AV158" s="933"/>
      <c r="AW158" s="933"/>
      <c r="AX158" s="933"/>
      <c r="AY158" s="933"/>
      <c r="AZ158" s="933"/>
      <c r="BA158" s="933"/>
      <c r="BB158" s="934"/>
      <c r="BC158" s="839" t="s">
        <v>526</v>
      </c>
      <c r="BD158" s="840"/>
      <c r="BE158" s="840"/>
      <c r="BF158" s="840"/>
      <c r="BG158" s="840"/>
      <c r="BH158" s="840"/>
      <c r="BI158" s="840"/>
      <c r="BJ158" s="840"/>
      <c r="BK158" s="840"/>
      <c r="BL158" s="840"/>
      <c r="BM158" s="841"/>
      <c r="BN158" s="913">
        <f>'стр. 2_8'!DR350</f>
        <v>0</v>
      </c>
      <c r="BO158" s="1080"/>
      <c r="BP158" s="1080"/>
      <c r="BQ158" s="1080"/>
      <c r="BR158" s="1080"/>
      <c r="BS158" s="1080"/>
      <c r="BT158" s="1080"/>
      <c r="BU158" s="1080"/>
      <c r="BV158" s="1080"/>
      <c r="BW158" s="1080"/>
      <c r="BX158" s="1080"/>
      <c r="BY158" s="1080"/>
      <c r="BZ158" s="1080"/>
      <c r="CA158" s="1080"/>
      <c r="CB158" s="1081"/>
      <c r="CC158" s="255">
        <v>4</v>
      </c>
      <c r="CD158" s="115"/>
      <c r="CE158" s="115"/>
      <c r="CF158" s="115"/>
      <c r="CG158" s="115">
        <f t="shared" si="15"/>
        <v>0</v>
      </c>
    </row>
    <row r="159" spans="1:99" s="255" customFormat="1" ht="19.95" hidden="1" customHeight="1">
      <c r="A159" s="926">
        <v>1</v>
      </c>
      <c r="B159" s="927"/>
      <c r="C159" s="927"/>
      <c r="D159" s="928"/>
      <c r="E159" s="1077">
        <f>'стр. 2_8'!A351</f>
        <v>0</v>
      </c>
      <c r="F159" s="1078"/>
      <c r="G159" s="1078"/>
      <c r="H159" s="1078"/>
      <c r="I159" s="1078"/>
      <c r="J159" s="1078"/>
      <c r="K159" s="1078"/>
      <c r="L159" s="1078"/>
      <c r="M159" s="1078"/>
      <c r="N159" s="1078"/>
      <c r="O159" s="1078"/>
      <c r="P159" s="1078"/>
      <c r="Q159" s="1078"/>
      <c r="R159" s="1078"/>
      <c r="S159" s="1078"/>
      <c r="T159" s="1078"/>
      <c r="U159" s="1078"/>
      <c r="V159" s="1078"/>
      <c r="W159" s="1078"/>
      <c r="X159" s="1078"/>
      <c r="Y159" s="1078"/>
      <c r="Z159" s="1078"/>
      <c r="AA159" s="1078"/>
      <c r="AB159" s="1078"/>
      <c r="AC159" s="1078"/>
      <c r="AD159" s="1078"/>
      <c r="AE159" s="1078"/>
      <c r="AF159" s="1078"/>
      <c r="AG159" s="1078"/>
      <c r="AH159" s="1078"/>
      <c r="AI159" s="1078"/>
      <c r="AJ159" s="1078"/>
      <c r="AK159" s="1078"/>
      <c r="AL159" s="1078"/>
      <c r="AM159" s="1078"/>
      <c r="AN159" s="1078"/>
      <c r="AO159" s="1078"/>
      <c r="AP159" s="1078"/>
      <c r="AQ159" s="1078"/>
      <c r="AR159" s="1079"/>
      <c r="AS159" s="932" t="s">
        <v>526</v>
      </c>
      <c r="AT159" s="933"/>
      <c r="AU159" s="933"/>
      <c r="AV159" s="933"/>
      <c r="AW159" s="933"/>
      <c r="AX159" s="933"/>
      <c r="AY159" s="933"/>
      <c r="AZ159" s="933"/>
      <c r="BA159" s="933"/>
      <c r="BB159" s="934"/>
      <c r="BC159" s="839" t="s">
        <v>526</v>
      </c>
      <c r="BD159" s="840"/>
      <c r="BE159" s="840"/>
      <c r="BF159" s="840"/>
      <c r="BG159" s="840"/>
      <c r="BH159" s="840"/>
      <c r="BI159" s="840"/>
      <c r="BJ159" s="840"/>
      <c r="BK159" s="840"/>
      <c r="BL159" s="840"/>
      <c r="BM159" s="841"/>
      <c r="BN159" s="913">
        <f>'стр. 2_8'!DR351</f>
        <v>0</v>
      </c>
      <c r="BO159" s="1080"/>
      <c r="BP159" s="1080"/>
      <c r="BQ159" s="1080"/>
      <c r="BR159" s="1080"/>
      <c r="BS159" s="1080"/>
      <c r="BT159" s="1080"/>
      <c r="BU159" s="1080"/>
      <c r="BV159" s="1080"/>
      <c r="BW159" s="1080"/>
      <c r="BX159" s="1080"/>
      <c r="BY159" s="1080"/>
      <c r="BZ159" s="1080"/>
      <c r="CA159" s="1080"/>
      <c r="CB159" s="1081"/>
      <c r="CC159" s="255">
        <v>4</v>
      </c>
      <c r="CD159" s="115"/>
      <c r="CE159" s="115"/>
      <c r="CF159" s="115">
        <v>30000</v>
      </c>
      <c r="CG159" s="115">
        <f t="shared" si="15"/>
        <v>30000</v>
      </c>
    </row>
    <row r="160" spans="1:99" ht="19.95" customHeight="1">
      <c r="A160" s="926">
        <v>3</v>
      </c>
      <c r="B160" s="927"/>
      <c r="C160" s="927"/>
      <c r="D160" s="928"/>
      <c r="E160" s="1082" t="str">
        <f>'стр. 2_8'!A352</f>
        <v>Увеличение стоимости основных средств в т.ч.: (КФО 5 всего)</v>
      </c>
      <c r="F160" s="1083"/>
      <c r="G160" s="1083"/>
      <c r="H160" s="1083"/>
      <c r="I160" s="1083"/>
      <c r="J160" s="1083"/>
      <c r="K160" s="1083"/>
      <c r="L160" s="1083"/>
      <c r="M160" s="1083"/>
      <c r="N160" s="1083"/>
      <c r="O160" s="1083"/>
      <c r="P160" s="1083"/>
      <c r="Q160" s="1083"/>
      <c r="R160" s="1083"/>
      <c r="S160" s="1083"/>
      <c r="T160" s="1083"/>
      <c r="U160" s="1083"/>
      <c r="V160" s="1083"/>
      <c r="W160" s="1083"/>
      <c r="X160" s="1083"/>
      <c r="Y160" s="1083"/>
      <c r="Z160" s="1083"/>
      <c r="AA160" s="1083"/>
      <c r="AB160" s="1083"/>
      <c r="AC160" s="1083"/>
      <c r="AD160" s="1083"/>
      <c r="AE160" s="1083"/>
      <c r="AF160" s="1083"/>
      <c r="AG160" s="1083"/>
      <c r="AH160" s="1083"/>
      <c r="AI160" s="1083"/>
      <c r="AJ160" s="1083"/>
      <c r="AK160" s="1083"/>
      <c r="AL160" s="1083"/>
      <c r="AM160" s="1083"/>
      <c r="AN160" s="1083"/>
      <c r="AO160" s="1083"/>
      <c r="AP160" s="1083"/>
      <c r="AQ160" s="1083"/>
      <c r="AR160" s="1084"/>
      <c r="AS160" s="977" t="s">
        <v>21</v>
      </c>
      <c r="AT160" s="978"/>
      <c r="AU160" s="978"/>
      <c r="AV160" s="978"/>
      <c r="AW160" s="978"/>
      <c r="AX160" s="978"/>
      <c r="AY160" s="978"/>
      <c r="AZ160" s="978"/>
      <c r="BA160" s="978"/>
      <c r="BB160" s="979"/>
      <c r="BC160" s="977" t="s">
        <v>21</v>
      </c>
      <c r="BD160" s="978"/>
      <c r="BE160" s="978"/>
      <c r="BF160" s="978"/>
      <c r="BG160" s="978"/>
      <c r="BH160" s="978"/>
      <c r="BI160" s="978"/>
      <c r="BJ160" s="978"/>
      <c r="BK160" s="978"/>
      <c r="BL160" s="978"/>
      <c r="BM160" s="979"/>
      <c r="BN160" s="1044">
        <f>'стр. 2_8'!DR352</f>
        <v>23300</v>
      </c>
      <c r="BO160" s="1085"/>
      <c r="BP160" s="1085"/>
      <c r="BQ160" s="1085"/>
      <c r="BR160" s="1085"/>
      <c r="BS160" s="1085"/>
      <c r="BT160" s="1085"/>
      <c r="BU160" s="1085"/>
      <c r="BV160" s="1085"/>
      <c r="BW160" s="1085"/>
      <c r="BX160" s="1085"/>
      <c r="BY160" s="1085"/>
      <c r="BZ160" s="1085"/>
      <c r="CA160" s="1085"/>
      <c r="CB160" s="1086"/>
      <c r="CC160" s="114">
        <v>4</v>
      </c>
      <c r="CD160" s="115"/>
      <c r="CE160" s="115">
        <f>585347.05</f>
        <v>585347.05000000005</v>
      </c>
      <c r="CF160" s="115">
        <v>146660</v>
      </c>
      <c r="CG160" s="116">
        <f t="shared" si="15"/>
        <v>732007.05</v>
      </c>
    </row>
    <row r="161" spans="1:85" ht="19.95" customHeight="1">
      <c r="A161" s="926">
        <v>4</v>
      </c>
      <c r="B161" s="927"/>
      <c r="C161" s="927"/>
      <c r="D161" s="928"/>
      <c r="E161" s="1082" t="str">
        <f>'стр. 2_8'!A353</f>
        <v>Увеличение стоимости основных средств в т.ч.: (КФО 5 ФБ,ОБ)</v>
      </c>
      <c r="F161" s="1083"/>
      <c r="G161" s="1083"/>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3"/>
      <c r="AC161" s="1083"/>
      <c r="AD161" s="1083"/>
      <c r="AE161" s="1083"/>
      <c r="AF161" s="1083"/>
      <c r="AG161" s="1083"/>
      <c r="AH161" s="1083"/>
      <c r="AI161" s="1083"/>
      <c r="AJ161" s="1083"/>
      <c r="AK161" s="1083"/>
      <c r="AL161" s="1083"/>
      <c r="AM161" s="1083"/>
      <c r="AN161" s="1083"/>
      <c r="AO161" s="1083"/>
      <c r="AP161" s="1083"/>
      <c r="AQ161" s="1083"/>
      <c r="AR161" s="1084"/>
      <c r="AS161" s="977" t="s">
        <v>21</v>
      </c>
      <c r="AT161" s="978"/>
      <c r="AU161" s="978"/>
      <c r="AV161" s="978"/>
      <c r="AW161" s="978"/>
      <c r="AX161" s="978"/>
      <c r="AY161" s="978"/>
      <c r="AZ161" s="978"/>
      <c r="BA161" s="978"/>
      <c r="BB161" s="979"/>
      <c r="BC161" s="977" t="s">
        <v>21</v>
      </c>
      <c r="BD161" s="978"/>
      <c r="BE161" s="978"/>
      <c r="BF161" s="978"/>
      <c r="BG161" s="978"/>
      <c r="BH161" s="978"/>
      <c r="BI161" s="978"/>
      <c r="BJ161" s="978"/>
      <c r="BK161" s="978"/>
      <c r="BL161" s="978"/>
      <c r="BM161" s="979"/>
      <c r="BN161" s="1044">
        <f>'стр. 2_8'!DR353</f>
        <v>0</v>
      </c>
      <c r="BO161" s="1085"/>
      <c r="BP161" s="1085"/>
      <c r="BQ161" s="1085"/>
      <c r="BR161" s="1085"/>
      <c r="BS161" s="1085"/>
      <c r="BT161" s="1085"/>
      <c r="BU161" s="1085"/>
      <c r="BV161" s="1085"/>
      <c r="BW161" s="1085"/>
      <c r="BX161" s="1085"/>
      <c r="BY161" s="1085"/>
      <c r="BZ161" s="1085"/>
      <c r="CA161" s="1085"/>
      <c r="CB161" s="1086"/>
      <c r="CC161" s="114">
        <v>4</v>
      </c>
      <c r="CD161" s="115"/>
      <c r="CE161" s="115">
        <v>31000</v>
      </c>
      <c r="CF161" s="115"/>
      <c r="CG161" s="116">
        <f t="shared" si="15"/>
        <v>31000</v>
      </c>
    </row>
    <row r="162" spans="1:85" s="255" customFormat="1" ht="19.95" hidden="1" customHeight="1">
      <c r="A162" s="926">
        <v>6</v>
      </c>
      <c r="B162" s="927"/>
      <c r="C162" s="927"/>
      <c r="D162" s="928"/>
      <c r="E162" s="1077" t="str">
        <f>'стр. 2_8'!A354</f>
        <v>Приобретение светового оборудования  за счет средств федерального бюджета (МЦП 4) (КФО 5 ФБ)</v>
      </c>
      <c r="F162" s="1078"/>
      <c r="G162" s="1078"/>
      <c r="H162" s="1078"/>
      <c r="I162" s="1078"/>
      <c r="J162" s="1078"/>
      <c r="K162" s="1078"/>
      <c r="L162" s="1078"/>
      <c r="M162" s="1078"/>
      <c r="N162" s="1078"/>
      <c r="O162" s="1078"/>
      <c r="P162" s="1078"/>
      <c r="Q162" s="1078"/>
      <c r="R162" s="1078"/>
      <c r="S162" s="1078"/>
      <c r="T162" s="1078"/>
      <c r="U162" s="1078"/>
      <c r="V162" s="1078"/>
      <c r="W162" s="1078"/>
      <c r="X162" s="1078"/>
      <c r="Y162" s="1078"/>
      <c r="Z162" s="1078"/>
      <c r="AA162" s="1078"/>
      <c r="AB162" s="1078"/>
      <c r="AC162" s="1078"/>
      <c r="AD162" s="1078"/>
      <c r="AE162" s="1078"/>
      <c r="AF162" s="1078"/>
      <c r="AG162" s="1078"/>
      <c r="AH162" s="1078"/>
      <c r="AI162" s="1078"/>
      <c r="AJ162" s="1078"/>
      <c r="AK162" s="1078"/>
      <c r="AL162" s="1078"/>
      <c r="AM162" s="1078"/>
      <c r="AN162" s="1078"/>
      <c r="AO162" s="1078"/>
      <c r="AP162" s="1078"/>
      <c r="AQ162" s="1078"/>
      <c r="AR162" s="1079"/>
      <c r="AS162" s="926" t="s">
        <v>526</v>
      </c>
      <c r="AT162" s="927"/>
      <c r="AU162" s="927"/>
      <c r="AV162" s="927"/>
      <c r="AW162" s="927"/>
      <c r="AX162" s="927"/>
      <c r="AY162" s="927"/>
      <c r="AZ162" s="927"/>
      <c r="BA162" s="927"/>
      <c r="BB162" s="928"/>
      <c r="BC162" s="971" t="s">
        <v>526</v>
      </c>
      <c r="BD162" s="972"/>
      <c r="BE162" s="972"/>
      <c r="BF162" s="972"/>
      <c r="BG162" s="972"/>
      <c r="BH162" s="972"/>
      <c r="BI162" s="972"/>
      <c r="BJ162" s="972"/>
      <c r="BK162" s="972"/>
      <c r="BL162" s="972"/>
      <c r="BM162" s="973"/>
      <c r="BN162" s="913">
        <f>'стр. 2_8'!DR354</f>
        <v>0</v>
      </c>
      <c r="BO162" s="1080"/>
      <c r="BP162" s="1080"/>
      <c r="BQ162" s="1080"/>
      <c r="BR162" s="1080"/>
      <c r="BS162" s="1080"/>
      <c r="BT162" s="1080"/>
      <c r="BU162" s="1080"/>
      <c r="BV162" s="1080"/>
      <c r="BW162" s="1080"/>
      <c r="BX162" s="1080"/>
      <c r="BY162" s="1080"/>
      <c r="BZ162" s="1080"/>
      <c r="CA162" s="1080"/>
      <c r="CB162" s="1081"/>
      <c r="CC162" s="255">
        <v>1</v>
      </c>
      <c r="CD162" s="115"/>
      <c r="CE162" s="115"/>
      <c r="CF162" s="115"/>
      <c r="CG162" s="115">
        <f t="shared" si="15"/>
        <v>0</v>
      </c>
    </row>
    <row r="163" spans="1:85" s="255" customFormat="1" ht="19.95" hidden="1" customHeight="1">
      <c r="A163" s="926">
        <v>7</v>
      </c>
      <c r="B163" s="927"/>
      <c r="C163" s="927"/>
      <c r="D163" s="928"/>
      <c r="E163" s="1077" t="str">
        <f>'стр. 2_8'!A355</f>
        <v>Приобретение светового оборудования  за счет средств областного бюджета (МЦП 4) (КФО 5 ОБ)</v>
      </c>
      <c r="F163" s="1078"/>
      <c r="G163" s="1078"/>
      <c r="H163" s="1078"/>
      <c r="I163" s="1078"/>
      <c r="J163" s="1078"/>
      <c r="K163" s="1078"/>
      <c r="L163" s="1078"/>
      <c r="M163" s="1078"/>
      <c r="N163" s="1078"/>
      <c r="O163" s="1078"/>
      <c r="P163" s="1078"/>
      <c r="Q163" s="1078"/>
      <c r="R163" s="1078"/>
      <c r="S163" s="1078"/>
      <c r="T163" s="1078"/>
      <c r="U163" s="1078"/>
      <c r="V163" s="1078"/>
      <c r="W163" s="1078"/>
      <c r="X163" s="1078"/>
      <c r="Y163" s="1078"/>
      <c r="Z163" s="1078"/>
      <c r="AA163" s="1078"/>
      <c r="AB163" s="1078"/>
      <c r="AC163" s="1078"/>
      <c r="AD163" s="1078"/>
      <c r="AE163" s="1078"/>
      <c r="AF163" s="1078"/>
      <c r="AG163" s="1078"/>
      <c r="AH163" s="1078"/>
      <c r="AI163" s="1078"/>
      <c r="AJ163" s="1078"/>
      <c r="AK163" s="1078"/>
      <c r="AL163" s="1078"/>
      <c r="AM163" s="1078"/>
      <c r="AN163" s="1078"/>
      <c r="AO163" s="1078"/>
      <c r="AP163" s="1078"/>
      <c r="AQ163" s="1078"/>
      <c r="AR163" s="1079"/>
      <c r="AS163" s="926" t="s">
        <v>526</v>
      </c>
      <c r="AT163" s="927"/>
      <c r="AU163" s="927"/>
      <c r="AV163" s="927"/>
      <c r="AW163" s="927"/>
      <c r="AX163" s="927"/>
      <c r="AY163" s="927"/>
      <c r="AZ163" s="927"/>
      <c r="BA163" s="927"/>
      <c r="BB163" s="928"/>
      <c r="BC163" s="971" t="s">
        <v>526</v>
      </c>
      <c r="BD163" s="972"/>
      <c r="BE163" s="972"/>
      <c r="BF163" s="972"/>
      <c r="BG163" s="972"/>
      <c r="BH163" s="972"/>
      <c r="BI163" s="972"/>
      <c r="BJ163" s="972"/>
      <c r="BK163" s="972"/>
      <c r="BL163" s="972"/>
      <c r="BM163" s="973"/>
      <c r="BN163" s="913">
        <f>'стр. 2_8'!DR355</f>
        <v>0</v>
      </c>
      <c r="BO163" s="1080"/>
      <c r="BP163" s="1080"/>
      <c r="BQ163" s="1080"/>
      <c r="BR163" s="1080"/>
      <c r="BS163" s="1080"/>
      <c r="BT163" s="1080"/>
      <c r="BU163" s="1080"/>
      <c r="BV163" s="1080"/>
      <c r="BW163" s="1080"/>
      <c r="BX163" s="1080"/>
      <c r="BY163" s="1080"/>
      <c r="BZ163" s="1080"/>
      <c r="CA163" s="1080"/>
      <c r="CB163" s="1081"/>
      <c r="CC163" s="255">
        <v>4</v>
      </c>
      <c r="CD163" s="115"/>
      <c r="CE163" s="115"/>
      <c r="CF163" s="115"/>
      <c r="CG163" s="115">
        <f t="shared" si="15"/>
        <v>0</v>
      </c>
    </row>
    <row r="164" spans="1:85" s="255" customFormat="1" ht="19.95" hidden="1" customHeight="1">
      <c r="A164" s="926">
        <v>1</v>
      </c>
      <c r="B164" s="927"/>
      <c r="C164" s="927"/>
      <c r="D164" s="928"/>
      <c r="E164" s="1077">
        <f>'стр. 2_8'!A356</f>
        <v>0</v>
      </c>
      <c r="F164" s="1078"/>
      <c r="G164" s="1078"/>
      <c r="H164" s="1078"/>
      <c r="I164" s="1078"/>
      <c r="J164" s="1078"/>
      <c r="K164" s="1078"/>
      <c r="L164" s="1078"/>
      <c r="M164" s="1078"/>
      <c r="N164" s="1078"/>
      <c r="O164" s="1078"/>
      <c r="P164" s="1078"/>
      <c r="Q164" s="1078"/>
      <c r="R164" s="1078"/>
      <c r="S164" s="1078"/>
      <c r="T164" s="1078"/>
      <c r="U164" s="1078"/>
      <c r="V164" s="1078"/>
      <c r="W164" s="1078"/>
      <c r="X164" s="1078"/>
      <c r="Y164" s="1078"/>
      <c r="Z164" s="1078"/>
      <c r="AA164" s="1078"/>
      <c r="AB164" s="1078"/>
      <c r="AC164" s="1078"/>
      <c r="AD164" s="1078"/>
      <c r="AE164" s="1078"/>
      <c r="AF164" s="1078"/>
      <c r="AG164" s="1078"/>
      <c r="AH164" s="1078"/>
      <c r="AI164" s="1078"/>
      <c r="AJ164" s="1078"/>
      <c r="AK164" s="1078"/>
      <c r="AL164" s="1078"/>
      <c r="AM164" s="1078"/>
      <c r="AN164" s="1078"/>
      <c r="AO164" s="1078"/>
      <c r="AP164" s="1078"/>
      <c r="AQ164" s="1078"/>
      <c r="AR164" s="1079"/>
      <c r="AS164" s="932" t="s">
        <v>526</v>
      </c>
      <c r="AT164" s="933"/>
      <c r="AU164" s="933"/>
      <c r="AV164" s="933"/>
      <c r="AW164" s="933"/>
      <c r="AX164" s="933"/>
      <c r="AY164" s="933"/>
      <c r="AZ164" s="933"/>
      <c r="BA164" s="933"/>
      <c r="BB164" s="934"/>
      <c r="BC164" s="839" t="s">
        <v>526</v>
      </c>
      <c r="BD164" s="840"/>
      <c r="BE164" s="840"/>
      <c r="BF164" s="840"/>
      <c r="BG164" s="840"/>
      <c r="BH164" s="840"/>
      <c r="BI164" s="840"/>
      <c r="BJ164" s="840"/>
      <c r="BK164" s="840"/>
      <c r="BL164" s="840"/>
      <c r="BM164" s="841"/>
      <c r="BN164" s="913">
        <f>'стр. 2_8'!DR356</f>
        <v>0</v>
      </c>
      <c r="BO164" s="1080"/>
      <c r="BP164" s="1080"/>
      <c r="BQ164" s="1080"/>
      <c r="BR164" s="1080"/>
      <c r="BS164" s="1080"/>
      <c r="BT164" s="1080"/>
      <c r="BU164" s="1080"/>
      <c r="BV164" s="1080"/>
      <c r="BW164" s="1080"/>
      <c r="BX164" s="1080"/>
      <c r="BY164" s="1080"/>
      <c r="BZ164" s="1080"/>
      <c r="CA164" s="1080"/>
      <c r="CB164" s="1081"/>
      <c r="CC164" s="255">
        <v>4</v>
      </c>
      <c r="CD164" s="115"/>
      <c r="CE164" s="115"/>
      <c r="CF164" s="115">
        <v>30000</v>
      </c>
      <c r="CG164" s="115">
        <f t="shared" ref="CG164:CG181" si="16">CD164+CE164+CF164</f>
        <v>30000</v>
      </c>
    </row>
    <row r="165" spans="1:85" s="255" customFormat="1" ht="19.95" hidden="1" customHeight="1">
      <c r="A165" s="926">
        <v>2</v>
      </c>
      <c r="B165" s="927"/>
      <c r="C165" s="927"/>
      <c r="D165" s="928"/>
      <c r="E165" s="1077">
        <f>'стр. 2_8'!A357</f>
        <v>0</v>
      </c>
      <c r="F165" s="1078"/>
      <c r="G165" s="1078"/>
      <c r="H165" s="1078"/>
      <c r="I165" s="1078"/>
      <c r="J165" s="1078"/>
      <c r="K165" s="1078"/>
      <c r="L165" s="1078"/>
      <c r="M165" s="1078"/>
      <c r="N165" s="1078"/>
      <c r="O165" s="1078"/>
      <c r="P165" s="1078"/>
      <c r="Q165" s="1078"/>
      <c r="R165" s="1078"/>
      <c r="S165" s="1078"/>
      <c r="T165" s="1078"/>
      <c r="U165" s="1078"/>
      <c r="V165" s="1078"/>
      <c r="W165" s="1078"/>
      <c r="X165" s="1078"/>
      <c r="Y165" s="1078"/>
      <c r="Z165" s="1078"/>
      <c r="AA165" s="1078"/>
      <c r="AB165" s="1078"/>
      <c r="AC165" s="1078"/>
      <c r="AD165" s="1078"/>
      <c r="AE165" s="1078"/>
      <c r="AF165" s="1078"/>
      <c r="AG165" s="1078"/>
      <c r="AH165" s="1078"/>
      <c r="AI165" s="1078"/>
      <c r="AJ165" s="1078"/>
      <c r="AK165" s="1078"/>
      <c r="AL165" s="1078"/>
      <c r="AM165" s="1078"/>
      <c r="AN165" s="1078"/>
      <c r="AO165" s="1078"/>
      <c r="AP165" s="1078"/>
      <c r="AQ165" s="1078"/>
      <c r="AR165" s="1079"/>
      <c r="AS165" s="932" t="s">
        <v>526</v>
      </c>
      <c r="AT165" s="933"/>
      <c r="AU165" s="933"/>
      <c r="AV165" s="933"/>
      <c r="AW165" s="933"/>
      <c r="AX165" s="933"/>
      <c r="AY165" s="933"/>
      <c r="AZ165" s="933"/>
      <c r="BA165" s="933"/>
      <c r="BB165" s="934"/>
      <c r="BC165" s="839" t="s">
        <v>526</v>
      </c>
      <c r="BD165" s="840"/>
      <c r="BE165" s="840"/>
      <c r="BF165" s="840"/>
      <c r="BG165" s="840"/>
      <c r="BH165" s="840"/>
      <c r="BI165" s="840"/>
      <c r="BJ165" s="840"/>
      <c r="BK165" s="840"/>
      <c r="BL165" s="840"/>
      <c r="BM165" s="841"/>
      <c r="BN165" s="913">
        <f>'стр. 2_8'!DR357</f>
        <v>0</v>
      </c>
      <c r="BO165" s="1080"/>
      <c r="BP165" s="1080"/>
      <c r="BQ165" s="1080"/>
      <c r="BR165" s="1080"/>
      <c r="BS165" s="1080"/>
      <c r="BT165" s="1080"/>
      <c r="BU165" s="1080"/>
      <c r="BV165" s="1080"/>
      <c r="BW165" s="1080"/>
      <c r="BX165" s="1080"/>
      <c r="BY165" s="1080"/>
      <c r="BZ165" s="1080"/>
      <c r="CA165" s="1080"/>
      <c r="CB165" s="1081"/>
      <c r="CC165" s="255">
        <v>4</v>
      </c>
      <c r="CD165" s="115"/>
      <c r="CE165" s="115">
        <f>585347.05</f>
        <v>585347.05000000005</v>
      </c>
      <c r="CF165" s="115">
        <v>146660</v>
      </c>
      <c r="CG165" s="115">
        <f t="shared" si="16"/>
        <v>732007.05</v>
      </c>
    </row>
    <row r="166" spans="1:85" s="255" customFormat="1" ht="19.95" hidden="1" customHeight="1">
      <c r="A166" s="926">
        <v>3</v>
      </c>
      <c r="B166" s="927"/>
      <c r="C166" s="927"/>
      <c r="D166" s="928"/>
      <c r="E166" s="1077">
        <f>'стр. 2_8'!A358</f>
        <v>0</v>
      </c>
      <c r="F166" s="1078"/>
      <c r="G166" s="1078"/>
      <c r="H166" s="1078"/>
      <c r="I166" s="1078"/>
      <c r="J166" s="1078"/>
      <c r="K166" s="1078"/>
      <c r="L166" s="1078"/>
      <c r="M166" s="1078"/>
      <c r="N166" s="1078"/>
      <c r="O166" s="1078"/>
      <c r="P166" s="1078"/>
      <c r="Q166" s="1078"/>
      <c r="R166" s="1078"/>
      <c r="S166" s="1078"/>
      <c r="T166" s="1078"/>
      <c r="U166" s="1078"/>
      <c r="V166" s="1078"/>
      <c r="W166" s="1078"/>
      <c r="X166" s="1078"/>
      <c r="Y166" s="1078"/>
      <c r="Z166" s="1078"/>
      <c r="AA166" s="1078"/>
      <c r="AB166" s="1078"/>
      <c r="AC166" s="1078"/>
      <c r="AD166" s="1078"/>
      <c r="AE166" s="1078"/>
      <c r="AF166" s="1078"/>
      <c r="AG166" s="1078"/>
      <c r="AH166" s="1078"/>
      <c r="AI166" s="1078"/>
      <c r="AJ166" s="1078"/>
      <c r="AK166" s="1078"/>
      <c r="AL166" s="1078"/>
      <c r="AM166" s="1078"/>
      <c r="AN166" s="1078"/>
      <c r="AO166" s="1078"/>
      <c r="AP166" s="1078"/>
      <c r="AQ166" s="1078"/>
      <c r="AR166" s="1079"/>
      <c r="AS166" s="932" t="s">
        <v>526</v>
      </c>
      <c r="AT166" s="933"/>
      <c r="AU166" s="933"/>
      <c r="AV166" s="933"/>
      <c r="AW166" s="933"/>
      <c r="AX166" s="933"/>
      <c r="AY166" s="933"/>
      <c r="AZ166" s="933"/>
      <c r="BA166" s="933"/>
      <c r="BB166" s="934"/>
      <c r="BC166" s="839" t="s">
        <v>526</v>
      </c>
      <c r="BD166" s="840"/>
      <c r="BE166" s="840"/>
      <c r="BF166" s="840"/>
      <c r="BG166" s="840"/>
      <c r="BH166" s="840"/>
      <c r="BI166" s="840"/>
      <c r="BJ166" s="840"/>
      <c r="BK166" s="840"/>
      <c r="BL166" s="840"/>
      <c r="BM166" s="841"/>
      <c r="BN166" s="913">
        <f>'стр. 2_8'!DR358</f>
        <v>0</v>
      </c>
      <c r="BO166" s="1080"/>
      <c r="BP166" s="1080"/>
      <c r="BQ166" s="1080"/>
      <c r="BR166" s="1080"/>
      <c r="BS166" s="1080"/>
      <c r="BT166" s="1080"/>
      <c r="BU166" s="1080"/>
      <c r="BV166" s="1080"/>
      <c r="BW166" s="1080"/>
      <c r="BX166" s="1080"/>
      <c r="BY166" s="1080"/>
      <c r="BZ166" s="1080"/>
      <c r="CA166" s="1080"/>
      <c r="CB166" s="1081"/>
      <c r="CC166" s="255">
        <v>4</v>
      </c>
      <c r="CD166" s="115"/>
      <c r="CE166" s="115">
        <v>31000</v>
      </c>
      <c r="CF166" s="115"/>
      <c r="CG166" s="115">
        <f t="shared" si="16"/>
        <v>31000</v>
      </c>
    </row>
    <row r="167" spans="1:85" s="255" customFormat="1" ht="19.95" hidden="1" customHeight="1">
      <c r="A167" s="926">
        <v>4</v>
      </c>
      <c r="B167" s="927"/>
      <c r="C167" s="927"/>
      <c r="D167" s="928"/>
      <c r="E167" s="1077">
        <f>'стр. 2_8'!A359</f>
        <v>0</v>
      </c>
      <c r="F167" s="1078"/>
      <c r="G167" s="1078"/>
      <c r="H167" s="1078"/>
      <c r="I167" s="1078"/>
      <c r="J167" s="1078"/>
      <c r="K167" s="1078"/>
      <c r="L167" s="1078"/>
      <c r="M167" s="1078"/>
      <c r="N167" s="1078"/>
      <c r="O167" s="1078"/>
      <c r="P167" s="1078"/>
      <c r="Q167" s="1078"/>
      <c r="R167" s="1078"/>
      <c r="S167" s="1078"/>
      <c r="T167" s="1078"/>
      <c r="U167" s="1078"/>
      <c r="V167" s="1078"/>
      <c r="W167" s="1078"/>
      <c r="X167" s="1078"/>
      <c r="Y167" s="1078"/>
      <c r="Z167" s="1078"/>
      <c r="AA167" s="1078"/>
      <c r="AB167" s="1078"/>
      <c r="AC167" s="1078"/>
      <c r="AD167" s="1078"/>
      <c r="AE167" s="1078"/>
      <c r="AF167" s="1078"/>
      <c r="AG167" s="1078"/>
      <c r="AH167" s="1078"/>
      <c r="AI167" s="1078"/>
      <c r="AJ167" s="1078"/>
      <c r="AK167" s="1078"/>
      <c r="AL167" s="1078"/>
      <c r="AM167" s="1078"/>
      <c r="AN167" s="1078"/>
      <c r="AO167" s="1078"/>
      <c r="AP167" s="1078"/>
      <c r="AQ167" s="1078"/>
      <c r="AR167" s="1079"/>
      <c r="AS167" s="932" t="s">
        <v>526</v>
      </c>
      <c r="AT167" s="933"/>
      <c r="AU167" s="933"/>
      <c r="AV167" s="933"/>
      <c r="AW167" s="933"/>
      <c r="AX167" s="933"/>
      <c r="AY167" s="933"/>
      <c r="AZ167" s="933"/>
      <c r="BA167" s="933"/>
      <c r="BB167" s="934"/>
      <c r="BC167" s="839" t="s">
        <v>526</v>
      </c>
      <c r="BD167" s="840"/>
      <c r="BE167" s="840"/>
      <c r="BF167" s="840"/>
      <c r="BG167" s="840"/>
      <c r="BH167" s="840"/>
      <c r="BI167" s="840"/>
      <c r="BJ167" s="840"/>
      <c r="BK167" s="840"/>
      <c r="BL167" s="840"/>
      <c r="BM167" s="841"/>
      <c r="BN167" s="913">
        <f>'стр. 2_8'!DR359</f>
        <v>0</v>
      </c>
      <c r="BO167" s="1080"/>
      <c r="BP167" s="1080"/>
      <c r="BQ167" s="1080"/>
      <c r="BR167" s="1080"/>
      <c r="BS167" s="1080"/>
      <c r="BT167" s="1080"/>
      <c r="BU167" s="1080"/>
      <c r="BV167" s="1080"/>
      <c r="BW167" s="1080"/>
      <c r="BX167" s="1080"/>
      <c r="BY167" s="1080"/>
      <c r="BZ167" s="1080"/>
      <c r="CA167" s="1080"/>
      <c r="CB167" s="1081"/>
      <c r="CC167" s="255">
        <v>1</v>
      </c>
      <c r="CD167" s="115"/>
      <c r="CE167" s="115"/>
      <c r="CF167" s="115"/>
      <c r="CG167" s="115">
        <f t="shared" si="16"/>
        <v>0</v>
      </c>
    </row>
    <row r="168" spans="1:85" s="255" customFormat="1" ht="19.95" hidden="1" customHeight="1">
      <c r="A168" s="926">
        <v>5</v>
      </c>
      <c r="B168" s="927"/>
      <c r="C168" s="927"/>
      <c r="D168" s="928"/>
      <c r="E168" s="1077">
        <f>'стр. 2_8'!A360</f>
        <v>0</v>
      </c>
      <c r="F168" s="1078"/>
      <c r="G168" s="1078"/>
      <c r="H168" s="1078"/>
      <c r="I168" s="1078"/>
      <c r="J168" s="1078"/>
      <c r="K168" s="1078"/>
      <c r="L168" s="1078"/>
      <c r="M168" s="1078"/>
      <c r="N168" s="1078"/>
      <c r="O168" s="1078"/>
      <c r="P168" s="1078"/>
      <c r="Q168" s="1078"/>
      <c r="R168" s="1078"/>
      <c r="S168" s="1078"/>
      <c r="T168" s="1078"/>
      <c r="U168" s="1078"/>
      <c r="V168" s="1078"/>
      <c r="W168" s="1078"/>
      <c r="X168" s="1078"/>
      <c r="Y168" s="1078"/>
      <c r="Z168" s="1078"/>
      <c r="AA168" s="1078"/>
      <c r="AB168" s="1078"/>
      <c r="AC168" s="1078"/>
      <c r="AD168" s="1078"/>
      <c r="AE168" s="1078"/>
      <c r="AF168" s="1078"/>
      <c r="AG168" s="1078"/>
      <c r="AH168" s="1078"/>
      <c r="AI168" s="1078"/>
      <c r="AJ168" s="1078"/>
      <c r="AK168" s="1078"/>
      <c r="AL168" s="1078"/>
      <c r="AM168" s="1078"/>
      <c r="AN168" s="1078"/>
      <c r="AO168" s="1078"/>
      <c r="AP168" s="1078"/>
      <c r="AQ168" s="1078"/>
      <c r="AR168" s="1079"/>
      <c r="AS168" s="932"/>
      <c r="AT168" s="933"/>
      <c r="AU168" s="933"/>
      <c r="AV168" s="933"/>
      <c r="AW168" s="933"/>
      <c r="AX168" s="933"/>
      <c r="AY168" s="933"/>
      <c r="AZ168" s="933"/>
      <c r="BA168" s="933"/>
      <c r="BB168" s="934"/>
      <c r="BC168" s="839" t="s">
        <v>526</v>
      </c>
      <c r="BD168" s="840"/>
      <c r="BE168" s="840"/>
      <c r="BF168" s="840"/>
      <c r="BG168" s="840"/>
      <c r="BH168" s="840"/>
      <c r="BI168" s="840"/>
      <c r="BJ168" s="840"/>
      <c r="BK168" s="840"/>
      <c r="BL168" s="840"/>
      <c r="BM168" s="841"/>
      <c r="BN168" s="913">
        <f>'стр. 2_8'!DR360</f>
        <v>0</v>
      </c>
      <c r="BO168" s="1080"/>
      <c r="BP168" s="1080"/>
      <c r="BQ168" s="1080"/>
      <c r="BR168" s="1080"/>
      <c r="BS168" s="1080"/>
      <c r="BT168" s="1080"/>
      <c r="BU168" s="1080"/>
      <c r="BV168" s="1080"/>
      <c r="BW168" s="1080"/>
      <c r="BX168" s="1080"/>
      <c r="BY168" s="1080"/>
      <c r="BZ168" s="1080"/>
      <c r="CA168" s="1080"/>
      <c r="CB168" s="1081"/>
      <c r="CC168" s="255">
        <v>4</v>
      </c>
      <c r="CD168" s="115"/>
      <c r="CE168" s="115"/>
      <c r="CF168" s="115"/>
      <c r="CG168" s="115">
        <f t="shared" si="16"/>
        <v>0</v>
      </c>
    </row>
    <row r="169" spans="1:85" ht="19.95" customHeight="1">
      <c r="A169" s="926">
        <v>5</v>
      </c>
      <c r="B169" s="927"/>
      <c r="C169" s="927"/>
      <c r="D169" s="928"/>
      <c r="E169" s="1082" t="str">
        <f>'стр. 2_8'!A361</f>
        <v>Увеличение стоимости основных средств в т.ч.: (КФО 5 МБ)</v>
      </c>
      <c r="F169" s="1083"/>
      <c r="G169" s="1083"/>
      <c r="H169" s="1083"/>
      <c r="I169" s="1083"/>
      <c r="J169" s="1083"/>
      <c r="K169" s="1083"/>
      <c r="L169" s="1083"/>
      <c r="M169" s="1083"/>
      <c r="N169" s="1083"/>
      <c r="O169" s="1083"/>
      <c r="P169" s="1083"/>
      <c r="Q169" s="1083"/>
      <c r="R169" s="1083"/>
      <c r="S169" s="1083"/>
      <c r="T169" s="1083"/>
      <c r="U169" s="1083"/>
      <c r="V169" s="1083"/>
      <c r="W169" s="1083"/>
      <c r="X169" s="1083"/>
      <c r="Y169" s="1083"/>
      <c r="Z169" s="1083"/>
      <c r="AA169" s="1083"/>
      <c r="AB169" s="1083"/>
      <c r="AC169" s="1083"/>
      <c r="AD169" s="1083"/>
      <c r="AE169" s="1083"/>
      <c r="AF169" s="1083"/>
      <c r="AG169" s="1083"/>
      <c r="AH169" s="1083"/>
      <c r="AI169" s="1083"/>
      <c r="AJ169" s="1083"/>
      <c r="AK169" s="1083"/>
      <c r="AL169" s="1083"/>
      <c r="AM169" s="1083"/>
      <c r="AN169" s="1083"/>
      <c r="AO169" s="1083"/>
      <c r="AP169" s="1083"/>
      <c r="AQ169" s="1083"/>
      <c r="AR169" s="1084"/>
      <c r="AS169" s="977" t="s">
        <v>21</v>
      </c>
      <c r="AT169" s="978"/>
      <c r="AU169" s="978"/>
      <c r="AV169" s="978"/>
      <c r="AW169" s="978"/>
      <c r="AX169" s="978"/>
      <c r="AY169" s="978"/>
      <c r="AZ169" s="978"/>
      <c r="BA169" s="978"/>
      <c r="BB169" s="979"/>
      <c r="BC169" s="977" t="s">
        <v>21</v>
      </c>
      <c r="BD169" s="978"/>
      <c r="BE169" s="978"/>
      <c r="BF169" s="978"/>
      <c r="BG169" s="978"/>
      <c r="BH169" s="978"/>
      <c r="BI169" s="978"/>
      <c r="BJ169" s="978"/>
      <c r="BK169" s="978"/>
      <c r="BL169" s="978"/>
      <c r="BM169" s="979"/>
      <c r="BN169" s="1044">
        <f>'стр. 2_8'!DR361</f>
        <v>23300</v>
      </c>
      <c r="BO169" s="1085"/>
      <c r="BP169" s="1085"/>
      <c r="BQ169" s="1085"/>
      <c r="BR169" s="1085"/>
      <c r="BS169" s="1085"/>
      <c r="BT169" s="1085"/>
      <c r="BU169" s="1085"/>
      <c r="BV169" s="1085"/>
      <c r="BW169" s="1085"/>
      <c r="BX169" s="1085"/>
      <c r="BY169" s="1085"/>
      <c r="BZ169" s="1085"/>
      <c r="CA169" s="1085"/>
      <c r="CB169" s="1086"/>
      <c r="CC169" s="114">
        <v>4</v>
      </c>
      <c r="CD169" s="115"/>
      <c r="CE169" s="115"/>
      <c r="CF169" s="115">
        <v>30000</v>
      </c>
      <c r="CG169" s="116">
        <f t="shared" ref="CG169:CG178" si="17">CD169+CE169+CF169</f>
        <v>30000</v>
      </c>
    </row>
    <row r="170" spans="1:85" s="255" customFormat="1" ht="19.95" hidden="1" customHeight="1">
      <c r="A170" s="926">
        <v>9</v>
      </c>
      <c r="B170" s="927"/>
      <c r="C170" s="927"/>
      <c r="D170" s="928"/>
      <c r="E170" s="1077" t="str">
        <f>'стр. 2_8'!A362</f>
        <v>Приобретение светового оборудования  за счет средств местного бюджета (МЦП 4) (КФО 5 МБ)</v>
      </c>
      <c r="F170" s="1078"/>
      <c r="G170" s="1078"/>
      <c r="H170" s="1078"/>
      <c r="I170" s="1078"/>
      <c r="J170" s="1078"/>
      <c r="K170" s="1078"/>
      <c r="L170" s="1078"/>
      <c r="M170" s="1078"/>
      <c r="N170" s="1078"/>
      <c r="O170" s="1078"/>
      <c r="P170" s="1078"/>
      <c r="Q170" s="1078"/>
      <c r="R170" s="1078"/>
      <c r="S170" s="1078"/>
      <c r="T170" s="1078"/>
      <c r="U170" s="1078"/>
      <c r="V170" s="1078"/>
      <c r="W170" s="1078"/>
      <c r="X170" s="1078"/>
      <c r="Y170" s="1078"/>
      <c r="Z170" s="1078"/>
      <c r="AA170" s="1078"/>
      <c r="AB170" s="1078"/>
      <c r="AC170" s="1078"/>
      <c r="AD170" s="1078"/>
      <c r="AE170" s="1078"/>
      <c r="AF170" s="1078"/>
      <c r="AG170" s="1078"/>
      <c r="AH170" s="1078"/>
      <c r="AI170" s="1078"/>
      <c r="AJ170" s="1078"/>
      <c r="AK170" s="1078"/>
      <c r="AL170" s="1078"/>
      <c r="AM170" s="1078"/>
      <c r="AN170" s="1078"/>
      <c r="AO170" s="1078"/>
      <c r="AP170" s="1078"/>
      <c r="AQ170" s="1078"/>
      <c r="AR170" s="1079"/>
      <c r="AS170" s="926" t="s">
        <v>526</v>
      </c>
      <c r="AT170" s="927"/>
      <c r="AU170" s="927"/>
      <c r="AV170" s="927"/>
      <c r="AW170" s="927"/>
      <c r="AX170" s="927"/>
      <c r="AY170" s="927"/>
      <c r="AZ170" s="927"/>
      <c r="BA170" s="927"/>
      <c r="BB170" s="928"/>
      <c r="BC170" s="971" t="s">
        <v>526</v>
      </c>
      <c r="BD170" s="972"/>
      <c r="BE170" s="972"/>
      <c r="BF170" s="972"/>
      <c r="BG170" s="972"/>
      <c r="BH170" s="972"/>
      <c r="BI170" s="972"/>
      <c r="BJ170" s="972"/>
      <c r="BK170" s="972"/>
      <c r="BL170" s="972"/>
      <c r="BM170" s="973"/>
      <c r="BN170" s="913">
        <f>'стр. 2_8'!DR362</f>
        <v>0</v>
      </c>
      <c r="BO170" s="1080"/>
      <c r="BP170" s="1080"/>
      <c r="BQ170" s="1080"/>
      <c r="BR170" s="1080"/>
      <c r="BS170" s="1080"/>
      <c r="BT170" s="1080"/>
      <c r="BU170" s="1080"/>
      <c r="BV170" s="1080"/>
      <c r="BW170" s="1080"/>
      <c r="BX170" s="1080"/>
      <c r="BY170" s="1080"/>
      <c r="BZ170" s="1080"/>
      <c r="CA170" s="1080"/>
      <c r="CB170" s="1081"/>
      <c r="CC170" s="255">
        <v>4</v>
      </c>
      <c r="CD170" s="115"/>
      <c r="CE170" s="115">
        <f>585347.05</f>
        <v>585347.05000000005</v>
      </c>
      <c r="CF170" s="115">
        <v>146660</v>
      </c>
      <c r="CG170" s="115">
        <f t="shared" si="17"/>
        <v>732007.05</v>
      </c>
    </row>
    <row r="171" spans="1:85" s="255" customFormat="1" ht="19.95" hidden="1" customHeight="1">
      <c r="A171" s="926">
        <v>10</v>
      </c>
      <c r="B171" s="927"/>
      <c r="C171" s="927"/>
      <c r="D171" s="928"/>
      <c r="E171" s="1077" t="str">
        <f>'стр. 2_8'!A363</f>
        <v>Приобретение снегоуборочной машины для Краснощельского ЭКЦ (МЦП 4) (КФО 5 МБ)</v>
      </c>
      <c r="F171" s="1078"/>
      <c r="G171" s="1078"/>
      <c r="H171" s="1078"/>
      <c r="I171" s="1078"/>
      <c r="J171" s="1078"/>
      <c r="K171" s="1078"/>
      <c r="L171" s="1078"/>
      <c r="M171" s="1078"/>
      <c r="N171" s="1078"/>
      <c r="O171" s="1078"/>
      <c r="P171" s="1078"/>
      <c r="Q171" s="1078"/>
      <c r="R171" s="1078"/>
      <c r="S171" s="1078"/>
      <c r="T171" s="1078"/>
      <c r="U171" s="1078"/>
      <c r="V171" s="1078"/>
      <c r="W171" s="1078"/>
      <c r="X171" s="1078"/>
      <c r="Y171" s="1078"/>
      <c r="Z171" s="1078"/>
      <c r="AA171" s="1078"/>
      <c r="AB171" s="1078"/>
      <c r="AC171" s="1078"/>
      <c r="AD171" s="1078"/>
      <c r="AE171" s="1078"/>
      <c r="AF171" s="1078"/>
      <c r="AG171" s="1078"/>
      <c r="AH171" s="1078"/>
      <c r="AI171" s="1078"/>
      <c r="AJ171" s="1078"/>
      <c r="AK171" s="1078"/>
      <c r="AL171" s="1078"/>
      <c r="AM171" s="1078"/>
      <c r="AN171" s="1078"/>
      <c r="AO171" s="1078"/>
      <c r="AP171" s="1078"/>
      <c r="AQ171" s="1078"/>
      <c r="AR171" s="1079"/>
      <c r="AS171" s="932" t="s">
        <v>526</v>
      </c>
      <c r="AT171" s="933"/>
      <c r="AU171" s="933"/>
      <c r="AV171" s="933"/>
      <c r="AW171" s="933"/>
      <c r="AX171" s="933"/>
      <c r="AY171" s="933"/>
      <c r="AZ171" s="933"/>
      <c r="BA171" s="933"/>
      <c r="BB171" s="934"/>
      <c r="BC171" s="839" t="s">
        <v>526</v>
      </c>
      <c r="BD171" s="840"/>
      <c r="BE171" s="840"/>
      <c r="BF171" s="840"/>
      <c r="BG171" s="840"/>
      <c r="BH171" s="840"/>
      <c r="BI171" s="840"/>
      <c r="BJ171" s="840"/>
      <c r="BK171" s="840"/>
      <c r="BL171" s="840"/>
      <c r="BM171" s="841"/>
      <c r="BN171" s="913">
        <f>'стр. 2_8'!DR363</f>
        <v>0</v>
      </c>
      <c r="BO171" s="1080"/>
      <c r="BP171" s="1080"/>
      <c r="BQ171" s="1080"/>
      <c r="BR171" s="1080"/>
      <c r="BS171" s="1080"/>
      <c r="BT171" s="1080"/>
      <c r="BU171" s="1080"/>
      <c r="BV171" s="1080"/>
      <c r="BW171" s="1080"/>
      <c r="BX171" s="1080"/>
      <c r="BY171" s="1080"/>
      <c r="BZ171" s="1080"/>
      <c r="CA171" s="1080"/>
      <c r="CB171" s="1081"/>
      <c r="CC171" s="255">
        <v>4</v>
      </c>
      <c r="CD171" s="115"/>
      <c r="CE171" s="115">
        <v>31000</v>
      </c>
      <c r="CF171" s="115"/>
      <c r="CG171" s="115">
        <f t="shared" si="17"/>
        <v>31000</v>
      </c>
    </row>
    <row r="172" spans="1:85" s="255" customFormat="1" ht="19.95" hidden="1" customHeight="1">
      <c r="A172" s="926">
        <v>11</v>
      </c>
      <c r="B172" s="927"/>
      <c r="C172" s="927"/>
      <c r="D172" s="928"/>
      <c r="E172" s="1077" t="str">
        <f>'стр. 2_8'!A364</f>
        <v>Приобретение звукового оборудования для Краснощельского ЭКЦ (МЦП 4) (КФО 5 МБ)</v>
      </c>
      <c r="F172" s="1078"/>
      <c r="G172" s="1078"/>
      <c r="H172" s="1078"/>
      <c r="I172" s="1078"/>
      <c r="J172" s="1078"/>
      <c r="K172" s="1078"/>
      <c r="L172" s="1078"/>
      <c r="M172" s="1078"/>
      <c r="N172" s="1078"/>
      <c r="O172" s="1078"/>
      <c r="P172" s="1078"/>
      <c r="Q172" s="1078"/>
      <c r="R172" s="1078"/>
      <c r="S172" s="1078"/>
      <c r="T172" s="1078"/>
      <c r="U172" s="1078"/>
      <c r="V172" s="1078"/>
      <c r="W172" s="1078"/>
      <c r="X172" s="1078"/>
      <c r="Y172" s="1078"/>
      <c r="Z172" s="1078"/>
      <c r="AA172" s="1078"/>
      <c r="AB172" s="1078"/>
      <c r="AC172" s="1078"/>
      <c r="AD172" s="1078"/>
      <c r="AE172" s="1078"/>
      <c r="AF172" s="1078"/>
      <c r="AG172" s="1078"/>
      <c r="AH172" s="1078"/>
      <c r="AI172" s="1078"/>
      <c r="AJ172" s="1078"/>
      <c r="AK172" s="1078"/>
      <c r="AL172" s="1078"/>
      <c r="AM172" s="1078"/>
      <c r="AN172" s="1078"/>
      <c r="AO172" s="1078"/>
      <c r="AP172" s="1078"/>
      <c r="AQ172" s="1078"/>
      <c r="AR172" s="1079"/>
      <c r="AS172" s="932" t="s">
        <v>526</v>
      </c>
      <c r="AT172" s="933"/>
      <c r="AU172" s="933"/>
      <c r="AV172" s="933"/>
      <c r="AW172" s="933"/>
      <c r="AX172" s="933"/>
      <c r="AY172" s="933"/>
      <c r="AZ172" s="933"/>
      <c r="BA172" s="933"/>
      <c r="BB172" s="934"/>
      <c r="BC172" s="839" t="s">
        <v>526</v>
      </c>
      <c r="BD172" s="840"/>
      <c r="BE172" s="840"/>
      <c r="BF172" s="840"/>
      <c r="BG172" s="840"/>
      <c r="BH172" s="840"/>
      <c r="BI172" s="840"/>
      <c r="BJ172" s="840"/>
      <c r="BK172" s="840"/>
      <c r="BL172" s="840"/>
      <c r="BM172" s="841"/>
      <c r="BN172" s="913">
        <f>'стр. 2_8'!DR364</f>
        <v>0</v>
      </c>
      <c r="BO172" s="1080"/>
      <c r="BP172" s="1080"/>
      <c r="BQ172" s="1080"/>
      <c r="BR172" s="1080"/>
      <c r="BS172" s="1080"/>
      <c r="BT172" s="1080"/>
      <c r="BU172" s="1080"/>
      <c r="BV172" s="1080"/>
      <c r="BW172" s="1080"/>
      <c r="BX172" s="1080"/>
      <c r="BY172" s="1080"/>
      <c r="BZ172" s="1080"/>
      <c r="CA172" s="1080"/>
      <c r="CB172" s="1081"/>
      <c r="CC172" s="255">
        <v>1</v>
      </c>
      <c r="CD172" s="115"/>
      <c r="CE172" s="115"/>
      <c r="CF172" s="115"/>
      <c r="CG172" s="115">
        <f t="shared" si="17"/>
        <v>0</v>
      </c>
    </row>
    <row r="173" spans="1:85" s="255" customFormat="1" ht="34.799999999999997" customHeight="1">
      <c r="A173" s="926">
        <v>6</v>
      </c>
      <c r="B173" s="927"/>
      <c r="C173" s="927"/>
      <c r="D173" s="928"/>
      <c r="E173" s="1077" t="str">
        <f>'стр. 2_8'!A365</f>
        <v>Приобретение баннера и стартовых манишек (организация и проведение праздничных мероприятий к 100-летию с.Краснощелье) (МЦП 4) (КФО 5 МБ)</v>
      </c>
      <c r="F173" s="1078"/>
      <c r="G173" s="1078"/>
      <c r="H173" s="1078"/>
      <c r="I173" s="1078"/>
      <c r="J173" s="1078"/>
      <c r="K173" s="1078"/>
      <c r="L173" s="1078"/>
      <c r="M173" s="1078"/>
      <c r="N173" s="1078"/>
      <c r="O173" s="1078"/>
      <c r="P173" s="1078"/>
      <c r="Q173" s="1078"/>
      <c r="R173" s="1078"/>
      <c r="S173" s="1078"/>
      <c r="T173" s="1078"/>
      <c r="U173" s="1078"/>
      <c r="V173" s="1078"/>
      <c r="W173" s="1078"/>
      <c r="X173" s="1078"/>
      <c r="Y173" s="1078"/>
      <c r="Z173" s="1078"/>
      <c r="AA173" s="1078"/>
      <c r="AB173" s="1078"/>
      <c r="AC173" s="1078"/>
      <c r="AD173" s="1078"/>
      <c r="AE173" s="1078"/>
      <c r="AF173" s="1078"/>
      <c r="AG173" s="1078"/>
      <c r="AH173" s="1078"/>
      <c r="AI173" s="1078"/>
      <c r="AJ173" s="1078"/>
      <c r="AK173" s="1078"/>
      <c r="AL173" s="1078"/>
      <c r="AM173" s="1078"/>
      <c r="AN173" s="1078"/>
      <c r="AO173" s="1078"/>
      <c r="AP173" s="1078"/>
      <c r="AQ173" s="1078"/>
      <c r="AR173" s="1079"/>
      <c r="AS173" s="950">
        <v>1</v>
      </c>
      <c r="AT173" s="951"/>
      <c r="AU173" s="951"/>
      <c r="AV173" s="951"/>
      <c r="AW173" s="951"/>
      <c r="AX173" s="951"/>
      <c r="AY173" s="951"/>
      <c r="AZ173" s="951"/>
      <c r="BA173" s="951"/>
      <c r="BB173" s="952"/>
      <c r="BC173" s="971">
        <v>15000</v>
      </c>
      <c r="BD173" s="972"/>
      <c r="BE173" s="972"/>
      <c r="BF173" s="972"/>
      <c r="BG173" s="972"/>
      <c r="BH173" s="972"/>
      <c r="BI173" s="972"/>
      <c r="BJ173" s="972"/>
      <c r="BK173" s="972"/>
      <c r="BL173" s="972"/>
      <c r="BM173" s="973"/>
      <c r="BN173" s="913">
        <f>'стр. 2_8'!DR365</f>
        <v>17000</v>
      </c>
      <c r="BO173" s="1080"/>
      <c r="BP173" s="1080"/>
      <c r="BQ173" s="1080"/>
      <c r="BR173" s="1080"/>
      <c r="BS173" s="1080"/>
      <c r="BT173" s="1080"/>
      <c r="BU173" s="1080"/>
      <c r="BV173" s="1080"/>
      <c r="BW173" s="1080"/>
      <c r="BX173" s="1080"/>
      <c r="BY173" s="1080"/>
      <c r="BZ173" s="1080"/>
      <c r="CA173" s="1080"/>
      <c r="CB173" s="1081"/>
      <c r="CC173" s="255">
        <v>4</v>
      </c>
      <c r="CD173" s="115"/>
      <c r="CE173" s="115"/>
      <c r="CF173" s="115"/>
      <c r="CG173" s="115">
        <f t="shared" si="17"/>
        <v>0</v>
      </c>
    </row>
    <row r="174" spans="1:85" s="255" customFormat="1" ht="19.95" hidden="1" customHeight="1">
      <c r="A174" s="926">
        <v>1</v>
      </c>
      <c r="B174" s="927"/>
      <c r="C174" s="927"/>
      <c r="D174" s="928"/>
      <c r="E174" s="1077">
        <f>'стр. 2_8'!A367</f>
        <v>0</v>
      </c>
      <c r="F174" s="1078"/>
      <c r="G174" s="1078"/>
      <c r="H174" s="1078"/>
      <c r="I174" s="1078"/>
      <c r="J174" s="1078"/>
      <c r="K174" s="1078"/>
      <c r="L174" s="1078"/>
      <c r="M174" s="1078"/>
      <c r="N174" s="1078"/>
      <c r="O174" s="1078"/>
      <c r="P174" s="1078"/>
      <c r="Q174" s="1078"/>
      <c r="R174" s="1078"/>
      <c r="S174" s="1078"/>
      <c r="T174" s="1078"/>
      <c r="U174" s="1078"/>
      <c r="V174" s="1078"/>
      <c r="W174" s="1078"/>
      <c r="X174" s="1078"/>
      <c r="Y174" s="1078"/>
      <c r="Z174" s="1078"/>
      <c r="AA174" s="1078"/>
      <c r="AB174" s="1078"/>
      <c r="AC174" s="1078"/>
      <c r="AD174" s="1078"/>
      <c r="AE174" s="1078"/>
      <c r="AF174" s="1078"/>
      <c r="AG174" s="1078"/>
      <c r="AH174" s="1078"/>
      <c r="AI174" s="1078"/>
      <c r="AJ174" s="1078"/>
      <c r="AK174" s="1078"/>
      <c r="AL174" s="1078"/>
      <c r="AM174" s="1078"/>
      <c r="AN174" s="1078"/>
      <c r="AO174" s="1078"/>
      <c r="AP174" s="1078"/>
      <c r="AQ174" s="1078"/>
      <c r="AR174" s="1079"/>
      <c r="AS174" s="932" t="s">
        <v>526</v>
      </c>
      <c r="AT174" s="933"/>
      <c r="AU174" s="933"/>
      <c r="AV174" s="933"/>
      <c r="AW174" s="933"/>
      <c r="AX174" s="933"/>
      <c r="AY174" s="933"/>
      <c r="AZ174" s="933"/>
      <c r="BA174" s="933"/>
      <c r="BB174" s="934"/>
      <c r="BC174" s="839" t="s">
        <v>526</v>
      </c>
      <c r="BD174" s="840"/>
      <c r="BE174" s="840"/>
      <c r="BF174" s="840"/>
      <c r="BG174" s="840"/>
      <c r="BH174" s="840"/>
      <c r="BI174" s="840"/>
      <c r="BJ174" s="840"/>
      <c r="BK174" s="840"/>
      <c r="BL174" s="840"/>
      <c r="BM174" s="841"/>
      <c r="BN174" s="913">
        <f>'стр. 2_8'!DR367</f>
        <v>0</v>
      </c>
      <c r="BO174" s="1080"/>
      <c r="BP174" s="1080"/>
      <c r="BQ174" s="1080"/>
      <c r="BR174" s="1080"/>
      <c r="BS174" s="1080"/>
      <c r="BT174" s="1080"/>
      <c r="BU174" s="1080"/>
      <c r="BV174" s="1080"/>
      <c r="BW174" s="1080"/>
      <c r="BX174" s="1080"/>
      <c r="BY174" s="1080"/>
      <c r="BZ174" s="1080"/>
      <c r="CA174" s="1080"/>
      <c r="CB174" s="1081"/>
      <c r="CC174" s="255">
        <v>4</v>
      </c>
      <c r="CD174" s="115"/>
      <c r="CE174" s="115"/>
      <c r="CF174" s="115">
        <v>30000</v>
      </c>
      <c r="CG174" s="115">
        <f t="shared" si="17"/>
        <v>30000</v>
      </c>
    </row>
    <row r="175" spans="1:85" ht="19.95" customHeight="1">
      <c r="A175" s="926">
        <v>7</v>
      </c>
      <c r="B175" s="927"/>
      <c r="C175" s="927"/>
      <c r="D175" s="928"/>
      <c r="E175" s="1082" t="str">
        <f>'стр. 2_8'!A368</f>
        <v>Увеличение стоимости основных средств, в т.ч.: (КФО 2)</v>
      </c>
      <c r="F175" s="1083"/>
      <c r="G175" s="1083"/>
      <c r="H175" s="1083"/>
      <c r="I175" s="1083"/>
      <c r="J175" s="1083"/>
      <c r="K175" s="1083"/>
      <c r="L175" s="1083"/>
      <c r="M175" s="1083"/>
      <c r="N175" s="1083"/>
      <c r="O175" s="1083"/>
      <c r="P175" s="1083"/>
      <c r="Q175" s="1083"/>
      <c r="R175" s="1083"/>
      <c r="S175" s="1083"/>
      <c r="T175" s="1083"/>
      <c r="U175" s="1083"/>
      <c r="V175" s="1083"/>
      <c r="W175" s="1083"/>
      <c r="X175" s="1083"/>
      <c r="Y175" s="1083"/>
      <c r="Z175" s="1083"/>
      <c r="AA175" s="1083"/>
      <c r="AB175" s="1083"/>
      <c r="AC175" s="1083"/>
      <c r="AD175" s="1083"/>
      <c r="AE175" s="1083"/>
      <c r="AF175" s="1083"/>
      <c r="AG175" s="1083"/>
      <c r="AH175" s="1083"/>
      <c r="AI175" s="1083"/>
      <c r="AJ175" s="1083"/>
      <c r="AK175" s="1083"/>
      <c r="AL175" s="1083"/>
      <c r="AM175" s="1083"/>
      <c r="AN175" s="1083"/>
      <c r="AO175" s="1083"/>
      <c r="AP175" s="1083"/>
      <c r="AQ175" s="1083"/>
      <c r="AR175" s="1084"/>
      <c r="AS175" s="977" t="s">
        <v>21</v>
      </c>
      <c r="AT175" s="978"/>
      <c r="AU175" s="978"/>
      <c r="AV175" s="978"/>
      <c r="AW175" s="978"/>
      <c r="AX175" s="978"/>
      <c r="AY175" s="978"/>
      <c r="AZ175" s="978"/>
      <c r="BA175" s="978"/>
      <c r="BB175" s="979"/>
      <c r="BC175" s="977" t="s">
        <v>21</v>
      </c>
      <c r="BD175" s="978"/>
      <c r="BE175" s="978"/>
      <c r="BF175" s="978"/>
      <c r="BG175" s="978"/>
      <c r="BH175" s="978"/>
      <c r="BI175" s="978"/>
      <c r="BJ175" s="978"/>
      <c r="BK175" s="978"/>
      <c r="BL175" s="978"/>
      <c r="BM175" s="979"/>
      <c r="BN175" s="1044">
        <f>'стр. 2_8'!DR368</f>
        <v>1050</v>
      </c>
      <c r="BO175" s="1085"/>
      <c r="BP175" s="1085"/>
      <c r="BQ175" s="1085"/>
      <c r="BR175" s="1085"/>
      <c r="BS175" s="1085"/>
      <c r="BT175" s="1085"/>
      <c r="BU175" s="1085"/>
      <c r="BV175" s="1085"/>
      <c r="BW175" s="1085"/>
      <c r="BX175" s="1085"/>
      <c r="BY175" s="1085"/>
      <c r="BZ175" s="1085"/>
      <c r="CA175" s="1085"/>
      <c r="CB175" s="1086"/>
      <c r="CC175" s="114">
        <v>4</v>
      </c>
      <c r="CD175" s="115"/>
      <c r="CE175" s="115">
        <f>585347.05</f>
        <v>585347.05000000005</v>
      </c>
      <c r="CF175" s="115">
        <v>146660</v>
      </c>
      <c r="CG175" s="116">
        <f t="shared" si="17"/>
        <v>732007.05</v>
      </c>
    </row>
    <row r="176" spans="1:85" s="255" customFormat="1" ht="19.95" hidden="1" customHeight="1">
      <c r="A176" s="926">
        <v>13</v>
      </c>
      <c r="B176" s="927"/>
      <c r="C176" s="927"/>
      <c r="D176" s="928"/>
      <c r="E176" s="1077" t="str">
        <f>'стр. 2_8'!A369</f>
        <v>Приобретение основных средств  (устранение нарушений, выявленных в окт.2019 г.  при проверке по соблюдению требований законодательства при использовании лесного участка в с.Ловозеро) (МЦП 2) (КФО 2)</v>
      </c>
      <c r="F176" s="1078"/>
      <c r="G176" s="1078"/>
      <c r="H176" s="1078"/>
      <c r="I176" s="1078"/>
      <c r="J176" s="1078"/>
      <c r="K176" s="1078"/>
      <c r="L176" s="1078"/>
      <c r="M176" s="1078"/>
      <c r="N176" s="1078"/>
      <c r="O176" s="1078"/>
      <c r="P176" s="1078"/>
      <c r="Q176" s="1078"/>
      <c r="R176" s="1078"/>
      <c r="S176" s="1078"/>
      <c r="T176" s="1078"/>
      <c r="U176" s="1078"/>
      <c r="V176" s="1078"/>
      <c r="W176" s="1078"/>
      <c r="X176" s="1078"/>
      <c r="Y176" s="1078"/>
      <c r="Z176" s="1078"/>
      <c r="AA176" s="1078"/>
      <c r="AB176" s="1078"/>
      <c r="AC176" s="1078"/>
      <c r="AD176" s="1078"/>
      <c r="AE176" s="1078"/>
      <c r="AF176" s="1078"/>
      <c r="AG176" s="1078"/>
      <c r="AH176" s="1078"/>
      <c r="AI176" s="1078"/>
      <c r="AJ176" s="1078"/>
      <c r="AK176" s="1078"/>
      <c r="AL176" s="1078"/>
      <c r="AM176" s="1078"/>
      <c r="AN176" s="1078"/>
      <c r="AO176" s="1078"/>
      <c r="AP176" s="1078"/>
      <c r="AQ176" s="1078"/>
      <c r="AR176" s="1079"/>
      <c r="AS176" s="926" t="s">
        <v>526</v>
      </c>
      <c r="AT176" s="927"/>
      <c r="AU176" s="927"/>
      <c r="AV176" s="927"/>
      <c r="AW176" s="927"/>
      <c r="AX176" s="927"/>
      <c r="AY176" s="927"/>
      <c r="AZ176" s="927"/>
      <c r="BA176" s="927"/>
      <c r="BB176" s="928"/>
      <c r="BC176" s="971" t="s">
        <v>526</v>
      </c>
      <c r="BD176" s="972"/>
      <c r="BE176" s="972"/>
      <c r="BF176" s="972"/>
      <c r="BG176" s="972"/>
      <c r="BH176" s="972"/>
      <c r="BI176" s="972"/>
      <c r="BJ176" s="972"/>
      <c r="BK176" s="972"/>
      <c r="BL176" s="972"/>
      <c r="BM176" s="973"/>
      <c r="BN176" s="913">
        <f>'стр. 2_8'!DR369</f>
        <v>0</v>
      </c>
      <c r="BO176" s="1080"/>
      <c r="BP176" s="1080"/>
      <c r="BQ176" s="1080"/>
      <c r="BR176" s="1080"/>
      <c r="BS176" s="1080"/>
      <c r="BT176" s="1080"/>
      <c r="BU176" s="1080"/>
      <c r="BV176" s="1080"/>
      <c r="BW176" s="1080"/>
      <c r="BX176" s="1080"/>
      <c r="BY176" s="1080"/>
      <c r="BZ176" s="1080"/>
      <c r="CA176" s="1080"/>
      <c r="CB176" s="1081"/>
      <c r="CC176" s="255">
        <v>4</v>
      </c>
      <c r="CD176" s="115"/>
      <c r="CE176" s="115">
        <v>31000</v>
      </c>
      <c r="CF176" s="115"/>
      <c r="CG176" s="115">
        <f t="shared" si="17"/>
        <v>31000</v>
      </c>
    </row>
    <row r="177" spans="1:94" s="255" customFormat="1" ht="19.95" customHeight="1">
      <c r="A177" s="926">
        <v>8</v>
      </c>
      <c r="B177" s="927"/>
      <c r="C177" s="927"/>
      <c r="D177" s="928"/>
      <c r="E177" s="1077" t="str">
        <f>'стр. 2_8'!A370</f>
        <v>Приобретение основных средств (МЦП 4) (КФО 2)</v>
      </c>
      <c r="F177" s="1078"/>
      <c r="G177" s="1078"/>
      <c r="H177" s="1078"/>
      <c r="I177" s="1078"/>
      <c r="J177" s="1078"/>
      <c r="K177" s="1078"/>
      <c r="L177" s="1078"/>
      <c r="M177" s="1078"/>
      <c r="N177" s="1078"/>
      <c r="O177" s="1078"/>
      <c r="P177" s="1078"/>
      <c r="Q177" s="1078"/>
      <c r="R177" s="1078"/>
      <c r="S177" s="1078"/>
      <c r="T177" s="1078"/>
      <c r="U177" s="1078"/>
      <c r="V177" s="1078"/>
      <c r="W177" s="1078"/>
      <c r="X177" s="1078"/>
      <c r="Y177" s="1078"/>
      <c r="Z177" s="1078"/>
      <c r="AA177" s="1078"/>
      <c r="AB177" s="1078"/>
      <c r="AC177" s="1078"/>
      <c r="AD177" s="1078"/>
      <c r="AE177" s="1078"/>
      <c r="AF177" s="1078"/>
      <c r="AG177" s="1078"/>
      <c r="AH177" s="1078"/>
      <c r="AI177" s="1078"/>
      <c r="AJ177" s="1078"/>
      <c r="AK177" s="1078"/>
      <c r="AL177" s="1078"/>
      <c r="AM177" s="1078"/>
      <c r="AN177" s="1078"/>
      <c r="AO177" s="1078"/>
      <c r="AP177" s="1078"/>
      <c r="AQ177" s="1078"/>
      <c r="AR177" s="1079"/>
      <c r="AS177" s="926">
        <v>1</v>
      </c>
      <c r="AT177" s="927"/>
      <c r="AU177" s="927"/>
      <c r="AV177" s="927"/>
      <c r="AW177" s="927"/>
      <c r="AX177" s="927"/>
      <c r="AY177" s="927"/>
      <c r="AZ177" s="927"/>
      <c r="BA177" s="927"/>
      <c r="BB177" s="928"/>
      <c r="BC177" s="971">
        <v>1050</v>
      </c>
      <c r="BD177" s="972"/>
      <c r="BE177" s="972"/>
      <c r="BF177" s="972"/>
      <c r="BG177" s="972"/>
      <c r="BH177" s="972"/>
      <c r="BI177" s="972"/>
      <c r="BJ177" s="972"/>
      <c r="BK177" s="972"/>
      <c r="BL177" s="972"/>
      <c r="BM177" s="973"/>
      <c r="BN177" s="913">
        <f>'стр. 2_8'!DR370</f>
        <v>1050</v>
      </c>
      <c r="BO177" s="1080"/>
      <c r="BP177" s="1080"/>
      <c r="BQ177" s="1080"/>
      <c r="BR177" s="1080"/>
      <c r="BS177" s="1080"/>
      <c r="BT177" s="1080"/>
      <c r="BU177" s="1080"/>
      <c r="BV177" s="1080"/>
      <c r="BW177" s="1080"/>
      <c r="BX177" s="1080"/>
      <c r="BY177" s="1080"/>
      <c r="BZ177" s="1080"/>
      <c r="CA177" s="1080"/>
      <c r="CB177" s="1081"/>
      <c r="CC177" s="255">
        <v>1</v>
      </c>
      <c r="CD177" s="115"/>
      <c r="CE177" s="115"/>
      <c r="CF177" s="115"/>
      <c r="CG177" s="115">
        <f t="shared" si="17"/>
        <v>0</v>
      </c>
    </row>
    <row r="178" spans="1:94" s="255" customFormat="1" ht="30.6" hidden="1" customHeight="1">
      <c r="A178" s="926">
        <v>5</v>
      </c>
      <c r="B178" s="927"/>
      <c r="C178" s="927"/>
      <c r="D178" s="928"/>
      <c r="E178" s="1077">
        <f>'стр. 2_8'!A371</f>
        <v>0</v>
      </c>
      <c r="F178" s="1078"/>
      <c r="G178" s="1078"/>
      <c r="H178" s="1078"/>
      <c r="I178" s="1078"/>
      <c r="J178" s="1078"/>
      <c r="K178" s="1078"/>
      <c r="L178" s="1078"/>
      <c r="M178" s="1078"/>
      <c r="N178" s="1078"/>
      <c r="O178" s="1078"/>
      <c r="P178" s="1078"/>
      <c r="Q178" s="1078"/>
      <c r="R178" s="1078"/>
      <c r="S178" s="1078"/>
      <c r="T178" s="1078"/>
      <c r="U178" s="1078"/>
      <c r="V178" s="1078"/>
      <c r="W178" s="1078"/>
      <c r="X178" s="1078"/>
      <c r="Y178" s="1078"/>
      <c r="Z178" s="1078"/>
      <c r="AA178" s="1078"/>
      <c r="AB178" s="1078"/>
      <c r="AC178" s="1078"/>
      <c r="AD178" s="1078"/>
      <c r="AE178" s="1078"/>
      <c r="AF178" s="1078"/>
      <c r="AG178" s="1078"/>
      <c r="AH178" s="1078"/>
      <c r="AI178" s="1078"/>
      <c r="AJ178" s="1078"/>
      <c r="AK178" s="1078"/>
      <c r="AL178" s="1078"/>
      <c r="AM178" s="1078"/>
      <c r="AN178" s="1078"/>
      <c r="AO178" s="1078"/>
      <c r="AP178" s="1078"/>
      <c r="AQ178" s="1078"/>
      <c r="AR178" s="1079"/>
      <c r="AS178" s="932"/>
      <c r="AT178" s="933"/>
      <c r="AU178" s="933"/>
      <c r="AV178" s="933"/>
      <c r="AW178" s="933"/>
      <c r="AX178" s="933"/>
      <c r="AY178" s="933"/>
      <c r="AZ178" s="933"/>
      <c r="BA178" s="933"/>
      <c r="BB178" s="934"/>
      <c r="BC178" s="839" t="s">
        <v>526</v>
      </c>
      <c r="BD178" s="840"/>
      <c r="BE178" s="840"/>
      <c r="BF178" s="840"/>
      <c r="BG178" s="840"/>
      <c r="BH178" s="840"/>
      <c r="BI178" s="840"/>
      <c r="BJ178" s="840"/>
      <c r="BK178" s="840"/>
      <c r="BL178" s="840"/>
      <c r="BM178" s="841"/>
      <c r="BN178" s="913">
        <f>'стр. 2_8'!DR371</f>
        <v>0</v>
      </c>
      <c r="BO178" s="1080"/>
      <c r="BP178" s="1080"/>
      <c r="BQ178" s="1080"/>
      <c r="BR178" s="1080"/>
      <c r="BS178" s="1080"/>
      <c r="BT178" s="1080"/>
      <c r="BU178" s="1080"/>
      <c r="BV178" s="1080"/>
      <c r="BW178" s="1080"/>
      <c r="BX178" s="1080"/>
      <c r="BY178" s="1080"/>
      <c r="BZ178" s="1080"/>
      <c r="CA178" s="1080"/>
      <c r="CB178" s="1081"/>
      <c r="CC178" s="255">
        <v>4</v>
      </c>
      <c r="CD178" s="115"/>
      <c r="CE178" s="115"/>
      <c r="CF178" s="115"/>
      <c r="CG178" s="115">
        <f t="shared" si="17"/>
        <v>0</v>
      </c>
    </row>
    <row r="179" spans="1:94" s="255" customFormat="1" ht="44.4" hidden="1" customHeight="1">
      <c r="A179" s="926">
        <v>1</v>
      </c>
      <c r="B179" s="927"/>
      <c r="C179" s="927"/>
      <c r="D179" s="928"/>
      <c r="E179" s="1077">
        <f>'стр. 2_8'!A372</f>
        <v>0</v>
      </c>
      <c r="F179" s="1078"/>
      <c r="G179" s="1078"/>
      <c r="H179" s="1078"/>
      <c r="I179" s="1078"/>
      <c r="J179" s="1078"/>
      <c r="K179" s="1078"/>
      <c r="L179" s="1078"/>
      <c r="M179" s="1078"/>
      <c r="N179" s="1078"/>
      <c r="O179" s="1078"/>
      <c r="P179" s="1078"/>
      <c r="Q179" s="1078"/>
      <c r="R179" s="1078"/>
      <c r="S179" s="1078"/>
      <c r="T179" s="1078"/>
      <c r="U179" s="1078"/>
      <c r="V179" s="1078"/>
      <c r="W179" s="1078"/>
      <c r="X179" s="1078"/>
      <c r="Y179" s="1078"/>
      <c r="Z179" s="1078"/>
      <c r="AA179" s="1078"/>
      <c r="AB179" s="1078"/>
      <c r="AC179" s="1078"/>
      <c r="AD179" s="1078"/>
      <c r="AE179" s="1078"/>
      <c r="AF179" s="1078"/>
      <c r="AG179" s="1078"/>
      <c r="AH179" s="1078"/>
      <c r="AI179" s="1078"/>
      <c r="AJ179" s="1078"/>
      <c r="AK179" s="1078"/>
      <c r="AL179" s="1078"/>
      <c r="AM179" s="1078"/>
      <c r="AN179" s="1078"/>
      <c r="AO179" s="1078"/>
      <c r="AP179" s="1078"/>
      <c r="AQ179" s="1078"/>
      <c r="AR179" s="1079"/>
      <c r="AS179" s="932" t="s">
        <v>526</v>
      </c>
      <c r="AT179" s="933"/>
      <c r="AU179" s="933"/>
      <c r="AV179" s="933"/>
      <c r="AW179" s="933"/>
      <c r="AX179" s="933"/>
      <c r="AY179" s="933"/>
      <c r="AZ179" s="933"/>
      <c r="BA179" s="933"/>
      <c r="BB179" s="934"/>
      <c r="BC179" s="839" t="s">
        <v>526</v>
      </c>
      <c r="BD179" s="840"/>
      <c r="BE179" s="840"/>
      <c r="BF179" s="840"/>
      <c r="BG179" s="840"/>
      <c r="BH179" s="840"/>
      <c r="BI179" s="840"/>
      <c r="BJ179" s="840"/>
      <c r="BK179" s="840"/>
      <c r="BL179" s="840"/>
      <c r="BM179" s="841"/>
      <c r="BN179" s="913">
        <f>'стр. 2_8'!DR372</f>
        <v>0</v>
      </c>
      <c r="BO179" s="1080"/>
      <c r="BP179" s="1080"/>
      <c r="BQ179" s="1080"/>
      <c r="BR179" s="1080"/>
      <c r="BS179" s="1080"/>
      <c r="BT179" s="1080"/>
      <c r="BU179" s="1080"/>
      <c r="BV179" s="1080"/>
      <c r="BW179" s="1080"/>
      <c r="BX179" s="1080"/>
      <c r="BY179" s="1080"/>
      <c r="BZ179" s="1080"/>
      <c r="CA179" s="1080"/>
      <c r="CB179" s="1081"/>
      <c r="CC179" s="255">
        <v>4</v>
      </c>
      <c r="CD179" s="115"/>
      <c r="CE179" s="115"/>
      <c r="CF179" s="115">
        <v>30000</v>
      </c>
      <c r="CG179" s="115">
        <f t="shared" si="16"/>
        <v>30000</v>
      </c>
    </row>
    <row r="180" spans="1:94" s="255" customFormat="1" ht="27.6" hidden="1" customHeight="1">
      <c r="A180" s="926">
        <v>2</v>
      </c>
      <c r="B180" s="927"/>
      <c r="C180" s="927"/>
      <c r="D180" s="928"/>
      <c r="E180" s="1077">
        <f>'стр. 2_8'!A373</f>
        <v>0</v>
      </c>
      <c r="F180" s="1078"/>
      <c r="G180" s="1078"/>
      <c r="H180" s="1078"/>
      <c r="I180" s="1078"/>
      <c r="J180" s="1078"/>
      <c r="K180" s="1078"/>
      <c r="L180" s="1078"/>
      <c r="M180" s="1078"/>
      <c r="N180" s="1078"/>
      <c r="O180" s="1078"/>
      <c r="P180" s="1078"/>
      <c r="Q180" s="1078"/>
      <c r="R180" s="1078"/>
      <c r="S180" s="1078"/>
      <c r="T180" s="1078"/>
      <c r="U180" s="1078"/>
      <c r="V180" s="1078"/>
      <c r="W180" s="1078"/>
      <c r="X180" s="1078"/>
      <c r="Y180" s="1078"/>
      <c r="Z180" s="1078"/>
      <c r="AA180" s="1078"/>
      <c r="AB180" s="1078"/>
      <c r="AC180" s="1078"/>
      <c r="AD180" s="1078"/>
      <c r="AE180" s="1078"/>
      <c r="AF180" s="1078"/>
      <c r="AG180" s="1078"/>
      <c r="AH180" s="1078"/>
      <c r="AI180" s="1078"/>
      <c r="AJ180" s="1078"/>
      <c r="AK180" s="1078"/>
      <c r="AL180" s="1078"/>
      <c r="AM180" s="1078"/>
      <c r="AN180" s="1078"/>
      <c r="AO180" s="1078"/>
      <c r="AP180" s="1078"/>
      <c r="AQ180" s="1078"/>
      <c r="AR180" s="1079"/>
      <c r="AS180" s="932" t="s">
        <v>526</v>
      </c>
      <c r="AT180" s="933"/>
      <c r="AU180" s="933"/>
      <c r="AV180" s="933"/>
      <c r="AW180" s="933"/>
      <c r="AX180" s="933"/>
      <c r="AY180" s="933"/>
      <c r="AZ180" s="933"/>
      <c r="BA180" s="933"/>
      <c r="BB180" s="934"/>
      <c r="BC180" s="839" t="s">
        <v>526</v>
      </c>
      <c r="BD180" s="840"/>
      <c r="BE180" s="840"/>
      <c r="BF180" s="840"/>
      <c r="BG180" s="840"/>
      <c r="BH180" s="840"/>
      <c r="BI180" s="840"/>
      <c r="BJ180" s="840"/>
      <c r="BK180" s="840"/>
      <c r="BL180" s="840"/>
      <c r="BM180" s="841"/>
      <c r="BN180" s="913">
        <f>'стр. 2_8'!DR373</f>
        <v>0</v>
      </c>
      <c r="BO180" s="1080"/>
      <c r="BP180" s="1080"/>
      <c r="BQ180" s="1080"/>
      <c r="BR180" s="1080"/>
      <c r="BS180" s="1080"/>
      <c r="BT180" s="1080"/>
      <c r="BU180" s="1080"/>
      <c r="BV180" s="1080"/>
      <c r="BW180" s="1080"/>
      <c r="BX180" s="1080"/>
      <c r="BY180" s="1080"/>
      <c r="BZ180" s="1080"/>
      <c r="CA180" s="1080"/>
      <c r="CB180" s="1081"/>
      <c r="CC180" s="255">
        <v>4</v>
      </c>
      <c r="CD180" s="115"/>
      <c r="CE180" s="115">
        <f>585347.05</f>
        <v>585347.05000000005</v>
      </c>
      <c r="CF180" s="115">
        <v>146660</v>
      </c>
      <c r="CG180" s="115">
        <f t="shared" si="16"/>
        <v>732007.05</v>
      </c>
    </row>
    <row r="181" spans="1:94" s="255" customFormat="1" ht="33" hidden="1" customHeight="1">
      <c r="A181" s="926">
        <v>3</v>
      </c>
      <c r="B181" s="927"/>
      <c r="C181" s="927"/>
      <c r="D181" s="928"/>
      <c r="E181" s="1077">
        <f>'стр. 2_8'!A374</f>
        <v>0</v>
      </c>
      <c r="F181" s="1078"/>
      <c r="G181" s="1078"/>
      <c r="H181" s="1078"/>
      <c r="I181" s="1078"/>
      <c r="J181" s="1078"/>
      <c r="K181" s="1078"/>
      <c r="L181" s="1078"/>
      <c r="M181" s="1078"/>
      <c r="N181" s="1078"/>
      <c r="O181" s="1078"/>
      <c r="P181" s="1078"/>
      <c r="Q181" s="1078"/>
      <c r="R181" s="1078"/>
      <c r="S181" s="1078"/>
      <c r="T181" s="1078"/>
      <c r="U181" s="1078"/>
      <c r="V181" s="1078"/>
      <c r="W181" s="1078"/>
      <c r="X181" s="1078"/>
      <c r="Y181" s="1078"/>
      <c r="Z181" s="1078"/>
      <c r="AA181" s="1078"/>
      <c r="AB181" s="1078"/>
      <c r="AC181" s="1078"/>
      <c r="AD181" s="1078"/>
      <c r="AE181" s="1078"/>
      <c r="AF181" s="1078"/>
      <c r="AG181" s="1078"/>
      <c r="AH181" s="1078"/>
      <c r="AI181" s="1078"/>
      <c r="AJ181" s="1078"/>
      <c r="AK181" s="1078"/>
      <c r="AL181" s="1078"/>
      <c r="AM181" s="1078"/>
      <c r="AN181" s="1078"/>
      <c r="AO181" s="1078"/>
      <c r="AP181" s="1078"/>
      <c r="AQ181" s="1078"/>
      <c r="AR181" s="1079"/>
      <c r="AS181" s="932" t="s">
        <v>526</v>
      </c>
      <c r="AT181" s="933"/>
      <c r="AU181" s="933"/>
      <c r="AV181" s="933"/>
      <c r="AW181" s="933"/>
      <c r="AX181" s="933"/>
      <c r="AY181" s="933"/>
      <c r="AZ181" s="933"/>
      <c r="BA181" s="933"/>
      <c r="BB181" s="934"/>
      <c r="BC181" s="839" t="s">
        <v>526</v>
      </c>
      <c r="BD181" s="840"/>
      <c r="BE181" s="840"/>
      <c r="BF181" s="840"/>
      <c r="BG181" s="840"/>
      <c r="BH181" s="840"/>
      <c r="BI181" s="840"/>
      <c r="BJ181" s="840"/>
      <c r="BK181" s="840"/>
      <c r="BL181" s="840"/>
      <c r="BM181" s="841"/>
      <c r="BN181" s="913">
        <f>'стр. 2_8'!DR374</f>
        <v>0</v>
      </c>
      <c r="BO181" s="1080"/>
      <c r="BP181" s="1080"/>
      <c r="BQ181" s="1080"/>
      <c r="BR181" s="1080"/>
      <c r="BS181" s="1080"/>
      <c r="BT181" s="1080"/>
      <c r="BU181" s="1080"/>
      <c r="BV181" s="1080"/>
      <c r="BW181" s="1080"/>
      <c r="BX181" s="1080"/>
      <c r="BY181" s="1080"/>
      <c r="BZ181" s="1080"/>
      <c r="CA181" s="1080"/>
      <c r="CB181" s="1081"/>
      <c r="CC181" s="255">
        <v>4</v>
      </c>
      <c r="CD181" s="115"/>
      <c r="CE181" s="115">
        <v>31000</v>
      </c>
      <c r="CF181" s="115"/>
      <c r="CG181" s="115">
        <f t="shared" si="16"/>
        <v>31000</v>
      </c>
    </row>
    <row r="182" spans="1:94">
      <c r="A182" s="920"/>
      <c r="B182" s="921"/>
      <c r="C182" s="921"/>
      <c r="D182" s="922"/>
      <c r="E182" s="839" t="s">
        <v>262</v>
      </c>
      <c r="F182" s="840"/>
      <c r="G182" s="840"/>
      <c r="H182" s="840"/>
      <c r="I182" s="840"/>
      <c r="J182" s="840"/>
      <c r="K182" s="840"/>
      <c r="L182" s="840"/>
      <c r="M182" s="840"/>
      <c r="N182" s="840"/>
      <c r="O182" s="840"/>
      <c r="P182" s="840"/>
      <c r="Q182" s="840"/>
      <c r="R182" s="840"/>
      <c r="S182" s="840"/>
      <c r="T182" s="840"/>
      <c r="U182" s="840"/>
      <c r="V182" s="840"/>
      <c r="W182" s="840"/>
      <c r="X182" s="840"/>
      <c r="Y182" s="840"/>
      <c r="Z182" s="840"/>
      <c r="AA182" s="840"/>
      <c r="AB182" s="840"/>
      <c r="AC182" s="840"/>
      <c r="AD182" s="840"/>
      <c r="AE182" s="840"/>
      <c r="AF182" s="840"/>
      <c r="AG182" s="840"/>
      <c r="AH182" s="840"/>
      <c r="AI182" s="840"/>
      <c r="AJ182" s="840"/>
      <c r="AK182" s="840"/>
      <c r="AL182" s="840"/>
      <c r="AM182" s="840"/>
      <c r="AN182" s="840"/>
      <c r="AO182" s="840"/>
      <c r="AP182" s="840"/>
      <c r="AQ182" s="840"/>
      <c r="AR182" s="841"/>
      <c r="AS182" s="926" t="s">
        <v>21</v>
      </c>
      <c r="AT182" s="927"/>
      <c r="AU182" s="927"/>
      <c r="AV182" s="927"/>
      <c r="AW182" s="927"/>
      <c r="AX182" s="927"/>
      <c r="AY182" s="927"/>
      <c r="AZ182" s="927"/>
      <c r="BA182" s="927"/>
      <c r="BB182" s="928"/>
      <c r="BC182" s="950" t="s">
        <v>21</v>
      </c>
      <c r="BD182" s="951"/>
      <c r="BE182" s="951"/>
      <c r="BF182" s="951"/>
      <c r="BG182" s="951"/>
      <c r="BH182" s="951"/>
      <c r="BI182" s="951"/>
      <c r="BJ182" s="951"/>
      <c r="BK182" s="951"/>
      <c r="BL182" s="951"/>
      <c r="BM182" s="952"/>
      <c r="BN182" s="1044">
        <f>BN175+BN160+BN154</f>
        <v>72756</v>
      </c>
      <c r="BO182" s="1085"/>
      <c r="BP182" s="1085"/>
      <c r="BQ182" s="1085"/>
      <c r="BR182" s="1085"/>
      <c r="BS182" s="1085"/>
      <c r="BT182" s="1085"/>
      <c r="BU182" s="1085"/>
      <c r="BV182" s="1085"/>
      <c r="BW182" s="1085"/>
      <c r="BX182" s="1085"/>
      <c r="BY182" s="1085"/>
      <c r="BZ182" s="1085"/>
      <c r="CA182" s="1085"/>
      <c r="CB182" s="1086"/>
      <c r="CD182" s="116" t="e">
        <f>SUM(#REF!)</f>
        <v>#REF!</v>
      </c>
      <c r="CE182" s="116" t="e">
        <f>SUM(#REF!)</f>
        <v>#REF!</v>
      </c>
      <c r="CF182" s="116" t="e">
        <f>SUM(#REF!)</f>
        <v>#REF!</v>
      </c>
      <c r="CG182" s="116" t="e">
        <f>SUM(#REF!)</f>
        <v>#REF!</v>
      </c>
      <c r="CP182" s="115">
        <f>BN182-'[2]Пок по пост и выб'!D131</f>
        <v>-890006.77</v>
      </c>
    </row>
    <row r="183" spans="1:94">
      <c r="CD183" s="115"/>
      <c r="CE183" s="115"/>
      <c r="CF183" s="115"/>
      <c r="CG183" s="115"/>
    </row>
    <row r="184" spans="1:94" s="200" customFormat="1" ht="15.6">
      <c r="A184" s="959" t="s">
        <v>1030</v>
      </c>
      <c r="B184" s="959"/>
      <c r="C184" s="959"/>
      <c r="D184" s="959"/>
      <c r="E184" s="959"/>
      <c r="F184" s="959"/>
      <c r="G184" s="959"/>
      <c r="H184" s="959"/>
      <c r="I184" s="959"/>
      <c r="J184" s="959"/>
      <c r="K184" s="959"/>
      <c r="L184" s="959"/>
      <c r="M184" s="959"/>
      <c r="N184" s="959"/>
      <c r="O184" s="959"/>
      <c r="P184" s="959"/>
      <c r="Q184" s="959"/>
      <c r="R184" s="959"/>
      <c r="S184" s="959"/>
      <c r="T184" s="959"/>
      <c r="U184" s="959"/>
      <c r="V184" s="959"/>
      <c r="W184" s="959"/>
      <c r="X184" s="959"/>
      <c r="Y184" s="959"/>
      <c r="Z184" s="959"/>
      <c r="AA184" s="959"/>
      <c r="AB184" s="959"/>
      <c r="AC184" s="959"/>
      <c r="AD184" s="959"/>
      <c r="AE184" s="959"/>
      <c r="AF184" s="959"/>
      <c r="AG184" s="959"/>
      <c r="AH184" s="959"/>
      <c r="AI184" s="959"/>
      <c r="AJ184" s="959"/>
      <c r="AK184" s="959"/>
      <c r="AL184" s="959"/>
      <c r="AM184" s="959"/>
      <c r="AN184" s="959"/>
      <c r="AO184" s="959"/>
      <c r="AP184" s="959"/>
      <c r="AQ184" s="959"/>
      <c r="AR184" s="959"/>
      <c r="AS184" s="959"/>
      <c r="AT184" s="959"/>
      <c r="AU184" s="959"/>
      <c r="AV184" s="959"/>
      <c r="AW184" s="959"/>
      <c r="AX184" s="959"/>
      <c r="AY184" s="959"/>
      <c r="AZ184" s="959"/>
      <c r="BA184" s="959"/>
      <c r="BB184" s="959"/>
      <c r="BC184" s="959"/>
      <c r="BD184" s="959"/>
      <c r="BE184" s="959"/>
      <c r="BF184" s="959"/>
      <c r="BG184" s="959"/>
      <c r="BH184" s="959"/>
      <c r="BI184" s="959"/>
      <c r="BJ184" s="959"/>
      <c r="BK184" s="959"/>
      <c r="BL184" s="959"/>
      <c r="BM184" s="959"/>
      <c r="BN184" s="959"/>
      <c r="BO184" s="959"/>
      <c r="BP184" s="959"/>
      <c r="BQ184" s="959"/>
      <c r="BR184" s="959"/>
      <c r="BS184" s="959"/>
      <c r="BT184" s="959"/>
      <c r="BU184" s="959"/>
      <c r="BV184" s="959"/>
      <c r="BW184" s="959"/>
      <c r="BX184" s="959"/>
      <c r="BY184" s="959"/>
      <c r="BZ184" s="959"/>
      <c r="CA184" s="959"/>
      <c r="CB184" s="959"/>
      <c r="CC184" s="114"/>
      <c r="CD184" s="115"/>
      <c r="CE184" s="115"/>
      <c r="CF184" s="115"/>
      <c r="CG184" s="115"/>
    </row>
    <row r="185" spans="1:94" s="200" customFormat="1" ht="5.4" customHeight="1">
      <c r="A185" s="959"/>
      <c r="B185" s="959"/>
      <c r="C185" s="959"/>
      <c r="D185" s="959"/>
      <c r="E185" s="959"/>
      <c r="F185" s="959"/>
      <c r="G185" s="959"/>
      <c r="H185" s="959"/>
      <c r="I185" s="959"/>
      <c r="J185" s="959"/>
      <c r="K185" s="959"/>
      <c r="L185" s="959"/>
      <c r="M185" s="959"/>
      <c r="N185" s="959"/>
      <c r="O185" s="959"/>
      <c r="P185" s="959"/>
      <c r="Q185" s="959"/>
      <c r="R185" s="959"/>
      <c r="S185" s="959"/>
      <c r="T185" s="959"/>
      <c r="U185" s="959"/>
      <c r="V185" s="959"/>
      <c r="W185" s="959"/>
      <c r="X185" s="959"/>
      <c r="Y185" s="959"/>
      <c r="Z185" s="959"/>
      <c r="AA185" s="959"/>
      <c r="AB185" s="959"/>
      <c r="AC185" s="959"/>
      <c r="AD185" s="959"/>
      <c r="AE185" s="959"/>
      <c r="AF185" s="959"/>
      <c r="AG185" s="959"/>
      <c r="AH185" s="959"/>
      <c r="AI185" s="959"/>
      <c r="AJ185" s="959"/>
      <c r="AK185" s="959"/>
      <c r="AL185" s="959"/>
      <c r="AM185" s="959"/>
      <c r="AN185" s="959"/>
      <c r="AO185" s="959"/>
      <c r="AP185" s="959"/>
      <c r="AQ185" s="959"/>
      <c r="AR185" s="959"/>
      <c r="AS185" s="959"/>
      <c r="AT185" s="959"/>
      <c r="AU185" s="959"/>
      <c r="AV185" s="959"/>
      <c r="AW185" s="959"/>
      <c r="AX185" s="959"/>
      <c r="AY185" s="959"/>
      <c r="AZ185" s="959"/>
      <c r="BA185" s="959"/>
      <c r="BB185" s="959"/>
      <c r="BC185" s="959"/>
      <c r="BD185" s="959"/>
      <c r="BE185" s="959"/>
      <c r="BF185" s="959"/>
      <c r="BG185" s="959"/>
      <c r="BH185" s="959"/>
      <c r="BI185" s="959"/>
      <c r="BJ185" s="959"/>
      <c r="BK185" s="959"/>
      <c r="BL185" s="959"/>
      <c r="BM185" s="959"/>
      <c r="BN185" s="959"/>
      <c r="BO185" s="959"/>
      <c r="BP185" s="959"/>
      <c r="BQ185" s="959"/>
      <c r="BR185" s="959"/>
      <c r="BS185" s="959"/>
      <c r="BT185" s="959"/>
      <c r="BU185" s="959"/>
      <c r="BV185" s="959"/>
      <c r="BW185" s="959"/>
      <c r="BX185" s="959"/>
      <c r="BY185" s="959"/>
      <c r="BZ185" s="959"/>
      <c r="CA185" s="959"/>
      <c r="CB185" s="959"/>
      <c r="CC185" s="114"/>
      <c r="CD185" s="115"/>
      <c r="CE185" s="115"/>
      <c r="CF185" s="115"/>
      <c r="CG185" s="115"/>
    </row>
    <row r="186" spans="1:94" s="202" customFormat="1" ht="5.4" customHeight="1">
      <c r="A186" s="201"/>
      <c r="B186" s="201"/>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c r="BP186" s="201"/>
      <c r="BQ186" s="201"/>
      <c r="BR186" s="201"/>
      <c r="BS186" s="201"/>
      <c r="BT186" s="201"/>
      <c r="BU186" s="201"/>
      <c r="BV186" s="201"/>
      <c r="BW186" s="201"/>
      <c r="BX186" s="201"/>
      <c r="BY186" s="201"/>
      <c r="BZ186" s="201"/>
      <c r="CA186" s="201"/>
      <c r="CB186" s="201"/>
      <c r="CC186" s="114"/>
      <c r="CD186" s="115"/>
      <c r="CE186" s="115"/>
      <c r="CF186" s="115"/>
      <c r="CG186" s="115"/>
    </row>
    <row r="187" spans="1:94">
      <c r="A187" s="1053" t="s">
        <v>583</v>
      </c>
      <c r="B187" s="1054"/>
      <c r="C187" s="1054"/>
      <c r="D187" s="1055"/>
      <c r="E187" s="962" t="s">
        <v>422</v>
      </c>
      <c r="F187" s="963"/>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963"/>
      <c r="AK187" s="963"/>
      <c r="AL187" s="963"/>
      <c r="AM187" s="963"/>
      <c r="AN187" s="963"/>
      <c r="AO187" s="963"/>
      <c r="AP187" s="963"/>
      <c r="AQ187" s="963"/>
      <c r="AR187" s="964"/>
      <c r="AS187" s="1053" t="s">
        <v>424</v>
      </c>
      <c r="AT187" s="1054"/>
      <c r="AU187" s="1054"/>
      <c r="AV187" s="1054"/>
      <c r="AW187" s="1054"/>
      <c r="AX187" s="1054"/>
      <c r="AY187" s="1054"/>
      <c r="AZ187" s="1054"/>
      <c r="BA187" s="1054"/>
      <c r="BB187" s="1055"/>
      <c r="BC187" s="1053" t="s">
        <v>589</v>
      </c>
      <c r="BD187" s="1054"/>
      <c r="BE187" s="1054"/>
      <c r="BF187" s="1054"/>
      <c r="BG187" s="1054"/>
      <c r="BH187" s="1054"/>
      <c r="BI187" s="1054"/>
      <c r="BJ187" s="1054"/>
      <c r="BK187" s="1054"/>
      <c r="BL187" s="1054"/>
      <c r="BM187" s="1055"/>
      <c r="BN187" s="962" t="s">
        <v>269</v>
      </c>
      <c r="BO187" s="963"/>
      <c r="BP187" s="963"/>
      <c r="BQ187" s="963"/>
      <c r="BR187" s="963"/>
      <c r="BS187" s="963"/>
      <c r="BT187" s="963"/>
      <c r="BU187" s="963"/>
      <c r="BV187" s="963"/>
      <c r="BW187" s="963"/>
      <c r="BX187" s="963"/>
      <c r="BY187" s="963"/>
      <c r="BZ187" s="963"/>
      <c r="CA187" s="963"/>
      <c r="CB187" s="964"/>
      <c r="CC187" s="114" t="s">
        <v>586</v>
      </c>
      <c r="CD187" s="114">
        <v>4</v>
      </c>
      <c r="CE187" s="114">
        <v>5</v>
      </c>
      <c r="CF187" s="114">
        <v>2</v>
      </c>
      <c r="CG187" s="212" t="s">
        <v>587</v>
      </c>
    </row>
    <row r="188" spans="1:94">
      <c r="A188" s="1056"/>
      <c r="B188" s="1057"/>
      <c r="C188" s="1057"/>
      <c r="D188" s="1058"/>
      <c r="E188" s="956"/>
      <c r="F188" s="957"/>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7"/>
      <c r="AK188" s="957"/>
      <c r="AL188" s="957"/>
      <c r="AM188" s="957"/>
      <c r="AN188" s="957"/>
      <c r="AO188" s="957"/>
      <c r="AP188" s="957"/>
      <c r="AQ188" s="957"/>
      <c r="AR188" s="958"/>
      <c r="AS188" s="1056"/>
      <c r="AT188" s="1057"/>
      <c r="AU188" s="1057"/>
      <c r="AV188" s="1057"/>
      <c r="AW188" s="1057"/>
      <c r="AX188" s="1057"/>
      <c r="AY188" s="1057"/>
      <c r="AZ188" s="1057"/>
      <c r="BA188" s="1057"/>
      <c r="BB188" s="1058"/>
      <c r="BC188" s="1056"/>
      <c r="BD188" s="1057"/>
      <c r="BE188" s="1057"/>
      <c r="BF188" s="1057"/>
      <c r="BG188" s="1057"/>
      <c r="BH188" s="1057"/>
      <c r="BI188" s="1057"/>
      <c r="BJ188" s="1057"/>
      <c r="BK188" s="1057"/>
      <c r="BL188" s="1057"/>
      <c r="BM188" s="1058"/>
      <c r="BN188" s="956" t="s">
        <v>533</v>
      </c>
      <c r="BO188" s="957"/>
      <c r="BP188" s="957"/>
      <c r="BQ188" s="957"/>
      <c r="BR188" s="957"/>
      <c r="BS188" s="957"/>
      <c r="BT188" s="957"/>
      <c r="BU188" s="957"/>
      <c r="BV188" s="957"/>
      <c r="BW188" s="957"/>
      <c r="BX188" s="957"/>
      <c r="BY188" s="957"/>
      <c r="BZ188" s="957"/>
      <c r="CA188" s="957"/>
      <c r="CB188" s="958"/>
      <c r="CG188" s="212"/>
    </row>
    <row r="189" spans="1:94">
      <c r="A189" s="1059"/>
      <c r="B189" s="1060"/>
      <c r="C189" s="1060"/>
      <c r="D189" s="1061"/>
      <c r="E189" s="1062"/>
      <c r="F189" s="1063"/>
      <c r="G189" s="1063"/>
      <c r="H189" s="1063"/>
      <c r="I189" s="1063"/>
      <c r="J189" s="1063"/>
      <c r="K189" s="1063"/>
      <c r="L189" s="1063"/>
      <c r="M189" s="1063"/>
      <c r="N189" s="1063"/>
      <c r="O189" s="1063"/>
      <c r="P189" s="1063"/>
      <c r="Q189" s="1063"/>
      <c r="R189" s="1063"/>
      <c r="S189" s="1063"/>
      <c r="T189" s="1063"/>
      <c r="U189" s="1063"/>
      <c r="V189" s="1063"/>
      <c r="W189" s="1063"/>
      <c r="X189" s="1063"/>
      <c r="Y189" s="1063"/>
      <c r="Z189" s="1063"/>
      <c r="AA189" s="1063"/>
      <c r="AB189" s="1063"/>
      <c r="AC189" s="1063"/>
      <c r="AD189" s="1063"/>
      <c r="AE189" s="1063"/>
      <c r="AF189" s="1063"/>
      <c r="AG189" s="1063"/>
      <c r="AH189" s="1063"/>
      <c r="AI189" s="1063"/>
      <c r="AJ189" s="1063"/>
      <c r="AK189" s="1063"/>
      <c r="AL189" s="1063"/>
      <c r="AM189" s="1063"/>
      <c r="AN189" s="1063"/>
      <c r="AO189" s="1063"/>
      <c r="AP189" s="1063"/>
      <c r="AQ189" s="1063"/>
      <c r="AR189" s="1064"/>
      <c r="AS189" s="1059"/>
      <c r="AT189" s="1060"/>
      <c r="AU189" s="1060"/>
      <c r="AV189" s="1060"/>
      <c r="AW189" s="1060"/>
      <c r="AX189" s="1060"/>
      <c r="AY189" s="1060"/>
      <c r="AZ189" s="1060"/>
      <c r="BA189" s="1060"/>
      <c r="BB189" s="1061"/>
      <c r="BC189" s="1059"/>
      <c r="BD189" s="1060"/>
      <c r="BE189" s="1060"/>
      <c r="BF189" s="1060"/>
      <c r="BG189" s="1060"/>
      <c r="BH189" s="1060"/>
      <c r="BI189" s="1060"/>
      <c r="BJ189" s="1060"/>
      <c r="BK189" s="1060"/>
      <c r="BL189" s="1060"/>
      <c r="BM189" s="1061"/>
      <c r="BN189" s="1062"/>
      <c r="BO189" s="1063"/>
      <c r="BP189" s="1063"/>
      <c r="BQ189" s="1063"/>
      <c r="BR189" s="1063"/>
      <c r="BS189" s="1063"/>
      <c r="BT189" s="1063"/>
      <c r="BU189" s="1063"/>
      <c r="BV189" s="1063"/>
      <c r="BW189" s="1063"/>
      <c r="BX189" s="1063"/>
      <c r="BY189" s="1063"/>
      <c r="BZ189" s="1063"/>
      <c r="CA189" s="1063"/>
      <c r="CB189" s="1064"/>
      <c r="CG189" s="212"/>
    </row>
    <row r="190" spans="1:94" ht="12.75" customHeight="1">
      <c r="A190" s="953"/>
      <c r="B190" s="954"/>
      <c r="C190" s="954"/>
      <c r="D190" s="955"/>
      <c r="E190" s="953">
        <v>1</v>
      </c>
      <c r="F190" s="954"/>
      <c r="G190" s="954"/>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5"/>
      <c r="AS190" s="953">
        <v>2</v>
      </c>
      <c r="AT190" s="954"/>
      <c r="AU190" s="954"/>
      <c r="AV190" s="954"/>
      <c r="AW190" s="954"/>
      <c r="AX190" s="954"/>
      <c r="AY190" s="954"/>
      <c r="AZ190" s="954"/>
      <c r="BA190" s="954"/>
      <c r="BB190" s="955"/>
      <c r="BC190" s="953">
        <v>3</v>
      </c>
      <c r="BD190" s="954"/>
      <c r="BE190" s="954"/>
      <c r="BF190" s="954"/>
      <c r="BG190" s="954"/>
      <c r="BH190" s="954"/>
      <c r="BI190" s="954"/>
      <c r="BJ190" s="954"/>
      <c r="BK190" s="954"/>
      <c r="BL190" s="954"/>
      <c r="BM190" s="955"/>
      <c r="BN190" s="953">
        <v>4</v>
      </c>
      <c r="BO190" s="954"/>
      <c r="BP190" s="954"/>
      <c r="BQ190" s="954"/>
      <c r="BR190" s="954"/>
      <c r="BS190" s="954"/>
      <c r="BT190" s="954"/>
      <c r="BU190" s="954"/>
      <c r="BV190" s="954"/>
      <c r="BW190" s="954"/>
      <c r="BX190" s="954"/>
      <c r="BY190" s="954"/>
      <c r="BZ190" s="954"/>
      <c r="CA190" s="954"/>
      <c r="CB190" s="955"/>
      <c r="CC190" s="115"/>
      <c r="CD190" s="115"/>
      <c r="CE190" s="115"/>
      <c r="CF190" s="115"/>
      <c r="CG190" s="116"/>
    </row>
    <row r="191" spans="1:94" ht="34.799999999999997" customHeight="1">
      <c r="A191" s="950">
        <v>1</v>
      </c>
      <c r="B191" s="951"/>
      <c r="C191" s="951"/>
      <c r="D191" s="952"/>
      <c r="E191" s="1071" t="str">
        <f>'стр. 2_8'!A376</f>
        <v>Увеличение стоимости прочих оборотных запасов (материалов), в т.ч.: (КФО 4 МБ)</v>
      </c>
      <c r="F191" s="1072"/>
      <c r="G191" s="1072"/>
      <c r="H191" s="1072"/>
      <c r="I191" s="1072"/>
      <c r="J191" s="1072"/>
      <c r="K191" s="1072"/>
      <c r="L191" s="1072"/>
      <c r="M191" s="1072"/>
      <c r="N191" s="1072"/>
      <c r="O191" s="1072"/>
      <c r="P191" s="1072"/>
      <c r="Q191" s="1072"/>
      <c r="R191" s="1072"/>
      <c r="S191" s="1072"/>
      <c r="T191" s="1072"/>
      <c r="U191" s="1072"/>
      <c r="V191" s="1072"/>
      <c r="W191" s="1072"/>
      <c r="X191" s="1072"/>
      <c r="Y191" s="1072"/>
      <c r="Z191" s="1072"/>
      <c r="AA191" s="1072"/>
      <c r="AB191" s="1072"/>
      <c r="AC191" s="1072"/>
      <c r="AD191" s="1072"/>
      <c r="AE191" s="1072"/>
      <c r="AF191" s="1072"/>
      <c r="AG191" s="1072"/>
      <c r="AH191" s="1072"/>
      <c r="AI191" s="1072"/>
      <c r="AJ191" s="1072"/>
      <c r="AK191" s="1072"/>
      <c r="AL191" s="1072"/>
      <c r="AM191" s="1072"/>
      <c r="AN191" s="1072"/>
      <c r="AO191" s="1072"/>
      <c r="AP191" s="1072"/>
      <c r="AQ191" s="1072"/>
      <c r="AR191" s="1073"/>
      <c r="AS191" s="977" t="s">
        <v>21</v>
      </c>
      <c r="AT191" s="978"/>
      <c r="AU191" s="978"/>
      <c r="AV191" s="978"/>
      <c r="AW191" s="978"/>
      <c r="AX191" s="978"/>
      <c r="AY191" s="978"/>
      <c r="AZ191" s="978"/>
      <c r="BA191" s="978"/>
      <c r="BB191" s="979"/>
      <c r="BC191" s="977" t="s">
        <v>21</v>
      </c>
      <c r="BD191" s="978"/>
      <c r="BE191" s="978"/>
      <c r="BF191" s="978"/>
      <c r="BG191" s="978"/>
      <c r="BH191" s="978"/>
      <c r="BI191" s="978"/>
      <c r="BJ191" s="978"/>
      <c r="BK191" s="978"/>
      <c r="BL191" s="978"/>
      <c r="BM191" s="979"/>
      <c r="BN191" s="1074">
        <f>'стр. 2_8'!DR376</f>
        <v>101910.74</v>
      </c>
      <c r="BO191" s="1075"/>
      <c r="BP191" s="1075"/>
      <c r="BQ191" s="1075"/>
      <c r="BR191" s="1075"/>
      <c r="BS191" s="1075"/>
      <c r="BT191" s="1075"/>
      <c r="BU191" s="1075"/>
      <c r="BV191" s="1075"/>
      <c r="BW191" s="1075"/>
      <c r="BX191" s="1075"/>
      <c r="BY191" s="1075"/>
      <c r="BZ191" s="1075"/>
      <c r="CA191" s="1075"/>
      <c r="CB191" s="1076"/>
      <c r="CC191" s="114">
        <v>3</v>
      </c>
      <c r="CD191" s="115"/>
      <c r="CE191" s="115"/>
      <c r="CF191" s="115">
        <v>30000</v>
      </c>
      <c r="CG191" s="116">
        <f t="shared" ref="CG191:CG207" si="18">CD191+CE191+CF191</f>
        <v>30000</v>
      </c>
      <c r="CP191" s="114" t="e">
        <f t="shared" ref="CP191:CP207" si="19">BN191/AS191</f>
        <v>#VALUE!</v>
      </c>
    </row>
    <row r="192" spans="1:94" s="255" customFormat="1" ht="22.2" customHeight="1">
      <c r="A192" s="950">
        <v>2</v>
      </c>
      <c r="B192" s="951"/>
      <c r="C192" s="951"/>
      <c r="D192" s="952"/>
      <c r="E192" s="1068" t="str">
        <f>'стр. 2_8'!A377</f>
        <v>Приобретение светодиодных ламп и уличных светильников  (КФО 4 МБ)</v>
      </c>
      <c r="F192" s="1069"/>
      <c r="G192" s="1069"/>
      <c r="H192" s="1069"/>
      <c r="I192" s="1069"/>
      <c r="J192" s="1069"/>
      <c r="K192" s="1069"/>
      <c r="L192" s="1069"/>
      <c r="M192" s="1069"/>
      <c r="N192" s="1069"/>
      <c r="O192" s="1069"/>
      <c r="P192" s="1069"/>
      <c r="Q192" s="1069"/>
      <c r="R192" s="1069"/>
      <c r="S192" s="1069"/>
      <c r="T192" s="1069"/>
      <c r="U192" s="1069"/>
      <c r="V192" s="1069"/>
      <c r="W192" s="1069"/>
      <c r="X192" s="1069"/>
      <c r="Y192" s="1069"/>
      <c r="Z192" s="1069"/>
      <c r="AA192" s="1069"/>
      <c r="AB192" s="1069"/>
      <c r="AC192" s="1069"/>
      <c r="AD192" s="1069"/>
      <c r="AE192" s="1069"/>
      <c r="AF192" s="1069"/>
      <c r="AG192" s="1069"/>
      <c r="AH192" s="1069"/>
      <c r="AI192" s="1069"/>
      <c r="AJ192" s="1069"/>
      <c r="AK192" s="1069"/>
      <c r="AL192" s="1069"/>
      <c r="AM192" s="1069"/>
      <c r="AN192" s="1069"/>
      <c r="AO192" s="1069"/>
      <c r="AP192" s="1069"/>
      <c r="AQ192" s="1069"/>
      <c r="AR192" s="1070"/>
      <c r="AS192" s="839">
        <v>17</v>
      </c>
      <c r="AT192" s="840"/>
      <c r="AU192" s="840"/>
      <c r="AV192" s="840"/>
      <c r="AW192" s="840"/>
      <c r="AX192" s="840"/>
      <c r="AY192" s="840"/>
      <c r="AZ192" s="840"/>
      <c r="BA192" s="840"/>
      <c r="BB192" s="841"/>
      <c r="BC192" s="831">
        <v>2500</v>
      </c>
      <c r="BD192" s="832"/>
      <c r="BE192" s="832"/>
      <c r="BF192" s="832"/>
      <c r="BG192" s="832"/>
      <c r="BH192" s="832"/>
      <c r="BI192" s="832"/>
      <c r="BJ192" s="832"/>
      <c r="BK192" s="832"/>
      <c r="BL192" s="832"/>
      <c r="BM192" s="833"/>
      <c r="BN192" s="834">
        <f>'стр. 2_8'!DR377</f>
        <v>42500</v>
      </c>
      <c r="BO192" s="835"/>
      <c r="BP192" s="835"/>
      <c r="BQ192" s="835"/>
      <c r="BR192" s="835"/>
      <c r="BS192" s="835"/>
      <c r="BT192" s="835"/>
      <c r="BU192" s="835"/>
      <c r="BV192" s="835"/>
      <c r="BW192" s="835"/>
      <c r="BX192" s="835"/>
      <c r="BY192" s="835"/>
      <c r="BZ192" s="835"/>
      <c r="CA192" s="835"/>
      <c r="CB192" s="836"/>
      <c r="CC192" s="255">
        <v>2</v>
      </c>
      <c r="CD192" s="115"/>
      <c r="CE192" s="115"/>
      <c r="CF192" s="115"/>
      <c r="CG192" s="115">
        <f t="shared" si="18"/>
        <v>0</v>
      </c>
      <c r="CP192" s="255">
        <f t="shared" si="19"/>
        <v>2500</v>
      </c>
    </row>
    <row r="193" spans="1:94" s="255" customFormat="1" ht="21" customHeight="1">
      <c r="A193" s="950">
        <v>3</v>
      </c>
      <c r="B193" s="951"/>
      <c r="C193" s="951"/>
      <c r="D193" s="952"/>
      <c r="E193" s="1068" t="str">
        <f>'стр. 2_8'!A378</f>
        <v>Запасные части и комплектующие (КФО 4)</v>
      </c>
      <c r="F193" s="1069"/>
      <c r="G193" s="1069"/>
      <c r="H193" s="1069"/>
      <c r="I193" s="1069"/>
      <c r="J193" s="1069"/>
      <c r="K193" s="1069"/>
      <c r="L193" s="1069"/>
      <c r="M193" s="1069"/>
      <c r="N193" s="1069"/>
      <c r="O193" s="1069"/>
      <c r="P193" s="1069"/>
      <c r="Q193" s="1069"/>
      <c r="R193" s="1069"/>
      <c r="S193" s="1069"/>
      <c r="T193" s="1069"/>
      <c r="U193" s="1069"/>
      <c r="V193" s="1069"/>
      <c r="W193" s="1069"/>
      <c r="X193" s="1069"/>
      <c r="Y193" s="1069"/>
      <c r="Z193" s="1069"/>
      <c r="AA193" s="1069"/>
      <c r="AB193" s="1069"/>
      <c r="AC193" s="1069"/>
      <c r="AD193" s="1069"/>
      <c r="AE193" s="1069"/>
      <c r="AF193" s="1069"/>
      <c r="AG193" s="1069"/>
      <c r="AH193" s="1069"/>
      <c r="AI193" s="1069"/>
      <c r="AJ193" s="1069"/>
      <c r="AK193" s="1069"/>
      <c r="AL193" s="1069"/>
      <c r="AM193" s="1069"/>
      <c r="AN193" s="1069"/>
      <c r="AO193" s="1069"/>
      <c r="AP193" s="1069"/>
      <c r="AQ193" s="1069"/>
      <c r="AR193" s="1070"/>
      <c r="AS193" s="839">
        <v>20</v>
      </c>
      <c r="AT193" s="840"/>
      <c r="AU193" s="840"/>
      <c r="AV193" s="840"/>
      <c r="AW193" s="840"/>
      <c r="AX193" s="840"/>
      <c r="AY193" s="840"/>
      <c r="AZ193" s="840"/>
      <c r="BA193" s="840"/>
      <c r="BB193" s="841"/>
      <c r="BC193" s="831">
        <v>2000</v>
      </c>
      <c r="BD193" s="832"/>
      <c r="BE193" s="832"/>
      <c r="BF193" s="832"/>
      <c r="BG193" s="832"/>
      <c r="BH193" s="832"/>
      <c r="BI193" s="832"/>
      <c r="BJ193" s="832"/>
      <c r="BK193" s="832"/>
      <c r="BL193" s="832"/>
      <c r="BM193" s="833"/>
      <c r="BN193" s="834">
        <f>'стр. 2_8'!DR378</f>
        <v>12410.740000000002</v>
      </c>
      <c r="BO193" s="835"/>
      <c r="BP193" s="835"/>
      <c r="BQ193" s="835"/>
      <c r="BR193" s="835"/>
      <c r="BS193" s="835"/>
      <c r="BT193" s="835"/>
      <c r="BU193" s="835"/>
      <c r="BV193" s="835"/>
      <c r="BW193" s="835"/>
      <c r="BX193" s="835"/>
      <c r="BY193" s="835"/>
      <c r="BZ193" s="835"/>
      <c r="CA193" s="835"/>
      <c r="CB193" s="836"/>
      <c r="CC193" s="255">
        <v>1</v>
      </c>
      <c r="CD193" s="115"/>
      <c r="CE193" s="115"/>
      <c r="CF193" s="115">
        <v>78886</v>
      </c>
      <c r="CG193" s="115">
        <f t="shared" si="18"/>
        <v>78886</v>
      </c>
      <c r="CP193" s="255">
        <f t="shared" si="19"/>
        <v>620.53700000000003</v>
      </c>
    </row>
    <row r="194" spans="1:94" s="255" customFormat="1" ht="19.2" customHeight="1">
      <c r="A194" s="950">
        <v>4</v>
      </c>
      <c r="B194" s="951"/>
      <c r="C194" s="951"/>
      <c r="D194" s="952"/>
      <c r="E194" s="1068" t="str">
        <f>'стр. 2_8'!A379</f>
        <v>Канцелярские товары (КФО 4)</v>
      </c>
      <c r="F194" s="1069"/>
      <c r="G194" s="1069"/>
      <c r="H194" s="1069"/>
      <c r="I194" s="1069"/>
      <c r="J194" s="1069"/>
      <c r="K194" s="1069"/>
      <c r="L194" s="1069"/>
      <c r="M194" s="1069"/>
      <c r="N194" s="1069"/>
      <c r="O194" s="1069"/>
      <c r="P194" s="1069"/>
      <c r="Q194" s="1069"/>
      <c r="R194" s="1069"/>
      <c r="S194" s="1069"/>
      <c r="T194" s="1069"/>
      <c r="U194" s="1069"/>
      <c r="V194" s="1069"/>
      <c r="W194" s="1069"/>
      <c r="X194" s="1069"/>
      <c r="Y194" s="1069"/>
      <c r="Z194" s="1069"/>
      <c r="AA194" s="1069"/>
      <c r="AB194" s="1069"/>
      <c r="AC194" s="1069"/>
      <c r="AD194" s="1069"/>
      <c r="AE194" s="1069"/>
      <c r="AF194" s="1069"/>
      <c r="AG194" s="1069"/>
      <c r="AH194" s="1069"/>
      <c r="AI194" s="1069"/>
      <c r="AJ194" s="1069"/>
      <c r="AK194" s="1069"/>
      <c r="AL194" s="1069"/>
      <c r="AM194" s="1069"/>
      <c r="AN194" s="1069"/>
      <c r="AO194" s="1069"/>
      <c r="AP194" s="1069"/>
      <c r="AQ194" s="1069"/>
      <c r="AR194" s="1070"/>
      <c r="AS194" s="839">
        <v>2000</v>
      </c>
      <c r="AT194" s="840"/>
      <c r="AU194" s="840"/>
      <c r="AV194" s="840"/>
      <c r="AW194" s="840"/>
      <c r="AX194" s="840"/>
      <c r="AY194" s="840"/>
      <c r="AZ194" s="840"/>
      <c r="BA194" s="840"/>
      <c r="BB194" s="841"/>
      <c r="BC194" s="831">
        <v>200</v>
      </c>
      <c r="BD194" s="832"/>
      <c r="BE194" s="832"/>
      <c r="BF194" s="832"/>
      <c r="BG194" s="832"/>
      <c r="BH194" s="832"/>
      <c r="BI194" s="832"/>
      <c r="BJ194" s="832"/>
      <c r="BK194" s="832"/>
      <c r="BL194" s="832"/>
      <c r="BM194" s="833"/>
      <c r="BN194" s="834">
        <f>'стр. 2_8'!DR379</f>
        <v>20000</v>
      </c>
      <c r="BO194" s="835"/>
      <c r="BP194" s="835"/>
      <c r="BQ194" s="835"/>
      <c r="BR194" s="835"/>
      <c r="BS194" s="835"/>
      <c r="BT194" s="835"/>
      <c r="BU194" s="835"/>
      <c r="BV194" s="835"/>
      <c r="BW194" s="835"/>
      <c r="BX194" s="835"/>
      <c r="BY194" s="835"/>
      <c r="BZ194" s="835"/>
      <c r="CA194" s="835"/>
      <c r="CB194" s="836"/>
      <c r="CC194" s="255">
        <v>4</v>
      </c>
      <c r="CD194" s="115"/>
      <c r="CE194" s="115">
        <v>68280.3</v>
      </c>
      <c r="CF194" s="115"/>
      <c r="CG194" s="115">
        <f t="shared" si="18"/>
        <v>68280.3</v>
      </c>
      <c r="CP194" s="255">
        <f t="shared" si="19"/>
        <v>10</v>
      </c>
    </row>
    <row r="195" spans="1:94" s="255" customFormat="1" ht="17.399999999999999" customHeight="1">
      <c r="A195" s="950">
        <v>5</v>
      </c>
      <c r="B195" s="951"/>
      <c r="C195" s="951"/>
      <c r="D195" s="952"/>
      <c r="E195" s="1068" t="str">
        <f>'стр. 2_8'!A380</f>
        <v>Приобретение ГСМ (КФО 4)</v>
      </c>
      <c r="F195" s="1069"/>
      <c r="G195" s="1069"/>
      <c r="H195" s="1069"/>
      <c r="I195" s="1069"/>
      <c r="J195" s="1069"/>
      <c r="K195" s="1069"/>
      <c r="L195" s="1069"/>
      <c r="M195" s="1069"/>
      <c r="N195" s="1069"/>
      <c r="O195" s="1069"/>
      <c r="P195" s="1069"/>
      <c r="Q195" s="1069"/>
      <c r="R195" s="1069"/>
      <c r="S195" s="1069"/>
      <c r="T195" s="1069"/>
      <c r="U195" s="1069"/>
      <c r="V195" s="1069"/>
      <c r="W195" s="1069"/>
      <c r="X195" s="1069"/>
      <c r="Y195" s="1069"/>
      <c r="Z195" s="1069"/>
      <c r="AA195" s="1069"/>
      <c r="AB195" s="1069"/>
      <c r="AC195" s="1069"/>
      <c r="AD195" s="1069"/>
      <c r="AE195" s="1069"/>
      <c r="AF195" s="1069"/>
      <c r="AG195" s="1069"/>
      <c r="AH195" s="1069"/>
      <c r="AI195" s="1069"/>
      <c r="AJ195" s="1069"/>
      <c r="AK195" s="1069"/>
      <c r="AL195" s="1069"/>
      <c r="AM195" s="1069"/>
      <c r="AN195" s="1069"/>
      <c r="AO195" s="1069"/>
      <c r="AP195" s="1069"/>
      <c r="AQ195" s="1069"/>
      <c r="AR195" s="1070"/>
      <c r="AS195" s="839">
        <v>22</v>
      </c>
      <c r="AT195" s="840"/>
      <c r="AU195" s="840"/>
      <c r="AV195" s="840"/>
      <c r="AW195" s="840"/>
      <c r="AX195" s="840"/>
      <c r="AY195" s="840"/>
      <c r="AZ195" s="840"/>
      <c r="BA195" s="840"/>
      <c r="BB195" s="841"/>
      <c r="BC195" s="831">
        <v>500</v>
      </c>
      <c r="BD195" s="832"/>
      <c r="BE195" s="832"/>
      <c r="BF195" s="832"/>
      <c r="BG195" s="832"/>
      <c r="BH195" s="832"/>
      <c r="BI195" s="832"/>
      <c r="BJ195" s="832"/>
      <c r="BK195" s="832"/>
      <c r="BL195" s="832"/>
      <c r="BM195" s="833"/>
      <c r="BN195" s="834">
        <f>'стр. 2_8'!DR380</f>
        <v>11000</v>
      </c>
      <c r="BO195" s="835"/>
      <c r="BP195" s="835"/>
      <c r="BQ195" s="835"/>
      <c r="BR195" s="835"/>
      <c r="BS195" s="835"/>
      <c r="BT195" s="835"/>
      <c r="BU195" s="835"/>
      <c r="BV195" s="835"/>
      <c r="BW195" s="835"/>
      <c r="BX195" s="835"/>
      <c r="BY195" s="835"/>
      <c r="BZ195" s="835"/>
      <c r="CA195" s="835"/>
      <c r="CB195" s="836"/>
      <c r="CC195" s="255">
        <v>4</v>
      </c>
      <c r="CD195" s="115"/>
      <c r="CE195" s="115">
        <v>30719.7</v>
      </c>
      <c r="CF195" s="115"/>
      <c r="CG195" s="115">
        <f t="shared" si="18"/>
        <v>30719.7</v>
      </c>
      <c r="CP195" s="255">
        <f t="shared" si="19"/>
        <v>500</v>
      </c>
    </row>
    <row r="196" spans="1:94" s="255" customFormat="1" ht="19.95" customHeight="1">
      <c r="A196" s="950">
        <v>6</v>
      </c>
      <c r="B196" s="951"/>
      <c r="C196" s="951"/>
      <c r="D196" s="952"/>
      <c r="E196" s="1068" t="str">
        <f>'стр. 2_8'!A381</f>
        <v>Медикаменты (КФО 4)</v>
      </c>
      <c r="F196" s="1069"/>
      <c r="G196" s="1069"/>
      <c r="H196" s="1069"/>
      <c r="I196" s="1069"/>
      <c r="J196" s="1069"/>
      <c r="K196" s="1069"/>
      <c r="L196" s="1069"/>
      <c r="M196" s="1069"/>
      <c r="N196" s="1069"/>
      <c r="O196" s="1069"/>
      <c r="P196" s="1069"/>
      <c r="Q196" s="1069"/>
      <c r="R196" s="1069"/>
      <c r="S196" s="1069"/>
      <c r="T196" s="1069"/>
      <c r="U196" s="1069"/>
      <c r="V196" s="1069"/>
      <c r="W196" s="1069"/>
      <c r="X196" s="1069"/>
      <c r="Y196" s="1069"/>
      <c r="Z196" s="1069"/>
      <c r="AA196" s="1069"/>
      <c r="AB196" s="1069"/>
      <c r="AC196" s="1069"/>
      <c r="AD196" s="1069"/>
      <c r="AE196" s="1069"/>
      <c r="AF196" s="1069"/>
      <c r="AG196" s="1069"/>
      <c r="AH196" s="1069"/>
      <c r="AI196" s="1069"/>
      <c r="AJ196" s="1069"/>
      <c r="AK196" s="1069"/>
      <c r="AL196" s="1069"/>
      <c r="AM196" s="1069"/>
      <c r="AN196" s="1069"/>
      <c r="AO196" s="1069"/>
      <c r="AP196" s="1069"/>
      <c r="AQ196" s="1069"/>
      <c r="AR196" s="1070"/>
      <c r="AS196" s="839">
        <v>40</v>
      </c>
      <c r="AT196" s="840"/>
      <c r="AU196" s="840"/>
      <c r="AV196" s="840"/>
      <c r="AW196" s="840"/>
      <c r="AX196" s="840"/>
      <c r="AY196" s="840"/>
      <c r="AZ196" s="840"/>
      <c r="BA196" s="840"/>
      <c r="BB196" s="841"/>
      <c r="BC196" s="831">
        <v>50</v>
      </c>
      <c r="BD196" s="832"/>
      <c r="BE196" s="832"/>
      <c r="BF196" s="832"/>
      <c r="BG196" s="832"/>
      <c r="BH196" s="832"/>
      <c r="BI196" s="832"/>
      <c r="BJ196" s="832"/>
      <c r="BK196" s="832"/>
      <c r="BL196" s="832"/>
      <c r="BM196" s="833"/>
      <c r="BN196" s="834">
        <f>'стр. 2_8'!DR381</f>
        <v>2000</v>
      </c>
      <c r="BO196" s="835"/>
      <c r="BP196" s="835"/>
      <c r="BQ196" s="835"/>
      <c r="BR196" s="835"/>
      <c r="BS196" s="835"/>
      <c r="BT196" s="835"/>
      <c r="BU196" s="835"/>
      <c r="BV196" s="835"/>
      <c r="BW196" s="835"/>
      <c r="BX196" s="835"/>
      <c r="BY196" s="835"/>
      <c r="BZ196" s="835"/>
      <c r="CA196" s="835"/>
      <c r="CB196" s="836"/>
      <c r="CC196" s="255">
        <v>1</v>
      </c>
      <c r="CD196" s="115"/>
      <c r="CE196" s="115"/>
      <c r="CF196" s="115">
        <v>35000</v>
      </c>
      <c r="CG196" s="115">
        <f t="shared" si="18"/>
        <v>35000</v>
      </c>
      <c r="CP196" s="255">
        <f t="shared" si="19"/>
        <v>50</v>
      </c>
    </row>
    <row r="197" spans="1:94" s="255" customFormat="1" ht="21.6" customHeight="1">
      <c r="A197" s="950">
        <v>7</v>
      </c>
      <c r="B197" s="951"/>
      <c r="C197" s="951"/>
      <c r="D197" s="952"/>
      <c r="E197" s="1068" t="str">
        <f>'стр. 2_8'!A382</f>
        <v>Приобретение галогеновых ламп для светового оборудования (КФО 4)</v>
      </c>
      <c r="F197" s="1069"/>
      <c r="G197" s="1069"/>
      <c r="H197" s="1069"/>
      <c r="I197" s="1069"/>
      <c r="J197" s="1069"/>
      <c r="K197" s="1069"/>
      <c r="L197" s="1069"/>
      <c r="M197" s="1069"/>
      <c r="N197" s="1069"/>
      <c r="O197" s="1069"/>
      <c r="P197" s="1069"/>
      <c r="Q197" s="1069"/>
      <c r="R197" s="1069"/>
      <c r="S197" s="1069"/>
      <c r="T197" s="1069"/>
      <c r="U197" s="1069"/>
      <c r="V197" s="1069"/>
      <c r="W197" s="1069"/>
      <c r="X197" s="1069"/>
      <c r="Y197" s="1069"/>
      <c r="Z197" s="1069"/>
      <c r="AA197" s="1069"/>
      <c r="AB197" s="1069"/>
      <c r="AC197" s="1069"/>
      <c r="AD197" s="1069"/>
      <c r="AE197" s="1069"/>
      <c r="AF197" s="1069"/>
      <c r="AG197" s="1069"/>
      <c r="AH197" s="1069"/>
      <c r="AI197" s="1069"/>
      <c r="AJ197" s="1069"/>
      <c r="AK197" s="1069"/>
      <c r="AL197" s="1069"/>
      <c r="AM197" s="1069"/>
      <c r="AN197" s="1069"/>
      <c r="AO197" s="1069"/>
      <c r="AP197" s="1069"/>
      <c r="AQ197" s="1069"/>
      <c r="AR197" s="1070"/>
      <c r="AS197" s="839">
        <v>10</v>
      </c>
      <c r="AT197" s="840"/>
      <c r="AU197" s="840"/>
      <c r="AV197" s="840"/>
      <c r="AW197" s="840"/>
      <c r="AX197" s="840"/>
      <c r="AY197" s="840"/>
      <c r="AZ197" s="840"/>
      <c r="BA197" s="840"/>
      <c r="BB197" s="841"/>
      <c r="BC197" s="831">
        <v>1400</v>
      </c>
      <c r="BD197" s="832"/>
      <c r="BE197" s="832"/>
      <c r="BF197" s="832"/>
      <c r="BG197" s="832"/>
      <c r="BH197" s="832"/>
      <c r="BI197" s="832"/>
      <c r="BJ197" s="832"/>
      <c r="BK197" s="832"/>
      <c r="BL197" s="832"/>
      <c r="BM197" s="833"/>
      <c r="BN197" s="834">
        <f>'стр. 2_8'!DR382</f>
        <v>14000</v>
      </c>
      <c r="BO197" s="835"/>
      <c r="BP197" s="835"/>
      <c r="BQ197" s="835"/>
      <c r="BR197" s="835"/>
      <c r="BS197" s="835"/>
      <c r="BT197" s="835"/>
      <c r="BU197" s="835"/>
      <c r="BV197" s="835"/>
      <c r="BW197" s="835"/>
      <c r="BX197" s="835"/>
      <c r="BY197" s="835"/>
      <c r="BZ197" s="835"/>
      <c r="CA197" s="835"/>
      <c r="CB197" s="836"/>
      <c r="CC197" s="255">
        <v>1</v>
      </c>
      <c r="CD197" s="115"/>
      <c r="CE197" s="115"/>
      <c r="CF197" s="115">
        <v>5000</v>
      </c>
      <c r="CG197" s="115">
        <f t="shared" si="18"/>
        <v>5000</v>
      </c>
      <c r="CP197" s="255">
        <f t="shared" si="19"/>
        <v>1400</v>
      </c>
    </row>
    <row r="198" spans="1:94" s="255" customFormat="1" hidden="1">
      <c r="A198" s="950">
        <v>8</v>
      </c>
      <c r="B198" s="951"/>
      <c r="C198" s="951"/>
      <c r="D198" s="952"/>
      <c r="E198" s="1068">
        <f>'стр. 2_8'!A383</f>
        <v>0</v>
      </c>
      <c r="F198" s="1069"/>
      <c r="G198" s="1069"/>
      <c r="H198" s="1069"/>
      <c r="I198" s="1069"/>
      <c r="J198" s="1069"/>
      <c r="K198" s="1069"/>
      <c r="L198" s="1069"/>
      <c r="M198" s="1069"/>
      <c r="N198" s="1069"/>
      <c r="O198" s="1069"/>
      <c r="P198" s="1069"/>
      <c r="Q198" s="1069"/>
      <c r="R198" s="1069"/>
      <c r="S198" s="1069"/>
      <c r="T198" s="1069"/>
      <c r="U198" s="1069"/>
      <c r="V198" s="1069"/>
      <c r="W198" s="1069"/>
      <c r="X198" s="1069"/>
      <c r="Y198" s="1069"/>
      <c r="Z198" s="1069"/>
      <c r="AA198" s="1069"/>
      <c r="AB198" s="1069"/>
      <c r="AC198" s="1069"/>
      <c r="AD198" s="1069"/>
      <c r="AE198" s="1069"/>
      <c r="AF198" s="1069"/>
      <c r="AG198" s="1069"/>
      <c r="AH198" s="1069"/>
      <c r="AI198" s="1069"/>
      <c r="AJ198" s="1069"/>
      <c r="AK198" s="1069"/>
      <c r="AL198" s="1069"/>
      <c r="AM198" s="1069"/>
      <c r="AN198" s="1069"/>
      <c r="AO198" s="1069"/>
      <c r="AP198" s="1069"/>
      <c r="AQ198" s="1069"/>
      <c r="AR198" s="1070"/>
      <c r="AS198" s="932"/>
      <c r="AT198" s="933"/>
      <c r="AU198" s="933"/>
      <c r="AV198" s="933"/>
      <c r="AW198" s="933"/>
      <c r="AX198" s="933"/>
      <c r="AY198" s="933"/>
      <c r="AZ198" s="933"/>
      <c r="BA198" s="933"/>
      <c r="BB198" s="934"/>
      <c r="BC198" s="831"/>
      <c r="BD198" s="832"/>
      <c r="BE198" s="832"/>
      <c r="BF198" s="832"/>
      <c r="BG198" s="832"/>
      <c r="BH198" s="832"/>
      <c r="BI198" s="832"/>
      <c r="BJ198" s="832"/>
      <c r="BK198" s="832"/>
      <c r="BL198" s="832"/>
      <c r="BM198" s="833"/>
      <c r="BN198" s="834">
        <f>'стр. 2_8'!DR383</f>
        <v>0</v>
      </c>
      <c r="BO198" s="835"/>
      <c r="BP198" s="835"/>
      <c r="BQ198" s="835"/>
      <c r="BR198" s="835"/>
      <c r="BS198" s="835"/>
      <c r="BT198" s="835"/>
      <c r="BU198" s="835"/>
      <c r="BV198" s="835"/>
      <c r="BW198" s="835"/>
      <c r="BX198" s="835"/>
      <c r="BY198" s="835"/>
      <c r="BZ198" s="835"/>
      <c r="CA198" s="835"/>
      <c r="CB198" s="836"/>
      <c r="CC198" s="255">
        <v>1</v>
      </c>
      <c r="CD198" s="115"/>
      <c r="CE198" s="115"/>
      <c r="CF198" s="115"/>
      <c r="CG198" s="115">
        <f t="shared" si="18"/>
        <v>0</v>
      </c>
      <c r="CP198" s="255" t="e">
        <f t="shared" si="19"/>
        <v>#DIV/0!</v>
      </c>
    </row>
    <row r="199" spans="1:94" s="255" customFormat="1" ht="20.399999999999999" hidden="1" customHeight="1">
      <c r="A199" s="950">
        <v>7</v>
      </c>
      <c r="B199" s="951"/>
      <c r="C199" s="951"/>
      <c r="D199" s="952"/>
      <c r="E199" s="1068">
        <f>'стр. 2_8'!A384</f>
        <v>0</v>
      </c>
      <c r="F199" s="1069"/>
      <c r="G199" s="1069"/>
      <c r="H199" s="1069"/>
      <c r="I199" s="1069"/>
      <c r="J199" s="1069"/>
      <c r="K199" s="1069"/>
      <c r="L199" s="1069"/>
      <c r="M199" s="1069"/>
      <c r="N199" s="1069"/>
      <c r="O199" s="1069"/>
      <c r="P199" s="1069"/>
      <c r="Q199" s="1069"/>
      <c r="R199" s="1069"/>
      <c r="S199" s="1069"/>
      <c r="T199" s="1069"/>
      <c r="U199" s="1069"/>
      <c r="V199" s="1069"/>
      <c r="W199" s="1069"/>
      <c r="X199" s="1069"/>
      <c r="Y199" s="1069"/>
      <c r="Z199" s="1069"/>
      <c r="AA199" s="1069"/>
      <c r="AB199" s="1069"/>
      <c r="AC199" s="1069"/>
      <c r="AD199" s="1069"/>
      <c r="AE199" s="1069"/>
      <c r="AF199" s="1069"/>
      <c r="AG199" s="1069"/>
      <c r="AH199" s="1069"/>
      <c r="AI199" s="1069"/>
      <c r="AJ199" s="1069"/>
      <c r="AK199" s="1069"/>
      <c r="AL199" s="1069"/>
      <c r="AM199" s="1069"/>
      <c r="AN199" s="1069"/>
      <c r="AO199" s="1069"/>
      <c r="AP199" s="1069"/>
      <c r="AQ199" s="1069"/>
      <c r="AR199" s="1070"/>
      <c r="AS199" s="839"/>
      <c r="AT199" s="840"/>
      <c r="AU199" s="840"/>
      <c r="AV199" s="840"/>
      <c r="AW199" s="840"/>
      <c r="AX199" s="840"/>
      <c r="AY199" s="840"/>
      <c r="AZ199" s="840"/>
      <c r="BA199" s="840"/>
      <c r="BB199" s="841"/>
      <c r="BC199" s="831"/>
      <c r="BD199" s="832"/>
      <c r="BE199" s="832"/>
      <c r="BF199" s="832"/>
      <c r="BG199" s="832"/>
      <c r="BH199" s="832"/>
      <c r="BI199" s="832"/>
      <c r="BJ199" s="832"/>
      <c r="BK199" s="832"/>
      <c r="BL199" s="832"/>
      <c r="BM199" s="833"/>
      <c r="BN199" s="834">
        <f>'стр. 2_8'!DR384</f>
        <v>0</v>
      </c>
      <c r="BO199" s="835"/>
      <c r="BP199" s="835"/>
      <c r="BQ199" s="835"/>
      <c r="BR199" s="835"/>
      <c r="BS199" s="835"/>
      <c r="BT199" s="835"/>
      <c r="BU199" s="835"/>
      <c r="BV199" s="835"/>
      <c r="BW199" s="835"/>
      <c r="BX199" s="835"/>
      <c r="BY199" s="835"/>
      <c r="BZ199" s="835"/>
      <c r="CA199" s="835"/>
      <c r="CB199" s="836"/>
      <c r="CD199" s="115"/>
      <c r="CE199" s="115"/>
      <c r="CF199" s="115"/>
      <c r="CG199" s="115">
        <f t="shared" si="18"/>
        <v>0</v>
      </c>
      <c r="CP199" s="255" t="e">
        <f t="shared" si="19"/>
        <v>#DIV/0!</v>
      </c>
    </row>
    <row r="200" spans="1:94" s="255" customFormat="1" ht="18.600000000000001" hidden="1" customHeight="1">
      <c r="A200" s="950">
        <v>8</v>
      </c>
      <c r="B200" s="951"/>
      <c r="C200" s="951"/>
      <c r="D200" s="952"/>
      <c r="E200" s="1068">
        <f>'стр. 2_8'!A385</f>
        <v>0</v>
      </c>
      <c r="F200" s="1069"/>
      <c r="G200" s="1069"/>
      <c r="H200" s="1069"/>
      <c r="I200" s="1069"/>
      <c r="J200" s="1069"/>
      <c r="K200" s="1069"/>
      <c r="L200" s="1069"/>
      <c r="M200" s="1069"/>
      <c r="N200" s="1069"/>
      <c r="O200" s="1069"/>
      <c r="P200" s="1069"/>
      <c r="Q200" s="1069"/>
      <c r="R200" s="1069"/>
      <c r="S200" s="1069"/>
      <c r="T200" s="1069"/>
      <c r="U200" s="1069"/>
      <c r="V200" s="1069"/>
      <c r="W200" s="1069"/>
      <c r="X200" s="1069"/>
      <c r="Y200" s="1069"/>
      <c r="Z200" s="1069"/>
      <c r="AA200" s="1069"/>
      <c r="AB200" s="1069"/>
      <c r="AC200" s="1069"/>
      <c r="AD200" s="1069"/>
      <c r="AE200" s="1069"/>
      <c r="AF200" s="1069"/>
      <c r="AG200" s="1069"/>
      <c r="AH200" s="1069"/>
      <c r="AI200" s="1069"/>
      <c r="AJ200" s="1069"/>
      <c r="AK200" s="1069"/>
      <c r="AL200" s="1069"/>
      <c r="AM200" s="1069"/>
      <c r="AN200" s="1069"/>
      <c r="AO200" s="1069"/>
      <c r="AP200" s="1069"/>
      <c r="AQ200" s="1069"/>
      <c r="AR200" s="1070"/>
      <c r="AS200" s="839"/>
      <c r="AT200" s="840"/>
      <c r="AU200" s="840"/>
      <c r="AV200" s="840"/>
      <c r="AW200" s="840"/>
      <c r="AX200" s="840"/>
      <c r="AY200" s="840"/>
      <c r="AZ200" s="840"/>
      <c r="BA200" s="840"/>
      <c r="BB200" s="841"/>
      <c r="BC200" s="831"/>
      <c r="BD200" s="832"/>
      <c r="BE200" s="832"/>
      <c r="BF200" s="832"/>
      <c r="BG200" s="832"/>
      <c r="BH200" s="832"/>
      <c r="BI200" s="832"/>
      <c r="BJ200" s="832"/>
      <c r="BK200" s="832"/>
      <c r="BL200" s="832"/>
      <c r="BM200" s="833"/>
      <c r="BN200" s="834">
        <f>'стр. 2_8'!DR385</f>
        <v>0</v>
      </c>
      <c r="BO200" s="835"/>
      <c r="BP200" s="835"/>
      <c r="BQ200" s="835"/>
      <c r="BR200" s="835"/>
      <c r="BS200" s="835"/>
      <c r="BT200" s="835"/>
      <c r="BU200" s="835"/>
      <c r="BV200" s="835"/>
      <c r="BW200" s="835"/>
      <c r="BX200" s="835"/>
      <c r="BY200" s="835"/>
      <c r="BZ200" s="835"/>
      <c r="CA200" s="835"/>
      <c r="CB200" s="836"/>
      <c r="CD200" s="115"/>
      <c r="CE200" s="115"/>
      <c r="CF200" s="115"/>
      <c r="CG200" s="115">
        <f t="shared" si="18"/>
        <v>0</v>
      </c>
      <c r="CP200" s="255" t="e">
        <f t="shared" si="19"/>
        <v>#DIV/0!</v>
      </c>
    </row>
    <row r="201" spans="1:94" s="255" customFormat="1" ht="29.4" hidden="1" customHeight="1">
      <c r="A201" s="950">
        <v>2</v>
      </c>
      <c r="B201" s="951"/>
      <c r="C201" s="951"/>
      <c r="D201" s="952"/>
      <c r="E201" s="1068">
        <f>'стр. 2_8'!A386</f>
        <v>0</v>
      </c>
      <c r="F201" s="1069"/>
      <c r="G201" s="1069"/>
      <c r="H201" s="1069"/>
      <c r="I201" s="1069"/>
      <c r="J201" s="1069"/>
      <c r="K201" s="1069"/>
      <c r="L201" s="1069"/>
      <c r="M201" s="1069"/>
      <c r="N201" s="1069"/>
      <c r="O201" s="1069"/>
      <c r="P201" s="1069"/>
      <c r="Q201" s="1069"/>
      <c r="R201" s="1069"/>
      <c r="S201" s="1069"/>
      <c r="T201" s="1069"/>
      <c r="U201" s="1069"/>
      <c r="V201" s="1069"/>
      <c r="W201" s="1069"/>
      <c r="X201" s="1069"/>
      <c r="Y201" s="1069"/>
      <c r="Z201" s="1069"/>
      <c r="AA201" s="1069"/>
      <c r="AB201" s="1069"/>
      <c r="AC201" s="1069"/>
      <c r="AD201" s="1069"/>
      <c r="AE201" s="1069"/>
      <c r="AF201" s="1069"/>
      <c r="AG201" s="1069"/>
      <c r="AH201" s="1069"/>
      <c r="AI201" s="1069"/>
      <c r="AJ201" s="1069"/>
      <c r="AK201" s="1069"/>
      <c r="AL201" s="1069"/>
      <c r="AM201" s="1069"/>
      <c r="AN201" s="1069"/>
      <c r="AO201" s="1069"/>
      <c r="AP201" s="1069"/>
      <c r="AQ201" s="1069"/>
      <c r="AR201" s="1070"/>
      <c r="AS201" s="839"/>
      <c r="AT201" s="840"/>
      <c r="AU201" s="840"/>
      <c r="AV201" s="840"/>
      <c r="AW201" s="840"/>
      <c r="AX201" s="840"/>
      <c r="AY201" s="840"/>
      <c r="AZ201" s="840"/>
      <c r="BA201" s="840"/>
      <c r="BB201" s="841"/>
      <c r="BC201" s="831"/>
      <c r="BD201" s="832"/>
      <c r="BE201" s="832"/>
      <c r="BF201" s="832"/>
      <c r="BG201" s="832"/>
      <c r="BH201" s="832"/>
      <c r="BI201" s="832"/>
      <c r="BJ201" s="832"/>
      <c r="BK201" s="832"/>
      <c r="BL201" s="832"/>
      <c r="BM201" s="833"/>
      <c r="BN201" s="834">
        <f>'стр. 2_8'!DR386</f>
        <v>0</v>
      </c>
      <c r="BO201" s="835"/>
      <c r="BP201" s="835"/>
      <c r="BQ201" s="835"/>
      <c r="BR201" s="835"/>
      <c r="BS201" s="835"/>
      <c r="BT201" s="835"/>
      <c r="BU201" s="835"/>
      <c r="BV201" s="835"/>
      <c r="BW201" s="835"/>
      <c r="BX201" s="835"/>
      <c r="BY201" s="835"/>
      <c r="BZ201" s="835"/>
      <c r="CA201" s="835"/>
      <c r="CB201" s="836"/>
      <c r="CC201" s="255">
        <v>2</v>
      </c>
      <c r="CD201" s="115"/>
      <c r="CE201" s="115"/>
      <c r="CF201" s="115"/>
      <c r="CG201" s="115">
        <f t="shared" si="18"/>
        <v>0</v>
      </c>
      <c r="CP201" s="255" t="e">
        <f t="shared" si="19"/>
        <v>#DIV/0!</v>
      </c>
    </row>
    <row r="202" spans="1:94" ht="30" customHeight="1">
      <c r="A202" s="950">
        <v>8</v>
      </c>
      <c r="B202" s="951"/>
      <c r="C202" s="951"/>
      <c r="D202" s="952"/>
      <c r="E202" s="1071" t="str">
        <f>'стр. 2_8'!A387</f>
        <v>Увеличение стоимости прочих оборотных запасов (материалов) в т.ч.: (КФО 5 всего)</v>
      </c>
      <c r="F202" s="1072"/>
      <c r="G202" s="1072"/>
      <c r="H202" s="1072"/>
      <c r="I202" s="1072"/>
      <c r="J202" s="1072"/>
      <c r="K202" s="1072"/>
      <c r="L202" s="1072"/>
      <c r="M202" s="1072"/>
      <c r="N202" s="1072"/>
      <c r="O202" s="1072"/>
      <c r="P202" s="1072"/>
      <c r="Q202" s="1072"/>
      <c r="R202" s="1072"/>
      <c r="S202" s="1072"/>
      <c r="T202" s="1072"/>
      <c r="U202" s="1072"/>
      <c r="V202" s="1072"/>
      <c r="W202" s="1072"/>
      <c r="X202" s="1072"/>
      <c r="Y202" s="1072"/>
      <c r="Z202" s="1072"/>
      <c r="AA202" s="1072"/>
      <c r="AB202" s="1072"/>
      <c r="AC202" s="1072"/>
      <c r="AD202" s="1072"/>
      <c r="AE202" s="1072"/>
      <c r="AF202" s="1072"/>
      <c r="AG202" s="1072"/>
      <c r="AH202" s="1072"/>
      <c r="AI202" s="1072"/>
      <c r="AJ202" s="1072"/>
      <c r="AK202" s="1072"/>
      <c r="AL202" s="1072"/>
      <c r="AM202" s="1072"/>
      <c r="AN202" s="1072"/>
      <c r="AO202" s="1072"/>
      <c r="AP202" s="1072"/>
      <c r="AQ202" s="1072"/>
      <c r="AR202" s="1073"/>
      <c r="AS202" s="977" t="s">
        <v>21</v>
      </c>
      <c r="AT202" s="978"/>
      <c r="AU202" s="978"/>
      <c r="AV202" s="978"/>
      <c r="AW202" s="978"/>
      <c r="AX202" s="978"/>
      <c r="AY202" s="978"/>
      <c r="AZ202" s="978"/>
      <c r="BA202" s="978"/>
      <c r="BB202" s="979"/>
      <c r="BC202" s="977" t="s">
        <v>21</v>
      </c>
      <c r="BD202" s="978"/>
      <c r="BE202" s="978"/>
      <c r="BF202" s="978"/>
      <c r="BG202" s="978"/>
      <c r="BH202" s="978"/>
      <c r="BI202" s="978"/>
      <c r="BJ202" s="978"/>
      <c r="BK202" s="978"/>
      <c r="BL202" s="978"/>
      <c r="BM202" s="979"/>
      <c r="BN202" s="1074">
        <f>'стр. 2_8'!DR387</f>
        <v>59500</v>
      </c>
      <c r="BO202" s="1075"/>
      <c r="BP202" s="1075"/>
      <c r="BQ202" s="1075"/>
      <c r="BR202" s="1075"/>
      <c r="BS202" s="1075"/>
      <c r="BT202" s="1075"/>
      <c r="BU202" s="1075"/>
      <c r="BV202" s="1075"/>
      <c r="BW202" s="1075"/>
      <c r="BX202" s="1075"/>
      <c r="BY202" s="1075"/>
      <c r="BZ202" s="1075"/>
      <c r="CA202" s="1075"/>
      <c r="CB202" s="1076"/>
      <c r="CC202" s="114">
        <v>1</v>
      </c>
      <c r="CD202" s="115"/>
      <c r="CE202" s="115"/>
      <c r="CF202" s="115">
        <v>78886</v>
      </c>
      <c r="CG202" s="116">
        <f t="shared" si="18"/>
        <v>78886</v>
      </c>
      <c r="CP202" s="114" t="e">
        <f t="shared" si="19"/>
        <v>#VALUE!</v>
      </c>
    </row>
    <row r="203" spans="1:94" ht="30.6" customHeight="1">
      <c r="A203" s="950">
        <v>9</v>
      </c>
      <c r="B203" s="951"/>
      <c r="C203" s="951"/>
      <c r="D203" s="952"/>
      <c r="E203" s="1071" t="str">
        <f>'стр. 2_8'!A388</f>
        <v>Увеличение стоимости прочих оборотных запасов (материалов) в т.ч.: (КФО 5 ФБ,ОБ)</v>
      </c>
      <c r="F203" s="1072"/>
      <c r="G203" s="1072"/>
      <c r="H203" s="1072"/>
      <c r="I203" s="1072"/>
      <c r="J203" s="1072"/>
      <c r="K203" s="1072"/>
      <c r="L203" s="1072"/>
      <c r="M203" s="1072"/>
      <c r="N203" s="1072"/>
      <c r="O203" s="1072"/>
      <c r="P203" s="1072"/>
      <c r="Q203" s="1072"/>
      <c r="R203" s="1072"/>
      <c r="S203" s="1072"/>
      <c r="T203" s="1072"/>
      <c r="U203" s="1072"/>
      <c r="V203" s="1072"/>
      <c r="W203" s="1072"/>
      <c r="X203" s="1072"/>
      <c r="Y203" s="1072"/>
      <c r="Z203" s="1072"/>
      <c r="AA203" s="1072"/>
      <c r="AB203" s="1072"/>
      <c r="AC203" s="1072"/>
      <c r="AD203" s="1072"/>
      <c r="AE203" s="1072"/>
      <c r="AF203" s="1072"/>
      <c r="AG203" s="1072"/>
      <c r="AH203" s="1072"/>
      <c r="AI203" s="1072"/>
      <c r="AJ203" s="1072"/>
      <c r="AK203" s="1072"/>
      <c r="AL203" s="1072"/>
      <c r="AM203" s="1072"/>
      <c r="AN203" s="1072"/>
      <c r="AO203" s="1072"/>
      <c r="AP203" s="1072"/>
      <c r="AQ203" s="1072"/>
      <c r="AR203" s="1073"/>
      <c r="AS203" s="950" t="s">
        <v>21</v>
      </c>
      <c r="AT203" s="951"/>
      <c r="AU203" s="951"/>
      <c r="AV203" s="951"/>
      <c r="AW203" s="951"/>
      <c r="AX203" s="951"/>
      <c r="AY203" s="951"/>
      <c r="AZ203" s="951"/>
      <c r="BA203" s="951"/>
      <c r="BB203" s="952"/>
      <c r="BC203" s="950" t="s">
        <v>21</v>
      </c>
      <c r="BD203" s="951"/>
      <c r="BE203" s="951"/>
      <c r="BF203" s="951"/>
      <c r="BG203" s="951"/>
      <c r="BH203" s="951"/>
      <c r="BI203" s="951"/>
      <c r="BJ203" s="951"/>
      <c r="BK203" s="951"/>
      <c r="BL203" s="951"/>
      <c r="BM203" s="952"/>
      <c r="BN203" s="1074">
        <f>'стр. 2_8'!DR388</f>
        <v>0</v>
      </c>
      <c r="BO203" s="1075"/>
      <c r="BP203" s="1075"/>
      <c r="BQ203" s="1075"/>
      <c r="BR203" s="1075"/>
      <c r="BS203" s="1075"/>
      <c r="BT203" s="1075"/>
      <c r="BU203" s="1075"/>
      <c r="BV203" s="1075"/>
      <c r="BW203" s="1075"/>
      <c r="BX203" s="1075"/>
      <c r="BY203" s="1075"/>
      <c r="BZ203" s="1075"/>
      <c r="CA203" s="1075"/>
      <c r="CB203" s="1076"/>
      <c r="CC203" s="114">
        <v>4</v>
      </c>
      <c r="CD203" s="115"/>
      <c r="CE203" s="115">
        <v>68280.3</v>
      </c>
      <c r="CF203" s="115"/>
      <c r="CG203" s="116">
        <f t="shared" si="18"/>
        <v>68280.3</v>
      </c>
      <c r="CP203" s="114" t="e">
        <f t="shared" si="19"/>
        <v>#VALUE!</v>
      </c>
    </row>
    <row r="204" spans="1:94" s="255" customFormat="1" ht="34.200000000000003" hidden="1" customHeight="1">
      <c r="A204" s="950">
        <v>8</v>
      </c>
      <c r="B204" s="951"/>
      <c r="C204" s="951"/>
      <c r="D204" s="952"/>
      <c r="E204" s="1068" t="str">
        <f>'стр. 2_8'!A389</f>
        <v>Приобретение светового оборудования  за счет средств федерального бюджета (МЦП 4) (КФО 5 ФБ)</v>
      </c>
      <c r="F204" s="1069"/>
      <c r="G204" s="1069"/>
      <c r="H204" s="1069"/>
      <c r="I204" s="1069"/>
      <c r="J204" s="1069"/>
      <c r="K204" s="1069"/>
      <c r="L204" s="1069"/>
      <c r="M204" s="1069"/>
      <c r="N204" s="1069"/>
      <c r="O204" s="1069"/>
      <c r="P204" s="1069"/>
      <c r="Q204" s="1069"/>
      <c r="R204" s="1069"/>
      <c r="S204" s="1069"/>
      <c r="T204" s="1069"/>
      <c r="U204" s="1069"/>
      <c r="V204" s="1069"/>
      <c r="W204" s="1069"/>
      <c r="X204" s="1069"/>
      <c r="Y204" s="1069"/>
      <c r="Z204" s="1069"/>
      <c r="AA204" s="1069"/>
      <c r="AB204" s="1069"/>
      <c r="AC204" s="1069"/>
      <c r="AD204" s="1069"/>
      <c r="AE204" s="1069"/>
      <c r="AF204" s="1069"/>
      <c r="AG204" s="1069"/>
      <c r="AH204" s="1069"/>
      <c r="AI204" s="1069"/>
      <c r="AJ204" s="1069"/>
      <c r="AK204" s="1069"/>
      <c r="AL204" s="1069"/>
      <c r="AM204" s="1069"/>
      <c r="AN204" s="1069"/>
      <c r="AO204" s="1069"/>
      <c r="AP204" s="1069"/>
      <c r="AQ204" s="1069"/>
      <c r="AR204" s="1070"/>
      <c r="AS204" s="926" t="s">
        <v>526</v>
      </c>
      <c r="AT204" s="927"/>
      <c r="AU204" s="927"/>
      <c r="AV204" s="927"/>
      <c r="AW204" s="927"/>
      <c r="AX204" s="927"/>
      <c r="AY204" s="927"/>
      <c r="AZ204" s="927"/>
      <c r="BA204" s="927"/>
      <c r="BB204" s="928"/>
      <c r="BC204" s="971" t="s">
        <v>526</v>
      </c>
      <c r="BD204" s="972"/>
      <c r="BE204" s="972"/>
      <c r="BF204" s="972"/>
      <c r="BG204" s="972"/>
      <c r="BH204" s="972"/>
      <c r="BI204" s="972"/>
      <c r="BJ204" s="972"/>
      <c r="BK204" s="972"/>
      <c r="BL204" s="972"/>
      <c r="BM204" s="973"/>
      <c r="BN204" s="834">
        <f>'стр. 2_8'!DR389</f>
        <v>0</v>
      </c>
      <c r="BO204" s="835"/>
      <c r="BP204" s="835"/>
      <c r="BQ204" s="835"/>
      <c r="BR204" s="835"/>
      <c r="BS204" s="835"/>
      <c r="BT204" s="835"/>
      <c r="BU204" s="835"/>
      <c r="BV204" s="835"/>
      <c r="BW204" s="835"/>
      <c r="BX204" s="835"/>
      <c r="BY204" s="835"/>
      <c r="BZ204" s="835"/>
      <c r="CA204" s="835"/>
      <c r="CB204" s="836"/>
      <c r="CC204" s="255">
        <v>4</v>
      </c>
      <c r="CD204" s="115"/>
      <c r="CE204" s="115">
        <v>30719.7</v>
      </c>
      <c r="CF204" s="115"/>
      <c r="CG204" s="115">
        <f t="shared" si="18"/>
        <v>30719.7</v>
      </c>
      <c r="CP204" s="255" t="e">
        <f t="shared" si="19"/>
        <v>#VALUE!</v>
      </c>
    </row>
    <row r="205" spans="1:94" s="255" customFormat="1" ht="28.2" hidden="1" customHeight="1">
      <c r="A205" s="950">
        <v>9</v>
      </c>
      <c r="B205" s="951"/>
      <c r="C205" s="951"/>
      <c r="D205" s="952"/>
      <c r="E205" s="1068" t="str">
        <f>'стр. 2_8'!A390</f>
        <v>Приобретение светового оборудования  за счет средств областного бюджета (МЦП 4) (КФО 5 ОБ)</v>
      </c>
      <c r="F205" s="1069"/>
      <c r="G205" s="1069"/>
      <c r="H205" s="1069"/>
      <c r="I205" s="1069"/>
      <c r="J205" s="1069"/>
      <c r="K205" s="1069"/>
      <c r="L205" s="1069"/>
      <c r="M205" s="1069"/>
      <c r="N205" s="1069"/>
      <c r="O205" s="1069"/>
      <c r="P205" s="1069"/>
      <c r="Q205" s="1069"/>
      <c r="R205" s="1069"/>
      <c r="S205" s="1069"/>
      <c r="T205" s="1069"/>
      <c r="U205" s="1069"/>
      <c r="V205" s="1069"/>
      <c r="W205" s="1069"/>
      <c r="X205" s="1069"/>
      <c r="Y205" s="1069"/>
      <c r="Z205" s="1069"/>
      <c r="AA205" s="1069"/>
      <c r="AB205" s="1069"/>
      <c r="AC205" s="1069"/>
      <c r="AD205" s="1069"/>
      <c r="AE205" s="1069"/>
      <c r="AF205" s="1069"/>
      <c r="AG205" s="1069"/>
      <c r="AH205" s="1069"/>
      <c r="AI205" s="1069"/>
      <c r="AJ205" s="1069"/>
      <c r="AK205" s="1069"/>
      <c r="AL205" s="1069"/>
      <c r="AM205" s="1069"/>
      <c r="AN205" s="1069"/>
      <c r="AO205" s="1069"/>
      <c r="AP205" s="1069"/>
      <c r="AQ205" s="1069"/>
      <c r="AR205" s="1070"/>
      <c r="AS205" s="926" t="s">
        <v>526</v>
      </c>
      <c r="AT205" s="927"/>
      <c r="AU205" s="927"/>
      <c r="AV205" s="927"/>
      <c r="AW205" s="927"/>
      <c r="AX205" s="927"/>
      <c r="AY205" s="927"/>
      <c r="AZ205" s="927"/>
      <c r="BA205" s="927"/>
      <c r="BB205" s="928"/>
      <c r="BC205" s="971" t="s">
        <v>526</v>
      </c>
      <c r="BD205" s="972"/>
      <c r="BE205" s="972"/>
      <c r="BF205" s="972"/>
      <c r="BG205" s="972"/>
      <c r="BH205" s="972"/>
      <c r="BI205" s="972"/>
      <c r="BJ205" s="972"/>
      <c r="BK205" s="972"/>
      <c r="BL205" s="972"/>
      <c r="BM205" s="973"/>
      <c r="BN205" s="834">
        <f>'стр. 2_8'!DR390</f>
        <v>0</v>
      </c>
      <c r="BO205" s="835"/>
      <c r="BP205" s="835"/>
      <c r="BQ205" s="835"/>
      <c r="BR205" s="835"/>
      <c r="BS205" s="835"/>
      <c r="BT205" s="835"/>
      <c r="BU205" s="835"/>
      <c r="BV205" s="835"/>
      <c r="BW205" s="835"/>
      <c r="BX205" s="835"/>
      <c r="BY205" s="835"/>
      <c r="BZ205" s="835"/>
      <c r="CA205" s="835"/>
      <c r="CB205" s="836"/>
      <c r="CC205" s="255">
        <v>1</v>
      </c>
      <c r="CD205" s="115"/>
      <c r="CE205" s="115"/>
      <c r="CF205" s="115">
        <v>35000</v>
      </c>
      <c r="CG205" s="115">
        <f t="shared" si="18"/>
        <v>35000</v>
      </c>
      <c r="CP205" s="255" t="e">
        <f t="shared" si="19"/>
        <v>#VALUE!</v>
      </c>
    </row>
    <row r="206" spans="1:94" s="255" customFormat="1" ht="30.6" hidden="1" customHeight="1">
      <c r="A206" s="950">
        <v>10</v>
      </c>
      <c r="B206" s="951"/>
      <c r="C206" s="951"/>
      <c r="D206" s="952"/>
      <c r="E206" s="1068" t="str">
        <f>'стр. 2_8'!A391</f>
        <v>Напольное покрытие (оборудование сцены) за счет средств областного бюджета (МЦП 4) (КФО 5 ОБ)</v>
      </c>
      <c r="F206" s="1069"/>
      <c r="G206" s="1069"/>
      <c r="H206" s="1069"/>
      <c r="I206" s="1069"/>
      <c r="J206" s="1069"/>
      <c r="K206" s="1069"/>
      <c r="L206" s="1069"/>
      <c r="M206" s="1069"/>
      <c r="N206" s="1069"/>
      <c r="O206" s="1069"/>
      <c r="P206" s="1069"/>
      <c r="Q206" s="1069"/>
      <c r="R206" s="1069"/>
      <c r="S206" s="1069"/>
      <c r="T206" s="1069"/>
      <c r="U206" s="1069"/>
      <c r="V206" s="1069"/>
      <c r="W206" s="1069"/>
      <c r="X206" s="1069"/>
      <c r="Y206" s="1069"/>
      <c r="Z206" s="1069"/>
      <c r="AA206" s="1069"/>
      <c r="AB206" s="1069"/>
      <c r="AC206" s="1069"/>
      <c r="AD206" s="1069"/>
      <c r="AE206" s="1069"/>
      <c r="AF206" s="1069"/>
      <c r="AG206" s="1069"/>
      <c r="AH206" s="1069"/>
      <c r="AI206" s="1069"/>
      <c r="AJ206" s="1069"/>
      <c r="AK206" s="1069"/>
      <c r="AL206" s="1069"/>
      <c r="AM206" s="1069"/>
      <c r="AN206" s="1069"/>
      <c r="AO206" s="1069"/>
      <c r="AP206" s="1069"/>
      <c r="AQ206" s="1069"/>
      <c r="AR206" s="1070"/>
      <c r="AS206" s="926" t="s">
        <v>526</v>
      </c>
      <c r="AT206" s="927"/>
      <c r="AU206" s="927"/>
      <c r="AV206" s="927"/>
      <c r="AW206" s="927"/>
      <c r="AX206" s="927"/>
      <c r="AY206" s="927"/>
      <c r="AZ206" s="927"/>
      <c r="BA206" s="927"/>
      <c r="BB206" s="928"/>
      <c r="BC206" s="971" t="s">
        <v>526</v>
      </c>
      <c r="BD206" s="972"/>
      <c r="BE206" s="972"/>
      <c r="BF206" s="972"/>
      <c r="BG206" s="972"/>
      <c r="BH206" s="972"/>
      <c r="BI206" s="972"/>
      <c r="BJ206" s="972"/>
      <c r="BK206" s="972"/>
      <c r="BL206" s="972"/>
      <c r="BM206" s="973"/>
      <c r="BN206" s="834">
        <f>'стр. 2_8'!DR391</f>
        <v>0</v>
      </c>
      <c r="BO206" s="835"/>
      <c r="BP206" s="835"/>
      <c r="BQ206" s="835"/>
      <c r="BR206" s="835"/>
      <c r="BS206" s="835"/>
      <c r="BT206" s="835"/>
      <c r="BU206" s="835"/>
      <c r="BV206" s="835"/>
      <c r="BW206" s="835"/>
      <c r="BX206" s="835"/>
      <c r="BY206" s="835"/>
      <c r="BZ206" s="835"/>
      <c r="CA206" s="835"/>
      <c r="CB206" s="836"/>
      <c r="CC206" s="255">
        <v>1</v>
      </c>
      <c r="CD206" s="115"/>
      <c r="CE206" s="115"/>
      <c r="CF206" s="115">
        <v>5000</v>
      </c>
      <c r="CG206" s="115">
        <f t="shared" si="18"/>
        <v>5000</v>
      </c>
      <c r="CP206" s="255" t="e">
        <f t="shared" si="19"/>
        <v>#VALUE!</v>
      </c>
    </row>
    <row r="207" spans="1:94" s="255" customFormat="1" hidden="1">
      <c r="A207" s="950">
        <v>15</v>
      </c>
      <c r="B207" s="951"/>
      <c r="C207" s="951"/>
      <c r="D207" s="952"/>
      <c r="E207" s="1068">
        <f>'стр. 2_8'!A392</f>
        <v>0</v>
      </c>
      <c r="F207" s="1069"/>
      <c r="G207" s="1069"/>
      <c r="H207" s="1069"/>
      <c r="I207" s="1069"/>
      <c r="J207" s="1069"/>
      <c r="K207" s="1069"/>
      <c r="L207" s="1069"/>
      <c r="M207" s="1069"/>
      <c r="N207" s="1069"/>
      <c r="O207" s="1069"/>
      <c r="P207" s="1069"/>
      <c r="Q207" s="1069"/>
      <c r="R207" s="1069"/>
      <c r="S207" s="1069"/>
      <c r="T207" s="1069"/>
      <c r="U207" s="1069"/>
      <c r="V207" s="1069"/>
      <c r="W207" s="1069"/>
      <c r="X207" s="1069"/>
      <c r="Y207" s="1069"/>
      <c r="Z207" s="1069"/>
      <c r="AA207" s="1069"/>
      <c r="AB207" s="1069"/>
      <c r="AC207" s="1069"/>
      <c r="AD207" s="1069"/>
      <c r="AE207" s="1069"/>
      <c r="AF207" s="1069"/>
      <c r="AG207" s="1069"/>
      <c r="AH207" s="1069"/>
      <c r="AI207" s="1069"/>
      <c r="AJ207" s="1069"/>
      <c r="AK207" s="1069"/>
      <c r="AL207" s="1069"/>
      <c r="AM207" s="1069"/>
      <c r="AN207" s="1069"/>
      <c r="AO207" s="1069"/>
      <c r="AP207" s="1069"/>
      <c r="AQ207" s="1069"/>
      <c r="AR207" s="1070"/>
      <c r="AS207" s="932"/>
      <c r="AT207" s="933"/>
      <c r="AU207" s="933"/>
      <c r="AV207" s="933"/>
      <c r="AW207" s="933"/>
      <c r="AX207" s="933"/>
      <c r="AY207" s="933"/>
      <c r="AZ207" s="933"/>
      <c r="BA207" s="933"/>
      <c r="BB207" s="934"/>
      <c r="BC207" s="831"/>
      <c r="BD207" s="832"/>
      <c r="BE207" s="832"/>
      <c r="BF207" s="832"/>
      <c r="BG207" s="832"/>
      <c r="BH207" s="832"/>
      <c r="BI207" s="832"/>
      <c r="BJ207" s="832"/>
      <c r="BK207" s="832"/>
      <c r="BL207" s="832"/>
      <c r="BM207" s="833"/>
      <c r="BN207" s="834">
        <f>'стр. 2_8'!DR392</f>
        <v>0</v>
      </c>
      <c r="BO207" s="835"/>
      <c r="BP207" s="835"/>
      <c r="BQ207" s="835"/>
      <c r="BR207" s="835"/>
      <c r="BS207" s="835"/>
      <c r="BT207" s="835"/>
      <c r="BU207" s="835"/>
      <c r="BV207" s="835"/>
      <c r="BW207" s="835"/>
      <c r="BX207" s="835"/>
      <c r="BY207" s="835"/>
      <c r="BZ207" s="835"/>
      <c r="CA207" s="835"/>
      <c r="CB207" s="836"/>
      <c r="CD207" s="115"/>
      <c r="CE207" s="115"/>
      <c r="CF207" s="115"/>
      <c r="CG207" s="115">
        <f t="shared" si="18"/>
        <v>0</v>
      </c>
      <c r="CP207" s="255" t="e">
        <f t="shared" si="19"/>
        <v>#DIV/0!</v>
      </c>
    </row>
    <row r="208" spans="1:94" s="255" customFormat="1" ht="19.2" hidden="1" customHeight="1">
      <c r="A208" s="950">
        <v>1</v>
      </c>
      <c r="B208" s="951"/>
      <c r="C208" s="951"/>
      <c r="D208" s="952"/>
      <c r="E208" s="1068">
        <f>'стр. 2_8'!A393</f>
        <v>0</v>
      </c>
      <c r="F208" s="1069"/>
      <c r="G208" s="1069"/>
      <c r="H208" s="1069"/>
      <c r="I208" s="1069"/>
      <c r="J208" s="1069"/>
      <c r="K208" s="1069"/>
      <c r="L208" s="1069"/>
      <c r="M208" s="1069"/>
      <c r="N208" s="1069"/>
      <c r="O208" s="1069"/>
      <c r="P208" s="1069"/>
      <c r="Q208" s="1069"/>
      <c r="R208" s="1069"/>
      <c r="S208" s="1069"/>
      <c r="T208" s="1069"/>
      <c r="U208" s="1069"/>
      <c r="V208" s="1069"/>
      <c r="W208" s="1069"/>
      <c r="X208" s="1069"/>
      <c r="Y208" s="1069"/>
      <c r="Z208" s="1069"/>
      <c r="AA208" s="1069"/>
      <c r="AB208" s="1069"/>
      <c r="AC208" s="1069"/>
      <c r="AD208" s="1069"/>
      <c r="AE208" s="1069"/>
      <c r="AF208" s="1069"/>
      <c r="AG208" s="1069"/>
      <c r="AH208" s="1069"/>
      <c r="AI208" s="1069"/>
      <c r="AJ208" s="1069"/>
      <c r="AK208" s="1069"/>
      <c r="AL208" s="1069"/>
      <c r="AM208" s="1069"/>
      <c r="AN208" s="1069"/>
      <c r="AO208" s="1069"/>
      <c r="AP208" s="1069"/>
      <c r="AQ208" s="1069"/>
      <c r="AR208" s="1070"/>
      <c r="AS208" s="839"/>
      <c r="AT208" s="840"/>
      <c r="AU208" s="840"/>
      <c r="AV208" s="840"/>
      <c r="AW208" s="840"/>
      <c r="AX208" s="840"/>
      <c r="AY208" s="840"/>
      <c r="AZ208" s="840"/>
      <c r="BA208" s="840"/>
      <c r="BB208" s="841"/>
      <c r="BC208" s="831"/>
      <c r="BD208" s="832"/>
      <c r="BE208" s="832"/>
      <c r="BF208" s="832"/>
      <c r="BG208" s="832"/>
      <c r="BH208" s="832"/>
      <c r="BI208" s="832"/>
      <c r="BJ208" s="832"/>
      <c r="BK208" s="832"/>
      <c r="BL208" s="832"/>
      <c r="BM208" s="833"/>
      <c r="BN208" s="834">
        <f>'стр. 2_8'!DR393</f>
        <v>0</v>
      </c>
      <c r="BO208" s="835"/>
      <c r="BP208" s="835"/>
      <c r="BQ208" s="835"/>
      <c r="BR208" s="835"/>
      <c r="BS208" s="835"/>
      <c r="BT208" s="835"/>
      <c r="BU208" s="835"/>
      <c r="BV208" s="835"/>
      <c r="BW208" s="835"/>
      <c r="BX208" s="835"/>
      <c r="BY208" s="835"/>
      <c r="BZ208" s="835"/>
      <c r="CA208" s="835"/>
      <c r="CB208" s="836"/>
      <c r="CC208" s="255">
        <v>3</v>
      </c>
      <c r="CD208" s="115"/>
      <c r="CE208" s="115"/>
      <c r="CF208" s="115">
        <v>30000</v>
      </c>
      <c r="CG208" s="115">
        <f t="shared" ref="CG208:CG235" si="20">CD208+CE208+CF208</f>
        <v>30000</v>
      </c>
      <c r="CP208" s="255" t="e">
        <f t="shared" ref="CP208:CP235" si="21">BN208/AS208</f>
        <v>#DIV/0!</v>
      </c>
    </row>
    <row r="209" spans="1:94" s="255" customFormat="1" ht="40.950000000000003" hidden="1" customHeight="1">
      <c r="A209" s="950">
        <v>2</v>
      </c>
      <c r="B209" s="951"/>
      <c r="C209" s="951"/>
      <c r="D209" s="952"/>
      <c r="E209" s="1068">
        <f>'стр. 2_8'!A394</f>
        <v>0</v>
      </c>
      <c r="F209" s="1069"/>
      <c r="G209" s="1069"/>
      <c r="H209" s="1069"/>
      <c r="I209" s="1069"/>
      <c r="J209" s="1069"/>
      <c r="K209" s="1069"/>
      <c r="L209" s="1069"/>
      <c r="M209" s="1069"/>
      <c r="N209" s="1069"/>
      <c r="O209" s="1069"/>
      <c r="P209" s="1069"/>
      <c r="Q209" s="1069"/>
      <c r="R209" s="1069"/>
      <c r="S209" s="1069"/>
      <c r="T209" s="1069"/>
      <c r="U209" s="1069"/>
      <c r="V209" s="1069"/>
      <c r="W209" s="1069"/>
      <c r="X209" s="1069"/>
      <c r="Y209" s="1069"/>
      <c r="Z209" s="1069"/>
      <c r="AA209" s="1069"/>
      <c r="AB209" s="1069"/>
      <c r="AC209" s="1069"/>
      <c r="AD209" s="1069"/>
      <c r="AE209" s="1069"/>
      <c r="AF209" s="1069"/>
      <c r="AG209" s="1069"/>
      <c r="AH209" s="1069"/>
      <c r="AI209" s="1069"/>
      <c r="AJ209" s="1069"/>
      <c r="AK209" s="1069"/>
      <c r="AL209" s="1069"/>
      <c r="AM209" s="1069"/>
      <c r="AN209" s="1069"/>
      <c r="AO209" s="1069"/>
      <c r="AP209" s="1069"/>
      <c r="AQ209" s="1069"/>
      <c r="AR209" s="1070"/>
      <c r="AS209" s="839"/>
      <c r="AT209" s="840"/>
      <c r="AU209" s="840"/>
      <c r="AV209" s="840"/>
      <c r="AW209" s="840"/>
      <c r="AX209" s="840"/>
      <c r="AY209" s="840"/>
      <c r="AZ209" s="840"/>
      <c r="BA209" s="840"/>
      <c r="BB209" s="841"/>
      <c r="BC209" s="831"/>
      <c r="BD209" s="832"/>
      <c r="BE209" s="832"/>
      <c r="BF209" s="832"/>
      <c r="BG209" s="832"/>
      <c r="BH209" s="832"/>
      <c r="BI209" s="832"/>
      <c r="BJ209" s="832"/>
      <c r="BK209" s="832"/>
      <c r="BL209" s="832"/>
      <c r="BM209" s="833"/>
      <c r="BN209" s="834">
        <f>'стр. 2_8'!DR394</f>
        <v>0</v>
      </c>
      <c r="BO209" s="835"/>
      <c r="BP209" s="835"/>
      <c r="BQ209" s="835"/>
      <c r="BR209" s="835"/>
      <c r="BS209" s="835"/>
      <c r="BT209" s="835"/>
      <c r="BU209" s="835"/>
      <c r="BV209" s="835"/>
      <c r="BW209" s="835"/>
      <c r="BX209" s="835"/>
      <c r="BY209" s="835"/>
      <c r="BZ209" s="835"/>
      <c r="CA209" s="835"/>
      <c r="CB209" s="836"/>
      <c r="CC209" s="255">
        <v>2</v>
      </c>
      <c r="CD209" s="115"/>
      <c r="CE209" s="115"/>
      <c r="CF209" s="115"/>
      <c r="CG209" s="115">
        <f t="shared" ref="CG209:CG230" si="22">CD209+CE209+CF209</f>
        <v>0</v>
      </c>
      <c r="CP209" s="255" t="e">
        <f t="shared" si="21"/>
        <v>#DIV/0!</v>
      </c>
    </row>
    <row r="210" spans="1:94" s="255" customFormat="1" ht="21" hidden="1" customHeight="1">
      <c r="A210" s="950">
        <v>3</v>
      </c>
      <c r="B210" s="951"/>
      <c r="C210" s="951"/>
      <c r="D210" s="952"/>
      <c r="E210" s="1068">
        <f>'стр. 2_8'!A395</f>
        <v>0</v>
      </c>
      <c r="F210" s="1069"/>
      <c r="G210" s="1069"/>
      <c r="H210" s="1069"/>
      <c r="I210" s="1069"/>
      <c r="J210" s="1069"/>
      <c r="K210" s="1069"/>
      <c r="L210" s="1069"/>
      <c r="M210" s="1069"/>
      <c r="N210" s="1069"/>
      <c r="O210" s="1069"/>
      <c r="P210" s="1069"/>
      <c r="Q210" s="1069"/>
      <c r="R210" s="1069"/>
      <c r="S210" s="1069"/>
      <c r="T210" s="1069"/>
      <c r="U210" s="1069"/>
      <c r="V210" s="1069"/>
      <c r="W210" s="1069"/>
      <c r="X210" s="1069"/>
      <c r="Y210" s="1069"/>
      <c r="Z210" s="1069"/>
      <c r="AA210" s="1069"/>
      <c r="AB210" s="1069"/>
      <c r="AC210" s="1069"/>
      <c r="AD210" s="1069"/>
      <c r="AE210" s="1069"/>
      <c r="AF210" s="1069"/>
      <c r="AG210" s="1069"/>
      <c r="AH210" s="1069"/>
      <c r="AI210" s="1069"/>
      <c r="AJ210" s="1069"/>
      <c r="AK210" s="1069"/>
      <c r="AL210" s="1069"/>
      <c r="AM210" s="1069"/>
      <c r="AN210" s="1069"/>
      <c r="AO210" s="1069"/>
      <c r="AP210" s="1069"/>
      <c r="AQ210" s="1069"/>
      <c r="AR210" s="1070"/>
      <c r="AS210" s="839"/>
      <c r="AT210" s="840"/>
      <c r="AU210" s="840"/>
      <c r="AV210" s="840"/>
      <c r="AW210" s="840"/>
      <c r="AX210" s="840"/>
      <c r="AY210" s="840"/>
      <c r="AZ210" s="840"/>
      <c r="BA210" s="840"/>
      <c r="BB210" s="841"/>
      <c r="BC210" s="831"/>
      <c r="BD210" s="832"/>
      <c r="BE210" s="832"/>
      <c r="BF210" s="832"/>
      <c r="BG210" s="832"/>
      <c r="BH210" s="832"/>
      <c r="BI210" s="832"/>
      <c r="BJ210" s="832"/>
      <c r="BK210" s="832"/>
      <c r="BL210" s="832"/>
      <c r="BM210" s="833"/>
      <c r="BN210" s="834">
        <f>'стр. 2_8'!DR395</f>
        <v>0</v>
      </c>
      <c r="BO210" s="835"/>
      <c r="BP210" s="835"/>
      <c r="BQ210" s="835"/>
      <c r="BR210" s="835"/>
      <c r="BS210" s="835"/>
      <c r="BT210" s="835"/>
      <c r="BU210" s="835"/>
      <c r="BV210" s="835"/>
      <c r="BW210" s="835"/>
      <c r="BX210" s="835"/>
      <c r="BY210" s="835"/>
      <c r="BZ210" s="835"/>
      <c r="CA210" s="835"/>
      <c r="CB210" s="836"/>
      <c r="CC210" s="255">
        <v>1</v>
      </c>
      <c r="CD210" s="115"/>
      <c r="CE210" s="115"/>
      <c r="CF210" s="115">
        <v>78886</v>
      </c>
      <c r="CG210" s="115">
        <f t="shared" si="22"/>
        <v>78886</v>
      </c>
      <c r="CP210" s="255" t="e">
        <f t="shared" si="21"/>
        <v>#DIV/0!</v>
      </c>
    </row>
    <row r="211" spans="1:94" ht="19.2" customHeight="1">
      <c r="A211" s="950">
        <v>10</v>
      </c>
      <c r="B211" s="951"/>
      <c r="C211" s="951"/>
      <c r="D211" s="952"/>
      <c r="E211" s="1071" t="str">
        <f>'стр. 2_8'!A396</f>
        <v>Увеличение стоимости прочих оборотных запасов (материалов) в т.ч.: (КФО 5 МБ)</v>
      </c>
      <c r="F211" s="1072"/>
      <c r="G211" s="1072"/>
      <c r="H211" s="1072"/>
      <c r="I211" s="1072"/>
      <c r="J211" s="1072"/>
      <c r="K211" s="1072"/>
      <c r="L211" s="1072"/>
      <c r="M211" s="1072"/>
      <c r="N211" s="1072"/>
      <c r="O211" s="1072"/>
      <c r="P211" s="1072"/>
      <c r="Q211" s="1072"/>
      <c r="R211" s="1072"/>
      <c r="S211" s="1072"/>
      <c r="T211" s="1072"/>
      <c r="U211" s="1072"/>
      <c r="V211" s="1072"/>
      <c r="W211" s="1072"/>
      <c r="X211" s="1072"/>
      <c r="Y211" s="1072"/>
      <c r="Z211" s="1072"/>
      <c r="AA211" s="1072"/>
      <c r="AB211" s="1072"/>
      <c r="AC211" s="1072"/>
      <c r="AD211" s="1072"/>
      <c r="AE211" s="1072"/>
      <c r="AF211" s="1072"/>
      <c r="AG211" s="1072"/>
      <c r="AH211" s="1072"/>
      <c r="AI211" s="1072"/>
      <c r="AJ211" s="1072"/>
      <c r="AK211" s="1072"/>
      <c r="AL211" s="1072"/>
      <c r="AM211" s="1072"/>
      <c r="AN211" s="1072"/>
      <c r="AO211" s="1072"/>
      <c r="AP211" s="1072"/>
      <c r="AQ211" s="1072"/>
      <c r="AR211" s="1073"/>
      <c r="AS211" s="950" t="s">
        <v>21</v>
      </c>
      <c r="AT211" s="951"/>
      <c r="AU211" s="951"/>
      <c r="AV211" s="951"/>
      <c r="AW211" s="951"/>
      <c r="AX211" s="951"/>
      <c r="AY211" s="951"/>
      <c r="AZ211" s="951"/>
      <c r="BA211" s="951"/>
      <c r="BB211" s="952"/>
      <c r="BC211" s="950" t="s">
        <v>21</v>
      </c>
      <c r="BD211" s="951"/>
      <c r="BE211" s="951"/>
      <c r="BF211" s="951"/>
      <c r="BG211" s="951"/>
      <c r="BH211" s="951"/>
      <c r="BI211" s="951"/>
      <c r="BJ211" s="951"/>
      <c r="BK211" s="951"/>
      <c r="BL211" s="951"/>
      <c r="BM211" s="952"/>
      <c r="BN211" s="1074">
        <f>'стр. 2_8'!DR396</f>
        <v>59500</v>
      </c>
      <c r="BO211" s="1075"/>
      <c r="BP211" s="1075"/>
      <c r="BQ211" s="1075"/>
      <c r="BR211" s="1075"/>
      <c r="BS211" s="1075"/>
      <c r="BT211" s="1075"/>
      <c r="BU211" s="1075"/>
      <c r="BV211" s="1075"/>
      <c r="BW211" s="1075"/>
      <c r="BX211" s="1075"/>
      <c r="BY211" s="1075"/>
      <c r="BZ211" s="1075"/>
      <c r="CA211" s="1075"/>
      <c r="CB211" s="1076"/>
      <c r="CC211" s="114">
        <v>4</v>
      </c>
      <c r="CD211" s="115"/>
      <c r="CE211" s="115">
        <v>68280.3</v>
      </c>
      <c r="CF211" s="115"/>
      <c r="CG211" s="116">
        <f t="shared" si="22"/>
        <v>68280.3</v>
      </c>
      <c r="CP211" s="114" t="e">
        <f t="shared" si="21"/>
        <v>#VALUE!</v>
      </c>
    </row>
    <row r="212" spans="1:94" s="255" customFormat="1" ht="25.95" hidden="1" customHeight="1">
      <c r="A212" s="950">
        <v>12</v>
      </c>
      <c r="B212" s="951"/>
      <c r="C212" s="951"/>
      <c r="D212" s="952"/>
      <c r="E212" s="1068" t="str">
        <f>'стр. 2_8'!A397</f>
        <v xml:space="preserve"> Строительные материалы (ремонт фасада СДК в с.Каневка) (МЦП 4) (КФО 5)</v>
      </c>
      <c r="F212" s="1069"/>
      <c r="G212" s="1069"/>
      <c r="H212" s="1069"/>
      <c r="I212" s="1069"/>
      <c r="J212" s="1069"/>
      <c r="K212" s="1069"/>
      <c r="L212" s="1069"/>
      <c r="M212" s="1069"/>
      <c r="N212" s="1069"/>
      <c r="O212" s="1069"/>
      <c r="P212" s="1069"/>
      <c r="Q212" s="1069"/>
      <c r="R212" s="1069"/>
      <c r="S212" s="1069"/>
      <c r="T212" s="1069"/>
      <c r="U212" s="1069"/>
      <c r="V212" s="1069"/>
      <c r="W212" s="1069"/>
      <c r="X212" s="1069"/>
      <c r="Y212" s="1069"/>
      <c r="Z212" s="1069"/>
      <c r="AA212" s="1069"/>
      <c r="AB212" s="1069"/>
      <c r="AC212" s="1069"/>
      <c r="AD212" s="1069"/>
      <c r="AE212" s="1069"/>
      <c r="AF212" s="1069"/>
      <c r="AG212" s="1069"/>
      <c r="AH212" s="1069"/>
      <c r="AI212" s="1069"/>
      <c r="AJ212" s="1069"/>
      <c r="AK212" s="1069"/>
      <c r="AL212" s="1069"/>
      <c r="AM212" s="1069"/>
      <c r="AN212" s="1069"/>
      <c r="AO212" s="1069"/>
      <c r="AP212" s="1069"/>
      <c r="AQ212" s="1069"/>
      <c r="AR212" s="1070"/>
      <c r="AS212" s="839">
        <v>0</v>
      </c>
      <c r="AT212" s="840"/>
      <c r="AU212" s="840"/>
      <c r="AV212" s="840"/>
      <c r="AW212" s="840"/>
      <c r="AX212" s="840"/>
      <c r="AY212" s="840"/>
      <c r="AZ212" s="840"/>
      <c r="BA212" s="840"/>
      <c r="BB212" s="841"/>
      <c r="BC212" s="831">
        <v>0</v>
      </c>
      <c r="BD212" s="832"/>
      <c r="BE212" s="832"/>
      <c r="BF212" s="832"/>
      <c r="BG212" s="832"/>
      <c r="BH212" s="832"/>
      <c r="BI212" s="832"/>
      <c r="BJ212" s="832"/>
      <c r="BK212" s="832"/>
      <c r="BL212" s="832"/>
      <c r="BM212" s="833"/>
      <c r="BN212" s="834">
        <f>'стр. 2_8'!DR397</f>
        <v>0</v>
      </c>
      <c r="BO212" s="835"/>
      <c r="BP212" s="835"/>
      <c r="BQ212" s="835"/>
      <c r="BR212" s="835"/>
      <c r="BS212" s="835"/>
      <c r="BT212" s="835"/>
      <c r="BU212" s="835"/>
      <c r="BV212" s="835"/>
      <c r="BW212" s="835"/>
      <c r="BX212" s="835"/>
      <c r="BY212" s="835"/>
      <c r="BZ212" s="835"/>
      <c r="CA212" s="835"/>
      <c r="CB212" s="836"/>
      <c r="CC212" s="255">
        <v>4</v>
      </c>
      <c r="CD212" s="115"/>
      <c r="CE212" s="115">
        <v>30719.7</v>
      </c>
      <c r="CF212" s="115"/>
      <c r="CG212" s="115">
        <f t="shared" ref="CG212:CG224" si="23">CD212+CE212+CF212</f>
        <v>30719.7</v>
      </c>
      <c r="CP212" s="255" t="e">
        <f t="shared" ref="CP212:CP224" si="24">BN212/AS212</f>
        <v>#DIV/0!</v>
      </c>
    </row>
    <row r="213" spans="1:94" s="255" customFormat="1" ht="30.6" hidden="1" customHeight="1">
      <c r="A213" s="950">
        <v>13</v>
      </c>
      <c r="B213" s="951"/>
      <c r="C213" s="951"/>
      <c r="D213" s="952"/>
      <c r="E213" s="1068" t="str">
        <f>'стр. 2_8'!A398</f>
        <v>Приобретение светового оборудования  за счет средств местного бюджета (МЦП 4) (КФО 5 МБ)</v>
      </c>
      <c r="F213" s="1069"/>
      <c r="G213" s="1069"/>
      <c r="H213" s="1069"/>
      <c r="I213" s="1069"/>
      <c r="J213" s="1069"/>
      <c r="K213" s="1069"/>
      <c r="L213" s="1069"/>
      <c r="M213" s="1069"/>
      <c r="N213" s="1069"/>
      <c r="O213" s="1069"/>
      <c r="P213" s="1069"/>
      <c r="Q213" s="1069"/>
      <c r="R213" s="1069"/>
      <c r="S213" s="1069"/>
      <c r="T213" s="1069"/>
      <c r="U213" s="1069"/>
      <c r="V213" s="1069"/>
      <c r="W213" s="1069"/>
      <c r="X213" s="1069"/>
      <c r="Y213" s="1069"/>
      <c r="Z213" s="1069"/>
      <c r="AA213" s="1069"/>
      <c r="AB213" s="1069"/>
      <c r="AC213" s="1069"/>
      <c r="AD213" s="1069"/>
      <c r="AE213" s="1069"/>
      <c r="AF213" s="1069"/>
      <c r="AG213" s="1069"/>
      <c r="AH213" s="1069"/>
      <c r="AI213" s="1069"/>
      <c r="AJ213" s="1069"/>
      <c r="AK213" s="1069"/>
      <c r="AL213" s="1069"/>
      <c r="AM213" s="1069"/>
      <c r="AN213" s="1069"/>
      <c r="AO213" s="1069"/>
      <c r="AP213" s="1069"/>
      <c r="AQ213" s="1069"/>
      <c r="AR213" s="1070"/>
      <c r="AS213" s="926" t="s">
        <v>526</v>
      </c>
      <c r="AT213" s="927"/>
      <c r="AU213" s="927"/>
      <c r="AV213" s="927"/>
      <c r="AW213" s="927"/>
      <c r="AX213" s="927"/>
      <c r="AY213" s="927"/>
      <c r="AZ213" s="927"/>
      <c r="BA213" s="927"/>
      <c r="BB213" s="928"/>
      <c r="BC213" s="971" t="s">
        <v>526</v>
      </c>
      <c r="BD213" s="972"/>
      <c r="BE213" s="972"/>
      <c r="BF213" s="972"/>
      <c r="BG213" s="972"/>
      <c r="BH213" s="972"/>
      <c r="BI213" s="972"/>
      <c r="BJ213" s="972"/>
      <c r="BK213" s="972"/>
      <c r="BL213" s="972"/>
      <c r="BM213" s="973"/>
      <c r="BN213" s="834">
        <f>'стр. 2_8'!DR398</f>
        <v>0</v>
      </c>
      <c r="BO213" s="835"/>
      <c r="BP213" s="835"/>
      <c r="BQ213" s="835"/>
      <c r="BR213" s="835"/>
      <c r="BS213" s="835"/>
      <c r="BT213" s="835"/>
      <c r="BU213" s="835"/>
      <c r="BV213" s="835"/>
      <c r="BW213" s="835"/>
      <c r="BX213" s="835"/>
      <c r="BY213" s="835"/>
      <c r="BZ213" s="835"/>
      <c r="CA213" s="835"/>
      <c r="CB213" s="836"/>
      <c r="CC213" s="255">
        <v>1</v>
      </c>
      <c r="CD213" s="115"/>
      <c r="CE213" s="115"/>
      <c r="CF213" s="115">
        <v>35000</v>
      </c>
      <c r="CG213" s="115">
        <f t="shared" si="23"/>
        <v>35000</v>
      </c>
      <c r="CP213" s="255" t="e">
        <f t="shared" si="24"/>
        <v>#VALUE!</v>
      </c>
    </row>
    <row r="214" spans="1:94" s="255" customFormat="1" ht="34.200000000000003" hidden="1" customHeight="1">
      <c r="A214" s="950">
        <v>14</v>
      </c>
      <c r="B214" s="951"/>
      <c r="C214" s="951"/>
      <c r="D214" s="952"/>
      <c r="E214" s="1068" t="str">
        <f>'стр. 2_8'!A399</f>
        <v>Напольное покрытие (оборудование сцены) за счет средств местного бюджета (МЦП 4) (КФО 5 МБ)</v>
      </c>
      <c r="F214" s="1069"/>
      <c r="G214" s="1069"/>
      <c r="H214" s="1069"/>
      <c r="I214" s="1069"/>
      <c r="J214" s="1069"/>
      <c r="K214" s="1069"/>
      <c r="L214" s="1069"/>
      <c r="M214" s="1069"/>
      <c r="N214" s="1069"/>
      <c r="O214" s="1069"/>
      <c r="P214" s="1069"/>
      <c r="Q214" s="1069"/>
      <c r="R214" s="1069"/>
      <c r="S214" s="1069"/>
      <c r="T214" s="1069"/>
      <c r="U214" s="1069"/>
      <c r="V214" s="1069"/>
      <c r="W214" s="1069"/>
      <c r="X214" s="1069"/>
      <c r="Y214" s="1069"/>
      <c r="Z214" s="1069"/>
      <c r="AA214" s="1069"/>
      <c r="AB214" s="1069"/>
      <c r="AC214" s="1069"/>
      <c r="AD214" s="1069"/>
      <c r="AE214" s="1069"/>
      <c r="AF214" s="1069"/>
      <c r="AG214" s="1069"/>
      <c r="AH214" s="1069"/>
      <c r="AI214" s="1069"/>
      <c r="AJ214" s="1069"/>
      <c r="AK214" s="1069"/>
      <c r="AL214" s="1069"/>
      <c r="AM214" s="1069"/>
      <c r="AN214" s="1069"/>
      <c r="AO214" s="1069"/>
      <c r="AP214" s="1069"/>
      <c r="AQ214" s="1069"/>
      <c r="AR214" s="1070"/>
      <c r="AS214" s="926" t="s">
        <v>526</v>
      </c>
      <c r="AT214" s="927"/>
      <c r="AU214" s="927"/>
      <c r="AV214" s="927"/>
      <c r="AW214" s="927"/>
      <c r="AX214" s="927"/>
      <c r="AY214" s="927"/>
      <c r="AZ214" s="927"/>
      <c r="BA214" s="927"/>
      <c r="BB214" s="928"/>
      <c r="BC214" s="971" t="s">
        <v>526</v>
      </c>
      <c r="BD214" s="972"/>
      <c r="BE214" s="972"/>
      <c r="BF214" s="972"/>
      <c r="BG214" s="972"/>
      <c r="BH214" s="972"/>
      <c r="BI214" s="972"/>
      <c r="BJ214" s="972"/>
      <c r="BK214" s="972"/>
      <c r="BL214" s="972"/>
      <c r="BM214" s="973"/>
      <c r="BN214" s="834">
        <f>'стр. 2_8'!DR399</f>
        <v>0</v>
      </c>
      <c r="BO214" s="835"/>
      <c r="BP214" s="835"/>
      <c r="BQ214" s="835"/>
      <c r="BR214" s="835"/>
      <c r="BS214" s="835"/>
      <c r="BT214" s="835"/>
      <c r="BU214" s="835"/>
      <c r="BV214" s="835"/>
      <c r="BW214" s="835"/>
      <c r="BX214" s="835"/>
      <c r="BY214" s="835"/>
      <c r="BZ214" s="835"/>
      <c r="CA214" s="835"/>
      <c r="CB214" s="836"/>
      <c r="CC214" s="255">
        <v>1</v>
      </c>
      <c r="CD214" s="115"/>
      <c r="CE214" s="115"/>
      <c r="CF214" s="115">
        <v>5000</v>
      </c>
      <c r="CG214" s="115">
        <f t="shared" si="23"/>
        <v>5000</v>
      </c>
      <c r="CP214" s="255" t="e">
        <f t="shared" si="24"/>
        <v>#VALUE!</v>
      </c>
    </row>
    <row r="215" spans="1:94" s="255" customFormat="1" ht="33.6" hidden="1" customHeight="1">
      <c r="A215" s="950">
        <v>15</v>
      </c>
      <c r="B215" s="951"/>
      <c r="C215" s="951"/>
      <c r="D215" s="952"/>
      <c r="E215" s="1068" t="str">
        <f>'стр. 2_8'!A400</f>
        <v>Приобретение материалов для устройства освещения лыжной трассы, находящейся в границах МО СП Ловозеро Ловозерского района (КФО 5 МБ)</v>
      </c>
      <c r="F215" s="1069"/>
      <c r="G215" s="1069"/>
      <c r="H215" s="1069"/>
      <c r="I215" s="1069"/>
      <c r="J215" s="1069"/>
      <c r="K215" s="1069"/>
      <c r="L215" s="1069"/>
      <c r="M215" s="1069"/>
      <c r="N215" s="1069"/>
      <c r="O215" s="1069"/>
      <c r="P215" s="1069"/>
      <c r="Q215" s="1069"/>
      <c r="R215" s="1069"/>
      <c r="S215" s="1069"/>
      <c r="T215" s="1069"/>
      <c r="U215" s="1069"/>
      <c r="V215" s="1069"/>
      <c r="W215" s="1069"/>
      <c r="X215" s="1069"/>
      <c r="Y215" s="1069"/>
      <c r="Z215" s="1069"/>
      <c r="AA215" s="1069"/>
      <c r="AB215" s="1069"/>
      <c r="AC215" s="1069"/>
      <c r="AD215" s="1069"/>
      <c r="AE215" s="1069"/>
      <c r="AF215" s="1069"/>
      <c r="AG215" s="1069"/>
      <c r="AH215" s="1069"/>
      <c r="AI215" s="1069"/>
      <c r="AJ215" s="1069"/>
      <c r="AK215" s="1069"/>
      <c r="AL215" s="1069"/>
      <c r="AM215" s="1069"/>
      <c r="AN215" s="1069"/>
      <c r="AO215" s="1069"/>
      <c r="AP215" s="1069"/>
      <c r="AQ215" s="1069"/>
      <c r="AR215" s="1070"/>
      <c r="AS215" s="932"/>
      <c r="AT215" s="933"/>
      <c r="AU215" s="933"/>
      <c r="AV215" s="933"/>
      <c r="AW215" s="933"/>
      <c r="AX215" s="933"/>
      <c r="AY215" s="933"/>
      <c r="AZ215" s="933"/>
      <c r="BA215" s="933"/>
      <c r="BB215" s="934"/>
      <c r="BC215" s="831"/>
      <c r="BD215" s="832"/>
      <c r="BE215" s="832"/>
      <c r="BF215" s="832"/>
      <c r="BG215" s="832"/>
      <c r="BH215" s="832"/>
      <c r="BI215" s="832"/>
      <c r="BJ215" s="832"/>
      <c r="BK215" s="832"/>
      <c r="BL215" s="832"/>
      <c r="BM215" s="833"/>
      <c r="BN215" s="834">
        <f>'стр. 2_8'!DR400</f>
        <v>0</v>
      </c>
      <c r="BO215" s="835"/>
      <c r="BP215" s="835"/>
      <c r="BQ215" s="835"/>
      <c r="BR215" s="835"/>
      <c r="BS215" s="835"/>
      <c r="BT215" s="835"/>
      <c r="BU215" s="835"/>
      <c r="BV215" s="835"/>
      <c r="BW215" s="835"/>
      <c r="BX215" s="835"/>
      <c r="BY215" s="835"/>
      <c r="BZ215" s="835"/>
      <c r="CA215" s="835"/>
      <c r="CB215" s="836"/>
      <c r="CC215" s="255">
        <v>1</v>
      </c>
      <c r="CD215" s="115"/>
      <c r="CE215" s="115"/>
      <c r="CF215" s="115"/>
      <c r="CG215" s="115">
        <f t="shared" si="23"/>
        <v>0</v>
      </c>
      <c r="CP215" s="255" t="e">
        <f t="shared" si="24"/>
        <v>#DIV/0!</v>
      </c>
    </row>
    <row r="216" spans="1:94" s="255" customFormat="1" ht="20.399999999999999" hidden="1" customHeight="1">
      <c r="A216" s="950">
        <v>16</v>
      </c>
      <c r="B216" s="951"/>
      <c r="C216" s="951"/>
      <c r="D216" s="952"/>
      <c r="E216" s="1068" t="str">
        <f>'стр. 2_8'!A401</f>
        <v>Приобретение звукового оборудования для Краснощельского ЭКЦ (МЦП 4) (КФО 5 МБ)</v>
      </c>
      <c r="F216" s="1069"/>
      <c r="G216" s="1069"/>
      <c r="H216" s="1069"/>
      <c r="I216" s="1069"/>
      <c r="J216" s="1069"/>
      <c r="K216" s="1069"/>
      <c r="L216" s="1069"/>
      <c r="M216" s="1069"/>
      <c r="N216" s="1069"/>
      <c r="O216" s="1069"/>
      <c r="P216" s="1069"/>
      <c r="Q216" s="1069"/>
      <c r="R216" s="1069"/>
      <c r="S216" s="1069"/>
      <c r="T216" s="1069"/>
      <c r="U216" s="1069"/>
      <c r="V216" s="1069"/>
      <c r="W216" s="1069"/>
      <c r="X216" s="1069"/>
      <c r="Y216" s="1069"/>
      <c r="Z216" s="1069"/>
      <c r="AA216" s="1069"/>
      <c r="AB216" s="1069"/>
      <c r="AC216" s="1069"/>
      <c r="AD216" s="1069"/>
      <c r="AE216" s="1069"/>
      <c r="AF216" s="1069"/>
      <c r="AG216" s="1069"/>
      <c r="AH216" s="1069"/>
      <c r="AI216" s="1069"/>
      <c r="AJ216" s="1069"/>
      <c r="AK216" s="1069"/>
      <c r="AL216" s="1069"/>
      <c r="AM216" s="1069"/>
      <c r="AN216" s="1069"/>
      <c r="AO216" s="1069"/>
      <c r="AP216" s="1069"/>
      <c r="AQ216" s="1069"/>
      <c r="AR216" s="1070"/>
      <c r="AS216" s="839"/>
      <c r="AT216" s="840"/>
      <c r="AU216" s="840"/>
      <c r="AV216" s="840"/>
      <c r="AW216" s="840"/>
      <c r="AX216" s="840"/>
      <c r="AY216" s="840"/>
      <c r="AZ216" s="840"/>
      <c r="BA216" s="840"/>
      <c r="BB216" s="841"/>
      <c r="BC216" s="831"/>
      <c r="BD216" s="832"/>
      <c r="BE216" s="832"/>
      <c r="BF216" s="832"/>
      <c r="BG216" s="832"/>
      <c r="BH216" s="832"/>
      <c r="BI216" s="832"/>
      <c r="BJ216" s="832"/>
      <c r="BK216" s="832"/>
      <c r="BL216" s="832"/>
      <c r="BM216" s="833"/>
      <c r="BN216" s="834">
        <f>'стр. 2_8'!DR401</f>
        <v>0</v>
      </c>
      <c r="BO216" s="835"/>
      <c r="BP216" s="835"/>
      <c r="BQ216" s="835"/>
      <c r="BR216" s="835"/>
      <c r="BS216" s="835"/>
      <c r="BT216" s="835"/>
      <c r="BU216" s="835"/>
      <c r="BV216" s="835"/>
      <c r="BW216" s="835"/>
      <c r="BX216" s="835"/>
      <c r="BY216" s="835"/>
      <c r="BZ216" s="835"/>
      <c r="CA216" s="835"/>
      <c r="CB216" s="836"/>
      <c r="CD216" s="115"/>
      <c r="CE216" s="115"/>
      <c r="CF216" s="115"/>
      <c r="CG216" s="115">
        <f t="shared" si="23"/>
        <v>0</v>
      </c>
      <c r="CP216" s="255" t="e">
        <f t="shared" si="24"/>
        <v>#DIV/0!</v>
      </c>
    </row>
    <row r="217" spans="1:94" s="255" customFormat="1" ht="33.6" customHeight="1">
      <c r="A217" s="950">
        <v>11</v>
      </c>
      <c r="B217" s="951"/>
      <c r="C217" s="951"/>
      <c r="D217" s="952"/>
      <c r="E217" s="1068" t="str">
        <f>'стр. 2_8'!A402</f>
        <v>Приобретение спортивной формы (организация и проведение праздничных мероприятий к 100-летию с.Краснощелье) (МЦП 4) (КФО 5 МБ)</v>
      </c>
      <c r="F217" s="1069"/>
      <c r="G217" s="1069"/>
      <c r="H217" s="1069"/>
      <c r="I217" s="1069"/>
      <c r="J217" s="1069"/>
      <c r="K217" s="1069"/>
      <c r="L217" s="1069"/>
      <c r="M217" s="1069"/>
      <c r="N217" s="1069"/>
      <c r="O217" s="1069"/>
      <c r="P217" s="1069"/>
      <c r="Q217" s="1069"/>
      <c r="R217" s="1069"/>
      <c r="S217" s="1069"/>
      <c r="T217" s="1069"/>
      <c r="U217" s="1069"/>
      <c r="V217" s="1069"/>
      <c r="W217" s="1069"/>
      <c r="X217" s="1069"/>
      <c r="Y217" s="1069"/>
      <c r="Z217" s="1069"/>
      <c r="AA217" s="1069"/>
      <c r="AB217" s="1069"/>
      <c r="AC217" s="1069"/>
      <c r="AD217" s="1069"/>
      <c r="AE217" s="1069"/>
      <c r="AF217" s="1069"/>
      <c r="AG217" s="1069"/>
      <c r="AH217" s="1069"/>
      <c r="AI217" s="1069"/>
      <c r="AJ217" s="1069"/>
      <c r="AK217" s="1069"/>
      <c r="AL217" s="1069"/>
      <c r="AM217" s="1069"/>
      <c r="AN217" s="1069"/>
      <c r="AO217" s="1069"/>
      <c r="AP217" s="1069"/>
      <c r="AQ217" s="1069"/>
      <c r="AR217" s="1070"/>
      <c r="AS217" s="839">
        <v>20</v>
      </c>
      <c r="AT217" s="840"/>
      <c r="AU217" s="840"/>
      <c r="AV217" s="840"/>
      <c r="AW217" s="840"/>
      <c r="AX217" s="840"/>
      <c r="AY217" s="840"/>
      <c r="AZ217" s="840"/>
      <c r="BA217" s="840"/>
      <c r="BB217" s="841"/>
      <c r="BC217" s="831">
        <v>800</v>
      </c>
      <c r="BD217" s="832"/>
      <c r="BE217" s="832"/>
      <c r="BF217" s="832"/>
      <c r="BG217" s="832"/>
      <c r="BH217" s="832"/>
      <c r="BI217" s="832"/>
      <c r="BJ217" s="832"/>
      <c r="BK217" s="832"/>
      <c r="BL217" s="832"/>
      <c r="BM217" s="833"/>
      <c r="BN217" s="834">
        <f>'стр. 2_8'!DR402</f>
        <v>17565</v>
      </c>
      <c r="BO217" s="835"/>
      <c r="BP217" s="835"/>
      <c r="BQ217" s="835"/>
      <c r="BR217" s="835"/>
      <c r="BS217" s="835"/>
      <c r="BT217" s="835"/>
      <c r="BU217" s="835"/>
      <c r="BV217" s="835"/>
      <c r="BW217" s="835"/>
      <c r="BX217" s="835"/>
      <c r="BY217" s="835"/>
      <c r="BZ217" s="835"/>
      <c r="CA217" s="835"/>
      <c r="CB217" s="836"/>
      <c r="CD217" s="115"/>
      <c r="CE217" s="115"/>
      <c r="CF217" s="115"/>
      <c r="CG217" s="115">
        <f t="shared" si="23"/>
        <v>0</v>
      </c>
      <c r="CP217" s="255">
        <f t="shared" si="24"/>
        <v>878.25</v>
      </c>
    </row>
    <row r="218" spans="1:94" s="255" customFormat="1" ht="29.4" customHeight="1">
      <c r="A218" s="950">
        <v>12</v>
      </c>
      <c r="B218" s="951"/>
      <c r="C218" s="951"/>
      <c r="D218" s="952"/>
      <c r="E218" s="1068" t="str">
        <f>'стр. 2_8'!A403</f>
        <v>Наградная продукция (организация и проведение праздничных мероприятий к 100-летию с.Краснощелье) (МЦП 4) (КФО 5 МБ)</v>
      </c>
      <c r="F218" s="1069"/>
      <c r="G218" s="1069"/>
      <c r="H218" s="1069"/>
      <c r="I218" s="1069"/>
      <c r="J218" s="1069"/>
      <c r="K218" s="1069"/>
      <c r="L218" s="1069"/>
      <c r="M218" s="1069"/>
      <c r="N218" s="1069"/>
      <c r="O218" s="1069"/>
      <c r="P218" s="1069"/>
      <c r="Q218" s="1069"/>
      <c r="R218" s="1069"/>
      <c r="S218" s="1069"/>
      <c r="T218" s="1069"/>
      <c r="U218" s="1069"/>
      <c r="V218" s="1069"/>
      <c r="W218" s="1069"/>
      <c r="X218" s="1069"/>
      <c r="Y218" s="1069"/>
      <c r="Z218" s="1069"/>
      <c r="AA218" s="1069"/>
      <c r="AB218" s="1069"/>
      <c r="AC218" s="1069"/>
      <c r="AD218" s="1069"/>
      <c r="AE218" s="1069"/>
      <c r="AF218" s="1069"/>
      <c r="AG218" s="1069"/>
      <c r="AH218" s="1069"/>
      <c r="AI218" s="1069"/>
      <c r="AJ218" s="1069"/>
      <c r="AK218" s="1069"/>
      <c r="AL218" s="1069"/>
      <c r="AM218" s="1069"/>
      <c r="AN218" s="1069"/>
      <c r="AO218" s="1069"/>
      <c r="AP218" s="1069"/>
      <c r="AQ218" s="1069"/>
      <c r="AR218" s="1070"/>
      <c r="AS218" s="839">
        <v>32</v>
      </c>
      <c r="AT218" s="840"/>
      <c r="AU218" s="840"/>
      <c r="AV218" s="840"/>
      <c r="AW218" s="840"/>
      <c r="AX218" s="840"/>
      <c r="AY218" s="840"/>
      <c r="AZ218" s="840"/>
      <c r="BA218" s="840"/>
      <c r="BB218" s="841"/>
      <c r="BC218" s="831">
        <v>500</v>
      </c>
      <c r="BD218" s="832"/>
      <c r="BE218" s="832"/>
      <c r="BF218" s="832"/>
      <c r="BG218" s="832"/>
      <c r="BH218" s="832"/>
      <c r="BI218" s="832"/>
      <c r="BJ218" s="832"/>
      <c r="BK218" s="832"/>
      <c r="BL218" s="832"/>
      <c r="BM218" s="833"/>
      <c r="BN218" s="834">
        <f>'стр. 2_8'!DR403</f>
        <v>12435</v>
      </c>
      <c r="BO218" s="835"/>
      <c r="BP218" s="835"/>
      <c r="BQ218" s="835"/>
      <c r="BR218" s="835"/>
      <c r="BS218" s="835"/>
      <c r="BT218" s="835"/>
      <c r="BU218" s="835"/>
      <c r="BV218" s="835"/>
      <c r="BW218" s="835"/>
      <c r="BX218" s="835"/>
      <c r="BY218" s="835"/>
      <c r="BZ218" s="835"/>
      <c r="CA218" s="835"/>
      <c r="CB218" s="836"/>
      <c r="CC218" s="255">
        <v>2</v>
      </c>
      <c r="CD218" s="115"/>
      <c r="CE218" s="115"/>
      <c r="CF218" s="115"/>
      <c r="CG218" s="115">
        <f t="shared" si="23"/>
        <v>0</v>
      </c>
      <c r="CP218" s="255">
        <f t="shared" si="24"/>
        <v>388.59375</v>
      </c>
    </row>
    <row r="219" spans="1:94" s="255" customFormat="1" ht="27.6" customHeight="1">
      <c r="A219" s="950">
        <v>13</v>
      </c>
      <c r="B219" s="951"/>
      <c r="C219" s="951"/>
      <c r="D219" s="952"/>
      <c r="E219" s="1068" t="str">
        <f>'стр. 2_8'!A404</f>
        <v>Расходы, связанные с профилактикой и устранением последствий распространения коронавирусной инфекции   (КФО 5 МБ)</v>
      </c>
      <c r="F219" s="1069"/>
      <c r="G219" s="1069"/>
      <c r="H219" s="1069"/>
      <c r="I219" s="1069"/>
      <c r="J219" s="1069"/>
      <c r="K219" s="1069"/>
      <c r="L219" s="1069"/>
      <c r="M219" s="1069"/>
      <c r="N219" s="1069"/>
      <c r="O219" s="1069"/>
      <c r="P219" s="1069"/>
      <c r="Q219" s="1069"/>
      <c r="R219" s="1069"/>
      <c r="S219" s="1069"/>
      <c r="T219" s="1069"/>
      <c r="U219" s="1069"/>
      <c r="V219" s="1069"/>
      <c r="W219" s="1069"/>
      <c r="X219" s="1069"/>
      <c r="Y219" s="1069"/>
      <c r="Z219" s="1069"/>
      <c r="AA219" s="1069"/>
      <c r="AB219" s="1069"/>
      <c r="AC219" s="1069"/>
      <c r="AD219" s="1069"/>
      <c r="AE219" s="1069"/>
      <c r="AF219" s="1069"/>
      <c r="AG219" s="1069"/>
      <c r="AH219" s="1069"/>
      <c r="AI219" s="1069"/>
      <c r="AJ219" s="1069"/>
      <c r="AK219" s="1069"/>
      <c r="AL219" s="1069"/>
      <c r="AM219" s="1069"/>
      <c r="AN219" s="1069"/>
      <c r="AO219" s="1069"/>
      <c r="AP219" s="1069"/>
      <c r="AQ219" s="1069"/>
      <c r="AR219" s="1070"/>
      <c r="AS219" s="839">
        <v>1000</v>
      </c>
      <c r="AT219" s="840"/>
      <c r="AU219" s="840"/>
      <c r="AV219" s="840"/>
      <c r="AW219" s="840"/>
      <c r="AX219" s="840"/>
      <c r="AY219" s="840"/>
      <c r="AZ219" s="840"/>
      <c r="BA219" s="840"/>
      <c r="BB219" s="841"/>
      <c r="BC219" s="831">
        <v>35.799999999999997</v>
      </c>
      <c r="BD219" s="832"/>
      <c r="BE219" s="832"/>
      <c r="BF219" s="832"/>
      <c r="BG219" s="832"/>
      <c r="BH219" s="832"/>
      <c r="BI219" s="832"/>
      <c r="BJ219" s="832"/>
      <c r="BK219" s="832"/>
      <c r="BL219" s="832"/>
      <c r="BM219" s="833"/>
      <c r="BN219" s="834">
        <f>'стр. 2_8'!DR404</f>
        <v>29500</v>
      </c>
      <c r="BO219" s="835"/>
      <c r="BP219" s="835"/>
      <c r="BQ219" s="835"/>
      <c r="BR219" s="835"/>
      <c r="BS219" s="835"/>
      <c r="BT219" s="835"/>
      <c r="BU219" s="835"/>
      <c r="BV219" s="835"/>
      <c r="BW219" s="835"/>
      <c r="BX219" s="835"/>
      <c r="BY219" s="835"/>
      <c r="BZ219" s="835"/>
      <c r="CA219" s="835"/>
      <c r="CB219" s="836"/>
      <c r="CC219" s="255">
        <v>1</v>
      </c>
      <c r="CD219" s="115"/>
      <c r="CE219" s="115"/>
      <c r="CF219" s="115">
        <v>78886</v>
      </c>
      <c r="CG219" s="115">
        <f t="shared" si="23"/>
        <v>78886</v>
      </c>
      <c r="CP219" s="255">
        <f t="shared" si="24"/>
        <v>29.5</v>
      </c>
    </row>
    <row r="220" spans="1:94" s="255" customFormat="1" ht="48.6" hidden="1" customHeight="1">
      <c r="A220" s="950">
        <v>18</v>
      </c>
      <c r="B220" s="951"/>
      <c r="C220" s="951"/>
      <c r="D220" s="952"/>
      <c r="E220" s="1068">
        <f>'стр. 2_8'!A405</f>
        <v>0</v>
      </c>
      <c r="F220" s="1069"/>
      <c r="G220" s="1069"/>
      <c r="H220" s="1069"/>
      <c r="I220" s="1069"/>
      <c r="J220" s="1069"/>
      <c r="K220" s="1069"/>
      <c r="L220" s="1069"/>
      <c r="M220" s="1069"/>
      <c r="N220" s="1069"/>
      <c r="O220" s="1069"/>
      <c r="P220" s="1069"/>
      <c r="Q220" s="1069"/>
      <c r="R220" s="1069"/>
      <c r="S220" s="1069"/>
      <c r="T220" s="1069"/>
      <c r="U220" s="1069"/>
      <c r="V220" s="1069"/>
      <c r="W220" s="1069"/>
      <c r="X220" s="1069"/>
      <c r="Y220" s="1069"/>
      <c r="Z220" s="1069"/>
      <c r="AA220" s="1069"/>
      <c r="AB220" s="1069"/>
      <c r="AC220" s="1069"/>
      <c r="AD220" s="1069"/>
      <c r="AE220" s="1069"/>
      <c r="AF220" s="1069"/>
      <c r="AG220" s="1069"/>
      <c r="AH220" s="1069"/>
      <c r="AI220" s="1069"/>
      <c r="AJ220" s="1069"/>
      <c r="AK220" s="1069"/>
      <c r="AL220" s="1069"/>
      <c r="AM220" s="1069"/>
      <c r="AN220" s="1069"/>
      <c r="AO220" s="1069"/>
      <c r="AP220" s="1069"/>
      <c r="AQ220" s="1069"/>
      <c r="AR220" s="1070"/>
      <c r="AS220" s="839">
        <v>10</v>
      </c>
      <c r="AT220" s="840"/>
      <c r="AU220" s="840"/>
      <c r="AV220" s="840"/>
      <c r="AW220" s="840"/>
      <c r="AX220" s="840"/>
      <c r="AY220" s="840"/>
      <c r="AZ220" s="840"/>
      <c r="BA220" s="840"/>
      <c r="BB220" s="841"/>
      <c r="BC220" s="831">
        <v>1155</v>
      </c>
      <c r="BD220" s="832"/>
      <c r="BE220" s="832"/>
      <c r="BF220" s="832"/>
      <c r="BG220" s="832"/>
      <c r="BH220" s="832"/>
      <c r="BI220" s="832"/>
      <c r="BJ220" s="832"/>
      <c r="BK220" s="832"/>
      <c r="BL220" s="832"/>
      <c r="BM220" s="833"/>
      <c r="BN220" s="834">
        <f>'стр. 2_8'!DR405</f>
        <v>0</v>
      </c>
      <c r="BO220" s="835"/>
      <c r="BP220" s="835"/>
      <c r="BQ220" s="835"/>
      <c r="BR220" s="835"/>
      <c r="BS220" s="835"/>
      <c r="BT220" s="835"/>
      <c r="BU220" s="835"/>
      <c r="BV220" s="835"/>
      <c r="BW220" s="835"/>
      <c r="BX220" s="835"/>
      <c r="BY220" s="835"/>
      <c r="BZ220" s="835"/>
      <c r="CA220" s="835"/>
      <c r="CB220" s="836"/>
      <c r="CC220" s="255">
        <v>4</v>
      </c>
      <c r="CD220" s="115"/>
      <c r="CE220" s="115">
        <v>68280.3</v>
      </c>
      <c r="CF220" s="115"/>
      <c r="CG220" s="115">
        <f t="shared" si="23"/>
        <v>68280.3</v>
      </c>
      <c r="CP220" s="255">
        <f t="shared" si="24"/>
        <v>0</v>
      </c>
    </row>
    <row r="221" spans="1:94" s="255" customFormat="1" ht="19.8" hidden="1" customHeight="1">
      <c r="A221" s="950">
        <v>19</v>
      </c>
      <c r="B221" s="951"/>
      <c r="C221" s="951"/>
      <c r="D221" s="952"/>
      <c r="E221" s="1068">
        <f>'стр. 2_8'!A406</f>
        <v>0</v>
      </c>
      <c r="F221" s="1069"/>
      <c r="G221" s="1069"/>
      <c r="H221" s="1069"/>
      <c r="I221" s="1069"/>
      <c r="J221" s="1069"/>
      <c r="K221" s="1069"/>
      <c r="L221" s="1069"/>
      <c r="M221" s="1069"/>
      <c r="N221" s="1069"/>
      <c r="O221" s="1069"/>
      <c r="P221" s="1069"/>
      <c r="Q221" s="1069"/>
      <c r="R221" s="1069"/>
      <c r="S221" s="1069"/>
      <c r="T221" s="1069"/>
      <c r="U221" s="1069"/>
      <c r="V221" s="1069"/>
      <c r="W221" s="1069"/>
      <c r="X221" s="1069"/>
      <c r="Y221" s="1069"/>
      <c r="Z221" s="1069"/>
      <c r="AA221" s="1069"/>
      <c r="AB221" s="1069"/>
      <c r="AC221" s="1069"/>
      <c r="AD221" s="1069"/>
      <c r="AE221" s="1069"/>
      <c r="AF221" s="1069"/>
      <c r="AG221" s="1069"/>
      <c r="AH221" s="1069"/>
      <c r="AI221" s="1069"/>
      <c r="AJ221" s="1069"/>
      <c r="AK221" s="1069"/>
      <c r="AL221" s="1069"/>
      <c r="AM221" s="1069"/>
      <c r="AN221" s="1069"/>
      <c r="AO221" s="1069"/>
      <c r="AP221" s="1069"/>
      <c r="AQ221" s="1069"/>
      <c r="AR221" s="1070"/>
      <c r="AS221" s="839">
        <v>7</v>
      </c>
      <c r="AT221" s="840"/>
      <c r="AU221" s="840"/>
      <c r="AV221" s="840"/>
      <c r="AW221" s="840"/>
      <c r="AX221" s="840"/>
      <c r="AY221" s="840"/>
      <c r="AZ221" s="840"/>
      <c r="BA221" s="840"/>
      <c r="BB221" s="841"/>
      <c r="BC221" s="831">
        <v>4400</v>
      </c>
      <c r="BD221" s="832"/>
      <c r="BE221" s="832"/>
      <c r="BF221" s="832"/>
      <c r="BG221" s="832"/>
      <c r="BH221" s="832"/>
      <c r="BI221" s="832"/>
      <c r="BJ221" s="832"/>
      <c r="BK221" s="832"/>
      <c r="BL221" s="832"/>
      <c r="BM221" s="833"/>
      <c r="BN221" s="834">
        <f>'стр. 2_8'!DR406</f>
        <v>0</v>
      </c>
      <c r="BO221" s="835"/>
      <c r="BP221" s="835"/>
      <c r="BQ221" s="835"/>
      <c r="BR221" s="835"/>
      <c r="BS221" s="835"/>
      <c r="BT221" s="835"/>
      <c r="BU221" s="835"/>
      <c r="BV221" s="835"/>
      <c r="BW221" s="835"/>
      <c r="BX221" s="835"/>
      <c r="BY221" s="835"/>
      <c r="BZ221" s="835"/>
      <c r="CA221" s="835"/>
      <c r="CB221" s="836"/>
      <c r="CC221" s="255">
        <v>4</v>
      </c>
      <c r="CD221" s="115"/>
      <c r="CE221" s="115">
        <v>30719.7</v>
      </c>
      <c r="CF221" s="115"/>
      <c r="CG221" s="115">
        <f t="shared" si="23"/>
        <v>30719.7</v>
      </c>
      <c r="CP221" s="255">
        <f t="shared" si="24"/>
        <v>0</v>
      </c>
    </row>
    <row r="222" spans="1:94" s="255" customFormat="1" ht="22.2" hidden="1" customHeight="1">
      <c r="A222" s="950">
        <v>20</v>
      </c>
      <c r="B222" s="951"/>
      <c r="C222" s="951"/>
      <c r="D222" s="952"/>
      <c r="E222" s="1068">
        <f>'стр. 2_8'!A407</f>
        <v>0</v>
      </c>
      <c r="F222" s="1069"/>
      <c r="G222" s="1069"/>
      <c r="H222" s="1069"/>
      <c r="I222" s="1069"/>
      <c r="J222" s="1069"/>
      <c r="K222" s="1069"/>
      <c r="L222" s="1069"/>
      <c r="M222" s="1069"/>
      <c r="N222" s="1069"/>
      <c r="O222" s="1069"/>
      <c r="P222" s="1069"/>
      <c r="Q222" s="1069"/>
      <c r="R222" s="1069"/>
      <c r="S222" s="1069"/>
      <c r="T222" s="1069"/>
      <c r="U222" s="1069"/>
      <c r="V222" s="1069"/>
      <c r="W222" s="1069"/>
      <c r="X222" s="1069"/>
      <c r="Y222" s="1069"/>
      <c r="Z222" s="1069"/>
      <c r="AA222" s="1069"/>
      <c r="AB222" s="1069"/>
      <c r="AC222" s="1069"/>
      <c r="AD222" s="1069"/>
      <c r="AE222" s="1069"/>
      <c r="AF222" s="1069"/>
      <c r="AG222" s="1069"/>
      <c r="AH222" s="1069"/>
      <c r="AI222" s="1069"/>
      <c r="AJ222" s="1069"/>
      <c r="AK222" s="1069"/>
      <c r="AL222" s="1069"/>
      <c r="AM222" s="1069"/>
      <c r="AN222" s="1069"/>
      <c r="AO222" s="1069"/>
      <c r="AP222" s="1069"/>
      <c r="AQ222" s="1069"/>
      <c r="AR222" s="1070"/>
      <c r="AS222" s="839">
        <v>40</v>
      </c>
      <c r="AT222" s="840"/>
      <c r="AU222" s="840"/>
      <c r="AV222" s="840"/>
      <c r="AW222" s="840"/>
      <c r="AX222" s="840"/>
      <c r="AY222" s="840"/>
      <c r="AZ222" s="840"/>
      <c r="BA222" s="840"/>
      <c r="BB222" s="841"/>
      <c r="BC222" s="831">
        <v>250</v>
      </c>
      <c r="BD222" s="832"/>
      <c r="BE222" s="832"/>
      <c r="BF222" s="832"/>
      <c r="BG222" s="832"/>
      <c r="BH222" s="832"/>
      <c r="BI222" s="832"/>
      <c r="BJ222" s="832"/>
      <c r="BK222" s="832"/>
      <c r="BL222" s="832"/>
      <c r="BM222" s="833"/>
      <c r="BN222" s="834">
        <f>'стр. 2_8'!DR407</f>
        <v>0</v>
      </c>
      <c r="BO222" s="835"/>
      <c r="BP222" s="835"/>
      <c r="BQ222" s="835"/>
      <c r="BR222" s="835"/>
      <c r="BS222" s="835"/>
      <c r="BT222" s="835"/>
      <c r="BU222" s="835"/>
      <c r="BV222" s="835"/>
      <c r="BW222" s="835"/>
      <c r="BX222" s="835"/>
      <c r="BY222" s="835"/>
      <c r="BZ222" s="835"/>
      <c r="CA222" s="835"/>
      <c r="CB222" s="836"/>
      <c r="CC222" s="255">
        <v>1</v>
      </c>
      <c r="CD222" s="115"/>
      <c r="CE222" s="115"/>
      <c r="CF222" s="115">
        <v>35000</v>
      </c>
      <c r="CG222" s="115">
        <f t="shared" si="23"/>
        <v>35000</v>
      </c>
      <c r="CP222" s="255">
        <f t="shared" si="24"/>
        <v>0</v>
      </c>
    </row>
    <row r="223" spans="1:94" ht="19.95" customHeight="1">
      <c r="A223" s="950">
        <v>14</v>
      </c>
      <c r="B223" s="951"/>
      <c r="C223" s="951"/>
      <c r="D223" s="952"/>
      <c r="E223" s="1071" t="str">
        <f>'стр. 2_8'!A408</f>
        <v>Увеличение стоимости прочих оборотных запасов (материалов), в т.ч.: (КФО 2)</v>
      </c>
      <c r="F223" s="1072"/>
      <c r="G223" s="1072"/>
      <c r="H223" s="1072"/>
      <c r="I223" s="1072"/>
      <c r="J223" s="1072"/>
      <c r="K223" s="1072"/>
      <c r="L223" s="1072"/>
      <c r="M223" s="1072"/>
      <c r="N223" s="1072"/>
      <c r="O223" s="1072"/>
      <c r="P223" s="1072"/>
      <c r="Q223" s="1072"/>
      <c r="R223" s="1072"/>
      <c r="S223" s="1072"/>
      <c r="T223" s="1072"/>
      <c r="U223" s="1072"/>
      <c r="V223" s="1072"/>
      <c r="W223" s="1072"/>
      <c r="X223" s="1072"/>
      <c r="Y223" s="1072"/>
      <c r="Z223" s="1072"/>
      <c r="AA223" s="1072"/>
      <c r="AB223" s="1072"/>
      <c r="AC223" s="1072"/>
      <c r="AD223" s="1072"/>
      <c r="AE223" s="1072"/>
      <c r="AF223" s="1072"/>
      <c r="AG223" s="1072"/>
      <c r="AH223" s="1072"/>
      <c r="AI223" s="1072"/>
      <c r="AJ223" s="1072"/>
      <c r="AK223" s="1072"/>
      <c r="AL223" s="1072"/>
      <c r="AM223" s="1072"/>
      <c r="AN223" s="1072"/>
      <c r="AO223" s="1072"/>
      <c r="AP223" s="1072"/>
      <c r="AQ223" s="1072"/>
      <c r="AR223" s="1073"/>
      <c r="AS223" s="839"/>
      <c r="AT223" s="840"/>
      <c r="AU223" s="840"/>
      <c r="AV223" s="840"/>
      <c r="AW223" s="840"/>
      <c r="AX223" s="840"/>
      <c r="AY223" s="840"/>
      <c r="AZ223" s="840"/>
      <c r="BA223" s="840"/>
      <c r="BB223" s="841"/>
      <c r="BC223" s="831"/>
      <c r="BD223" s="832"/>
      <c r="BE223" s="832"/>
      <c r="BF223" s="832"/>
      <c r="BG223" s="832"/>
      <c r="BH223" s="832"/>
      <c r="BI223" s="832"/>
      <c r="BJ223" s="832"/>
      <c r="BK223" s="832"/>
      <c r="BL223" s="832"/>
      <c r="BM223" s="833"/>
      <c r="BN223" s="1074">
        <f>'стр. 2_8'!DR408</f>
        <v>53200</v>
      </c>
      <c r="BO223" s="1075"/>
      <c r="BP223" s="1075"/>
      <c r="BQ223" s="1075"/>
      <c r="BR223" s="1075"/>
      <c r="BS223" s="1075"/>
      <c r="BT223" s="1075"/>
      <c r="BU223" s="1075"/>
      <c r="BV223" s="1075"/>
      <c r="BW223" s="1075"/>
      <c r="BX223" s="1075"/>
      <c r="BY223" s="1075"/>
      <c r="BZ223" s="1075"/>
      <c r="CA223" s="1075"/>
      <c r="CB223" s="1076"/>
      <c r="CC223" s="114">
        <v>1</v>
      </c>
      <c r="CD223" s="115"/>
      <c r="CE223" s="115"/>
      <c r="CF223" s="115">
        <v>5000</v>
      </c>
      <c r="CG223" s="116">
        <f t="shared" si="23"/>
        <v>5000</v>
      </c>
      <c r="CP223" s="114" t="e">
        <f t="shared" si="24"/>
        <v>#DIV/0!</v>
      </c>
    </row>
    <row r="224" spans="1:94" s="255" customFormat="1" ht="22.8" hidden="1" customHeight="1">
      <c r="A224" s="950">
        <v>22</v>
      </c>
      <c r="B224" s="951"/>
      <c r="C224" s="951"/>
      <c r="D224" s="952"/>
      <c r="E224" s="1068" t="str">
        <f>'стр. 2_8'!A409</f>
        <v>Приобретение расходных материалов (устранение нарушений, выявленных в окт.2019 г.  при проверке по соблюдению требований законодательства при использовании лесного участка в с.Ловозеро) (МЦП 2) (КФО 2)</v>
      </c>
      <c r="F224" s="1069"/>
      <c r="G224" s="1069"/>
      <c r="H224" s="1069"/>
      <c r="I224" s="1069"/>
      <c r="J224" s="1069"/>
      <c r="K224" s="1069"/>
      <c r="L224" s="1069"/>
      <c r="M224" s="1069"/>
      <c r="N224" s="1069"/>
      <c r="O224" s="1069"/>
      <c r="P224" s="1069"/>
      <c r="Q224" s="1069"/>
      <c r="R224" s="1069"/>
      <c r="S224" s="1069"/>
      <c r="T224" s="1069"/>
      <c r="U224" s="1069"/>
      <c r="V224" s="1069"/>
      <c r="W224" s="1069"/>
      <c r="X224" s="1069"/>
      <c r="Y224" s="1069"/>
      <c r="Z224" s="1069"/>
      <c r="AA224" s="1069"/>
      <c r="AB224" s="1069"/>
      <c r="AC224" s="1069"/>
      <c r="AD224" s="1069"/>
      <c r="AE224" s="1069"/>
      <c r="AF224" s="1069"/>
      <c r="AG224" s="1069"/>
      <c r="AH224" s="1069"/>
      <c r="AI224" s="1069"/>
      <c r="AJ224" s="1069"/>
      <c r="AK224" s="1069"/>
      <c r="AL224" s="1069"/>
      <c r="AM224" s="1069"/>
      <c r="AN224" s="1069"/>
      <c r="AO224" s="1069"/>
      <c r="AP224" s="1069"/>
      <c r="AQ224" s="1069"/>
      <c r="AR224" s="1070"/>
      <c r="AS224" s="932"/>
      <c r="AT224" s="933"/>
      <c r="AU224" s="933"/>
      <c r="AV224" s="933"/>
      <c r="AW224" s="933"/>
      <c r="AX224" s="933"/>
      <c r="AY224" s="933"/>
      <c r="AZ224" s="933"/>
      <c r="BA224" s="933"/>
      <c r="BB224" s="934"/>
      <c r="BC224" s="831"/>
      <c r="BD224" s="832"/>
      <c r="BE224" s="832"/>
      <c r="BF224" s="832"/>
      <c r="BG224" s="832"/>
      <c r="BH224" s="832"/>
      <c r="BI224" s="832"/>
      <c r="BJ224" s="832"/>
      <c r="BK224" s="832"/>
      <c r="BL224" s="832"/>
      <c r="BM224" s="833"/>
      <c r="BN224" s="834">
        <f>'стр. 2_8'!DR409</f>
        <v>0</v>
      </c>
      <c r="BO224" s="835"/>
      <c r="BP224" s="835"/>
      <c r="BQ224" s="835"/>
      <c r="BR224" s="835"/>
      <c r="BS224" s="835"/>
      <c r="BT224" s="835"/>
      <c r="BU224" s="835"/>
      <c r="BV224" s="835"/>
      <c r="BW224" s="835"/>
      <c r="BX224" s="835"/>
      <c r="BY224" s="835"/>
      <c r="BZ224" s="835"/>
      <c r="CA224" s="835"/>
      <c r="CB224" s="836"/>
      <c r="CD224" s="115"/>
      <c r="CE224" s="115"/>
      <c r="CF224" s="115"/>
      <c r="CG224" s="115">
        <f t="shared" si="23"/>
        <v>0</v>
      </c>
      <c r="CP224" s="255" t="e">
        <f t="shared" si="24"/>
        <v>#DIV/0!</v>
      </c>
    </row>
    <row r="225" spans="1:97" s="255" customFormat="1" ht="21.6" hidden="1" customHeight="1">
      <c r="A225" s="950">
        <v>23</v>
      </c>
      <c r="B225" s="951"/>
      <c r="C225" s="951"/>
      <c r="D225" s="952"/>
      <c r="E225" s="1068" t="str">
        <f>'стр. 2_8'!A410</f>
        <v>Приобретение радиаторов отопления (КФО 2)</v>
      </c>
      <c r="F225" s="1069"/>
      <c r="G225" s="1069"/>
      <c r="H225" s="1069"/>
      <c r="I225" s="1069"/>
      <c r="J225" s="1069"/>
      <c r="K225" s="1069"/>
      <c r="L225" s="1069"/>
      <c r="M225" s="1069"/>
      <c r="N225" s="1069"/>
      <c r="O225" s="1069"/>
      <c r="P225" s="1069"/>
      <c r="Q225" s="1069"/>
      <c r="R225" s="1069"/>
      <c r="S225" s="1069"/>
      <c r="T225" s="1069"/>
      <c r="U225" s="1069"/>
      <c r="V225" s="1069"/>
      <c r="W225" s="1069"/>
      <c r="X225" s="1069"/>
      <c r="Y225" s="1069"/>
      <c r="Z225" s="1069"/>
      <c r="AA225" s="1069"/>
      <c r="AB225" s="1069"/>
      <c r="AC225" s="1069"/>
      <c r="AD225" s="1069"/>
      <c r="AE225" s="1069"/>
      <c r="AF225" s="1069"/>
      <c r="AG225" s="1069"/>
      <c r="AH225" s="1069"/>
      <c r="AI225" s="1069"/>
      <c r="AJ225" s="1069"/>
      <c r="AK225" s="1069"/>
      <c r="AL225" s="1069"/>
      <c r="AM225" s="1069"/>
      <c r="AN225" s="1069"/>
      <c r="AO225" s="1069"/>
      <c r="AP225" s="1069"/>
      <c r="AQ225" s="1069"/>
      <c r="AR225" s="1070"/>
      <c r="AS225" s="839"/>
      <c r="AT225" s="840"/>
      <c r="AU225" s="840"/>
      <c r="AV225" s="840"/>
      <c r="AW225" s="840"/>
      <c r="AX225" s="840"/>
      <c r="AY225" s="840"/>
      <c r="AZ225" s="840"/>
      <c r="BA225" s="840"/>
      <c r="BB225" s="841"/>
      <c r="BC225" s="831"/>
      <c r="BD225" s="832"/>
      <c r="BE225" s="832"/>
      <c r="BF225" s="832"/>
      <c r="BG225" s="832"/>
      <c r="BH225" s="832"/>
      <c r="BI225" s="832"/>
      <c r="BJ225" s="832"/>
      <c r="BK225" s="832"/>
      <c r="BL225" s="832"/>
      <c r="BM225" s="833"/>
      <c r="BN225" s="834">
        <f>'стр. 2_8'!DR410</f>
        <v>0</v>
      </c>
      <c r="BO225" s="835"/>
      <c r="BP225" s="835"/>
      <c r="BQ225" s="835"/>
      <c r="BR225" s="835"/>
      <c r="BS225" s="835"/>
      <c r="BT225" s="835"/>
      <c r="BU225" s="835"/>
      <c r="BV225" s="835"/>
      <c r="BW225" s="835"/>
      <c r="BX225" s="835"/>
      <c r="BY225" s="835"/>
      <c r="BZ225" s="835"/>
      <c r="CA225" s="835"/>
      <c r="CB225" s="836"/>
      <c r="CC225" s="255">
        <v>4</v>
      </c>
      <c r="CD225" s="115"/>
      <c r="CE225" s="115">
        <v>30719.7</v>
      </c>
      <c r="CF225" s="115"/>
      <c r="CG225" s="115">
        <f t="shared" si="22"/>
        <v>30719.7</v>
      </c>
      <c r="CP225" s="255" t="e">
        <f t="shared" si="21"/>
        <v>#DIV/0!</v>
      </c>
    </row>
    <row r="226" spans="1:97" s="255" customFormat="1" ht="19.95" hidden="1" customHeight="1">
      <c r="A226" s="950">
        <v>24</v>
      </c>
      <c r="B226" s="951"/>
      <c r="C226" s="951"/>
      <c r="D226" s="952"/>
      <c r="E226" s="1068" t="str">
        <f>'стр. 2_8'!A411</f>
        <v>Медикаменты (КФО 2)</v>
      </c>
      <c r="F226" s="1069"/>
      <c r="G226" s="1069"/>
      <c r="H226" s="1069"/>
      <c r="I226" s="1069"/>
      <c r="J226" s="1069"/>
      <c r="K226" s="1069"/>
      <c r="L226" s="1069"/>
      <c r="M226" s="1069"/>
      <c r="N226" s="1069"/>
      <c r="O226" s="1069"/>
      <c r="P226" s="1069"/>
      <c r="Q226" s="1069"/>
      <c r="R226" s="1069"/>
      <c r="S226" s="1069"/>
      <c r="T226" s="1069"/>
      <c r="U226" s="1069"/>
      <c r="V226" s="1069"/>
      <c r="W226" s="1069"/>
      <c r="X226" s="1069"/>
      <c r="Y226" s="1069"/>
      <c r="Z226" s="1069"/>
      <c r="AA226" s="1069"/>
      <c r="AB226" s="1069"/>
      <c r="AC226" s="1069"/>
      <c r="AD226" s="1069"/>
      <c r="AE226" s="1069"/>
      <c r="AF226" s="1069"/>
      <c r="AG226" s="1069"/>
      <c r="AH226" s="1069"/>
      <c r="AI226" s="1069"/>
      <c r="AJ226" s="1069"/>
      <c r="AK226" s="1069"/>
      <c r="AL226" s="1069"/>
      <c r="AM226" s="1069"/>
      <c r="AN226" s="1069"/>
      <c r="AO226" s="1069"/>
      <c r="AP226" s="1069"/>
      <c r="AQ226" s="1069"/>
      <c r="AR226" s="1070"/>
      <c r="AS226" s="839"/>
      <c r="AT226" s="840"/>
      <c r="AU226" s="840"/>
      <c r="AV226" s="840"/>
      <c r="AW226" s="840"/>
      <c r="AX226" s="840"/>
      <c r="AY226" s="840"/>
      <c r="AZ226" s="840"/>
      <c r="BA226" s="840"/>
      <c r="BB226" s="841"/>
      <c r="BC226" s="831"/>
      <c r="BD226" s="832"/>
      <c r="BE226" s="832"/>
      <c r="BF226" s="832"/>
      <c r="BG226" s="832"/>
      <c r="BH226" s="832"/>
      <c r="BI226" s="832"/>
      <c r="BJ226" s="832"/>
      <c r="BK226" s="832"/>
      <c r="BL226" s="832"/>
      <c r="BM226" s="833"/>
      <c r="BN226" s="834">
        <f>'стр. 2_8'!DR411</f>
        <v>0</v>
      </c>
      <c r="BO226" s="835"/>
      <c r="BP226" s="835"/>
      <c r="BQ226" s="835"/>
      <c r="BR226" s="835"/>
      <c r="BS226" s="835"/>
      <c r="BT226" s="835"/>
      <c r="BU226" s="835"/>
      <c r="BV226" s="835"/>
      <c r="BW226" s="835"/>
      <c r="BX226" s="835"/>
      <c r="BY226" s="835"/>
      <c r="BZ226" s="835"/>
      <c r="CA226" s="835"/>
      <c r="CB226" s="836"/>
      <c r="CC226" s="255">
        <v>1</v>
      </c>
      <c r="CD226" s="115"/>
      <c r="CE226" s="115"/>
      <c r="CF226" s="115">
        <v>35000</v>
      </c>
      <c r="CG226" s="115">
        <f t="shared" si="22"/>
        <v>35000</v>
      </c>
      <c r="CP226" s="255" t="e">
        <f t="shared" si="21"/>
        <v>#DIV/0!</v>
      </c>
    </row>
    <row r="227" spans="1:97" s="255" customFormat="1" ht="19.95" hidden="1" customHeight="1">
      <c r="A227" s="950">
        <v>25</v>
      </c>
      <c r="B227" s="951"/>
      <c r="C227" s="951"/>
      <c r="D227" s="952"/>
      <c r="E227" s="1068" t="str">
        <f>'стр. 2_8'!A412</f>
        <v>Приобретение ГСМ (КФО 2)</v>
      </c>
      <c r="F227" s="1069"/>
      <c r="G227" s="1069"/>
      <c r="H227" s="1069"/>
      <c r="I227" s="1069"/>
      <c r="J227" s="1069"/>
      <c r="K227" s="1069"/>
      <c r="L227" s="1069"/>
      <c r="M227" s="1069"/>
      <c r="N227" s="1069"/>
      <c r="O227" s="1069"/>
      <c r="P227" s="1069"/>
      <c r="Q227" s="1069"/>
      <c r="R227" s="1069"/>
      <c r="S227" s="1069"/>
      <c r="T227" s="1069"/>
      <c r="U227" s="1069"/>
      <c r="V227" s="1069"/>
      <c r="W227" s="1069"/>
      <c r="X227" s="1069"/>
      <c r="Y227" s="1069"/>
      <c r="Z227" s="1069"/>
      <c r="AA227" s="1069"/>
      <c r="AB227" s="1069"/>
      <c r="AC227" s="1069"/>
      <c r="AD227" s="1069"/>
      <c r="AE227" s="1069"/>
      <c r="AF227" s="1069"/>
      <c r="AG227" s="1069"/>
      <c r="AH227" s="1069"/>
      <c r="AI227" s="1069"/>
      <c r="AJ227" s="1069"/>
      <c r="AK227" s="1069"/>
      <c r="AL227" s="1069"/>
      <c r="AM227" s="1069"/>
      <c r="AN227" s="1069"/>
      <c r="AO227" s="1069"/>
      <c r="AP227" s="1069"/>
      <c r="AQ227" s="1069"/>
      <c r="AR227" s="1070"/>
      <c r="AS227" s="839"/>
      <c r="AT227" s="840"/>
      <c r="AU227" s="840"/>
      <c r="AV227" s="840"/>
      <c r="AW227" s="840"/>
      <c r="AX227" s="840"/>
      <c r="AY227" s="840"/>
      <c r="AZ227" s="840"/>
      <c r="BA227" s="840"/>
      <c r="BB227" s="841"/>
      <c r="BC227" s="831"/>
      <c r="BD227" s="832"/>
      <c r="BE227" s="832"/>
      <c r="BF227" s="832"/>
      <c r="BG227" s="832"/>
      <c r="BH227" s="832"/>
      <c r="BI227" s="832"/>
      <c r="BJ227" s="832"/>
      <c r="BK227" s="832"/>
      <c r="BL227" s="832"/>
      <c r="BM227" s="833"/>
      <c r="BN227" s="834">
        <f>'стр. 2_8'!DR412</f>
        <v>0</v>
      </c>
      <c r="BO227" s="835"/>
      <c r="BP227" s="835"/>
      <c r="BQ227" s="835"/>
      <c r="BR227" s="835"/>
      <c r="BS227" s="835"/>
      <c r="BT227" s="835"/>
      <c r="BU227" s="835"/>
      <c r="BV227" s="835"/>
      <c r="BW227" s="835"/>
      <c r="BX227" s="835"/>
      <c r="BY227" s="835"/>
      <c r="BZ227" s="835"/>
      <c r="CA227" s="835"/>
      <c r="CB227" s="836"/>
      <c r="CC227" s="255">
        <v>1</v>
      </c>
      <c r="CD227" s="115"/>
      <c r="CE227" s="115"/>
      <c r="CF227" s="115">
        <v>5000</v>
      </c>
      <c r="CG227" s="115">
        <f t="shared" si="22"/>
        <v>5000</v>
      </c>
      <c r="CP227" s="255" t="e">
        <f t="shared" si="21"/>
        <v>#DIV/0!</v>
      </c>
    </row>
    <row r="228" spans="1:97" s="255" customFormat="1" ht="20.399999999999999" customHeight="1">
      <c r="A228" s="950">
        <v>15</v>
      </c>
      <c r="B228" s="951"/>
      <c r="C228" s="951"/>
      <c r="D228" s="952"/>
      <c r="E228" s="1068" t="str">
        <f>'стр. 2_8'!A413</f>
        <v>Ткань для изготовления костюмов и декораций (КФО 2)</v>
      </c>
      <c r="F228" s="1069"/>
      <c r="G228" s="1069"/>
      <c r="H228" s="1069"/>
      <c r="I228" s="1069"/>
      <c r="J228" s="1069"/>
      <c r="K228" s="1069"/>
      <c r="L228" s="1069"/>
      <c r="M228" s="1069"/>
      <c r="N228" s="1069"/>
      <c r="O228" s="1069"/>
      <c r="P228" s="1069"/>
      <c r="Q228" s="1069"/>
      <c r="R228" s="1069"/>
      <c r="S228" s="1069"/>
      <c r="T228" s="1069"/>
      <c r="U228" s="1069"/>
      <c r="V228" s="1069"/>
      <c r="W228" s="1069"/>
      <c r="X228" s="1069"/>
      <c r="Y228" s="1069"/>
      <c r="Z228" s="1069"/>
      <c r="AA228" s="1069"/>
      <c r="AB228" s="1069"/>
      <c r="AC228" s="1069"/>
      <c r="AD228" s="1069"/>
      <c r="AE228" s="1069"/>
      <c r="AF228" s="1069"/>
      <c r="AG228" s="1069"/>
      <c r="AH228" s="1069"/>
      <c r="AI228" s="1069"/>
      <c r="AJ228" s="1069"/>
      <c r="AK228" s="1069"/>
      <c r="AL228" s="1069"/>
      <c r="AM228" s="1069"/>
      <c r="AN228" s="1069"/>
      <c r="AO228" s="1069"/>
      <c r="AP228" s="1069"/>
      <c r="AQ228" s="1069"/>
      <c r="AR228" s="1070"/>
      <c r="AS228" s="932">
        <v>10</v>
      </c>
      <c r="AT228" s="933"/>
      <c r="AU228" s="933"/>
      <c r="AV228" s="933"/>
      <c r="AW228" s="933"/>
      <c r="AX228" s="933"/>
      <c r="AY228" s="933"/>
      <c r="AZ228" s="933"/>
      <c r="BA228" s="933"/>
      <c r="BB228" s="934"/>
      <c r="BC228" s="831">
        <v>500</v>
      </c>
      <c r="BD228" s="832"/>
      <c r="BE228" s="832"/>
      <c r="BF228" s="832"/>
      <c r="BG228" s="832"/>
      <c r="BH228" s="832"/>
      <c r="BI228" s="832"/>
      <c r="BJ228" s="832"/>
      <c r="BK228" s="832"/>
      <c r="BL228" s="832"/>
      <c r="BM228" s="833"/>
      <c r="BN228" s="834">
        <f>'стр. 2_8'!DR413</f>
        <v>5000</v>
      </c>
      <c r="BO228" s="835"/>
      <c r="BP228" s="835"/>
      <c r="BQ228" s="835"/>
      <c r="BR228" s="835"/>
      <c r="BS228" s="835"/>
      <c r="BT228" s="835"/>
      <c r="BU228" s="835"/>
      <c r="BV228" s="835"/>
      <c r="BW228" s="835"/>
      <c r="BX228" s="835"/>
      <c r="BY228" s="835"/>
      <c r="BZ228" s="835"/>
      <c r="CA228" s="835"/>
      <c r="CB228" s="836"/>
      <c r="CC228" s="255">
        <v>1</v>
      </c>
      <c r="CD228" s="115"/>
      <c r="CE228" s="115"/>
      <c r="CF228" s="115"/>
      <c r="CG228" s="115">
        <f t="shared" si="22"/>
        <v>0</v>
      </c>
      <c r="CP228" s="255">
        <f t="shared" si="21"/>
        <v>500</v>
      </c>
    </row>
    <row r="229" spans="1:97" s="255" customFormat="1" ht="20.399999999999999" hidden="1" customHeight="1">
      <c r="A229" s="950">
        <v>27</v>
      </c>
      <c r="B229" s="951"/>
      <c r="C229" s="951"/>
      <c r="D229" s="952"/>
      <c r="E229" s="1068" t="str">
        <f>'стр. 2_8'!A414</f>
        <v>Канцелярские товары (КФО 2)</v>
      </c>
      <c r="F229" s="1069"/>
      <c r="G229" s="1069"/>
      <c r="H229" s="1069"/>
      <c r="I229" s="1069"/>
      <c r="J229" s="1069"/>
      <c r="K229" s="1069"/>
      <c r="L229" s="1069"/>
      <c r="M229" s="1069"/>
      <c r="N229" s="1069"/>
      <c r="O229" s="1069"/>
      <c r="P229" s="1069"/>
      <c r="Q229" s="1069"/>
      <c r="R229" s="1069"/>
      <c r="S229" s="1069"/>
      <c r="T229" s="1069"/>
      <c r="U229" s="1069"/>
      <c r="V229" s="1069"/>
      <c r="W229" s="1069"/>
      <c r="X229" s="1069"/>
      <c r="Y229" s="1069"/>
      <c r="Z229" s="1069"/>
      <c r="AA229" s="1069"/>
      <c r="AB229" s="1069"/>
      <c r="AC229" s="1069"/>
      <c r="AD229" s="1069"/>
      <c r="AE229" s="1069"/>
      <c r="AF229" s="1069"/>
      <c r="AG229" s="1069"/>
      <c r="AH229" s="1069"/>
      <c r="AI229" s="1069"/>
      <c r="AJ229" s="1069"/>
      <c r="AK229" s="1069"/>
      <c r="AL229" s="1069"/>
      <c r="AM229" s="1069"/>
      <c r="AN229" s="1069"/>
      <c r="AO229" s="1069"/>
      <c r="AP229" s="1069"/>
      <c r="AQ229" s="1069"/>
      <c r="AR229" s="1070"/>
      <c r="AS229" s="839"/>
      <c r="AT229" s="840"/>
      <c r="AU229" s="840"/>
      <c r="AV229" s="840"/>
      <c r="AW229" s="840"/>
      <c r="AX229" s="840"/>
      <c r="AY229" s="840"/>
      <c r="AZ229" s="840"/>
      <c r="BA229" s="840"/>
      <c r="BB229" s="841"/>
      <c r="BC229" s="831"/>
      <c r="BD229" s="832"/>
      <c r="BE229" s="832"/>
      <c r="BF229" s="832"/>
      <c r="BG229" s="832"/>
      <c r="BH229" s="832"/>
      <c r="BI229" s="832"/>
      <c r="BJ229" s="832"/>
      <c r="BK229" s="832"/>
      <c r="BL229" s="832"/>
      <c r="BM229" s="833"/>
      <c r="BN229" s="834">
        <f>'стр. 2_8'!DR414</f>
        <v>0</v>
      </c>
      <c r="BO229" s="835"/>
      <c r="BP229" s="835"/>
      <c r="BQ229" s="835"/>
      <c r="BR229" s="835"/>
      <c r="BS229" s="835"/>
      <c r="BT229" s="835"/>
      <c r="BU229" s="835"/>
      <c r="BV229" s="835"/>
      <c r="BW229" s="835"/>
      <c r="BX229" s="835"/>
      <c r="BY229" s="835"/>
      <c r="BZ229" s="835"/>
      <c r="CA229" s="835"/>
      <c r="CB229" s="836"/>
      <c r="CD229" s="115"/>
      <c r="CE229" s="115"/>
      <c r="CF229" s="115"/>
      <c r="CG229" s="115">
        <f t="shared" si="22"/>
        <v>0</v>
      </c>
      <c r="CP229" s="255" t="e">
        <f t="shared" si="21"/>
        <v>#DIV/0!</v>
      </c>
    </row>
    <row r="230" spans="1:97" s="255" customFormat="1" ht="18.600000000000001" customHeight="1">
      <c r="A230" s="950">
        <v>16</v>
      </c>
      <c r="B230" s="951"/>
      <c r="C230" s="951"/>
      <c r="D230" s="952"/>
      <c r="E230" s="1068" t="str">
        <f>'стр. 2_8'!A415</f>
        <v>Приобретение фискального накопителя(КФО 2)</v>
      </c>
      <c r="F230" s="1069"/>
      <c r="G230" s="1069"/>
      <c r="H230" s="1069"/>
      <c r="I230" s="1069"/>
      <c r="J230" s="1069"/>
      <c r="K230" s="1069"/>
      <c r="L230" s="1069"/>
      <c r="M230" s="1069"/>
      <c r="N230" s="1069"/>
      <c r="O230" s="1069"/>
      <c r="P230" s="1069"/>
      <c r="Q230" s="1069"/>
      <c r="R230" s="1069"/>
      <c r="S230" s="1069"/>
      <c r="T230" s="1069"/>
      <c r="U230" s="1069"/>
      <c r="V230" s="1069"/>
      <c r="W230" s="1069"/>
      <c r="X230" s="1069"/>
      <c r="Y230" s="1069"/>
      <c r="Z230" s="1069"/>
      <c r="AA230" s="1069"/>
      <c r="AB230" s="1069"/>
      <c r="AC230" s="1069"/>
      <c r="AD230" s="1069"/>
      <c r="AE230" s="1069"/>
      <c r="AF230" s="1069"/>
      <c r="AG230" s="1069"/>
      <c r="AH230" s="1069"/>
      <c r="AI230" s="1069"/>
      <c r="AJ230" s="1069"/>
      <c r="AK230" s="1069"/>
      <c r="AL230" s="1069"/>
      <c r="AM230" s="1069"/>
      <c r="AN230" s="1069"/>
      <c r="AO230" s="1069"/>
      <c r="AP230" s="1069"/>
      <c r="AQ230" s="1069"/>
      <c r="AR230" s="1070"/>
      <c r="AS230" s="839"/>
      <c r="AT230" s="840"/>
      <c r="AU230" s="840"/>
      <c r="AV230" s="840"/>
      <c r="AW230" s="840"/>
      <c r="AX230" s="840"/>
      <c r="AY230" s="840"/>
      <c r="AZ230" s="840"/>
      <c r="BA230" s="840"/>
      <c r="BB230" s="841"/>
      <c r="BC230" s="831"/>
      <c r="BD230" s="832"/>
      <c r="BE230" s="832"/>
      <c r="BF230" s="832"/>
      <c r="BG230" s="832"/>
      <c r="BH230" s="832"/>
      <c r="BI230" s="832"/>
      <c r="BJ230" s="832"/>
      <c r="BK230" s="832"/>
      <c r="BL230" s="832"/>
      <c r="BM230" s="833"/>
      <c r="BN230" s="834">
        <f>'стр. 2_8'!DR415</f>
        <v>7900</v>
      </c>
      <c r="BO230" s="835"/>
      <c r="BP230" s="835"/>
      <c r="BQ230" s="835"/>
      <c r="BR230" s="835"/>
      <c r="BS230" s="835"/>
      <c r="BT230" s="835"/>
      <c r="BU230" s="835"/>
      <c r="BV230" s="835"/>
      <c r="BW230" s="835"/>
      <c r="BX230" s="835"/>
      <c r="BY230" s="835"/>
      <c r="BZ230" s="835"/>
      <c r="CA230" s="835"/>
      <c r="CB230" s="836"/>
      <c r="CD230" s="115"/>
      <c r="CE230" s="115"/>
      <c r="CF230" s="115"/>
      <c r="CG230" s="115">
        <f t="shared" si="22"/>
        <v>0</v>
      </c>
      <c r="CP230" s="255" t="e">
        <f t="shared" si="21"/>
        <v>#DIV/0!</v>
      </c>
    </row>
    <row r="231" spans="1:97" s="255" customFormat="1" ht="16.2" customHeight="1">
      <c r="A231" s="950">
        <v>17</v>
      </c>
      <c r="B231" s="951"/>
      <c r="C231" s="951"/>
      <c r="D231" s="952"/>
      <c r="E231" s="1068" t="str">
        <f>'стр. 2_8'!A416</f>
        <v>Хозяйственные товары(КФО 2)</v>
      </c>
      <c r="F231" s="1069"/>
      <c r="G231" s="1069"/>
      <c r="H231" s="1069"/>
      <c r="I231" s="1069"/>
      <c r="J231" s="1069"/>
      <c r="K231" s="1069"/>
      <c r="L231" s="1069"/>
      <c r="M231" s="1069"/>
      <c r="N231" s="1069"/>
      <c r="O231" s="1069"/>
      <c r="P231" s="1069"/>
      <c r="Q231" s="1069"/>
      <c r="R231" s="1069"/>
      <c r="S231" s="1069"/>
      <c r="T231" s="1069"/>
      <c r="U231" s="1069"/>
      <c r="V231" s="1069"/>
      <c r="W231" s="1069"/>
      <c r="X231" s="1069"/>
      <c r="Y231" s="1069"/>
      <c r="Z231" s="1069"/>
      <c r="AA231" s="1069"/>
      <c r="AB231" s="1069"/>
      <c r="AC231" s="1069"/>
      <c r="AD231" s="1069"/>
      <c r="AE231" s="1069"/>
      <c r="AF231" s="1069"/>
      <c r="AG231" s="1069"/>
      <c r="AH231" s="1069"/>
      <c r="AI231" s="1069"/>
      <c r="AJ231" s="1069"/>
      <c r="AK231" s="1069"/>
      <c r="AL231" s="1069"/>
      <c r="AM231" s="1069"/>
      <c r="AN231" s="1069"/>
      <c r="AO231" s="1069"/>
      <c r="AP231" s="1069"/>
      <c r="AQ231" s="1069"/>
      <c r="AR231" s="1070"/>
      <c r="AS231" s="839">
        <v>41</v>
      </c>
      <c r="AT231" s="840"/>
      <c r="AU231" s="840"/>
      <c r="AV231" s="840"/>
      <c r="AW231" s="840"/>
      <c r="AX231" s="840"/>
      <c r="AY231" s="840"/>
      <c r="AZ231" s="840"/>
      <c r="BA231" s="840"/>
      <c r="BB231" s="841"/>
      <c r="BC231" s="831">
        <v>200</v>
      </c>
      <c r="BD231" s="832"/>
      <c r="BE231" s="832"/>
      <c r="BF231" s="832"/>
      <c r="BG231" s="832"/>
      <c r="BH231" s="832"/>
      <c r="BI231" s="832"/>
      <c r="BJ231" s="832"/>
      <c r="BK231" s="832"/>
      <c r="BL231" s="832"/>
      <c r="BM231" s="833"/>
      <c r="BN231" s="834">
        <f>'стр. 2_8'!DR416</f>
        <v>28200</v>
      </c>
      <c r="BO231" s="835"/>
      <c r="BP231" s="835"/>
      <c r="BQ231" s="835"/>
      <c r="BR231" s="835"/>
      <c r="BS231" s="835"/>
      <c r="BT231" s="835"/>
      <c r="BU231" s="835"/>
      <c r="BV231" s="835"/>
      <c r="BW231" s="835"/>
      <c r="BX231" s="835"/>
      <c r="BY231" s="835"/>
      <c r="BZ231" s="835"/>
      <c r="CA231" s="835"/>
      <c r="CB231" s="836"/>
      <c r="CC231" s="255">
        <v>2</v>
      </c>
      <c r="CD231" s="115"/>
      <c r="CE231" s="115"/>
      <c r="CF231" s="115"/>
      <c r="CG231" s="115">
        <f t="shared" si="20"/>
        <v>0</v>
      </c>
      <c r="CP231" s="255">
        <f t="shared" si="21"/>
        <v>687.80487804878044</v>
      </c>
    </row>
    <row r="232" spans="1:97" s="255" customFormat="1" ht="30" hidden="1" customHeight="1">
      <c r="A232" s="950">
        <v>3</v>
      </c>
      <c r="B232" s="951"/>
      <c r="C232" s="951"/>
      <c r="D232" s="952"/>
      <c r="E232" s="1068" t="str">
        <f>'стр. 2_8'!A417</f>
        <v>Строительные товары(КФО 2)</v>
      </c>
      <c r="F232" s="1069"/>
      <c r="G232" s="1069"/>
      <c r="H232" s="1069"/>
      <c r="I232" s="1069"/>
      <c r="J232" s="1069"/>
      <c r="K232" s="1069"/>
      <c r="L232" s="1069"/>
      <c r="M232" s="1069"/>
      <c r="N232" s="1069"/>
      <c r="O232" s="1069"/>
      <c r="P232" s="1069"/>
      <c r="Q232" s="1069"/>
      <c r="R232" s="1069"/>
      <c r="S232" s="1069"/>
      <c r="T232" s="1069"/>
      <c r="U232" s="1069"/>
      <c r="V232" s="1069"/>
      <c r="W232" s="1069"/>
      <c r="X232" s="1069"/>
      <c r="Y232" s="1069"/>
      <c r="Z232" s="1069"/>
      <c r="AA232" s="1069"/>
      <c r="AB232" s="1069"/>
      <c r="AC232" s="1069"/>
      <c r="AD232" s="1069"/>
      <c r="AE232" s="1069"/>
      <c r="AF232" s="1069"/>
      <c r="AG232" s="1069"/>
      <c r="AH232" s="1069"/>
      <c r="AI232" s="1069"/>
      <c r="AJ232" s="1069"/>
      <c r="AK232" s="1069"/>
      <c r="AL232" s="1069"/>
      <c r="AM232" s="1069"/>
      <c r="AN232" s="1069"/>
      <c r="AO232" s="1069"/>
      <c r="AP232" s="1069"/>
      <c r="AQ232" s="1069"/>
      <c r="AR232" s="1070"/>
      <c r="AS232" s="839"/>
      <c r="AT232" s="840"/>
      <c r="AU232" s="840"/>
      <c r="AV232" s="840"/>
      <c r="AW232" s="840"/>
      <c r="AX232" s="840"/>
      <c r="AY232" s="840"/>
      <c r="AZ232" s="840"/>
      <c r="BA232" s="840"/>
      <c r="BB232" s="841"/>
      <c r="BC232" s="831"/>
      <c r="BD232" s="832"/>
      <c r="BE232" s="832"/>
      <c r="BF232" s="832"/>
      <c r="BG232" s="832"/>
      <c r="BH232" s="832"/>
      <c r="BI232" s="832"/>
      <c r="BJ232" s="832"/>
      <c r="BK232" s="832"/>
      <c r="BL232" s="832"/>
      <c r="BM232" s="833"/>
      <c r="BN232" s="834">
        <f>'стр. 2_8'!DR417</f>
        <v>0</v>
      </c>
      <c r="BO232" s="835"/>
      <c r="BP232" s="835"/>
      <c r="BQ232" s="835"/>
      <c r="BR232" s="835"/>
      <c r="BS232" s="835"/>
      <c r="BT232" s="835"/>
      <c r="BU232" s="835"/>
      <c r="BV232" s="835"/>
      <c r="BW232" s="835"/>
      <c r="BX232" s="835"/>
      <c r="BY232" s="835"/>
      <c r="BZ232" s="835"/>
      <c r="CA232" s="835"/>
      <c r="CB232" s="836"/>
      <c r="CC232" s="255">
        <v>1</v>
      </c>
      <c r="CD232" s="115"/>
      <c r="CE232" s="115"/>
      <c r="CF232" s="115">
        <v>78886</v>
      </c>
      <c r="CG232" s="115">
        <f t="shared" si="20"/>
        <v>78886</v>
      </c>
      <c r="CP232" s="255" t="e">
        <f t="shared" si="21"/>
        <v>#DIV/0!</v>
      </c>
    </row>
    <row r="233" spans="1:97" s="255" customFormat="1" ht="21" customHeight="1">
      <c r="A233" s="950">
        <v>18</v>
      </c>
      <c r="B233" s="951"/>
      <c r="C233" s="951"/>
      <c r="D233" s="952"/>
      <c r="E233" s="1068" t="str">
        <f>'стр. 2_8'!A418</f>
        <v>Мягкий инвентарь (КФО 2)</v>
      </c>
      <c r="F233" s="1069"/>
      <c r="G233" s="1069"/>
      <c r="H233" s="1069"/>
      <c r="I233" s="1069"/>
      <c r="J233" s="1069"/>
      <c r="K233" s="1069"/>
      <c r="L233" s="1069"/>
      <c r="M233" s="1069"/>
      <c r="N233" s="1069"/>
      <c r="O233" s="1069"/>
      <c r="P233" s="1069"/>
      <c r="Q233" s="1069"/>
      <c r="R233" s="1069"/>
      <c r="S233" s="1069"/>
      <c r="T233" s="1069"/>
      <c r="U233" s="1069"/>
      <c r="V233" s="1069"/>
      <c r="W233" s="1069"/>
      <c r="X233" s="1069"/>
      <c r="Y233" s="1069"/>
      <c r="Z233" s="1069"/>
      <c r="AA233" s="1069"/>
      <c r="AB233" s="1069"/>
      <c r="AC233" s="1069"/>
      <c r="AD233" s="1069"/>
      <c r="AE233" s="1069"/>
      <c r="AF233" s="1069"/>
      <c r="AG233" s="1069"/>
      <c r="AH233" s="1069"/>
      <c r="AI233" s="1069"/>
      <c r="AJ233" s="1069"/>
      <c r="AK233" s="1069"/>
      <c r="AL233" s="1069"/>
      <c r="AM233" s="1069"/>
      <c r="AN233" s="1069"/>
      <c r="AO233" s="1069"/>
      <c r="AP233" s="1069"/>
      <c r="AQ233" s="1069"/>
      <c r="AR233" s="1070"/>
      <c r="AS233" s="839">
        <v>11</v>
      </c>
      <c r="AT233" s="840"/>
      <c r="AU233" s="840"/>
      <c r="AV233" s="840"/>
      <c r="AW233" s="840"/>
      <c r="AX233" s="840"/>
      <c r="AY233" s="840"/>
      <c r="AZ233" s="840"/>
      <c r="BA233" s="840"/>
      <c r="BB233" s="841"/>
      <c r="BC233" s="831">
        <v>500</v>
      </c>
      <c r="BD233" s="832"/>
      <c r="BE233" s="832"/>
      <c r="BF233" s="832"/>
      <c r="BG233" s="832"/>
      <c r="BH233" s="832"/>
      <c r="BI233" s="832"/>
      <c r="BJ233" s="832"/>
      <c r="BK233" s="832"/>
      <c r="BL233" s="832"/>
      <c r="BM233" s="833"/>
      <c r="BN233" s="834">
        <f>'стр. 2_8'!DR418</f>
        <v>3050</v>
      </c>
      <c r="BO233" s="835"/>
      <c r="BP233" s="835"/>
      <c r="BQ233" s="835"/>
      <c r="BR233" s="835"/>
      <c r="BS233" s="835"/>
      <c r="BT233" s="835"/>
      <c r="BU233" s="835"/>
      <c r="BV233" s="835"/>
      <c r="BW233" s="835"/>
      <c r="BX233" s="835"/>
      <c r="BY233" s="835"/>
      <c r="BZ233" s="835"/>
      <c r="CA233" s="835"/>
      <c r="CB233" s="836"/>
      <c r="CC233" s="255">
        <v>4</v>
      </c>
      <c r="CD233" s="115"/>
      <c r="CE233" s="115">
        <v>68280.3</v>
      </c>
      <c r="CF233" s="115"/>
      <c r="CG233" s="115">
        <f t="shared" si="20"/>
        <v>68280.3</v>
      </c>
      <c r="CP233" s="255">
        <f t="shared" si="21"/>
        <v>277.27272727272725</v>
      </c>
    </row>
    <row r="234" spans="1:97" s="255" customFormat="1" ht="17.399999999999999" customHeight="1">
      <c r="A234" s="950">
        <v>19</v>
      </c>
      <c r="B234" s="951"/>
      <c r="C234" s="951"/>
      <c r="D234" s="952"/>
      <c r="E234" s="1068" t="str">
        <f>'стр. 2_8'!A419</f>
        <v>Наградная, подарочная продукция (КФО 2)</v>
      </c>
      <c r="F234" s="1069"/>
      <c r="G234" s="1069"/>
      <c r="H234" s="1069"/>
      <c r="I234" s="1069"/>
      <c r="J234" s="1069"/>
      <c r="K234" s="1069"/>
      <c r="L234" s="1069"/>
      <c r="M234" s="1069"/>
      <c r="N234" s="1069"/>
      <c r="O234" s="1069"/>
      <c r="P234" s="1069"/>
      <c r="Q234" s="1069"/>
      <c r="R234" s="1069"/>
      <c r="S234" s="1069"/>
      <c r="T234" s="1069"/>
      <c r="U234" s="1069"/>
      <c r="V234" s="1069"/>
      <c r="W234" s="1069"/>
      <c r="X234" s="1069"/>
      <c r="Y234" s="1069"/>
      <c r="Z234" s="1069"/>
      <c r="AA234" s="1069"/>
      <c r="AB234" s="1069"/>
      <c r="AC234" s="1069"/>
      <c r="AD234" s="1069"/>
      <c r="AE234" s="1069"/>
      <c r="AF234" s="1069"/>
      <c r="AG234" s="1069"/>
      <c r="AH234" s="1069"/>
      <c r="AI234" s="1069"/>
      <c r="AJ234" s="1069"/>
      <c r="AK234" s="1069"/>
      <c r="AL234" s="1069"/>
      <c r="AM234" s="1069"/>
      <c r="AN234" s="1069"/>
      <c r="AO234" s="1069"/>
      <c r="AP234" s="1069"/>
      <c r="AQ234" s="1069"/>
      <c r="AR234" s="1070"/>
      <c r="AS234" s="950" t="s">
        <v>21</v>
      </c>
      <c r="AT234" s="951"/>
      <c r="AU234" s="951"/>
      <c r="AV234" s="951"/>
      <c r="AW234" s="951"/>
      <c r="AX234" s="951"/>
      <c r="AY234" s="951"/>
      <c r="AZ234" s="951"/>
      <c r="BA234" s="951"/>
      <c r="BB234" s="952"/>
      <c r="BC234" s="950" t="s">
        <v>21</v>
      </c>
      <c r="BD234" s="951"/>
      <c r="BE234" s="951"/>
      <c r="BF234" s="951"/>
      <c r="BG234" s="951"/>
      <c r="BH234" s="951"/>
      <c r="BI234" s="951"/>
      <c r="BJ234" s="951"/>
      <c r="BK234" s="951"/>
      <c r="BL234" s="951"/>
      <c r="BM234" s="952"/>
      <c r="BN234" s="834">
        <f>'стр. 2_8'!DR419</f>
        <v>9050</v>
      </c>
      <c r="BO234" s="835"/>
      <c r="BP234" s="835"/>
      <c r="BQ234" s="835"/>
      <c r="BR234" s="835"/>
      <c r="BS234" s="835"/>
      <c r="BT234" s="835"/>
      <c r="BU234" s="835"/>
      <c r="BV234" s="835"/>
      <c r="BW234" s="835"/>
      <c r="BX234" s="835"/>
      <c r="BY234" s="835"/>
      <c r="BZ234" s="835"/>
      <c r="CA234" s="835"/>
      <c r="CB234" s="836"/>
      <c r="CC234" s="255">
        <v>4</v>
      </c>
      <c r="CD234" s="115"/>
      <c r="CE234" s="115">
        <v>30719.7</v>
      </c>
      <c r="CF234" s="115"/>
      <c r="CG234" s="115">
        <f t="shared" si="20"/>
        <v>30719.7</v>
      </c>
      <c r="CP234" s="255" t="e">
        <f t="shared" si="21"/>
        <v>#VALUE!</v>
      </c>
    </row>
    <row r="235" spans="1:97" s="255" customFormat="1" ht="19.8" hidden="1" customHeight="1">
      <c r="A235" s="950">
        <v>29</v>
      </c>
      <c r="B235" s="951"/>
      <c r="C235" s="951"/>
      <c r="D235" s="952"/>
      <c r="E235" s="1068">
        <f>'стр. 2_8'!A420</f>
        <v>0</v>
      </c>
      <c r="F235" s="1069"/>
      <c r="G235" s="1069"/>
      <c r="H235" s="1069"/>
      <c r="I235" s="1069"/>
      <c r="J235" s="1069"/>
      <c r="K235" s="1069"/>
      <c r="L235" s="1069"/>
      <c r="M235" s="1069"/>
      <c r="N235" s="1069"/>
      <c r="O235" s="1069"/>
      <c r="P235" s="1069"/>
      <c r="Q235" s="1069"/>
      <c r="R235" s="1069"/>
      <c r="S235" s="1069"/>
      <c r="T235" s="1069"/>
      <c r="U235" s="1069"/>
      <c r="V235" s="1069"/>
      <c r="W235" s="1069"/>
      <c r="X235" s="1069"/>
      <c r="Y235" s="1069"/>
      <c r="Z235" s="1069"/>
      <c r="AA235" s="1069"/>
      <c r="AB235" s="1069"/>
      <c r="AC235" s="1069"/>
      <c r="AD235" s="1069"/>
      <c r="AE235" s="1069"/>
      <c r="AF235" s="1069"/>
      <c r="AG235" s="1069"/>
      <c r="AH235" s="1069"/>
      <c r="AI235" s="1069"/>
      <c r="AJ235" s="1069"/>
      <c r="AK235" s="1069"/>
      <c r="AL235" s="1069"/>
      <c r="AM235" s="1069"/>
      <c r="AN235" s="1069"/>
      <c r="AO235" s="1069"/>
      <c r="AP235" s="1069"/>
      <c r="AQ235" s="1069"/>
      <c r="AR235" s="1070"/>
      <c r="AS235" s="839">
        <v>80</v>
      </c>
      <c r="AT235" s="840"/>
      <c r="AU235" s="840"/>
      <c r="AV235" s="840"/>
      <c r="AW235" s="840"/>
      <c r="AX235" s="840"/>
      <c r="AY235" s="840"/>
      <c r="AZ235" s="840"/>
      <c r="BA235" s="840"/>
      <c r="BB235" s="841"/>
      <c r="BC235" s="831">
        <v>500</v>
      </c>
      <c r="BD235" s="832"/>
      <c r="BE235" s="832"/>
      <c r="BF235" s="832"/>
      <c r="BG235" s="832"/>
      <c r="BH235" s="832"/>
      <c r="BI235" s="832"/>
      <c r="BJ235" s="832"/>
      <c r="BK235" s="832"/>
      <c r="BL235" s="832"/>
      <c r="BM235" s="833"/>
      <c r="BN235" s="834">
        <f>'стр. 2_8'!DR420</f>
        <v>0</v>
      </c>
      <c r="BO235" s="835"/>
      <c r="BP235" s="835"/>
      <c r="BQ235" s="835"/>
      <c r="BR235" s="835"/>
      <c r="BS235" s="835"/>
      <c r="BT235" s="835"/>
      <c r="BU235" s="835"/>
      <c r="BV235" s="835"/>
      <c r="BW235" s="835"/>
      <c r="BX235" s="835"/>
      <c r="BY235" s="835"/>
      <c r="BZ235" s="835"/>
      <c r="CA235" s="835"/>
      <c r="CB235" s="836"/>
      <c r="CC235" s="255">
        <v>1</v>
      </c>
      <c r="CD235" s="115"/>
      <c r="CE235" s="115"/>
      <c r="CF235" s="115">
        <v>35000</v>
      </c>
      <c r="CG235" s="115">
        <f t="shared" si="20"/>
        <v>35000</v>
      </c>
      <c r="CP235" s="255">
        <f t="shared" si="21"/>
        <v>0</v>
      </c>
    </row>
    <row r="236" spans="1:97" s="255" customFormat="1" ht="19.95" hidden="1" customHeight="1">
      <c r="A236" s="950">
        <v>6</v>
      </c>
      <c r="B236" s="951"/>
      <c r="C236" s="951"/>
      <c r="D236" s="952"/>
      <c r="E236" s="1068">
        <f>'стр. 2_8'!A421</f>
        <v>0</v>
      </c>
      <c r="F236" s="1069"/>
      <c r="G236" s="1069"/>
      <c r="H236" s="1069"/>
      <c r="I236" s="1069"/>
      <c r="J236" s="1069"/>
      <c r="K236" s="1069"/>
      <c r="L236" s="1069"/>
      <c r="M236" s="1069"/>
      <c r="N236" s="1069"/>
      <c r="O236" s="1069"/>
      <c r="P236" s="1069"/>
      <c r="Q236" s="1069"/>
      <c r="R236" s="1069"/>
      <c r="S236" s="1069"/>
      <c r="T236" s="1069"/>
      <c r="U236" s="1069"/>
      <c r="V236" s="1069"/>
      <c r="W236" s="1069"/>
      <c r="X236" s="1069"/>
      <c r="Y236" s="1069"/>
      <c r="Z236" s="1069"/>
      <c r="AA236" s="1069"/>
      <c r="AB236" s="1069"/>
      <c r="AC236" s="1069"/>
      <c r="AD236" s="1069"/>
      <c r="AE236" s="1069"/>
      <c r="AF236" s="1069"/>
      <c r="AG236" s="1069"/>
      <c r="AH236" s="1069"/>
      <c r="AI236" s="1069"/>
      <c r="AJ236" s="1069"/>
      <c r="AK236" s="1069"/>
      <c r="AL236" s="1069"/>
      <c r="AM236" s="1069"/>
      <c r="AN236" s="1069"/>
      <c r="AO236" s="1069"/>
      <c r="AP236" s="1069"/>
      <c r="AQ236" s="1069"/>
      <c r="AR236" s="1070"/>
      <c r="AS236" s="839"/>
      <c r="AT236" s="840"/>
      <c r="AU236" s="840"/>
      <c r="AV236" s="840"/>
      <c r="AW236" s="840"/>
      <c r="AX236" s="840"/>
      <c r="AY236" s="840"/>
      <c r="AZ236" s="840"/>
      <c r="BA236" s="840"/>
      <c r="BB236" s="841"/>
      <c r="BC236" s="831"/>
      <c r="BD236" s="832"/>
      <c r="BE236" s="832"/>
      <c r="BF236" s="832"/>
      <c r="BG236" s="832"/>
      <c r="BH236" s="832"/>
      <c r="BI236" s="832"/>
      <c r="BJ236" s="832"/>
      <c r="BK236" s="832"/>
      <c r="BL236" s="832"/>
      <c r="BM236" s="833"/>
      <c r="BN236" s="834">
        <f>'стр. 2_8'!DR421</f>
        <v>0</v>
      </c>
      <c r="BO236" s="835"/>
      <c r="BP236" s="835"/>
      <c r="BQ236" s="835"/>
      <c r="BR236" s="835"/>
      <c r="BS236" s="835"/>
      <c r="BT236" s="835"/>
      <c r="BU236" s="835"/>
      <c r="BV236" s="835"/>
      <c r="BW236" s="835"/>
      <c r="BX236" s="835"/>
      <c r="BY236" s="835"/>
      <c r="BZ236" s="835"/>
      <c r="CA236" s="835"/>
      <c r="CB236" s="836"/>
      <c r="CC236" s="255">
        <v>1</v>
      </c>
      <c r="CD236" s="115"/>
      <c r="CE236" s="115"/>
      <c r="CF236" s="115">
        <v>5000</v>
      </c>
      <c r="CG236" s="115">
        <f t="shared" ref="CG236:CG237" si="25">CD236+CE236+CF236</f>
        <v>5000</v>
      </c>
      <c r="CP236" s="255" t="e">
        <f t="shared" ref="CP236:CP237" si="26">BN236/AS236</f>
        <v>#DIV/0!</v>
      </c>
    </row>
    <row r="237" spans="1:97" s="255" customFormat="1" ht="13.2" hidden="1" customHeight="1">
      <c r="A237" s="950">
        <v>15</v>
      </c>
      <c r="B237" s="951"/>
      <c r="C237" s="951"/>
      <c r="D237" s="952"/>
      <c r="E237" s="1068">
        <f>'стр. 2_8'!A422</f>
        <v>0</v>
      </c>
      <c r="F237" s="1069"/>
      <c r="G237" s="1069"/>
      <c r="H237" s="1069"/>
      <c r="I237" s="1069"/>
      <c r="J237" s="1069"/>
      <c r="K237" s="1069"/>
      <c r="L237" s="1069"/>
      <c r="M237" s="1069"/>
      <c r="N237" s="1069"/>
      <c r="O237" s="1069"/>
      <c r="P237" s="1069"/>
      <c r="Q237" s="1069"/>
      <c r="R237" s="1069"/>
      <c r="S237" s="1069"/>
      <c r="T237" s="1069"/>
      <c r="U237" s="1069"/>
      <c r="V237" s="1069"/>
      <c r="W237" s="1069"/>
      <c r="X237" s="1069"/>
      <c r="Y237" s="1069"/>
      <c r="Z237" s="1069"/>
      <c r="AA237" s="1069"/>
      <c r="AB237" s="1069"/>
      <c r="AC237" s="1069"/>
      <c r="AD237" s="1069"/>
      <c r="AE237" s="1069"/>
      <c r="AF237" s="1069"/>
      <c r="AG237" s="1069"/>
      <c r="AH237" s="1069"/>
      <c r="AI237" s="1069"/>
      <c r="AJ237" s="1069"/>
      <c r="AK237" s="1069"/>
      <c r="AL237" s="1069"/>
      <c r="AM237" s="1069"/>
      <c r="AN237" s="1069"/>
      <c r="AO237" s="1069"/>
      <c r="AP237" s="1069"/>
      <c r="AQ237" s="1069"/>
      <c r="AR237" s="1070"/>
      <c r="AS237" s="932"/>
      <c r="AT237" s="933"/>
      <c r="AU237" s="933"/>
      <c r="AV237" s="933"/>
      <c r="AW237" s="933"/>
      <c r="AX237" s="933"/>
      <c r="AY237" s="933"/>
      <c r="AZ237" s="933"/>
      <c r="BA237" s="933"/>
      <c r="BB237" s="934"/>
      <c r="BC237" s="831"/>
      <c r="BD237" s="832"/>
      <c r="BE237" s="832"/>
      <c r="BF237" s="832"/>
      <c r="BG237" s="832"/>
      <c r="BH237" s="832"/>
      <c r="BI237" s="832"/>
      <c r="BJ237" s="832"/>
      <c r="BK237" s="832"/>
      <c r="BL237" s="832"/>
      <c r="BM237" s="833"/>
      <c r="BN237" s="834">
        <f>'стр. 2_8'!DR422</f>
        <v>0</v>
      </c>
      <c r="BO237" s="835"/>
      <c r="BP237" s="835"/>
      <c r="BQ237" s="835"/>
      <c r="BR237" s="835"/>
      <c r="BS237" s="835"/>
      <c r="BT237" s="835"/>
      <c r="BU237" s="835"/>
      <c r="BV237" s="835"/>
      <c r="BW237" s="835"/>
      <c r="BX237" s="835"/>
      <c r="BY237" s="835"/>
      <c r="BZ237" s="835"/>
      <c r="CA237" s="835"/>
      <c r="CB237" s="836"/>
      <c r="CD237" s="115"/>
      <c r="CE237" s="115"/>
      <c r="CF237" s="115"/>
      <c r="CG237" s="115">
        <f t="shared" si="25"/>
        <v>0</v>
      </c>
      <c r="CP237" s="255" t="e">
        <f t="shared" si="26"/>
        <v>#DIV/0!</v>
      </c>
    </row>
    <row r="238" spans="1:97" ht="19.8" customHeight="1">
      <c r="A238" s="965"/>
      <c r="B238" s="966"/>
      <c r="C238" s="966"/>
      <c r="D238" s="967"/>
      <c r="E238" s="839" t="s">
        <v>262</v>
      </c>
      <c r="F238" s="840"/>
      <c r="G238" s="840"/>
      <c r="H238" s="840"/>
      <c r="I238" s="840"/>
      <c r="J238" s="840"/>
      <c r="K238" s="840"/>
      <c r="L238" s="840"/>
      <c r="M238" s="840"/>
      <c r="N238" s="840"/>
      <c r="O238" s="840"/>
      <c r="P238" s="840"/>
      <c r="Q238" s="840"/>
      <c r="R238" s="840"/>
      <c r="S238" s="840"/>
      <c r="T238" s="840"/>
      <c r="U238" s="840"/>
      <c r="V238" s="840"/>
      <c r="W238" s="840"/>
      <c r="X238" s="840"/>
      <c r="Y238" s="840"/>
      <c r="Z238" s="840"/>
      <c r="AA238" s="840"/>
      <c r="AB238" s="840"/>
      <c r="AC238" s="840"/>
      <c r="AD238" s="840"/>
      <c r="AE238" s="840"/>
      <c r="AF238" s="840"/>
      <c r="AG238" s="840"/>
      <c r="AH238" s="840"/>
      <c r="AI238" s="840"/>
      <c r="AJ238" s="840"/>
      <c r="AK238" s="840"/>
      <c r="AL238" s="840"/>
      <c r="AM238" s="840"/>
      <c r="AN238" s="840"/>
      <c r="AO238" s="840"/>
      <c r="AP238" s="840"/>
      <c r="AQ238" s="840"/>
      <c r="AR238" s="841"/>
      <c r="AS238" s="950" t="s">
        <v>21</v>
      </c>
      <c r="AT238" s="951"/>
      <c r="AU238" s="951"/>
      <c r="AV238" s="951"/>
      <c r="AW238" s="951"/>
      <c r="AX238" s="951"/>
      <c r="AY238" s="951"/>
      <c r="AZ238" s="951"/>
      <c r="BA238" s="951"/>
      <c r="BB238" s="952"/>
      <c r="BC238" s="950" t="s">
        <v>21</v>
      </c>
      <c r="BD238" s="951"/>
      <c r="BE238" s="951"/>
      <c r="BF238" s="951"/>
      <c r="BG238" s="951"/>
      <c r="BH238" s="951"/>
      <c r="BI238" s="951"/>
      <c r="BJ238" s="951"/>
      <c r="BK238" s="951"/>
      <c r="BL238" s="951"/>
      <c r="BM238" s="952"/>
      <c r="BN238" s="1074">
        <f>BN223+BN202+BN191</f>
        <v>214610.74</v>
      </c>
      <c r="BO238" s="1075"/>
      <c r="BP238" s="1075"/>
      <c r="BQ238" s="1075"/>
      <c r="BR238" s="1075"/>
      <c r="BS238" s="1075"/>
      <c r="BT238" s="1075"/>
      <c r="BU238" s="1075"/>
      <c r="BV238" s="1075"/>
      <c r="BW238" s="1075"/>
      <c r="BX238" s="1075"/>
      <c r="BY238" s="1075"/>
      <c r="BZ238" s="1075"/>
      <c r="CA238" s="1075"/>
      <c r="CB238" s="1076"/>
      <c r="CC238" s="115"/>
      <c r="CD238" s="116">
        <f>SUM(CD190:CD237)</f>
        <v>0</v>
      </c>
      <c r="CE238" s="116">
        <f>SUM(CE190:CE237)</f>
        <v>525719.69999999995</v>
      </c>
      <c r="CF238" s="116">
        <f>SUM(CF190:CF237)</f>
        <v>694430</v>
      </c>
      <c r="CG238" s="116">
        <f>SUM(CG190:CG237)</f>
        <v>1220149.7</v>
      </c>
      <c r="CP238" s="115">
        <f>BN238-'[2]Пок по пост и выб'!D149</f>
        <v>-236235.26</v>
      </c>
      <c r="CS238" s="115"/>
    </row>
    <row r="239" spans="1:97" ht="10.8" customHeight="1">
      <c r="CC239" s="115"/>
      <c r="CD239" s="115"/>
      <c r="CE239" s="115"/>
      <c r="CF239" s="115"/>
      <c r="CG239" s="115"/>
      <c r="CS239" s="115"/>
    </row>
    <row r="240" spans="1:97" s="200" customFormat="1" ht="15.6" hidden="1">
      <c r="A240" s="959" t="s">
        <v>534</v>
      </c>
      <c r="B240" s="959"/>
      <c r="C240" s="959"/>
      <c r="D240" s="959"/>
      <c r="E240" s="959"/>
      <c r="F240" s="959"/>
      <c r="G240" s="959"/>
      <c r="H240" s="959"/>
      <c r="I240" s="959"/>
      <c r="J240" s="959"/>
      <c r="K240" s="959"/>
      <c r="L240" s="959"/>
      <c r="M240" s="959"/>
      <c r="N240" s="959"/>
      <c r="O240" s="959"/>
      <c r="P240" s="959"/>
      <c r="Q240" s="959"/>
      <c r="R240" s="959"/>
      <c r="S240" s="959"/>
      <c r="T240" s="959"/>
      <c r="U240" s="959"/>
      <c r="V240" s="959"/>
      <c r="W240" s="959"/>
      <c r="X240" s="959"/>
      <c r="Y240" s="959"/>
      <c r="Z240" s="959"/>
      <c r="AA240" s="959"/>
      <c r="AB240" s="959"/>
      <c r="AC240" s="959"/>
      <c r="AD240" s="959"/>
      <c r="AE240" s="959"/>
      <c r="AF240" s="959"/>
      <c r="AG240" s="959"/>
      <c r="AH240" s="959"/>
      <c r="AI240" s="959"/>
      <c r="AJ240" s="959"/>
      <c r="AK240" s="959"/>
      <c r="AL240" s="959"/>
      <c r="AM240" s="959"/>
      <c r="AN240" s="959"/>
      <c r="AO240" s="959"/>
      <c r="AP240" s="959"/>
      <c r="AQ240" s="959"/>
      <c r="AR240" s="959"/>
      <c r="AS240" s="959"/>
      <c r="AT240" s="959"/>
      <c r="AU240" s="959"/>
      <c r="AV240" s="959"/>
      <c r="AW240" s="959"/>
      <c r="AX240" s="959"/>
      <c r="AY240" s="959"/>
      <c r="AZ240" s="959"/>
      <c r="BA240" s="959"/>
      <c r="BB240" s="959"/>
      <c r="BC240" s="959"/>
      <c r="BD240" s="959"/>
      <c r="BE240" s="959"/>
      <c r="BF240" s="959"/>
      <c r="BG240" s="959"/>
      <c r="BH240" s="959"/>
      <c r="BI240" s="959"/>
      <c r="BJ240" s="959"/>
      <c r="BK240" s="959"/>
      <c r="BL240" s="959"/>
      <c r="BM240" s="959"/>
      <c r="BN240" s="959"/>
      <c r="BO240" s="959"/>
      <c r="BP240" s="959"/>
      <c r="BQ240" s="959"/>
      <c r="BR240" s="959"/>
      <c r="BS240" s="959"/>
      <c r="BT240" s="959"/>
      <c r="BU240" s="959"/>
      <c r="BV240" s="959"/>
      <c r="BW240" s="959"/>
      <c r="BX240" s="959"/>
      <c r="BY240" s="959"/>
      <c r="BZ240" s="959"/>
      <c r="CA240" s="959"/>
      <c r="CB240" s="959"/>
      <c r="CC240" s="114" t="s">
        <v>590</v>
      </c>
      <c r="CD240" s="115" t="e">
        <f>#REF!+#REF!+#REF!+#REF!+#REF!+#REF!+#REF!+#REF!+#REF!</f>
        <v>#REF!</v>
      </c>
      <c r="CE240" s="115" t="e">
        <f>#REF!+#REF!+#REF!+#REF!+#REF!+#REF!+#REF!+#REF!+#REF!</f>
        <v>#REF!</v>
      </c>
      <c r="CF240" s="115" t="e">
        <f>#REF!+#REF!+#REF!+#REF!+#REF!+#REF!+#REF!+#REF!+#REF!</f>
        <v>#REF!</v>
      </c>
      <c r="CG240" s="116" t="e">
        <f>CD240+CE240+CF240</f>
        <v>#REF!</v>
      </c>
    </row>
    <row r="241" spans="1:85" s="200" customFormat="1" ht="15.6" hidden="1">
      <c r="A241" s="959" t="s">
        <v>530</v>
      </c>
      <c r="B241" s="959"/>
      <c r="C241" s="959"/>
      <c r="D241" s="959"/>
      <c r="E241" s="959"/>
      <c r="F241" s="959"/>
      <c r="G241" s="959"/>
      <c r="H241" s="959"/>
      <c r="I241" s="959"/>
      <c r="J241" s="959"/>
      <c r="K241" s="959"/>
      <c r="L241" s="959"/>
      <c r="M241" s="959"/>
      <c r="N241" s="959"/>
      <c r="O241" s="959"/>
      <c r="P241" s="959"/>
      <c r="Q241" s="959"/>
      <c r="R241" s="959"/>
      <c r="S241" s="959"/>
      <c r="T241" s="959"/>
      <c r="U241" s="959"/>
      <c r="V241" s="959"/>
      <c r="W241" s="959"/>
      <c r="X241" s="959"/>
      <c r="Y241" s="959"/>
      <c r="Z241" s="959"/>
      <c r="AA241" s="959"/>
      <c r="AB241" s="959"/>
      <c r="AC241" s="959"/>
      <c r="AD241" s="959"/>
      <c r="AE241" s="959"/>
      <c r="AF241" s="959"/>
      <c r="AG241" s="959"/>
      <c r="AH241" s="959"/>
      <c r="AI241" s="959"/>
      <c r="AJ241" s="959"/>
      <c r="AK241" s="959"/>
      <c r="AL241" s="959"/>
      <c r="AM241" s="959"/>
      <c r="AN241" s="959"/>
      <c r="AO241" s="959"/>
      <c r="AP241" s="959"/>
      <c r="AQ241" s="959"/>
      <c r="AR241" s="959"/>
      <c r="AS241" s="959"/>
      <c r="AT241" s="959"/>
      <c r="AU241" s="959"/>
      <c r="AV241" s="959"/>
      <c r="AW241" s="959"/>
      <c r="AX241" s="959"/>
      <c r="AY241" s="959"/>
      <c r="AZ241" s="959"/>
      <c r="BA241" s="959"/>
      <c r="BB241" s="959"/>
      <c r="BC241" s="959"/>
      <c r="BD241" s="959"/>
      <c r="BE241" s="959"/>
      <c r="BF241" s="959"/>
      <c r="BG241" s="959"/>
      <c r="BH241" s="959"/>
      <c r="BI241" s="959"/>
      <c r="BJ241" s="959"/>
      <c r="BK241" s="959"/>
      <c r="BL241" s="959"/>
      <c r="BM241" s="959"/>
      <c r="BN241" s="959"/>
      <c r="BO241" s="959"/>
      <c r="BP241" s="959"/>
      <c r="BQ241" s="959"/>
      <c r="BR241" s="959"/>
      <c r="BS241" s="959"/>
      <c r="BT241" s="959"/>
      <c r="BU241" s="959"/>
      <c r="BV241" s="959"/>
      <c r="BW241" s="959"/>
      <c r="BX241" s="959"/>
      <c r="BY241" s="959"/>
      <c r="BZ241" s="959"/>
      <c r="CA241" s="959"/>
      <c r="CB241" s="959"/>
      <c r="CC241" s="114" t="s">
        <v>591</v>
      </c>
      <c r="CD241" s="114"/>
      <c r="CE241" s="114"/>
      <c r="CF241" s="114"/>
      <c r="CG241" s="116">
        <f>CD241+CE241+CF241</f>
        <v>0</v>
      </c>
    </row>
    <row r="242" spans="1:85" s="202" customFormat="1" hidden="1">
      <c r="A242" s="201"/>
      <c r="B242" s="201"/>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01"/>
      <c r="BD242" s="201"/>
      <c r="BE242" s="201"/>
      <c r="BF242" s="201"/>
      <c r="BG242" s="201"/>
      <c r="BH242" s="201"/>
      <c r="BI242" s="201"/>
      <c r="BJ242" s="201"/>
      <c r="BK242" s="201"/>
      <c r="BL242" s="201"/>
      <c r="BM242" s="201"/>
      <c r="BN242" s="201"/>
      <c r="BO242" s="201"/>
      <c r="BP242" s="201"/>
      <c r="BQ242" s="201"/>
      <c r="BR242" s="201"/>
      <c r="BS242" s="201"/>
      <c r="BT242" s="201"/>
      <c r="BU242" s="201"/>
      <c r="BV242" s="201"/>
      <c r="BW242" s="201"/>
      <c r="BX242" s="201"/>
      <c r="BY242" s="201"/>
      <c r="BZ242" s="201"/>
      <c r="CA242" s="201"/>
      <c r="CB242" s="201"/>
      <c r="CC242" s="114" t="s">
        <v>592</v>
      </c>
      <c r="CD242" s="115" t="e">
        <f>CD232+CD235+#REF!</f>
        <v>#REF!</v>
      </c>
      <c r="CE242" s="115" t="e">
        <f>CE232+CE235+#REF!</f>
        <v>#REF!</v>
      </c>
      <c r="CF242" s="115" t="e">
        <f>CF232+CF235+#REF!</f>
        <v>#REF!</v>
      </c>
      <c r="CG242" s="116" t="e">
        <f>CD242+CE242+CF242</f>
        <v>#REF!</v>
      </c>
    </row>
    <row r="243" spans="1:85" hidden="1">
      <c r="A243" s="962" t="s">
        <v>388</v>
      </c>
      <c r="B243" s="963"/>
      <c r="C243" s="963"/>
      <c r="D243" s="964"/>
      <c r="E243" s="962" t="s">
        <v>422</v>
      </c>
      <c r="F243" s="963"/>
      <c r="G243" s="963"/>
      <c r="H243" s="963"/>
      <c r="I243" s="963"/>
      <c r="J243" s="963"/>
      <c r="K243" s="963"/>
      <c r="L243" s="963"/>
      <c r="M243" s="963"/>
      <c r="N243" s="963"/>
      <c r="O243" s="963"/>
      <c r="P243" s="963"/>
      <c r="Q243" s="963"/>
      <c r="R243" s="963"/>
      <c r="S243" s="963"/>
      <c r="T243" s="963"/>
      <c r="U243" s="963"/>
      <c r="V243" s="963"/>
      <c r="W243" s="963"/>
      <c r="X243" s="963"/>
      <c r="Y243" s="963"/>
      <c r="Z243" s="963"/>
      <c r="AA243" s="963"/>
      <c r="AB243" s="963"/>
      <c r="AC243" s="963"/>
      <c r="AD243" s="963"/>
      <c r="AE243" s="963"/>
      <c r="AF243" s="963"/>
      <c r="AG243" s="963"/>
      <c r="AH243" s="963"/>
      <c r="AI243" s="963"/>
      <c r="AJ243" s="963"/>
      <c r="AK243" s="963"/>
      <c r="AL243" s="963"/>
      <c r="AM243" s="963"/>
      <c r="AN243" s="963"/>
      <c r="AO243" s="963"/>
      <c r="AP243" s="963"/>
      <c r="AQ243" s="963"/>
      <c r="AR243" s="964"/>
      <c r="AS243" s="962" t="s">
        <v>424</v>
      </c>
      <c r="AT243" s="963"/>
      <c r="AU243" s="963"/>
      <c r="AV243" s="963"/>
      <c r="AW243" s="963"/>
      <c r="AX243" s="963"/>
      <c r="AY243" s="963"/>
      <c r="AZ243" s="963"/>
      <c r="BA243" s="963"/>
      <c r="BB243" s="964"/>
      <c r="BC243" s="962" t="s">
        <v>531</v>
      </c>
      <c r="BD243" s="963"/>
      <c r="BE243" s="963"/>
      <c r="BF243" s="963"/>
      <c r="BG243" s="963"/>
      <c r="BH243" s="963"/>
      <c r="BI243" s="963"/>
      <c r="BJ243" s="963"/>
      <c r="BK243" s="963"/>
      <c r="BL243" s="963"/>
      <c r="BM243" s="964"/>
      <c r="BN243" s="962" t="s">
        <v>269</v>
      </c>
      <c r="BO243" s="963"/>
      <c r="BP243" s="963"/>
      <c r="BQ243" s="963"/>
      <c r="BR243" s="963"/>
      <c r="BS243" s="963"/>
      <c r="BT243" s="963"/>
      <c r="BU243" s="963"/>
      <c r="BV243" s="963"/>
      <c r="BW243" s="963"/>
      <c r="BX243" s="963"/>
      <c r="BY243" s="963"/>
      <c r="BZ243" s="963"/>
      <c r="CA243" s="963"/>
      <c r="CB243" s="964"/>
      <c r="CC243" s="212" t="s">
        <v>587</v>
      </c>
      <c r="CD243" s="116" t="e">
        <f>#REF!+CD240+CD241+CD242</f>
        <v>#REF!</v>
      </c>
      <c r="CE243" s="116" t="e">
        <f>#REF!+CE240+CE241+CE242</f>
        <v>#REF!</v>
      </c>
      <c r="CF243" s="116" t="e">
        <f>#REF!+CF240+CF241+CF242</f>
        <v>#REF!</v>
      </c>
      <c r="CG243" s="116" t="e">
        <f>#REF!+CG240+CG241+CG242</f>
        <v>#REF!</v>
      </c>
    </row>
    <row r="244" spans="1:85" hidden="1">
      <c r="A244" s="956" t="s">
        <v>395</v>
      </c>
      <c r="B244" s="957"/>
      <c r="C244" s="957"/>
      <c r="D244" s="958"/>
      <c r="E244" s="956"/>
      <c r="F244" s="957"/>
      <c r="G244" s="957"/>
      <c r="H244" s="957"/>
      <c r="I244" s="957"/>
      <c r="J244" s="957"/>
      <c r="K244" s="957"/>
      <c r="L244" s="957"/>
      <c r="M244" s="957"/>
      <c r="N244" s="957"/>
      <c r="O244" s="957"/>
      <c r="P244" s="957"/>
      <c r="Q244" s="957"/>
      <c r="R244" s="957"/>
      <c r="S244" s="957"/>
      <c r="T244" s="957"/>
      <c r="U244" s="957"/>
      <c r="V244" s="957"/>
      <c r="W244" s="957"/>
      <c r="X244" s="957"/>
      <c r="Y244" s="957"/>
      <c r="Z244" s="957"/>
      <c r="AA244" s="957"/>
      <c r="AB244" s="957"/>
      <c r="AC244" s="957"/>
      <c r="AD244" s="957"/>
      <c r="AE244" s="957"/>
      <c r="AF244" s="957"/>
      <c r="AG244" s="957"/>
      <c r="AH244" s="957"/>
      <c r="AI244" s="957"/>
      <c r="AJ244" s="957"/>
      <c r="AK244" s="957"/>
      <c r="AL244" s="957"/>
      <c r="AM244" s="957"/>
      <c r="AN244" s="957"/>
      <c r="AO244" s="957"/>
      <c r="AP244" s="957"/>
      <c r="AQ244" s="957"/>
      <c r="AR244" s="958"/>
      <c r="AS244" s="956"/>
      <c r="AT244" s="957"/>
      <c r="AU244" s="957"/>
      <c r="AV244" s="957"/>
      <c r="AW244" s="957"/>
      <c r="AX244" s="957"/>
      <c r="AY244" s="957"/>
      <c r="AZ244" s="957"/>
      <c r="BA244" s="957"/>
      <c r="BB244" s="958"/>
      <c r="BC244" s="956" t="s">
        <v>532</v>
      </c>
      <c r="BD244" s="957"/>
      <c r="BE244" s="957"/>
      <c r="BF244" s="957"/>
      <c r="BG244" s="957"/>
      <c r="BH244" s="957"/>
      <c r="BI244" s="957"/>
      <c r="BJ244" s="957"/>
      <c r="BK244" s="957"/>
      <c r="BL244" s="957"/>
      <c r="BM244" s="958"/>
      <c r="BN244" s="956" t="s">
        <v>533</v>
      </c>
      <c r="BO244" s="957"/>
      <c r="BP244" s="957"/>
      <c r="BQ244" s="957"/>
      <c r="BR244" s="957"/>
      <c r="BS244" s="957"/>
      <c r="BT244" s="957"/>
      <c r="BU244" s="957"/>
      <c r="BV244" s="957"/>
      <c r="BW244" s="957"/>
      <c r="BX244" s="957"/>
      <c r="BY244" s="957"/>
      <c r="BZ244" s="957"/>
      <c r="CA244" s="957"/>
      <c r="CB244" s="958"/>
      <c r="CG244" s="212"/>
    </row>
    <row r="245" spans="1:85" hidden="1">
      <c r="A245" s="956"/>
      <c r="B245" s="957"/>
      <c r="C245" s="957"/>
      <c r="D245" s="958"/>
      <c r="E245" s="956"/>
      <c r="F245" s="957"/>
      <c r="G245" s="957"/>
      <c r="H245" s="957"/>
      <c r="I245" s="957"/>
      <c r="J245" s="957"/>
      <c r="K245" s="957"/>
      <c r="L245" s="957"/>
      <c r="M245" s="957"/>
      <c r="N245" s="957"/>
      <c r="O245" s="957"/>
      <c r="P245" s="957"/>
      <c r="Q245" s="957"/>
      <c r="R245" s="957"/>
      <c r="S245" s="957"/>
      <c r="T245" s="957"/>
      <c r="U245" s="957"/>
      <c r="V245" s="957"/>
      <c r="W245" s="957"/>
      <c r="X245" s="957"/>
      <c r="Y245" s="957"/>
      <c r="Z245" s="957"/>
      <c r="AA245" s="957"/>
      <c r="AB245" s="957"/>
      <c r="AC245" s="957"/>
      <c r="AD245" s="957"/>
      <c r="AE245" s="957"/>
      <c r="AF245" s="957"/>
      <c r="AG245" s="957"/>
      <c r="AH245" s="957"/>
      <c r="AI245" s="957"/>
      <c r="AJ245" s="957"/>
      <c r="AK245" s="957"/>
      <c r="AL245" s="957"/>
      <c r="AM245" s="957"/>
      <c r="AN245" s="957"/>
      <c r="AO245" s="957"/>
      <c r="AP245" s="957"/>
      <c r="AQ245" s="957"/>
      <c r="AR245" s="958"/>
      <c r="AS245" s="956"/>
      <c r="AT245" s="957"/>
      <c r="AU245" s="957"/>
      <c r="AV245" s="957"/>
      <c r="AW245" s="957"/>
      <c r="AX245" s="957"/>
      <c r="AY245" s="957"/>
      <c r="AZ245" s="957"/>
      <c r="BA245" s="957"/>
      <c r="BB245" s="958"/>
      <c r="BC245" s="956" t="s">
        <v>237</v>
      </c>
      <c r="BD245" s="957"/>
      <c r="BE245" s="957"/>
      <c r="BF245" s="957"/>
      <c r="BG245" s="957"/>
      <c r="BH245" s="957"/>
      <c r="BI245" s="957"/>
      <c r="BJ245" s="957"/>
      <c r="BK245" s="957"/>
      <c r="BL245" s="957"/>
      <c r="BM245" s="958"/>
      <c r="BN245" s="956"/>
      <c r="BO245" s="957"/>
      <c r="BP245" s="957"/>
      <c r="BQ245" s="957"/>
      <c r="BR245" s="957"/>
      <c r="BS245" s="957"/>
      <c r="BT245" s="957"/>
      <c r="BU245" s="957"/>
      <c r="BV245" s="957"/>
      <c r="BW245" s="957"/>
      <c r="BX245" s="957"/>
      <c r="BY245" s="957"/>
      <c r="BZ245" s="957"/>
      <c r="CA245" s="957"/>
      <c r="CB245" s="958"/>
      <c r="CD245" s="114">
        <v>4</v>
      </c>
      <c r="CE245" s="114">
        <v>5</v>
      </c>
      <c r="CF245" s="114">
        <v>2</v>
      </c>
      <c r="CG245" s="212" t="s">
        <v>587</v>
      </c>
    </row>
    <row r="246" spans="1:85" hidden="1">
      <c r="A246" s="953"/>
      <c r="B246" s="954"/>
      <c r="C246" s="954"/>
      <c r="D246" s="955"/>
      <c r="E246" s="953">
        <v>1</v>
      </c>
      <c r="F246" s="954"/>
      <c r="G246" s="954"/>
      <c r="H246" s="954"/>
      <c r="I246" s="954"/>
      <c r="J246" s="954"/>
      <c r="K246" s="954"/>
      <c r="L246" s="954"/>
      <c r="M246" s="954"/>
      <c r="N246" s="954"/>
      <c r="O246" s="954"/>
      <c r="P246" s="954"/>
      <c r="Q246" s="954"/>
      <c r="R246" s="954"/>
      <c r="S246" s="954"/>
      <c r="T246" s="954"/>
      <c r="U246" s="954"/>
      <c r="V246" s="954"/>
      <c r="W246" s="954"/>
      <c r="X246" s="954"/>
      <c r="Y246" s="954"/>
      <c r="Z246" s="954"/>
      <c r="AA246" s="954"/>
      <c r="AB246" s="954"/>
      <c r="AC246" s="954"/>
      <c r="AD246" s="954"/>
      <c r="AE246" s="954"/>
      <c r="AF246" s="954"/>
      <c r="AG246" s="954"/>
      <c r="AH246" s="954"/>
      <c r="AI246" s="954"/>
      <c r="AJ246" s="954"/>
      <c r="AK246" s="954"/>
      <c r="AL246" s="954"/>
      <c r="AM246" s="954"/>
      <c r="AN246" s="954"/>
      <c r="AO246" s="954"/>
      <c r="AP246" s="954"/>
      <c r="AQ246" s="954"/>
      <c r="AR246" s="955"/>
      <c r="AS246" s="953">
        <v>2</v>
      </c>
      <c r="AT246" s="954"/>
      <c r="AU246" s="954"/>
      <c r="AV246" s="954"/>
      <c r="AW246" s="954"/>
      <c r="AX246" s="954"/>
      <c r="AY246" s="954"/>
      <c r="AZ246" s="954"/>
      <c r="BA246" s="954"/>
      <c r="BB246" s="955"/>
      <c r="BC246" s="953">
        <v>3</v>
      </c>
      <c r="BD246" s="954"/>
      <c r="BE246" s="954"/>
      <c r="BF246" s="954"/>
      <c r="BG246" s="954"/>
      <c r="BH246" s="954"/>
      <c r="BI246" s="954"/>
      <c r="BJ246" s="954"/>
      <c r="BK246" s="954"/>
      <c r="BL246" s="954"/>
      <c r="BM246" s="955"/>
      <c r="BN246" s="953">
        <v>4</v>
      </c>
      <c r="BO246" s="954"/>
      <c r="BP246" s="954"/>
      <c r="BQ246" s="954"/>
      <c r="BR246" s="954"/>
      <c r="BS246" s="954"/>
      <c r="BT246" s="954"/>
      <c r="BU246" s="954"/>
      <c r="BV246" s="954"/>
      <c r="BW246" s="954"/>
      <c r="BX246" s="954"/>
      <c r="BY246" s="954"/>
      <c r="BZ246" s="954"/>
      <c r="CA246" s="954"/>
      <c r="CB246" s="955"/>
      <c r="CC246" s="114" t="s">
        <v>593</v>
      </c>
      <c r="CD246" s="115" t="e">
        <f>CD38+CD39+#REF!+CD40+CD41+CD42+CD43</f>
        <v>#REF!</v>
      </c>
      <c r="CE246" s="115" t="e">
        <f>CE38+CE39+#REF!+CE40+CE41+CE42+CE43</f>
        <v>#REF!</v>
      </c>
      <c r="CF246" s="115" t="e">
        <f>CF38+CF39+#REF!+CF40+CF41+CF42+CF43</f>
        <v>#REF!</v>
      </c>
      <c r="CG246" s="116" t="e">
        <f>CD246+CE246+CF246</f>
        <v>#REF!</v>
      </c>
    </row>
    <row r="247" spans="1:85" hidden="1">
      <c r="A247" s="926">
        <v>1</v>
      </c>
      <c r="B247" s="927"/>
      <c r="C247" s="927"/>
      <c r="D247" s="928"/>
      <c r="E247" s="920"/>
      <c r="F247" s="921"/>
      <c r="G247" s="921"/>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2"/>
      <c r="AS247" s="932"/>
      <c r="AT247" s="933"/>
      <c r="AU247" s="933"/>
      <c r="AV247" s="933"/>
      <c r="AW247" s="933"/>
      <c r="AX247" s="933"/>
      <c r="AY247" s="933"/>
      <c r="AZ247" s="933"/>
      <c r="BA247" s="933"/>
      <c r="BB247" s="934"/>
      <c r="BC247" s="1092"/>
      <c r="BD247" s="840"/>
      <c r="BE247" s="840"/>
      <c r="BF247" s="840"/>
      <c r="BG247" s="840"/>
      <c r="BH247" s="840"/>
      <c r="BI247" s="840"/>
      <c r="BJ247" s="840"/>
      <c r="BK247" s="840"/>
      <c r="BL247" s="840"/>
      <c r="BM247" s="841"/>
      <c r="BN247" s="868"/>
      <c r="BO247" s="933"/>
      <c r="BP247" s="933"/>
      <c r="BQ247" s="933"/>
      <c r="BR247" s="933"/>
      <c r="BS247" s="933"/>
      <c r="BT247" s="933"/>
      <c r="BU247" s="933"/>
      <c r="BV247" s="933"/>
      <c r="BW247" s="933"/>
      <c r="BX247" s="933"/>
      <c r="BY247" s="933"/>
      <c r="BZ247" s="933"/>
      <c r="CA247" s="933"/>
      <c r="CB247" s="934"/>
      <c r="CC247" s="114" t="s">
        <v>594</v>
      </c>
      <c r="CD247" s="115" t="e">
        <f>#REF!+#REF!+#REF!+#REF!+#REF!+#REF!</f>
        <v>#REF!</v>
      </c>
      <c r="CE247" s="115" t="e">
        <f>#REF!+#REF!+#REF!+#REF!+#REF!+#REF!</f>
        <v>#REF!</v>
      </c>
      <c r="CF247" s="115" t="e">
        <f>#REF!+#REF!+#REF!+#REF!+#REF!+#REF!</f>
        <v>#REF!</v>
      </c>
      <c r="CG247" s="116" t="e">
        <f>CD247+CE247+CF247</f>
        <v>#REF!</v>
      </c>
    </row>
    <row r="248" spans="1:85" hidden="1">
      <c r="A248" s="926">
        <v>2</v>
      </c>
      <c r="B248" s="927"/>
      <c r="C248" s="927"/>
      <c r="D248" s="928"/>
      <c r="E248" s="920"/>
      <c r="F248" s="921"/>
      <c r="G248" s="921"/>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2"/>
      <c r="AS248" s="932"/>
      <c r="AT248" s="933"/>
      <c r="AU248" s="933"/>
      <c r="AV248" s="933"/>
      <c r="AW248" s="933"/>
      <c r="AX248" s="933"/>
      <c r="AY248" s="933"/>
      <c r="AZ248" s="933"/>
      <c r="BA248" s="933"/>
      <c r="BB248" s="934"/>
      <c r="BC248" s="1092"/>
      <c r="BD248" s="840"/>
      <c r="BE248" s="840"/>
      <c r="BF248" s="840"/>
      <c r="BG248" s="840"/>
      <c r="BH248" s="840"/>
      <c r="BI248" s="840"/>
      <c r="BJ248" s="840"/>
      <c r="BK248" s="840"/>
      <c r="BL248" s="840"/>
      <c r="BM248" s="841"/>
      <c r="BN248" s="868"/>
      <c r="BO248" s="933"/>
      <c r="BP248" s="933"/>
      <c r="BQ248" s="933"/>
      <c r="BR248" s="933"/>
      <c r="BS248" s="933"/>
      <c r="BT248" s="933"/>
      <c r="BU248" s="933"/>
      <c r="BV248" s="933"/>
      <c r="BW248" s="933"/>
      <c r="BX248" s="933"/>
      <c r="BY248" s="933"/>
      <c r="BZ248" s="933"/>
      <c r="CA248" s="933"/>
      <c r="CB248" s="934"/>
      <c r="CC248" s="114" t="s">
        <v>595</v>
      </c>
      <c r="CG248" s="116">
        <f>CD248+CE248+CF248</f>
        <v>0</v>
      </c>
    </row>
    <row r="249" spans="1:85" hidden="1">
      <c r="A249" s="926">
        <v>3</v>
      </c>
      <c r="B249" s="927"/>
      <c r="C249" s="927"/>
      <c r="D249" s="928"/>
      <c r="E249" s="920"/>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2"/>
      <c r="AS249" s="932"/>
      <c r="AT249" s="933"/>
      <c r="AU249" s="933"/>
      <c r="AV249" s="933"/>
      <c r="AW249" s="933"/>
      <c r="AX249" s="933"/>
      <c r="AY249" s="933"/>
      <c r="AZ249" s="933"/>
      <c r="BA249" s="933"/>
      <c r="BB249" s="934"/>
      <c r="BC249" s="1092"/>
      <c r="BD249" s="840"/>
      <c r="BE249" s="840"/>
      <c r="BF249" s="840"/>
      <c r="BG249" s="840"/>
      <c r="BH249" s="840"/>
      <c r="BI249" s="840"/>
      <c r="BJ249" s="840"/>
      <c r="BK249" s="840"/>
      <c r="BL249" s="840"/>
      <c r="BM249" s="841"/>
      <c r="BN249" s="868"/>
      <c r="BO249" s="933"/>
      <c r="BP249" s="933"/>
      <c r="BQ249" s="933"/>
      <c r="BR249" s="933"/>
      <c r="BS249" s="933"/>
      <c r="BT249" s="933"/>
      <c r="BU249" s="933"/>
      <c r="BV249" s="933"/>
      <c r="BW249" s="933"/>
      <c r="BX249" s="933"/>
      <c r="BY249" s="933"/>
      <c r="BZ249" s="933"/>
      <c r="CA249" s="933"/>
      <c r="CB249" s="934"/>
      <c r="CC249" s="114" t="s">
        <v>596</v>
      </c>
      <c r="CD249" s="115">
        <f>CD231</f>
        <v>0</v>
      </c>
      <c r="CE249" s="115">
        <f>CE231</f>
        <v>0</v>
      </c>
      <c r="CF249" s="115">
        <f>CF231</f>
        <v>0</v>
      </c>
      <c r="CG249" s="116">
        <f>CD249+CE249+CF249</f>
        <v>0</v>
      </c>
    </row>
    <row r="250" spans="1:85" hidden="1">
      <c r="A250" s="926">
        <v>4</v>
      </c>
      <c r="B250" s="927"/>
      <c r="C250" s="927"/>
      <c r="D250" s="928"/>
      <c r="E250" s="920"/>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2"/>
      <c r="AS250" s="932"/>
      <c r="AT250" s="933"/>
      <c r="AU250" s="933"/>
      <c r="AV250" s="933"/>
      <c r="AW250" s="933"/>
      <c r="AX250" s="933"/>
      <c r="AY250" s="933"/>
      <c r="AZ250" s="933"/>
      <c r="BA250" s="933"/>
      <c r="BB250" s="934"/>
      <c r="BC250" s="1092"/>
      <c r="BD250" s="840"/>
      <c r="BE250" s="840"/>
      <c r="BF250" s="840"/>
      <c r="BG250" s="840"/>
      <c r="BH250" s="840"/>
      <c r="BI250" s="840"/>
      <c r="BJ250" s="840"/>
      <c r="BK250" s="840"/>
      <c r="BL250" s="840"/>
      <c r="BM250" s="841"/>
      <c r="BN250" s="868"/>
      <c r="BO250" s="933"/>
      <c r="BP250" s="933"/>
      <c r="BQ250" s="933"/>
      <c r="BR250" s="933"/>
      <c r="BS250" s="933"/>
      <c r="BT250" s="933"/>
      <c r="BU250" s="933"/>
      <c r="BV250" s="933"/>
      <c r="BW250" s="933"/>
      <c r="BX250" s="933"/>
      <c r="BY250" s="933"/>
      <c r="BZ250" s="933"/>
      <c r="CA250" s="933"/>
      <c r="CB250" s="934"/>
      <c r="CC250" s="212" t="s">
        <v>587</v>
      </c>
      <c r="CD250" s="116" t="e">
        <f>CD246+CD247+CD248+CD249</f>
        <v>#REF!</v>
      </c>
      <c r="CE250" s="116" t="e">
        <f>CE246+CE247+CE248+CE249</f>
        <v>#REF!</v>
      </c>
      <c r="CF250" s="116" t="e">
        <f>CF246+CF247+CF248+CF249</f>
        <v>#REF!</v>
      </c>
      <c r="CG250" s="116" t="e">
        <f>CG246+CG247+CG248+CG249</f>
        <v>#REF!</v>
      </c>
    </row>
    <row r="251" spans="1:85" hidden="1">
      <c r="A251" s="920"/>
      <c r="B251" s="921"/>
      <c r="C251" s="921"/>
      <c r="D251" s="922"/>
      <c r="E251" s="1093"/>
      <c r="F251" s="1094"/>
      <c r="G251" s="1094"/>
      <c r="H251" s="1094"/>
      <c r="I251" s="1094"/>
      <c r="J251" s="1094"/>
      <c r="K251" s="1094"/>
      <c r="L251" s="1094"/>
      <c r="M251" s="1094"/>
      <c r="N251" s="1094"/>
      <c r="O251" s="1094"/>
      <c r="P251" s="1094"/>
      <c r="Q251" s="1094"/>
      <c r="R251" s="1094"/>
      <c r="S251" s="1094"/>
      <c r="T251" s="1094"/>
      <c r="U251" s="1094"/>
      <c r="V251" s="1094"/>
      <c r="W251" s="1094"/>
      <c r="X251" s="1094"/>
      <c r="Y251" s="1094"/>
      <c r="Z251" s="1094"/>
      <c r="AA251" s="1094"/>
      <c r="AB251" s="1094"/>
      <c r="AC251" s="1094"/>
      <c r="AD251" s="1094"/>
      <c r="AE251" s="1094"/>
      <c r="AF251" s="1094"/>
      <c r="AG251" s="1094"/>
      <c r="AH251" s="1094"/>
      <c r="AI251" s="1094"/>
      <c r="AJ251" s="1094"/>
      <c r="AK251" s="1094"/>
      <c r="AL251" s="1094"/>
      <c r="AM251" s="1094"/>
      <c r="AN251" s="1094"/>
      <c r="AO251" s="1094"/>
      <c r="AP251" s="1094"/>
      <c r="AQ251" s="1094"/>
      <c r="AR251" s="1095"/>
      <c r="AS251" s="932"/>
      <c r="AT251" s="933"/>
      <c r="AU251" s="933"/>
      <c r="AV251" s="933"/>
      <c r="AW251" s="933"/>
      <c r="AX251" s="933"/>
      <c r="AY251" s="933"/>
      <c r="AZ251" s="933"/>
      <c r="BA251" s="933"/>
      <c r="BB251" s="934"/>
      <c r="BC251" s="839"/>
      <c r="BD251" s="840"/>
      <c r="BE251" s="840"/>
      <c r="BF251" s="840"/>
      <c r="BG251" s="840"/>
      <c r="BH251" s="840"/>
      <c r="BI251" s="840"/>
      <c r="BJ251" s="840"/>
      <c r="BK251" s="840"/>
      <c r="BL251" s="840"/>
      <c r="BM251" s="841"/>
      <c r="BN251" s="868" t="s">
        <v>272</v>
      </c>
      <c r="BO251" s="933"/>
      <c r="BP251" s="933"/>
      <c r="BQ251" s="933"/>
      <c r="BR251" s="933"/>
      <c r="BS251" s="933"/>
      <c r="BT251" s="933"/>
      <c r="BU251" s="933"/>
      <c r="BV251" s="933"/>
      <c r="BW251" s="933"/>
      <c r="BX251" s="933"/>
      <c r="BY251" s="933"/>
      <c r="BZ251" s="933"/>
      <c r="CA251" s="933"/>
      <c r="CB251" s="934"/>
      <c r="CG251" s="212"/>
    </row>
    <row r="252" spans="1:85" hidden="1">
      <c r="A252" s="920"/>
      <c r="B252" s="921"/>
      <c r="C252" s="921"/>
      <c r="D252" s="922"/>
      <c r="E252" s="839" t="s">
        <v>262</v>
      </c>
      <c r="F252" s="840"/>
      <c r="G252" s="840"/>
      <c r="H252" s="840"/>
      <c r="I252" s="840"/>
      <c r="J252" s="840"/>
      <c r="K252" s="840"/>
      <c r="L252" s="840"/>
      <c r="M252" s="840"/>
      <c r="N252" s="840"/>
      <c r="O252" s="840"/>
      <c r="P252" s="840"/>
      <c r="Q252" s="840"/>
      <c r="R252" s="840"/>
      <c r="S252" s="840"/>
      <c r="T252" s="840"/>
      <c r="U252" s="840"/>
      <c r="V252" s="840"/>
      <c r="W252" s="840"/>
      <c r="X252" s="840"/>
      <c r="Y252" s="840"/>
      <c r="Z252" s="840"/>
      <c r="AA252" s="840"/>
      <c r="AB252" s="840"/>
      <c r="AC252" s="840"/>
      <c r="AD252" s="840"/>
      <c r="AE252" s="840"/>
      <c r="AF252" s="840"/>
      <c r="AG252" s="840"/>
      <c r="AH252" s="840"/>
      <c r="AI252" s="840"/>
      <c r="AJ252" s="840"/>
      <c r="AK252" s="840"/>
      <c r="AL252" s="840"/>
      <c r="AM252" s="840"/>
      <c r="AN252" s="840"/>
      <c r="AO252" s="840"/>
      <c r="AP252" s="840"/>
      <c r="AQ252" s="840"/>
      <c r="AR252" s="841"/>
      <c r="AS252" s="926" t="s">
        <v>21</v>
      </c>
      <c r="AT252" s="927"/>
      <c r="AU252" s="927"/>
      <c r="AV252" s="927"/>
      <c r="AW252" s="927"/>
      <c r="AX252" s="927"/>
      <c r="AY252" s="927"/>
      <c r="AZ252" s="927"/>
      <c r="BA252" s="927"/>
      <c r="BB252" s="928"/>
      <c r="BC252" s="950" t="s">
        <v>21</v>
      </c>
      <c r="BD252" s="951"/>
      <c r="BE252" s="951"/>
      <c r="BF252" s="951"/>
      <c r="BG252" s="951"/>
      <c r="BH252" s="951"/>
      <c r="BI252" s="951"/>
      <c r="BJ252" s="951"/>
      <c r="BK252" s="951"/>
      <c r="BL252" s="951"/>
      <c r="BM252" s="952"/>
      <c r="BN252" s="868">
        <f>SUM(BN247:CB251)</f>
        <v>0</v>
      </c>
      <c r="BO252" s="933"/>
      <c r="BP252" s="933"/>
      <c r="BQ252" s="933"/>
      <c r="BR252" s="933"/>
      <c r="BS252" s="933"/>
      <c r="BT252" s="933"/>
      <c r="BU252" s="933"/>
      <c r="BV252" s="933"/>
      <c r="BW252" s="933"/>
      <c r="BX252" s="933"/>
      <c r="BY252" s="933"/>
      <c r="BZ252" s="933"/>
      <c r="CA252" s="933"/>
      <c r="CB252" s="934"/>
      <c r="CD252" s="114">
        <v>4</v>
      </c>
      <c r="CE252" s="114">
        <v>5</v>
      </c>
      <c r="CF252" s="114">
        <v>2</v>
      </c>
      <c r="CG252" s="212" t="s">
        <v>587</v>
      </c>
    </row>
    <row r="253" spans="1:85" hidden="1">
      <c r="CC253" s="114" t="s">
        <v>597</v>
      </c>
      <c r="CD253" s="115">
        <f>CD36+CD37+CD45+CD46</f>
        <v>0</v>
      </c>
      <c r="CE253" s="115">
        <f>CE36+CE37+CE45+CE46</f>
        <v>105850</v>
      </c>
      <c r="CF253" s="115">
        <f>CF36+CF37+CF45+CF46</f>
        <v>30909</v>
      </c>
      <c r="CG253" s="116">
        <f>CD253+CE253+CF253</f>
        <v>136759</v>
      </c>
    </row>
    <row r="254" spans="1:85" hidden="1">
      <c r="CC254" s="114" t="s">
        <v>598</v>
      </c>
      <c r="CD254" s="115" t="e">
        <f>#REF!</f>
        <v>#REF!</v>
      </c>
      <c r="CE254" s="115" t="e">
        <f>#REF!</f>
        <v>#REF!</v>
      </c>
      <c r="CF254" s="115" t="e">
        <f>#REF!</f>
        <v>#REF!</v>
      </c>
      <c r="CG254" s="116" t="e">
        <f>CD254+CE254+CF254</f>
        <v>#REF!</v>
      </c>
    </row>
    <row r="255" spans="1:85" hidden="1">
      <c r="CC255" s="114" t="s">
        <v>599</v>
      </c>
      <c r="CG255" s="116">
        <f>CD255+CE255+CF255</f>
        <v>0</v>
      </c>
    </row>
    <row r="256" spans="1:85" hidden="1">
      <c r="CC256" s="114" t="s">
        <v>600</v>
      </c>
      <c r="CD256" s="115">
        <f>CD208</f>
        <v>0</v>
      </c>
      <c r="CE256" s="115">
        <f>CE208</f>
        <v>0</v>
      </c>
      <c r="CF256" s="115">
        <f>CF208</f>
        <v>30000</v>
      </c>
      <c r="CG256" s="116">
        <f>CD256+CE256+CF256</f>
        <v>30000</v>
      </c>
    </row>
    <row r="257" spans="1:85">
      <c r="A257" s="1091" t="s">
        <v>1033</v>
      </c>
      <c r="B257" s="1091"/>
      <c r="C257" s="1091"/>
      <c r="D257" s="1091"/>
      <c r="E257" s="1091"/>
      <c r="F257" s="1091"/>
      <c r="G257" s="1091"/>
      <c r="H257" s="1091"/>
      <c r="I257" s="1091"/>
      <c r="J257" s="1091"/>
      <c r="K257" s="1091"/>
      <c r="L257" s="1091"/>
      <c r="M257" s="1091"/>
      <c r="N257" s="1091"/>
      <c r="O257" s="1091"/>
      <c r="P257" s="1091"/>
      <c r="Q257" s="1091"/>
      <c r="R257" s="1091"/>
      <c r="S257" s="1091"/>
      <c r="T257" s="1091"/>
      <c r="U257" s="1091"/>
      <c r="V257" s="1091"/>
      <c r="W257" s="1091"/>
      <c r="X257" s="1091"/>
      <c r="Y257" s="1091"/>
      <c r="Z257" s="1091"/>
      <c r="AA257" s="1091"/>
      <c r="AB257" s="1091"/>
      <c r="AC257" s="1091"/>
      <c r="AD257" s="1091"/>
      <c r="AE257" s="1091"/>
      <c r="AF257" s="1091"/>
      <c r="AG257" s="1091"/>
      <c r="AH257" s="1091"/>
      <c r="AI257" s="1091"/>
      <c r="AJ257" s="1091"/>
      <c r="AK257" s="1091"/>
      <c r="AL257" s="1091"/>
      <c r="AM257" s="1091"/>
      <c r="AN257" s="1091"/>
      <c r="AO257" s="1091"/>
      <c r="AP257" s="1091"/>
      <c r="AQ257" s="1091"/>
      <c r="AR257" s="1091"/>
      <c r="AS257" s="1091"/>
      <c r="AT257" s="1091"/>
      <c r="AU257" s="1091"/>
      <c r="AV257" s="1091"/>
      <c r="AW257" s="1091"/>
      <c r="AX257" s="1091"/>
      <c r="AY257" s="1091"/>
      <c r="AZ257" s="1091"/>
      <c r="BA257" s="1091"/>
      <c r="BB257" s="1091"/>
      <c r="BC257" s="1091"/>
      <c r="BD257" s="1091"/>
      <c r="BE257" s="1091"/>
      <c r="BF257" s="1091"/>
      <c r="BG257" s="1091"/>
      <c r="BH257" s="1091"/>
      <c r="BI257" s="1091"/>
      <c r="BJ257" s="1091"/>
      <c r="BK257" s="1091"/>
      <c r="BL257" s="1091"/>
      <c r="BM257" s="1091"/>
      <c r="BN257" s="1091"/>
      <c r="BO257" s="251"/>
      <c r="BP257" s="251"/>
      <c r="BQ257" s="251"/>
      <c r="BR257" s="251"/>
      <c r="BS257" s="251"/>
      <c r="BT257" s="251"/>
      <c r="BU257" s="251"/>
      <c r="BV257" s="251"/>
      <c r="BW257" s="251"/>
      <c r="BX257" s="251"/>
      <c r="BY257" s="251"/>
      <c r="BZ257" s="251"/>
      <c r="CA257" s="251"/>
      <c r="CB257" s="251"/>
      <c r="CC257" s="212" t="s">
        <v>587</v>
      </c>
      <c r="CD257" s="116" t="e">
        <f>CD253+CD254+CD255+CD256</f>
        <v>#REF!</v>
      </c>
      <c r="CE257" s="116" t="e">
        <f>CE253+CE254+CE255+CE256</f>
        <v>#REF!</v>
      </c>
      <c r="CF257" s="116" t="e">
        <f>CF253+CF254+CF255+CF256</f>
        <v>#REF!</v>
      </c>
      <c r="CG257" s="116" t="e">
        <f>CG253+CG254+CG255+CG256</f>
        <v>#REF!</v>
      </c>
    </row>
    <row r="258" spans="1:85">
      <c r="A258" s="1091" t="s">
        <v>1035</v>
      </c>
      <c r="B258" s="1091"/>
      <c r="C258" s="1091"/>
      <c r="D258" s="1091"/>
      <c r="E258" s="1091"/>
      <c r="F258" s="1091"/>
      <c r="G258" s="1091"/>
      <c r="H258" s="1091"/>
      <c r="I258" s="1091"/>
      <c r="J258" s="1091"/>
      <c r="K258" s="1091"/>
      <c r="L258" s="1091"/>
      <c r="M258" s="1091"/>
      <c r="N258" s="1091"/>
      <c r="O258" s="1091"/>
      <c r="P258" s="1091"/>
      <c r="Q258" s="1091"/>
      <c r="R258" s="1091"/>
      <c r="S258" s="1091"/>
      <c r="T258" s="1091"/>
      <c r="U258" s="1091"/>
      <c r="V258" s="1091"/>
      <c r="W258" s="1091"/>
      <c r="X258" s="1091"/>
      <c r="Y258" s="1091"/>
      <c r="Z258" s="1091"/>
      <c r="AA258" s="1091"/>
      <c r="AB258" s="1091"/>
      <c r="AC258" s="1091"/>
      <c r="AD258" s="1091"/>
      <c r="AE258" s="1091"/>
      <c r="AF258" s="1091"/>
      <c r="AG258" s="1091"/>
      <c r="AH258" s="1091"/>
      <c r="AI258" s="1091"/>
      <c r="AJ258" s="1091"/>
      <c r="AK258" s="1091"/>
      <c r="AL258" s="1091"/>
      <c r="AM258" s="1091"/>
      <c r="AN258" s="1091"/>
      <c r="AO258" s="1091"/>
      <c r="AP258" s="1091"/>
      <c r="AQ258" s="1091"/>
      <c r="AR258" s="1091"/>
      <c r="AS258" s="1091"/>
      <c r="AT258" s="1091"/>
      <c r="AU258" s="1091"/>
      <c r="AV258" s="1091"/>
      <c r="AW258" s="1091"/>
      <c r="AX258" s="1091"/>
      <c r="AY258" s="1091"/>
      <c r="AZ258" s="1091"/>
      <c r="BA258" s="1091"/>
      <c r="BB258" s="1091"/>
      <c r="BC258" s="1091"/>
      <c r="BD258" s="1091"/>
      <c r="BE258" s="1091"/>
      <c r="BF258" s="1091"/>
      <c r="BG258" s="1091"/>
      <c r="BH258" s="1091"/>
      <c r="BI258" s="1091"/>
      <c r="BJ258" s="1091"/>
      <c r="BK258" s="1091"/>
      <c r="BL258" s="1091"/>
      <c r="BM258" s="1091"/>
      <c r="BN258" s="1091"/>
      <c r="BO258" s="251"/>
      <c r="BP258" s="251"/>
      <c r="BQ258" s="251"/>
      <c r="BR258" s="251"/>
      <c r="BS258" s="251"/>
      <c r="BT258" s="251"/>
      <c r="BU258" s="251"/>
      <c r="BV258" s="251"/>
      <c r="BW258" s="251"/>
      <c r="BX258" s="251"/>
      <c r="BY258" s="251"/>
      <c r="BZ258" s="251"/>
      <c r="CA258" s="251"/>
      <c r="CB258" s="251"/>
      <c r="CG258" s="212"/>
    </row>
    <row r="259" spans="1:85" ht="15.75" customHeight="1">
      <c r="A259" s="1091" t="s">
        <v>601</v>
      </c>
      <c r="B259" s="1091"/>
      <c r="C259" s="1091"/>
      <c r="D259" s="1091"/>
      <c r="E259" s="1091"/>
      <c r="F259" s="1091"/>
      <c r="G259" s="1091"/>
      <c r="H259" s="1091"/>
      <c r="I259" s="1091"/>
      <c r="J259" s="1091"/>
      <c r="K259" s="1091"/>
      <c r="L259" s="1091"/>
      <c r="M259" s="1091"/>
      <c r="N259" s="1091"/>
      <c r="O259" s="1091"/>
      <c r="P259" s="1091"/>
      <c r="Q259" s="1091"/>
      <c r="R259" s="1091"/>
      <c r="S259" s="1091"/>
      <c r="T259" s="1091"/>
      <c r="U259" s="1091"/>
      <c r="V259" s="1091"/>
      <c r="W259" s="1091"/>
      <c r="X259" s="1091"/>
      <c r="Y259" s="1091"/>
      <c r="Z259" s="1091"/>
      <c r="AA259" s="1091"/>
      <c r="AB259" s="1091"/>
      <c r="AC259" s="1091"/>
      <c r="AD259" s="1091"/>
      <c r="AE259" s="1091"/>
      <c r="AF259" s="1091"/>
      <c r="AG259" s="1091"/>
      <c r="AH259" s="1091"/>
      <c r="AI259" s="1091"/>
      <c r="AJ259" s="1091"/>
      <c r="AK259" s="1091"/>
      <c r="AL259" s="1091"/>
      <c r="AM259" s="1091"/>
      <c r="AN259" s="1091"/>
      <c r="AO259" s="1091"/>
      <c r="AP259" s="1091"/>
      <c r="AQ259" s="1091"/>
      <c r="AR259" s="1091"/>
      <c r="AS259" s="1091"/>
      <c r="AT259" s="1091"/>
      <c r="AU259" s="1091"/>
      <c r="AV259" s="1091"/>
      <c r="AW259" s="1091"/>
      <c r="AX259" s="1091"/>
      <c r="AY259" s="1091"/>
      <c r="AZ259" s="1091"/>
      <c r="BA259" s="1091"/>
      <c r="BB259" s="1091"/>
      <c r="BC259" s="1091"/>
      <c r="BD259" s="1091"/>
      <c r="BE259" s="1091"/>
      <c r="BF259" s="1091"/>
      <c r="BG259" s="1091"/>
      <c r="BH259" s="1091"/>
      <c r="BI259" s="1091"/>
      <c r="BJ259" s="1091"/>
      <c r="BK259" s="1091"/>
      <c r="BL259" s="1091"/>
      <c r="BM259" s="1091"/>
      <c r="BN259" s="1091"/>
      <c r="BO259" s="251"/>
      <c r="BP259" s="251"/>
      <c r="BQ259" s="251"/>
      <c r="BR259" s="251"/>
      <c r="BS259" s="251"/>
      <c r="BT259" s="251"/>
      <c r="BU259" s="251"/>
      <c r="BV259" s="251"/>
      <c r="BW259" s="251"/>
      <c r="BX259" s="251"/>
      <c r="BY259" s="251"/>
      <c r="BZ259" s="251"/>
      <c r="CA259" s="251"/>
      <c r="CB259" s="251"/>
      <c r="CD259" s="114">
        <v>4</v>
      </c>
      <c r="CE259" s="114">
        <v>5</v>
      </c>
      <c r="CF259" s="114">
        <v>2</v>
      </c>
      <c r="CG259" s="212" t="s">
        <v>587</v>
      </c>
    </row>
    <row r="260" spans="1:85">
      <c r="A260" s="1091" t="s">
        <v>1134</v>
      </c>
      <c r="B260" s="1091"/>
      <c r="C260" s="1091"/>
      <c r="D260" s="1091"/>
      <c r="E260" s="1091"/>
      <c r="F260" s="1091"/>
      <c r="G260" s="1091"/>
      <c r="H260" s="1091"/>
      <c r="I260" s="1091"/>
      <c r="J260" s="1091"/>
      <c r="K260" s="1091"/>
      <c r="L260" s="1091"/>
      <c r="M260" s="1091"/>
      <c r="N260" s="1091"/>
      <c r="O260" s="1091"/>
      <c r="P260" s="1091"/>
      <c r="Q260" s="1091"/>
      <c r="R260" s="1091"/>
      <c r="S260" s="1091"/>
      <c r="T260" s="1091"/>
      <c r="U260" s="1091"/>
      <c r="V260" s="1091"/>
      <c r="W260" s="1091"/>
      <c r="X260" s="1091"/>
      <c r="Y260" s="1091"/>
      <c r="Z260" s="1091"/>
      <c r="AA260" s="1091"/>
      <c r="AB260" s="1091"/>
      <c r="AC260" s="1091"/>
      <c r="AD260" s="1091"/>
      <c r="AE260" s="1091"/>
      <c r="AF260" s="1091"/>
      <c r="AG260" s="1091"/>
      <c r="AH260" s="1091"/>
      <c r="AI260" s="1091"/>
      <c r="AJ260" s="1091"/>
      <c r="AK260" s="1091"/>
      <c r="AL260" s="1091"/>
      <c r="AM260" s="1091"/>
      <c r="AN260" s="1091"/>
      <c r="AO260" s="1091"/>
      <c r="AP260" s="1091"/>
      <c r="AQ260" s="1091"/>
      <c r="AR260" s="1091"/>
      <c r="AS260" s="1091"/>
      <c r="AT260" s="1091"/>
      <c r="AU260" s="1091"/>
      <c r="AV260" s="1091"/>
      <c r="AW260" s="1091"/>
      <c r="AX260" s="1091"/>
      <c r="AY260" s="1091"/>
      <c r="AZ260" s="1091"/>
      <c r="BA260" s="1091"/>
      <c r="BB260" s="1091"/>
      <c r="BC260" s="1091"/>
      <c r="BD260" s="1091"/>
      <c r="BE260" s="1091"/>
      <c r="BF260" s="1091"/>
      <c r="BG260" s="1091"/>
      <c r="BH260" s="1091"/>
      <c r="BI260" s="1091"/>
      <c r="BJ260" s="1091"/>
      <c r="BK260" s="1091"/>
      <c r="BL260" s="1091"/>
      <c r="BM260" s="1091"/>
      <c r="BN260" s="1091"/>
      <c r="BO260" s="251"/>
      <c r="BP260" s="251"/>
      <c r="BQ260" s="251"/>
      <c r="BR260" s="251"/>
      <c r="BS260" s="251"/>
      <c r="BT260" s="251"/>
      <c r="BU260" s="251"/>
      <c r="BV260" s="251"/>
      <c r="BW260" s="251"/>
      <c r="BX260" s="251"/>
      <c r="BY260" s="251"/>
      <c r="BZ260" s="251"/>
      <c r="CA260" s="251"/>
      <c r="CB260" s="251"/>
      <c r="CC260" s="114" t="s">
        <v>602</v>
      </c>
      <c r="CD260" s="115" t="e">
        <f>#REF!+CD51</f>
        <v>#REF!</v>
      </c>
      <c r="CE260" s="115" t="e">
        <f>#REF!+CE51</f>
        <v>#REF!</v>
      </c>
      <c r="CF260" s="115" t="e">
        <f>#REF!+CF51</f>
        <v>#REF!</v>
      </c>
      <c r="CG260" s="116" t="e">
        <f>CD260+CE260+CF260</f>
        <v>#REF!</v>
      </c>
    </row>
    <row r="261" spans="1:85" ht="15.75" customHeight="1">
      <c r="A261" s="1091" t="s">
        <v>1032</v>
      </c>
      <c r="B261" s="1091"/>
      <c r="C261" s="1091"/>
      <c r="D261" s="1091"/>
      <c r="E261" s="1091"/>
      <c r="F261" s="1091"/>
      <c r="G261" s="1091"/>
      <c r="H261" s="1091"/>
      <c r="I261" s="1091"/>
      <c r="J261" s="1091"/>
      <c r="K261" s="1091"/>
      <c r="L261" s="1091"/>
      <c r="M261" s="1091"/>
      <c r="N261" s="1091"/>
      <c r="O261" s="1091"/>
      <c r="P261" s="1091"/>
      <c r="Q261" s="1091"/>
      <c r="R261" s="1091"/>
      <c r="S261" s="1091"/>
      <c r="T261" s="1091"/>
      <c r="U261" s="1091"/>
      <c r="V261" s="1091"/>
      <c r="W261" s="1091"/>
      <c r="X261" s="1091"/>
      <c r="Y261" s="1091"/>
      <c r="Z261" s="1091"/>
      <c r="AA261" s="1091"/>
      <c r="AB261" s="1091"/>
      <c r="AC261" s="1091"/>
      <c r="AD261" s="1091"/>
      <c r="AE261" s="1091"/>
      <c r="AF261" s="1091"/>
      <c r="AG261" s="1091"/>
      <c r="AH261" s="1091"/>
      <c r="AI261" s="1091"/>
      <c r="AJ261" s="1091"/>
      <c r="AK261" s="1091"/>
      <c r="AL261" s="1091"/>
      <c r="AM261" s="1091"/>
      <c r="AN261" s="1091"/>
      <c r="AO261" s="1091"/>
      <c r="AP261" s="1091"/>
      <c r="AQ261" s="1091"/>
      <c r="AR261" s="1091"/>
      <c r="AS261" s="1091"/>
      <c r="AT261" s="1091"/>
      <c r="AU261" s="1091"/>
      <c r="AV261" s="1091"/>
      <c r="AW261" s="1091"/>
      <c r="AX261" s="1091"/>
      <c r="AY261" s="1091"/>
      <c r="AZ261" s="1091"/>
      <c r="BA261" s="1091"/>
      <c r="BB261" s="1091"/>
      <c r="BC261" s="1091"/>
      <c r="BD261" s="1091"/>
      <c r="BE261" s="1091"/>
      <c r="BF261" s="1091"/>
      <c r="BG261" s="1091"/>
      <c r="BH261" s="1091"/>
      <c r="BI261" s="1091"/>
      <c r="BJ261" s="1091"/>
      <c r="BK261" s="1091"/>
      <c r="BL261" s="1091"/>
      <c r="BM261" s="1091"/>
      <c r="BN261" s="1091"/>
      <c r="BO261" s="251"/>
      <c r="BP261" s="251"/>
      <c r="BQ261" s="251"/>
      <c r="BR261" s="251"/>
      <c r="BS261" s="251"/>
      <c r="BT261" s="251"/>
      <c r="BU261" s="251"/>
      <c r="BV261" s="251"/>
      <c r="BW261" s="251"/>
      <c r="BX261" s="251"/>
      <c r="BY261" s="251"/>
      <c r="BZ261" s="251"/>
      <c r="CA261" s="251"/>
      <c r="CB261" s="251"/>
      <c r="CC261" s="114" t="s">
        <v>603</v>
      </c>
      <c r="CD261" s="115" t="e">
        <f>#REF!+#REF!</f>
        <v>#REF!</v>
      </c>
      <c r="CE261" s="115" t="e">
        <f>#REF!+#REF!</f>
        <v>#REF!</v>
      </c>
      <c r="CF261" s="115" t="e">
        <f>#REF!+#REF!</f>
        <v>#REF!</v>
      </c>
      <c r="CG261" s="116" t="e">
        <f>CD261+CE261+CF261</f>
        <v>#REF!</v>
      </c>
    </row>
    <row r="262" spans="1:85" ht="15.75" customHeight="1">
      <c r="A262" s="1091" t="s">
        <v>572</v>
      </c>
      <c r="B262" s="1091"/>
      <c r="C262" s="1091"/>
      <c r="D262" s="1091"/>
      <c r="E262" s="1091"/>
      <c r="F262" s="1091"/>
      <c r="G262" s="1091"/>
      <c r="H262" s="1091"/>
      <c r="I262" s="1091"/>
      <c r="J262" s="1091"/>
      <c r="K262" s="1091"/>
      <c r="L262" s="1091"/>
      <c r="M262" s="1091"/>
      <c r="N262" s="1091"/>
      <c r="O262" s="1091"/>
      <c r="P262" s="1091"/>
      <c r="Q262" s="1091"/>
      <c r="R262" s="1091"/>
      <c r="S262" s="1091"/>
      <c r="T262" s="1091"/>
      <c r="U262" s="1091"/>
      <c r="V262" s="1091"/>
      <c r="W262" s="1091"/>
      <c r="X262" s="1091"/>
      <c r="Y262" s="1091"/>
      <c r="Z262" s="1091"/>
      <c r="AA262" s="1091"/>
      <c r="AB262" s="1091"/>
      <c r="AC262" s="1091"/>
      <c r="AD262" s="1091"/>
      <c r="AE262" s="1091"/>
      <c r="AF262" s="1091"/>
      <c r="AG262" s="1091"/>
      <c r="AH262" s="1091"/>
      <c r="AI262" s="1091"/>
      <c r="AJ262" s="1091"/>
      <c r="AK262" s="1091"/>
      <c r="AL262" s="1091"/>
      <c r="AM262" s="1091"/>
      <c r="AN262" s="1091"/>
      <c r="AO262" s="1091"/>
      <c r="AP262" s="1091"/>
      <c r="AQ262" s="1091"/>
      <c r="AR262" s="1091"/>
      <c r="AS262" s="1091"/>
      <c r="AT262" s="1091"/>
      <c r="AU262" s="1091"/>
      <c r="AV262" s="1091"/>
      <c r="AW262" s="1091"/>
      <c r="AX262" s="1091"/>
      <c r="AY262" s="1091"/>
      <c r="AZ262" s="1091"/>
      <c r="BA262" s="1091"/>
      <c r="BB262" s="1091"/>
      <c r="BC262" s="1091"/>
      <c r="BD262" s="1091"/>
      <c r="BE262" s="1091"/>
      <c r="BF262" s="1091"/>
      <c r="BG262" s="1091"/>
      <c r="BH262" s="1091"/>
      <c r="BI262" s="1091"/>
      <c r="BJ262" s="1091"/>
      <c r="BK262" s="1091"/>
      <c r="BL262" s="1091"/>
      <c r="BM262" s="1091"/>
      <c r="BN262" s="1091"/>
      <c r="BO262" s="251"/>
      <c r="BP262" s="251"/>
      <c r="BQ262" s="251"/>
      <c r="BR262" s="251"/>
      <c r="BS262" s="251"/>
      <c r="BT262" s="251"/>
      <c r="BU262" s="251"/>
      <c r="BV262" s="251"/>
      <c r="BW262" s="251"/>
      <c r="BX262" s="251"/>
      <c r="BY262" s="251"/>
      <c r="BZ262" s="251"/>
      <c r="CA262" s="251"/>
      <c r="CB262" s="251"/>
      <c r="CC262" s="114" t="s">
        <v>604</v>
      </c>
      <c r="CD262" s="115" t="e">
        <f>#REF!+#REF!+#REF!+#REF!+#REF!</f>
        <v>#REF!</v>
      </c>
      <c r="CE262" s="115" t="e">
        <f>#REF!+#REF!+#REF!+#REF!+#REF!</f>
        <v>#REF!</v>
      </c>
      <c r="CF262" s="115" t="e">
        <f>#REF!+#REF!+#REF!+#REF!+#REF!</f>
        <v>#REF!</v>
      </c>
      <c r="CG262" s="116" t="e">
        <f>CD262+CE262+CF262</f>
        <v>#REF!</v>
      </c>
    </row>
    <row r="263" spans="1:85">
      <c r="A263" s="1090" t="s">
        <v>1034</v>
      </c>
      <c r="B263" s="1090"/>
      <c r="C263" s="1090"/>
      <c r="D263" s="1090"/>
      <c r="E263" s="1090"/>
      <c r="F263" s="1090"/>
      <c r="G263" s="1090"/>
      <c r="H263" s="1090"/>
      <c r="I263" s="1090"/>
      <c r="J263" s="1090"/>
      <c r="K263" s="1090"/>
      <c r="L263" s="1090"/>
      <c r="M263" s="1090"/>
      <c r="N263" s="1090"/>
      <c r="O263" s="1090"/>
      <c r="P263" s="1090"/>
      <c r="Q263" s="1090"/>
      <c r="R263" s="1090"/>
      <c r="S263" s="1090"/>
      <c r="T263" s="1090"/>
      <c r="U263" s="1090"/>
      <c r="V263" s="1090"/>
      <c r="W263" s="1090"/>
      <c r="X263" s="1090"/>
      <c r="Y263" s="1090"/>
      <c r="Z263" s="1090"/>
      <c r="AA263" s="1090"/>
      <c r="AB263" s="1090"/>
      <c r="AC263" s="1090"/>
      <c r="AD263" s="1090"/>
      <c r="AE263" s="1090"/>
      <c r="AF263" s="1090"/>
      <c r="AG263" s="1090"/>
      <c r="AH263" s="1090"/>
      <c r="AI263" s="1090"/>
      <c r="AJ263" s="1090"/>
      <c r="AK263" s="1090"/>
      <c r="AL263" s="1090"/>
      <c r="AM263" s="1090"/>
      <c r="AN263" s="1090"/>
      <c r="AO263" s="1090"/>
      <c r="AP263" s="1090"/>
      <c r="AQ263" s="1090"/>
      <c r="AR263" s="1090"/>
      <c r="AS263" s="1090"/>
      <c r="AT263" s="1090"/>
      <c r="AU263" s="1090"/>
      <c r="AV263" s="1090"/>
      <c r="AW263" s="1090"/>
      <c r="AX263" s="1090"/>
      <c r="AY263" s="1090"/>
      <c r="AZ263" s="1090"/>
      <c r="BA263" s="1090"/>
      <c r="BB263" s="1090"/>
      <c r="BC263" s="1090"/>
      <c r="BD263" s="1090"/>
      <c r="BE263" s="1090"/>
      <c r="BF263" s="1090"/>
      <c r="BG263" s="1090"/>
      <c r="BH263" s="1090"/>
      <c r="BI263" s="1090"/>
      <c r="BJ263" s="1090"/>
      <c r="BK263" s="1090"/>
      <c r="BL263" s="1090"/>
      <c r="BM263" s="1090"/>
      <c r="BN263" s="1090"/>
      <c r="BO263" s="251"/>
      <c r="BP263" s="251"/>
      <c r="BQ263" s="251"/>
      <c r="BR263" s="251"/>
      <c r="BS263" s="251"/>
      <c r="BT263" s="251"/>
      <c r="BU263" s="251"/>
      <c r="BV263" s="251"/>
      <c r="BW263" s="251"/>
      <c r="BX263" s="251"/>
      <c r="BY263" s="251"/>
      <c r="BZ263" s="251"/>
      <c r="CA263" s="251"/>
      <c r="CB263" s="251"/>
      <c r="CC263" s="114" t="s">
        <v>605</v>
      </c>
      <c r="CD263" s="115">
        <f>CD233+CD234</f>
        <v>0</v>
      </c>
      <c r="CE263" s="115">
        <f>CE233+CE234</f>
        <v>99000</v>
      </c>
      <c r="CF263" s="115">
        <f>CF233+CF234</f>
        <v>0</v>
      </c>
      <c r="CG263" s="116">
        <f>CD263+CE263+CF263</f>
        <v>99000</v>
      </c>
    </row>
    <row r="264" spans="1:85">
      <c r="A264" s="1090" t="s">
        <v>1041</v>
      </c>
      <c r="B264" s="1090"/>
      <c r="C264" s="1090"/>
      <c r="D264" s="1090"/>
      <c r="E264" s="1090"/>
      <c r="F264" s="1090"/>
      <c r="G264" s="1090"/>
      <c r="H264" s="1090"/>
      <c r="I264" s="1090"/>
      <c r="J264" s="1090"/>
      <c r="K264" s="1090"/>
      <c r="L264" s="1090"/>
      <c r="M264" s="1090"/>
      <c r="N264" s="1090"/>
      <c r="O264" s="1090"/>
      <c r="P264" s="1090"/>
      <c r="Q264" s="1090"/>
      <c r="R264" s="1090"/>
      <c r="S264" s="1090"/>
      <c r="T264" s="1090"/>
      <c r="U264" s="1090"/>
      <c r="V264" s="1090"/>
      <c r="W264" s="1090"/>
      <c r="X264" s="1090"/>
      <c r="Y264" s="1090"/>
      <c r="Z264" s="1090"/>
      <c r="AA264" s="1090"/>
      <c r="AB264" s="1090"/>
      <c r="AC264" s="1090"/>
      <c r="AD264" s="1090"/>
      <c r="AE264" s="1090"/>
      <c r="AF264" s="1090"/>
      <c r="AG264" s="1090"/>
      <c r="AH264" s="1090"/>
      <c r="AI264" s="1090"/>
      <c r="AJ264" s="1090"/>
      <c r="AK264" s="1090"/>
      <c r="AL264" s="1090"/>
      <c r="AM264" s="1090"/>
      <c r="AN264" s="1090"/>
      <c r="AO264" s="1090"/>
      <c r="AP264" s="1090"/>
      <c r="AQ264" s="1090"/>
      <c r="AR264" s="1090"/>
      <c r="AS264" s="1090"/>
      <c r="AT264" s="1090"/>
      <c r="AU264" s="1090"/>
      <c r="AV264" s="1090"/>
      <c r="AW264" s="1090"/>
      <c r="AX264" s="1090"/>
      <c r="AY264" s="1090"/>
      <c r="AZ264" s="1090"/>
      <c r="BA264" s="1090"/>
      <c r="BB264" s="1090"/>
      <c r="BC264" s="1090"/>
      <c r="BD264" s="1090"/>
      <c r="BE264" s="1090"/>
      <c r="BF264" s="1090"/>
      <c r="BG264" s="1090"/>
      <c r="BH264" s="1090"/>
      <c r="BI264" s="1090"/>
      <c r="BJ264" s="1090"/>
      <c r="BK264" s="1090"/>
      <c r="BL264" s="1090"/>
      <c r="BM264" s="1090"/>
      <c r="BN264" s="1090"/>
      <c r="BO264" s="251"/>
      <c r="BP264" s="251"/>
      <c r="BQ264" s="251"/>
      <c r="BR264" s="251"/>
      <c r="BS264" s="251"/>
      <c r="BT264" s="251"/>
      <c r="BU264" s="251"/>
      <c r="BV264" s="251"/>
      <c r="BW264" s="251"/>
      <c r="BX264" s="251"/>
      <c r="BY264" s="251"/>
      <c r="BZ264" s="251"/>
      <c r="CA264" s="251"/>
      <c r="CB264" s="251"/>
      <c r="CC264" s="212" t="s">
        <v>587</v>
      </c>
      <c r="CD264" s="116" t="e">
        <f>CD260+CD261+CD262+CD263</f>
        <v>#REF!</v>
      </c>
      <c r="CE264" s="116" t="e">
        <f>CE260+CE261+CE262+CE263</f>
        <v>#REF!</v>
      </c>
      <c r="CF264" s="116" t="e">
        <f>CF260+CF261+CF262+CF263</f>
        <v>#REF!</v>
      </c>
      <c r="CG264" s="116" t="e">
        <f>CG260+CG261+CG262+CG263</f>
        <v>#REF!</v>
      </c>
    </row>
    <row r="265" spans="1:85">
      <c r="A265" s="252"/>
      <c r="B265" s="253"/>
      <c r="C265" s="253"/>
      <c r="D265" s="253"/>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c r="AO265" s="251"/>
      <c r="AP265" s="251"/>
      <c r="AQ265" s="251"/>
      <c r="AR265" s="251"/>
      <c r="AS265" s="251"/>
      <c r="AT265" s="251"/>
      <c r="AU265" s="251"/>
      <c r="AV265" s="251"/>
      <c r="AW265" s="251"/>
      <c r="AX265" s="251"/>
      <c r="AY265" s="251"/>
      <c r="AZ265" s="251"/>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c r="BW265" s="251"/>
      <c r="BX265" s="251"/>
      <c r="BY265" s="251"/>
      <c r="BZ265" s="251"/>
      <c r="CA265" s="251"/>
      <c r="CB265" s="251"/>
    </row>
    <row r="266" spans="1:85" ht="15.75" customHeight="1">
      <c r="A266" s="1091" t="s">
        <v>1135</v>
      </c>
      <c r="B266" s="1091"/>
      <c r="C266" s="1091"/>
      <c r="D266" s="1091"/>
      <c r="E266" s="1091"/>
      <c r="F266" s="1091"/>
      <c r="G266" s="1091"/>
      <c r="H266" s="1091"/>
      <c r="I266" s="1091"/>
      <c r="J266" s="1091"/>
      <c r="K266" s="1091"/>
      <c r="L266" s="1091"/>
      <c r="M266" s="1091"/>
      <c r="N266" s="1091"/>
      <c r="O266" s="1091"/>
      <c r="P266" s="1091"/>
      <c r="Q266" s="1091"/>
      <c r="R266" s="1091"/>
      <c r="S266" s="1091"/>
      <c r="T266" s="1091"/>
      <c r="U266" s="1091"/>
      <c r="V266" s="1091"/>
      <c r="W266" s="1091"/>
      <c r="X266" s="1091"/>
      <c r="Y266" s="1091"/>
      <c r="Z266" s="1091"/>
      <c r="AA266" s="1091"/>
      <c r="AB266" s="1091"/>
      <c r="AC266" s="1091"/>
      <c r="AD266" s="1091"/>
      <c r="AE266" s="1091"/>
      <c r="AF266" s="1091"/>
      <c r="AG266" s="1091"/>
      <c r="AH266" s="1091"/>
      <c r="AI266" s="1091"/>
      <c r="AJ266" s="1091"/>
      <c r="AK266" s="1091"/>
      <c r="AL266" s="1091"/>
      <c r="AM266" s="1091"/>
      <c r="AN266" s="1091"/>
      <c r="AO266" s="1091"/>
      <c r="AP266" s="1091"/>
      <c r="AQ266" s="1091"/>
      <c r="AR266" s="1091"/>
      <c r="AS266" s="1091"/>
      <c r="AT266" s="1091"/>
      <c r="AU266" s="1091"/>
      <c r="AV266" s="1091"/>
      <c r="AW266" s="1091"/>
      <c r="AX266" s="1091"/>
      <c r="AY266" s="1091"/>
      <c r="AZ266" s="1091"/>
      <c r="BA266" s="1091"/>
      <c r="BB266" s="1091"/>
      <c r="BC266" s="1091"/>
      <c r="BD266" s="1091"/>
      <c r="BE266" s="1091"/>
      <c r="BF266" s="1091"/>
      <c r="BG266" s="1091"/>
      <c r="BH266" s="1091"/>
      <c r="BI266" s="1091"/>
      <c r="BJ266" s="1091"/>
      <c r="BK266" s="1091"/>
      <c r="BL266" s="1091"/>
      <c r="BM266" s="1091"/>
      <c r="BN266" s="1091"/>
      <c r="BO266" s="251"/>
      <c r="BP266" s="251"/>
      <c r="BQ266" s="251"/>
      <c r="BR266" s="251"/>
      <c r="BS266" s="251"/>
      <c r="BT266" s="251"/>
      <c r="BU266" s="251"/>
      <c r="BV266" s="251"/>
      <c r="BW266" s="251"/>
      <c r="BX266" s="251"/>
      <c r="BY266" s="251"/>
      <c r="BZ266" s="251"/>
      <c r="CA266" s="251"/>
      <c r="CB266" s="251"/>
    </row>
  </sheetData>
  <mergeCells count="1071">
    <mergeCell ref="A34:D34"/>
    <mergeCell ref="AN34:BC34"/>
    <mergeCell ref="BD34:BM34"/>
    <mergeCell ref="A35:D35"/>
    <mergeCell ref="AN35:BC35"/>
    <mergeCell ref="BD35:BM35"/>
    <mergeCell ref="A9:D9"/>
    <mergeCell ref="A40:D40"/>
    <mergeCell ref="E40:AM40"/>
    <mergeCell ref="AN40:BC40"/>
    <mergeCell ref="BD40:BM40"/>
    <mergeCell ref="BN40:CB40"/>
    <mergeCell ref="A38:D38"/>
    <mergeCell ref="E38:AM38"/>
    <mergeCell ref="AN38:BC38"/>
    <mergeCell ref="BD38:BM38"/>
    <mergeCell ref="BN38:CB38"/>
    <mergeCell ref="A39:D39"/>
    <mergeCell ref="E39:AM39"/>
    <mergeCell ref="AN39:BC39"/>
    <mergeCell ref="BD39:BM39"/>
    <mergeCell ref="BN39:CB39"/>
    <mergeCell ref="A16:D16"/>
    <mergeCell ref="E16:AM16"/>
    <mergeCell ref="AN16:BC16"/>
    <mergeCell ref="BD16:BM16"/>
    <mergeCell ref="BN16:CB16"/>
    <mergeCell ref="A17:D17"/>
    <mergeCell ref="E17:AM17"/>
    <mergeCell ref="AN17:BC17"/>
    <mergeCell ref="BD17:BM17"/>
    <mergeCell ref="BN17:CB17"/>
    <mergeCell ref="A1:CB1"/>
    <mergeCell ref="A3:D5"/>
    <mergeCell ref="E3:AM5"/>
    <mergeCell ref="AN3:BC5"/>
    <mergeCell ref="BD3:BM5"/>
    <mergeCell ref="BN3:CB5"/>
    <mergeCell ref="A6:D6"/>
    <mergeCell ref="E6:AM6"/>
    <mergeCell ref="AN6:BC6"/>
    <mergeCell ref="BD6:BM6"/>
    <mergeCell ref="BN6:CB6"/>
    <mergeCell ref="A36:D36"/>
    <mergeCell ref="AN36:BC36"/>
    <mergeCell ref="BD36:BM36"/>
    <mergeCell ref="A37:D37"/>
    <mergeCell ref="E9:AM9"/>
    <mergeCell ref="AN9:BC9"/>
    <mergeCell ref="BD9:BM9"/>
    <mergeCell ref="BN9:CB9"/>
    <mergeCell ref="A10:D10"/>
    <mergeCell ref="E10:AM10"/>
    <mergeCell ref="AN10:BC10"/>
    <mergeCell ref="BD10:BM10"/>
    <mergeCell ref="BN10:CB10"/>
    <mergeCell ref="A7:D7"/>
    <mergeCell ref="E7:AM7"/>
    <mergeCell ref="AN7:BC7"/>
    <mergeCell ref="BD7:BM7"/>
    <mergeCell ref="BN7:CB7"/>
    <mergeCell ref="A8:D8"/>
    <mergeCell ref="AN37:BC37"/>
    <mergeCell ref="BD37:BM37"/>
    <mergeCell ref="A43:D43"/>
    <mergeCell ref="E43:AM43"/>
    <mergeCell ref="AN43:BC43"/>
    <mergeCell ref="BD43:BM43"/>
    <mergeCell ref="BN43:CB43"/>
    <mergeCell ref="A44:D44"/>
    <mergeCell ref="E44:AM44"/>
    <mergeCell ref="AN44:BC44"/>
    <mergeCell ref="BD44:BM44"/>
    <mergeCell ref="BN44:CB44"/>
    <mergeCell ref="A41:D41"/>
    <mergeCell ref="E41:AM41"/>
    <mergeCell ref="AN41:BC41"/>
    <mergeCell ref="BD41:BM41"/>
    <mergeCell ref="BN41:CB41"/>
    <mergeCell ref="A42:D42"/>
    <mergeCell ref="E42:AM42"/>
    <mergeCell ref="AN42:BC42"/>
    <mergeCell ref="BD42:BM42"/>
    <mergeCell ref="BN42:CB42"/>
    <mergeCell ref="A49:D49"/>
    <mergeCell ref="E49:AM49"/>
    <mergeCell ref="AN49:BC49"/>
    <mergeCell ref="BD49:BM49"/>
    <mergeCell ref="BN49:CB49"/>
    <mergeCell ref="A47:D47"/>
    <mergeCell ref="E47:AM47"/>
    <mergeCell ref="AN47:BC47"/>
    <mergeCell ref="BD47:BM47"/>
    <mergeCell ref="BN47:CB47"/>
    <mergeCell ref="A48:D48"/>
    <mergeCell ref="E48:AM48"/>
    <mergeCell ref="AN48:BC48"/>
    <mergeCell ref="BD48:BM48"/>
    <mergeCell ref="BN48:CB48"/>
    <mergeCell ref="A45:D45"/>
    <mergeCell ref="E45:AM45"/>
    <mergeCell ref="AN45:BC45"/>
    <mergeCell ref="BD45:BM45"/>
    <mergeCell ref="BN45:CB45"/>
    <mergeCell ref="A46:D46"/>
    <mergeCell ref="E46:AM46"/>
    <mergeCell ref="AN46:BC46"/>
    <mergeCell ref="BD46:BM46"/>
    <mergeCell ref="BN46:CB46"/>
    <mergeCell ref="BN55:CB55"/>
    <mergeCell ref="A52:D52"/>
    <mergeCell ref="E52:AM52"/>
    <mergeCell ref="AN52:BC52"/>
    <mergeCell ref="BD52:BM52"/>
    <mergeCell ref="BN52:CB52"/>
    <mergeCell ref="A53:D53"/>
    <mergeCell ref="E53:AM53"/>
    <mergeCell ref="AN53:BC53"/>
    <mergeCell ref="BD53:BM53"/>
    <mergeCell ref="BN53:CB53"/>
    <mergeCell ref="A51:D51"/>
    <mergeCell ref="E51:AM51"/>
    <mergeCell ref="AN51:BC51"/>
    <mergeCell ref="BD51:BM51"/>
    <mergeCell ref="BN51:CB51"/>
    <mergeCell ref="A50:D50"/>
    <mergeCell ref="E50:AM50"/>
    <mergeCell ref="AN50:BC50"/>
    <mergeCell ref="BD50:BM50"/>
    <mergeCell ref="BN50:CB50"/>
    <mergeCell ref="A63:D63"/>
    <mergeCell ref="E63:AM63"/>
    <mergeCell ref="AN63:BC63"/>
    <mergeCell ref="BD63:BM63"/>
    <mergeCell ref="BN63:CB63"/>
    <mergeCell ref="A65:CB65"/>
    <mergeCell ref="A67:D69"/>
    <mergeCell ref="E67:BC69"/>
    <mergeCell ref="BD67:BM69"/>
    <mergeCell ref="BN67:CB69"/>
    <mergeCell ref="A58:D58"/>
    <mergeCell ref="E58:AM58"/>
    <mergeCell ref="AN58:BC58"/>
    <mergeCell ref="BD58:BM58"/>
    <mergeCell ref="BN58:CB58"/>
    <mergeCell ref="A59:D59"/>
    <mergeCell ref="E59:AM59"/>
    <mergeCell ref="AN59:BC59"/>
    <mergeCell ref="BD59:BM59"/>
    <mergeCell ref="BN59:CB59"/>
    <mergeCell ref="A62:D62"/>
    <mergeCell ref="E62:AM62"/>
    <mergeCell ref="AN62:BC62"/>
    <mergeCell ref="BD62:BM62"/>
    <mergeCell ref="BN62:CB62"/>
    <mergeCell ref="A60:D60"/>
    <mergeCell ref="E60:AM60"/>
    <mergeCell ref="AN60:BC60"/>
    <mergeCell ref="BD60:BM60"/>
    <mergeCell ref="BN60:CB60"/>
    <mergeCell ref="A61:D61"/>
    <mergeCell ref="E61:AM61"/>
    <mergeCell ref="A150:D152"/>
    <mergeCell ref="E150:AR152"/>
    <mergeCell ref="AS150:BB152"/>
    <mergeCell ref="BC150:BM152"/>
    <mergeCell ref="BN150:CB150"/>
    <mergeCell ref="BN151:CB151"/>
    <mergeCell ref="BN152:CB152"/>
    <mergeCell ref="A148:CB148"/>
    <mergeCell ref="A175:D175"/>
    <mergeCell ref="BN175:CB175"/>
    <mergeCell ref="A176:D176"/>
    <mergeCell ref="BN176:CB176"/>
    <mergeCell ref="A174:D174"/>
    <mergeCell ref="BN174:CB174"/>
    <mergeCell ref="A70:D70"/>
    <mergeCell ref="E70:BC70"/>
    <mergeCell ref="BD70:BM70"/>
    <mergeCell ref="BN70:CB70"/>
    <mergeCell ref="A163:D163"/>
    <mergeCell ref="BN163:CB163"/>
    <mergeCell ref="A100:D100"/>
    <mergeCell ref="E100:BC100"/>
    <mergeCell ref="BD100:BM100"/>
    <mergeCell ref="BN100:CB100"/>
    <mergeCell ref="A101:D101"/>
    <mergeCell ref="E101:BC101"/>
    <mergeCell ref="BD101:BM101"/>
    <mergeCell ref="BN101:CB101"/>
    <mergeCell ref="A153:D153"/>
    <mergeCell ref="E153:AR153"/>
    <mergeCell ref="AS153:BB153"/>
    <mergeCell ref="BC153:BM153"/>
    <mergeCell ref="BN153:CB153"/>
    <mergeCell ref="A168:D168"/>
    <mergeCell ref="E168:AR168"/>
    <mergeCell ref="AS168:BB168"/>
    <mergeCell ref="BC168:BM168"/>
    <mergeCell ref="BN168:CB168"/>
    <mergeCell ref="BN156:CB156"/>
    <mergeCell ref="A157:D157"/>
    <mergeCell ref="E157:AR157"/>
    <mergeCell ref="AS157:BB157"/>
    <mergeCell ref="BC157:BM157"/>
    <mergeCell ref="BN157:CB157"/>
    <mergeCell ref="A158:D158"/>
    <mergeCell ref="E158:AR158"/>
    <mergeCell ref="AS158:BB158"/>
    <mergeCell ref="A231:D231"/>
    <mergeCell ref="E231:AR231"/>
    <mergeCell ref="AS231:BB231"/>
    <mergeCell ref="BC231:BM231"/>
    <mergeCell ref="BN231:CB231"/>
    <mergeCell ref="A185:CB185"/>
    <mergeCell ref="BN181:CB181"/>
    <mergeCell ref="BN180:CB180"/>
    <mergeCell ref="A177:D177"/>
    <mergeCell ref="BN177:CB177"/>
    <mergeCell ref="A178:D178"/>
    <mergeCell ref="BN178:CB178"/>
    <mergeCell ref="A180:D180"/>
    <mergeCell ref="A181:D181"/>
    <mergeCell ref="E181:AR181"/>
    <mergeCell ref="AS181:BB181"/>
    <mergeCell ref="AS226:BB226"/>
    <mergeCell ref="A232:D232"/>
    <mergeCell ref="E232:AR232"/>
    <mergeCell ref="AS232:BB232"/>
    <mergeCell ref="BC232:BM232"/>
    <mergeCell ref="BN232:CB232"/>
    <mergeCell ref="A187:D189"/>
    <mergeCell ref="E187:AR189"/>
    <mergeCell ref="AS187:BB189"/>
    <mergeCell ref="BC187:BM189"/>
    <mergeCell ref="BN187:CB187"/>
    <mergeCell ref="BN188:CB188"/>
    <mergeCell ref="BN189:CB189"/>
    <mergeCell ref="A235:D235"/>
    <mergeCell ref="E235:AR235"/>
    <mergeCell ref="AS235:BB235"/>
    <mergeCell ref="BC235:BM235"/>
    <mergeCell ref="BN235:CB235"/>
    <mergeCell ref="AS209:BB209"/>
    <mergeCell ref="BC209:BM209"/>
    <mergeCell ref="BN209:CB209"/>
    <mergeCell ref="A190:D190"/>
    <mergeCell ref="E190:AR190"/>
    <mergeCell ref="AS190:BB190"/>
    <mergeCell ref="BC190:BM190"/>
    <mergeCell ref="BN190:CB190"/>
    <mergeCell ref="A208:D208"/>
    <mergeCell ref="E208:AR208"/>
    <mergeCell ref="AS208:BB208"/>
    <mergeCell ref="BC208:BM208"/>
    <mergeCell ref="BN208:CB208"/>
    <mergeCell ref="A192:D192"/>
    <mergeCell ref="E192:AR192"/>
    <mergeCell ref="A236:D236"/>
    <mergeCell ref="E236:AR236"/>
    <mergeCell ref="AS236:BB236"/>
    <mergeCell ref="BC236:BM236"/>
    <mergeCell ref="BN236:CB236"/>
    <mergeCell ref="A237:D237"/>
    <mergeCell ref="E237:AR237"/>
    <mergeCell ref="AS237:BB237"/>
    <mergeCell ref="BC237:BM237"/>
    <mergeCell ref="A233:D233"/>
    <mergeCell ref="E233:AR233"/>
    <mergeCell ref="AS233:BB233"/>
    <mergeCell ref="BC233:BM233"/>
    <mergeCell ref="BN233:CB233"/>
    <mergeCell ref="A234:D234"/>
    <mergeCell ref="E234:AR234"/>
    <mergeCell ref="AS234:BB234"/>
    <mergeCell ref="BC234:BM234"/>
    <mergeCell ref="BN234:CB234"/>
    <mergeCell ref="BN237:CB237"/>
    <mergeCell ref="A244:D244"/>
    <mergeCell ref="E244:AR244"/>
    <mergeCell ref="AS244:BB244"/>
    <mergeCell ref="BC244:BM244"/>
    <mergeCell ref="BN244:CB244"/>
    <mergeCell ref="A245:D245"/>
    <mergeCell ref="E245:AR245"/>
    <mergeCell ref="AS245:BB245"/>
    <mergeCell ref="BC245:BM245"/>
    <mergeCell ref="BN245:CB245"/>
    <mergeCell ref="A241:CB241"/>
    <mergeCell ref="A243:D243"/>
    <mergeCell ref="E243:AR243"/>
    <mergeCell ref="AS243:BB243"/>
    <mergeCell ref="BC243:BM243"/>
    <mergeCell ref="BN243:CB243"/>
    <mergeCell ref="A238:D238"/>
    <mergeCell ref="E238:AR238"/>
    <mergeCell ref="AS238:BB238"/>
    <mergeCell ref="BC238:BM238"/>
    <mergeCell ref="BN238:CB238"/>
    <mergeCell ref="A240:CB240"/>
    <mergeCell ref="A251:D251"/>
    <mergeCell ref="E251:AR251"/>
    <mergeCell ref="AS251:BB251"/>
    <mergeCell ref="BC251:BM251"/>
    <mergeCell ref="BN251:CB251"/>
    <mergeCell ref="A248:D248"/>
    <mergeCell ref="E248:AR248"/>
    <mergeCell ref="AS248:BB248"/>
    <mergeCell ref="BC248:BM248"/>
    <mergeCell ref="BN248:CB248"/>
    <mergeCell ref="A249:D249"/>
    <mergeCell ref="E249:AR249"/>
    <mergeCell ref="AS249:BB249"/>
    <mergeCell ref="BC249:BM249"/>
    <mergeCell ref="BN249:CB249"/>
    <mergeCell ref="A246:D246"/>
    <mergeCell ref="E246:AR246"/>
    <mergeCell ref="AS246:BB246"/>
    <mergeCell ref="BC246:BM246"/>
    <mergeCell ref="BN246:CB246"/>
    <mergeCell ref="A247:D247"/>
    <mergeCell ref="E247:AR247"/>
    <mergeCell ref="AS247:BB247"/>
    <mergeCell ref="BC247:BM247"/>
    <mergeCell ref="BN247:CB247"/>
    <mergeCell ref="BC226:BM226"/>
    <mergeCell ref="BN226:CB226"/>
    <mergeCell ref="A225:D225"/>
    <mergeCell ref="E225:AR225"/>
    <mergeCell ref="AS225:BB225"/>
    <mergeCell ref="BC225:BM225"/>
    <mergeCell ref="BN225:CB225"/>
    <mergeCell ref="A191:D191"/>
    <mergeCell ref="E191:AR191"/>
    <mergeCell ref="AS191:BB191"/>
    <mergeCell ref="BC191:BM191"/>
    <mergeCell ref="BN191:CB191"/>
    <mergeCell ref="A264:BN264"/>
    <mergeCell ref="A266:BN266"/>
    <mergeCell ref="A258:BN258"/>
    <mergeCell ref="A259:BN259"/>
    <mergeCell ref="A260:BN260"/>
    <mergeCell ref="A261:BN261"/>
    <mergeCell ref="A262:BN262"/>
    <mergeCell ref="A263:BN263"/>
    <mergeCell ref="A252:D252"/>
    <mergeCell ref="E252:AR252"/>
    <mergeCell ref="AS252:BB252"/>
    <mergeCell ref="BC252:BM252"/>
    <mergeCell ref="BN252:CB252"/>
    <mergeCell ref="A257:BN257"/>
    <mergeCell ref="A250:D250"/>
    <mergeCell ref="E250:AR250"/>
    <mergeCell ref="AS250:BB250"/>
    <mergeCell ref="BC250:BM250"/>
    <mergeCell ref="BN250:CB250"/>
    <mergeCell ref="AS192:BB192"/>
    <mergeCell ref="E8:AM8"/>
    <mergeCell ref="AN8:BC8"/>
    <mergeCell ref="BD8:BM8"/>
    <mergeCell ref="BN8:CB8"/>
    <mergeCell ref="A12:D12"/>
    <mergeCell ref="E12:AM12"/>
    <mergeCell ref="AN12:BC12"/>
    <mergeCell ref="BD12:BM12"/>
    <mergeCell ref="BN12:CB12"/>
    <mergeCell ref="A13:D13"/>
    <mergeCell ref="E13:AM13"/>
    <mergeCell ref="AN13:BC13"/>
    <mergeCell ref="BD13:BM13"/>
    <mergeCell ref="BN13:CB13"/>
    <mergeCell ref="A11:D11"/>
    <mergeCell ref="E11:AM11"/>
    <mergeCell ref="AN11:BC11"/>
    <mergeCell ref="BD11:BM11"/>
    <mergeCell ref="BN11:CB11"/>
    <mergeCell ref="A14:D14"/>
    <mergeCell ref="E14:AM14"/>
    <mergeCell ref="AN14:BC14"/>
    <mergeCell ref="BD14:BM14"/>
    <mergeCell ref="BN14:CB14"/>
    <mergeCell ref="A15:D15"/>
    <mergeCell ref="E15:AM15"/>
    <mergeCell ref="AN15:BC15"/>
    <mergeCell ref="BD15:BM15"/>
    <mergeCell ref="BN15:CB15"/>
    <mergeCell ref="A20:D20"/>
    <mergeCell ref="E20:AM20"/>
    <mergeCell ref="AN20:BC20"/>
    <mergeCell ref="BD20:BM20"/>
    <mergeCell ref="BN20:CB20"/>
    <mergeCell ref="A21:D21"/>
    <mergeCell ref="E21:AM21"/>
    <mergeCell ref="AN21:BC21"/>
    <mergeCell ref="BD21:BM21"/>
    <mergeCell ref="BN21:CB21"/>
    <mergeCell ref="A18:D18"/>
    <mergeCell ref="E18:AM18"/>
    <mergeCell ref="AN18:BC18"/>
    <mergeCell ref="BD18:BM18"/>
    <mergeCell ref="BN18:CB18"/>
    <mergeCell ref="A19:D19"/>
    <mergeCell ref="E19:AM19"/>
    <mergeCell ref="AN19:BC19"/>
    <mergeCell ref="BD19:BM19"/>
    <mergeCell ref="BN19:CB19"/>
    <mergeCell ref="A24:D24"/>
    <mergeCell ref="E24:AM24"/>
    <mergeCell ref="AN24:BC24"/>
    <mergeCell ref="BD24:BM24"/>
    <mergeCell ref="BN24:CB24"/>
    <mergeCell ref="A25:D25"/>
    <mergeCell ref="E25:AM25"/>
    <mergeCell ref="AN25:BC25"/>
    <mergeCell ref="BD25:BM25"/>
    <mergeCell ref="BN25:CB25"/>
    <mergeCell ref="A22:D22"/>
    <mergeCell ref="E22:AM22"/>
    <mergeCell ref="AN22:BC22"/>
    <mergeCell ref="BD22:BM22"/>
    <mergeCell ref="BN22:CB22"/>
    <mergeCell ref="A23:D23"/>
    <mergeCell ref="E23:AM23"/>
    <mergeCell ref="AN23:BC23"/>
    <mergeCell ref="BD23:BM23"/>
    <mergeCell ref="BN23:CB23"/>
    <mergeCell ref="A28:D28"/>
    <mergeCell ref="E28:AM28"/>
    <mergeCell ref="AN28:BC28"/>
    <mergeCell ref="BD28:BM28"/>
    <mergeCell ref="BN28:CB28"/>
    <mergeCell ref="A29:D29"/>
    <mergeCell ref="E29:AM29"/>
    <mergeCell ref="AN29:BC29"/>
    <mergeCell ref="BD29:BM29"/>
    <mergeCell ref="BN29:CB29"/>
    <mergeCell ref="A26:D26"/>
    <mergeCell ref="E26:AM26"/>
    <mergeCell ref="AN26:BC26"/>
    <mergeCell ref="BD26:BM26"/>
    <mergeCell ref="BN26:CB26"/>
    <mergeCell ref="A27:D27"/>
    <mergeCell ref="E27:AM27"/>
    <mergeCell ref="AN27:BC27"/>
    <mergeCell ref="BD27:BM27"/>
    <mergeCell ref="BN27:CB27"/>
    <mergeCell ref="AN61:BC61"/>
    <mergeCell ref="BD61:BM61"/>
    <mergeCell ref="BN61:CB61"/>
    <mergeCell ref="A30:D30"/>
    <mergeCell ref="E30:AM30"/>
    <mergeCell ref="AN30:BC30"/>
    <mergeCell ref="BD30:BM30"/>
    <mergeCell ref="BN30:CB30"/>
    <mergeCell ref="A31:D31"/>
    <mergeCell ref="E31:AM31"/>
    <mergeCell ref="AN31:BC31"/>
    <mergeCell ref="BD31:BM31"/>
    <mergeCell ref="BN31:CB31"/>
    <mergeCell ref="A56:D56"/>
    <mergeCell ref="E56:AM56"/>
    <mergeCell ref="AN56:BC56"/>
    <mergeCell ref="BD56:BM56"/>
    <mergeCell ref="BN56:CB56"/>
    <mergeCell ref="A57:D57"/>
    <mergeCell ref="E57:AM57"/>
    <mergeCell ref="AN57:BC57"/>
    <mergeCell ref="BD57:BM57"/>
    <mergeCell ref="BN57:CB57"/>
    <mergeCell ref="A54:D54"/>
    <mergeCell ref="E54:AM54"/>
    <mergeCell ref="AN54:BC54"/>
    <mergeCell ref="BD54:BM54"/>
    <mergeCell ref="BN54:CB54"/>
    <mergeCell ref="A55:D55"/>
    <mergeCell ref="E55:AM55"/>
    <mergeCell ref="AN55:BC55"/>
    <mergeCell ref="BD55:BM55"/>
    <mergeCell ref="A99:D99"/>
    <mergeCell ref="E99:BC99"/>
    <mergeCell ref="BD99:BM99"/>
    <mergeCell ref="BN99:CB99"/>
    <mergeCell ref="BN75:CB75"/>
    <mergeCell ref="A76:D76"/>
    <mergeCell ref="E76:BC76"/>
    <mergeCell ref="BD76:BM76"/>
    <mergeCell ref="BN76:CB76"/>
    <mergeCell ref="A77:D77"/>
    <mergeCell ref="E77:BC77"/>
    <mergeCell ref="BD77:BM77"/>
    <mergeCell ref="BN77:CB77"/>
    <mergeCell ref="A78:D78"/>
    <mergeCell ref="E78:BC78"/>
    <mergeCell ref="BD78:BM78"/>
    <mergeCell ref="BN78:CB78"/>
    <mergeCell ref="A79:D79"/>
    <mergeCell ref="E79:BC79"/>
    <mergeCell ref="A82:D82"/>
    <mergeCell ref="E82:BC82"/>
    <mergeCell ref="BD82:BM82"/>
    <mergeCell ref="BN82:CB82"/>
    <mergeCell ref="A83:D83"/>
    <mergeCell ref="E83:BC83"/>
    <mergeCell ref="BD83:BM83"/>
    <mergeCell ref="BN83:CB83"/>
    <mergeCell ref="A84:D84"/>
    <mergeCell ref="E84:BC84"/>
    <mergeCell ref="BD84:BM84"/>
    <mergeCell ref="BN84:CB84"/>
    <mergeCell ref="BD79:BM79"/>
    <mergeCell ref="A105:D105"/>
    <mergeCell ref="E105:BC105"/>
    <mergeCell ref="BD105:BM105"/>
    <mergeCell ref="BN105:CB105"/>
    <mergeCell ref="A106:D106"/>
    <mergeCell ref="E106:BC106"/>
    <mergeCell ref="BD106:BM106"/>
    <mergeCell ref="BN106:CB106"/>
    <mergeCell ref="A107:D107"/>
    <mergeCell ref="E107:BC107"/>
    <mergeCell ref="BD107:BM107"/>
    <mergeCell ref="BN107:CB107"/>
    <mergeCell ref="A102:D102"/>
    <mergeCell ref="E102:BC102"/>
    <mergeCell ref="BD102:BM102"/>
    <mergeCell ref="BN102:CB102"/>
    <mergeCell ref="A103:D103"/>
    <mergeCell ref="E103:BC103"/>
    <mergeCell ref="BD103:BM103"/>
    <mergeCell ref="BN103:CB103"/>
    <mergeCell ref="A104:D104"/>
    <mergeCell ref="E104:BC104"/>
    <mergeCell ref="BD104:BM104"/>
    <mergeCell ref="BN104:CB104"/>
    <mergeCell ref="E111:BC111"/>
    <mergeCell ref="BD111:BM111"/>
    <mergeCell ref="BN111:CB111"/>
    <mergeCell ref="A112:D112"/>
    <mergeCell ref="E112:BC112"/>
    <mergeCell ref="BD112:BM112"/>
    <mergeCell ref="BN112:CB112"/>
    <mergeCell ref="A113:D113"/>
    <mergeCell ref="E113:BC113"/>
    <mergeCell ref="BD113:BM113"/>
    <mergeCell ref="BN113:CB113"/>
    <mergeCell ref="A108:D108"/>
    <mergeCell ref="E108:BC108"/>
    <mergeCell ref="BD108:BM108"/>
    <mergeCell ref="BN108:CB108"/>
    <mergeCell ref="A109:D109"/>
    <mergeCell ref="E109:BC109"/>
    <mergeCell ref="BD109:BM109"/>
    <mergeCell ref="BN109:CB109"/>
    <mergeCell ref="A110:D110"/>
    <mergeCell ref="E110:BC110"/>
    <mergeCell ref="BD110:BM110"/>
    <mergeCell ref="BN110:CB110"/>
    <mergeCell ref="A137:D137"/>
    <mergeCell ref="E137:BC137"/>
    <mergeCell ref="BD137:BM137"/>
    <mergeCell ref="BN137:CB137"/>
    <mergeCell ref="A120:D120"/>
    <mergeCell ref="E120:BC120"/>
    <mergeCell ref="BD120:BM120"/>
    <mergeCell ref="BN120:CB120"/>
    <mergeCell ref="A121:D121"/>
    <mergeCell ref="E121:BC121"/>
    <mergeCell ref="BD121:BM121"/>
    <mergeCell ref="BN121:CB121"/>
    <mergeCell ref="A133:D133"/>
    <mergeCell ref="E133:BC133"/>
    <mergeCell ref="BD133:BM133"/>
    <mergeCell ref="BN133:CB133"/>
    <mergeCell ref="A134:D134"/>
    <mergeCell ref="E134:BC134"/>
    <mergeCell ref="BD134:BM134"/>
    <mergeCell ref="BN134:CB134"/>
    <mergeCell ref="A135:D135"/>
    <mergeCell ref="E135:BC135"/>
    <mergeCell ref="BD135:BM135"/>
    <mergeCell ref="BN135:CB135"/>
    <mergeCell ref="A130:D130"/>
    <mergeCell ref="E130:BC130"/>
    <mergeCell ref="BD130:BM130"/>
    <mergeCell ref="BN130:CB130"/>
    <mergeCell ref="A131:D131"/>
    <mergeCell ref="E131:BC131"/>
    <mergeCell ref="BD131:BM131"/>
    <mergeCell ref="BN131:CB131"/>
    <mergeCell ref="A164:D164"/>
    <mergeCell ref="E164:AR164"/>
    <mergeCell ref="AS164:BB164"/>
    <mergeCell ref="BC164:BM164"/>
    <mergeCell ref="BN164:CB164"/>
    <mergeCell ref="A154:D154"/>
    <mergeCell ref="E154:AR154"/>
    <mergeCell ref="AS154:BB154"/>
    <mergeCell ref="BC154:BM154"/>
    <mergeCell ref="BN154:CB154"/>
    <mergeCell ref="A155:D155"/>
    <mergeCell ref="E155:AR155"/>
    <mergeCell ref="AS155:BB155"/>
    <mergeCell ref="BC155:BM155"/>
    <mergeCell ref="BN155:CB155"/>
    <mergeCell ref="A156:D156"/>
    <mergeCell ref="E156:AR156"/>
    <mergeCell ref="AS156:BB156"/>
    <mergeCell ref="BC156:BM156"/>
    <mergeCell ref="A161:D161"/>
    <mergeCell ref="E161:AR161"/>
    <mergeCell ref="AS161:BB161"/>
    <mergeCell ref="BC161:BM161"/>
    <mergeCell ref="BN161:CB161"/>
    <mergeCell ref="A162:D162"/>
    <mergeCell ref="E162:AR162"/>
    <mergeCell ref="AS162:BB162"/>
    <mergeCell ref="BC162:BM162"/>
    <mergeCell ref="BN162:CB162"/>
    <mergeCell ref="A159:D159"/>
    <mergeCell ref="E159:AR159"/>
    <mergeCell ref="AS159:BB159"/>
    <mergeCell ref="A167:D167"/>
    <mergeCell ref="E167:AR167"/>
    <mergeCell ref="AS167:BB167"/>
    <mergeCell ref="BC167:BM167"/>
    <mergeCell ref="BN167:CB167"/>
    <mergeCell ref="A71:D71"/>
    <mergeCell ref="E71:BC71"/>
    <mergeCell ref="BD71:BM71"/>
    <mergeCell ref="BN71:CB71"/>
    <mergeCell ref="A72:D72"/>
    <mergeCell ref="E72:BC72"/>
    <mergeCell ref="BD72:BM72"/>
    <mergeCell ref="BN72:CB72"/>
    <mergeCell ref="A73:D73"/>
    <mergeCell ref="E73:BC73"/>
    <mergeCell ref="BD73:BM73"/>
    <mergeCell ref="BN73:CB73"/>
    <mergeCell ref="A74:D74"/>
    <mergeCell ref="E74:BC74"/>
    <mergeCell ref="BD74:BM74"/>
    <mergeCell ref="BN74:CB74"/>
    <mergeCell ref="A75:D75"/>
    <mergeCell ref="E75:BC75"/>
    <mergeCell ref="BD75:BM75"/>
    <mergeCell ref="A165:D165"/>
    <mergeCell ref="E165:AR165"/>
    <mergeCell ref="AS165:BB165"/>
    <mergeCell ref="BC165:BM165"/>
    <mergeCell ref="BN165:CB165"/>
    <mergeCell ref="A166:D166"/>
    <mergeCell ref="E166:AR166"/>
    <mergeCell ref="AS166:BB166"/>
    <mergeCell ref="BN79:CB79"/>
    <mergeCell ref="A80:D80"/>
    <mergeCell ref="E80:BC80"/>
    <mergeCell ref="BD80:BM80"/>
    <mergeCell ref="BN80:CB80"/>
    <mergeCell ref="A81:D81"/>
    <mergeCell ref="E81:BC81"/>
    <mergeCell ref="BD81:BM81"/>
    <mergeCell ref="BN81:CB81"/>
    <mergeCell ref="A88:D88"/>
    <mergeCell ref="E88:BC88"/>
    <mergeCell ref="BD88:BM88"/>
    <mergeCell ref="BN88:CB88"/>
    <mergeCell ref="A89:D89"/>
    <mergeCell ref="E89:BC89"/>
    <mergeCell ref="BD89:BM89"/>
    <mergeCell ref="BN89:CB89"/>
    <mergeCell ref="A90:D90"/>
    <mergeCell ref="E90:BC90"/>
    <mergeCell ref="BD90:BM90"/>
    <mergeCell ref="BN90:CB90"/>
    <mergeCell ref="A85:D85"/>
    <mergeCell ref="E85:BC85"/>
    <mergeCell ref="BD85:BM85"/>
    <mergeCell ref="BN85:CB85"/>
    <mergeCell ref="A86:D86"/>
    <mergeCell ref="E86:BC86"/>
    <mergeCell ref="BD86:BM86"/>
    <mergeCell ref="BN86:CB86"/>
    <mergeCell ref="A87:D87"/>
    <mergeCell ref="E87:BC87"/>
    <mergeCell ref="BD87:BM87"/>
    <mergeCell ref="BN87:CB87"/>
    <mergeCell ref="A94:D94"/>
    <mergeCell ref="E94:BC94"/>
    <mergeCell ref="BD94:BM94"/>
    <mergeCell ref="BN94:CB94"/>
    <mergeCell ref="A95:D95"/>
    <mergeCell ref="E95:BC95"/>
    <mergeCell ref="BD95:BM95"/>
    <mergeCell ref="BN95:CB95"/>
    <mergeCell ref="A96:D96"/>
    <mergeCell ref="E96:BC96"/>
    <mergeCell ref="BD96:BM96"/>
    <mergeCell ref="BN96:CB96"/>
    <mergeCell ref="A91:D91"/>
    <mergeCell ref="E91:BC91"/>
    <mergeCell ref="BD91:BM91"/>
    <mergeCell ref="BN91:CB91"/>
    <mergeCell ref="A92:D92"/>
    <mergeCell ref="E92:BC92"/>
    <mergeCell ref="BD92:BM92"/>
    <mergeCell ref="BN92:CB92"/>
    <mergeCell ref="A93:D93"/>
    <mergeCell ref="E93:BC93"/>
    <mergeCell ref="BD93:BM93"/>
    <mergeCell ref="BN93:CB93"/>
    <mergeCell ref="A132:D132"/>
    <mergeCell ref="E132:BC132"/>
    <mergeCell ref="BD132:BM132"/>
    <mergeCell ref="BN132:CB132"/>
    <mergeCell ref="A127:D127"/>
    <mergeCell ref="E127:BC127"/>
    <mergeCell ref="BD127:BM127"/>
    <mergeCell ref="BN127:CB127"/>
    <mergeCell ref="A128:D128"/>
    <mergeCell ref="E128:BC128"/>
    <mergeCell ref="BD128:BM128"/>
    <mergeCell ref="BN128:CB128"/>
    <mergeCell ref="A129:D129"/>
    <mergeCell ref="E129:BC129"/>
    <mergeCell ref="BD129:BM129"/>
    <mergeCell ref="BN129:CB129"/>
    <mergeCell ref="A117:D117"/>
    <mergeCell ref="E117:BC117"/>
    <mergeCell ref="BD117:BM117"/>
    <mergeCell ref="BN117:CB117"/>
    <mergeCell ref="A118:D118"/>
    <mergeCell ref="E118:BC118"/>
    <mergeCell ref="BD118:BM118"/>
    <mergeCell ref="BN118:CB118"/>
    <mergeCell ref="A119:D119"/>
    <mergeCell ref="E119:BC119"/>
    <mergeCell ref="BD119:BM119"/>
    <mergeCell ref="BN119:CB119"/>
    <mergeCell ref="E123:BC123"/>
    <mergeCell ref="BD123:BM123"/>
    <mergeCell ref="BN123:CB123"/>
    <mergeCell ref="A124:D124"/>
    <mergeCell ref="E124:BC124"/>
    <mergeCell ref="BD124:BM124"/>
    <mergeCell ref="BN124:CB124"/>
    <mergeCell ref="A125:D125"/>
    <mergeCell ref="E125:BC125"/>
    <mergeCell ref="BD125:BM125"/>
    <mergeCell ref="BN125:CB125"/>
    <mergeCell ref="A126:D126"/>
    <mergeCell ref="E126:BC126"/>
    <mergeCell ref="BD126:BM126"/>
    <mergeCell ref="BN126:CB126"/>
    <mergeCell ref="A97:D97"/>
    <mergeCell ref="E97:BC97"/>
    <mergeCell ref="BD97:BM97"/>
    <mergeCell ref="BN97:CB97"/>
    <mergeCell ref="A98:D98"/>
    <mergeCell ref="E98:BC98"/>
    <mergeCell ref="BD98:BM98"/>
    <mergeCell ref="BN98:CB98"/>
    <mergeCell ref="A114:D114"/>
    <mergeCell ref="E114:BC114"/>
    <mergeCell ref="BD114:BM114"/>
    <mergeCell ref="BN114:CB114"/>
    <mergeCell ref="A115:D115"/>
    <mergeCell ref="E115:BC115"/>
    <mergeCell ref="BD115:BM115"/>
    <mergeCell ref="BN115:CB115"/>
    <mergeCell ref="A116:D116"/>
    <mergeCell ref="E116:BC116"/>
    <mergeCell ref="BD116:BM116"/>
    <mergeCell ref="BN116:CB116"/>
    <mergeCell ref="A111:D111"/>
    <mergeCell ref="BC159:BM159"/>
    <mergeCell ref="BN159:CB159"/>
    <mergeCell ref="A160:D160"/>
    <mergeCell ref="E160:AR160"/>
    <mergeCell ref="AS160:BB160"/>
    <mergeCell ref="BC160:BM160"/>
    <mergeCell ref="BN160:CB160"/>
    <mergeCell ref="BC158:BM158"/>
    <mergeCell ref="BN158:CB158"/>
    <mergeCell ref="E163:AR163"/>
    <mergeCell ref="AS163:BB163"/>
    <mergeCell ref="BC163:BM163"/>
    <mergeCell ref="E179:AR179"/>
    <mergeCell ref="AS179:BB179"/>
    <mergeCell ref="BC179:BM179"/>
    <mergeCell ref="E180:AR180"/>
    <mergeCell ref="AS180:BB180"/>
    <mergeCell ref="BC180:BM180"/>
    <mergeCell ref="E176:AR176"/>
    <mergeCell ref="AS176:BB176"/>
    <mergeCell ref="BC176:BM176"/>
    <mergeCell ref="E177:AR177"/>
    <mergeCell ref="AS177:BB177"/>
    <mergeCell ref="BC177:BM177"/>
    <mergeCell ref="E178:AR178"/>
    <mergeCell ref="AS178:BB178"/>
    <mergeCell ref="BC178:BM178"/>
    <mergeCell ref="BC166:BM166"/>
    <mergeCell ref="BN166:CB166"/>
    <mergeCell ref="A171:D171"/>
    <mergeCell ref="E171:AR171"/>
    <mergeCell ref="AS171:BB171"/>
    <mergeCell ref="BC171:BM171"/>
    <mergeCell ref="BN171:CB171"/>
    <mergeCell ref="A172:D172"/>
    <mergeCell ref="E172:AR172"/>
    <mergeCell ref="AS172:BB172"/>
    <mergeCell ref="BC172:BM172"/>
    <mergeCell ref="BN172:CB172"/>
    <mergeCell ref="A169:D169"/>
    <mergeCell ref="E169:AR169"/>
    <mergeCell ref="AS169:BB169"/>
    <mergeCell ref="BC169:BM169"/>
    <mergeCell ref="BN169:CB169"/>
    <mergeCell ref="A170:D170"/>
    <mergeCell ref="E170:AR170"/>
    <mergeCell ref="AS170:BB170"/>
    <mergeCell ref="BC170:BM170"/>
    <mergeCell ref="BN170:CB170"/>
    <mergeCell ref="BC192:BM192"/>
    <mergeCell ref="BN192:CB192"/>
    <mergeCell ref="A173:D173"/>
    <mergeCell ref="E173:AR173"/>
    <mergeCell ref="AS173:BB173"/>
    <mergeCell ref="BC173:BM173"/>
    <mergeCell ref="BN173:CB173"/>
    <mergeCell ref="E174:AR174"/>
    <mergeCell ref="AS174:BB174"/>
    <mergeCell ref="BC174:BM174"/>
    <mergeCell ref="E175:AR175"/>
    <mergeCell ref="AS175:BB175"/>
    <mergeCell ref="BC175:BM175"/>
    <mergeCell ref="A184:CB184"/>
    <mergeCell ref="A195:D195"/>
    <mergeCell ref="E195:AR195"/>
    <mergeCell ref="AS195:BB195"/>
    <mergeCell ref="BC195:BM195"/>
    <mergeCell ref="BN195:CB195"/>
    <mergeCell ref="BC181:BM181"/>
    <mergeCell ref="A179:D179"/>
    <mergeCell ref="BN179:CB179"/>
    <mergeCell ref="A182:D182"/>
    <mergeCell ref="E182:AR182"/>
    <mergeCell ref="AS182:BB182"/>
    <mergeCell ref="BC182:BM182"/>
    <mergeCell ref="BN182:CB182"/>
    <mergeCell ref="A196:D196"/>
    <mergeCell ref="E196:AR196"/>
    <mergeCell ref="AS196:BB196"/>
    <mergeCell ref="BC196:BM196"/>
    <mergeCell ref="BN196:CB196"/>
    <mergeCell ref="A193:D193"/>
    <mergeCell ref="E193:AR193"/>
    <mergeCell ref="AS193:BB193"/>
    <mergeCell ref="BC193:BM193"/>
    <mergeCell ref="BN193:CB193"/>
    <mergeCell ref="A194:D194"/>
    <mergeCell ref="E194:AR194"/>
    <mergeCell ref="AS194:BB194"/>
    <mergeCell ref="BC194:BM194"/>
    <mergeCell ref="BN194:CB194"/>
    <mergeCell ref="A199:D199"/>
    <mergeCell ref="E199:AR199"/>
    <mergeCell ref="AS199:BB199"/>
    <mergeCell ref="BC199:BM199"/>
    <mergeCell ref="BN199:CB199"/>
    <mergeCell ref="A200:D200"/>
    <mergeCell ref="E200:AR200"/>
    <mergeCell ref="AS200:BB200"/>
    <mergeCell ref="BC200:BM200"/>
    <mergeCell ref="BN200:CB200"/>
    <mergeCell ref="A197:D197"/>
    <mergeCell ref="E197:AR197"/>
    <mergeCell ref="AS197:BB197"/>
    <mergeCell ref="BC197:BM197"/>
    <mergeCell ref="BN197:CB197"/>
    <mergeCell ref="A198:D198"/>
    <mergeCell ref="E198:AR198"/>
    <mergeCell ref="AS198:BB198"/>
    <mergeCell ref="BC198:BM198"/>
    <mergeCell ref="BN198:CB198"/>
    <mergeCell ref="A203:D203"/>
    <mergeCell ref="E203:AR203"/>
    <mergeCell ref="AS203:BB203"/>
    <mergeCell ref="BC203:BM203"/>
    <mergeCell ref="BN203:CB203"/>
    <mergeCell ref="AS210:BB210"/>
    <mergeCell ref="BC210:BM210"/>
    <mergeCell ref="BN210:CB210"/>
    <mergeCell ref="A209:D209"/>
    <mergeCell ref="E209:AR209"/>
    <mergeCell ref="A204:D204"/>
    <mergeCell ref="E204:AR204"/>
    <mergeCell ref="AS204:BB204"/>
    <mergeCell ref="BC204:BM204"/>
    <mergeCell ref="BN204:CB204"/>
    <mergeCell ref="A201:D201"/>
    <mergeCell ref="E201:AR201"/>
    <mergeCell ref="AS201:BB201"/>
    <mergeCell ref="BC201:BM201"/>
    <mergeCell ref="BN201:CB201"/>
    <mergeCell ref="A202:D202"/>
    <mergeCell ref="E202:AR202"/>
    <mergeCell ref="AS202:BB202"/>
    <mergeCell ref="BC202:BM202"/>
    <mergeCell ref="BN202:CB202"/>
    <mergeCell ref="A207:D207"/>
    <mergeCell ref="E207:AR207"/>
    <mergeCell ref="AS207:BB207"/>
    <mergeCell ref="BC207:BM207"/>
    <mergeCell ref="BN207:CB207"/>
    <mergeCell ref="A213:D213"/>
    <mergeCell ref="E213:AR213"/>
    <mergeCell ref="AS213:BB213"/>
    <mergeCell ref="BC213:BM213"/>
    <mergeCell ref="BN213:CB213"/>
    <mergeCell ref="A214:D214"/>
    <mergeCell ref="E214:AR214"/>
    <mergeCell ref="AS214:BB214"/>
    <mergeCell ref="BC214:BM214"/>
    <mergeCell ref="BN214:CB214"/>
    <mergeCell ref="A212:D212"/>
    <mergeCell ref="E212:AR212"/>
    <mergeCell ref="AS212:BB212"/>
    <mergeCell ref="BC212:BM212"/>
    <mergeCell ref="BN212:CB212"/>
    <mergeCell ref="A205:D205"/>
    <mergeCell ref="E205:AR205"/>
    <mergeCell ref="AS205:BB205"/>
    <mergeCell ref="BC205:BM205"/>
    <mergeCell ref="BN205:CB205"/>
    <mergeCell ref="A206:D206"/>
    <mergeCell ref="E206:AR206"/>
    <mergeCell ref="AS206:BB206"/>
    <mergeCell ref="BC206:BM206"/>
    <mergeCell ref="BN206:CB206"/>
    <mergeCell ref="A211:D211"/>
    <mergeCell ref="E211:AR211"/>
    <mergeCell ref="AS211:BB211"/>
    <mergeCell ref="BC211:BM211"/>
    <mergeCell ref="BN211:CB211"/>
    <mergeCell ref="A210:D210"/>
    <mergeCell ref="E210:AR210"/>
    <mergeCell ref="A217:D217"/>
    <mergeCell ref="E217:AR217"/>
    <mergeCell ref="AS217:BB217"/>
    <mergeCell ref="BC217:BM217"/>
    <mergeCell ref="BN217:CB217"/>
    <mergeCell ref="A218:D218"/>
    <mergeCell ref="E218:AR218"/>
    <mergeCell ref="AS218:BB218"/>
    <mergeCell ref="BC218:BM218"/>
    <mergeCell ref="BN218:CB218"/>
    <mergeCell ref="A215:D215"/>
    <mergeCell ref="E215:AR215"/>
    <mergeCell ref="AS215:BB215"/>
    <mergeCell ref="BC215:BM215"/>
    <mergeCell ref="BN215:CB215"/>
    <mergeCell ref="A216:D216"/>
    <mergeCell ref="E216:AR216"/>
    <mergeCell ref="AS216:BB216"/>
    <mergeCell ref="BC216:BM216"/>
    <mergeCell ref="BN216:CB216"/>
    <mergeCell ref="A221:D221"/>
    <mergeCell ref="E221:AR221"/>
    <mergeCell ref="AS221:BB221"/>
    <mergeCell ref="BC221:BM221"/>
    <mergeCell ref="BN221:CB221"/>
    <mergeCell ref="A222:D222"/>
    <mergeCell ref="E222:AR222"/>
    <mergeCell ref="AS222:BB222"/>
    <mergeCell ref="BC222:BM222"/>
    <mergeCell ref="BN222:CB222"/>
    <mergeCell ref="A219:D219"/>
    <mergeCell ref="E219:AR219"/>
    <mergeCell ref="AS219:BB219"/>
    <mergeCell ref="BC219:BM219"/>
    <mergeCell ref="BN219:CB219"/>
    <mergeCell ref="A220:D220"/>
    <mergeCell ref="E220:AR220"/>
    <mergeCell ref="AS220:BB220"/>
    <mergeCell ref="BC220:BM220"/>
    <mergeCell ref="BN220:CB220"/>
    <mergeCell ref="A230:D230"/>
    <mergeCell ref="E230:AR230"/>
    <mergeCell ref="AS230:BB230"/>
    <mergeCell ref="BC230:BM230"/>
    <mergeCell ref="BN230:CB230"/>
    <mergeCell ref="A229:D229"/>
    <mergeCell ref="E229:AR229"/>
    <mergeCell ref="AS229:BB229"/>
    <mergeCell ref="BC229:BM229"/>
    <mergeCell ref="BN229:CB229"/>
    <mergeCell ref="A228:D228"/>
    <mergeCell ref="A223:D223"/>
    <mergeCell ref="E223:AR223"/>
    <mergeCell ref="AS223:BB223"/>
    <mergeCell ref="BC223:BM223"/>
    <mergeCell ref="BN223:CB223"/>
    <mergeCell ref="A224:D224"/>
    <mergeCell ref="E224:AR224"/>
    <mergeCell ref="AS224:BB224"/>
    <mergeCell ref="BC224:BM224"/>
    <mergeCell ref="BN224:CB224"/>
    <mergeCell ref="E228:AR228"/>
    <mergeCell ref="AS228:BB228"/>
    <mergeCell ref="BC228:BM228"/>
    <mergeCell ref="BN228:CB228"/>
    <mergeCell ref="A227:D227"/>
    <mergeCell ref="E227:AR227"/>
    <mergeCell ref="AS227:BB227"/>
    <mergeCell ref="BC227:BM227"/>
    <mergeCell ref="BN227:CB227"/>
    <mergeCell ref="A226:D226"/>
    <mergeCell ref="E226:AR226"/>
    <mergeCell ref="E37:AM37"/>
    <mergeCell ref="BN37:CB37"/>
    <mergeCell ref="A33:D33"/>
    <mergeCell ref="E33:AM33"/>
    <mergeCell ref="AN33:BC33"/>
    <mergeCell ref="BD33:BM33"/>
    <mergeCell ref="BN33:CB33"/>
    <mergeCell ref="A32:D32"/>
    <mergeCell ref="E32:AM32"/>
    <mergeCell ref="AN32:BC32"/>
    <mergeCell ref="BD32:BM32"/>
    <mergeCell ref="BN32:CB32"/>
    <mergeCell ref="A138:CB138"/>
    <mergeCell ref="A140:D142"/>
    <mergeCell ref="E140:BC142"/>
    <mergeCell ref="BD140:BM142"/>
    <mergeCell ref="BN140:CB142"/>
    <mergeCell ref="E34:AM34"/>
    <mergeCell ref="BN34:CB34"/>
    <mergeCell ref="E35:AM35"/>
    <mergeCell ref="BN35:CB35"/>
    <mergeCell ref="E36:AM36"/>
    <mergeCell ref="BN36:CB36"/>
    <mergeCell ref="A136:D136"/>
    <mergeCell ref="E136:BC136"/>
    <mergeCell ref="BD136:BM136"/>
    <mergeCell ref="BN136:CB136"/>
    <mergeCell ref="A122:D122"/>
    <mergeCell ref="E122:BC122"/>
    <mergeCell ref="BD122:BM122"/>
    <mergeCell ref="BN122:CB122"/>
    <mergeCell ref="A123:D123"/>
    <mergeCell ref="A147:D147"/>
    <mergeCell ref="E147:BC147"/>
    <mergeCell ref="BD147:BM147"/>
    <mergeCell ref="BN147:CB147"/>
    <mergeCell ref="A143:D143"/>
    <mergeCell ref="E143:BC143"/>
    <mergeCell ref="BD143:BM143"/>
    <mergeCell ref="BN143:CB143"/>
    <mergeCell ref="A144:D144"/>
    <mergeCell ref="E144:BC144"/>
    <mergeCell ref="BD144:BM144"/>
    <mergeCell ref="BN144:CB144"/>
    <mergeCell ref="A145:D145"/>
    <mergeCell ref="E145:BC145"/>
    <mergeCell ref="BD145:BM145"/>
    <mergeCell ref="BN145:CB145"/>
    <mergeCell ref="A146:D146"/>
    <mergeCell ref="E146:BC146"/>
    <mergeCell ref="BD146:BM146"/>
    <mergeCell ref="BN146:CB146"/>
  </mergeCells>
  <pageMargins left="0.78740157480314965" right="0.39370078740157483" top="0.59055118110236227" bottom="0.39370078740157483" header="0.27559055118110237" footer="0.27559055118110237"/>
  <pageSetup paperSize="9" scale="82" fitToHeight="0" orientation="portrait" blackAndWhite="1" r:id="rId1"/>
  <headerFooter alignWithMargins="0"/>
  <rowBreaks count="2" manualBreakCount="2">
    <brk id="64" max="79" man="1"/>
    <brk id="147" max="79" man="1"/>
  </rowBreaks>
</worksheet>
</file>

<file path=xl/worksheets/sheet14.xml><?xml version="1.0" encoding="utf-8"?>
<worksheet xmlns="http://schemas.openxmlformats.org/spreadsheetml/2006/main" xmlns:r="http://schemas.openxmlformats.org/officeDocument/2006/relationships">
  <sheetPr>
    <tabColor theme="9" tint="0.39997558519241921"/>
  </sheetPr>
  <dimension ref="A1:M82"/>
  <sheetViews>
    <sheetView view="pageBreakPreview" topLeftCell="A58" zoomScale="115" zoomScaleSheetLayoutView="115" workbookViewId="0">
      <selection activeCell="A77" sqref="A77:B77"/>
    </sheetView>
  </sheetViews>
  <sheetFormatPr defaultColWidth="9.109375" defaultRowHeight="13.2"/>
  <cols>
    <col min="1" max="1" width="64.5546875" style="128" customWidth="1"/>
    <col min="2" max="2" width="11.88671875" style="128" customWidth="1"/>
    <col min="3" max="3" width="10.33203125" style="128" customWidth="1"/>
    <col min="4" max="4" width="13" style="128" customWidth="1"/>
    <col min="5" max="8" width="9.109375" style="128"/>
    <col min="9" max="9" width="12.33203125" style="128" customWidth="1"/>
    <col min="10" max="10" width="12.6640625" style="128" customWidth="1"/>
    <col min="11" max="256" width="9.109375" style="128"/>
    <col min="257" max="257" width="49.109375" style="128" customWidth="1"/>
    <col min="258" max="258" width="11.88671875" style="128" customWidth="1"/>
    <col min="259" max="259" width="10.33203125" style="128" customWidth="1"/>
    <col min="260" max="260" width="13" style="128" customWidth="1"/>
    <col min="261" max="264" width="9.109375" style="128"/>
    <col min="265" max="265" width="12.33203125" style="128" customWidth="1"/>
    <col min="266" max="266" width="12.6640625" style="128" customWidth="1"/>
    <col min="267" max="512" width="9.109375" style="128"/>
    <col min="513" max="513" width="49.109375" style="128" customWidth="1"/>
    <col min="514" max="514" width="11.88671875" style="128" customWidth="1"/>
    <col min="515" max="515" width="10.33203125" style="128" customWidth="1"/>
    <col min="516" max="516" width="13" style="128" customWidth="1"/>
    <col min="517" max="520" width="9.109375" style="128"/>
    <col min="521" max="521" width="12.33203125" style="128" customWidth="1"/>
    <col min="522" max="522" width="12.6640625" style="128" customWidth="1"/>
    <col min="523" max="768" width="9.109375" style="128"/>
    <col min="769" max="769" width="49.109375" style="128" customWidth="1"/>
    <col min="770" max="770" width="11.88671875" style="128" customWidth="1"/>
    <col min="771" max="771" width="10.33203125" style="128" customWidth="1"/>
    <col min="772" max="772" width="13" style="128" customWidth="1"/>
    <col min="773" max="776" width="9.109375" style="128"/>
    <col min="777" max="777" width="12.33203125" style="128" customWidth="1"/>
    <col min="778" max="778" width="12.6640625" style="128" customWidth="1"/>
    <col min="779" max="1024" width="9.109375" style="128"/>
    <col min="1025" max="1025" width="49.109375" style="128" customWidth="1"/>
    <col min="1026" max="1026" width="11.88671875" style="128" customWidth="1"/>
    <col min="1027" max="1027" width="10.33203125" style="128" customWidth="1"/>
    <col min="1028" max="1028" width="13" style="128" customWidth="1"/>
    <col min="1029" max="1032" width="9.109375" style="128"/>
    <col min="1033" max="1033" width="12.33203125" style="128" customWidth="1"/>
    <col min="1034" max="1034" width="12.6640625" style="128" customWidth="1"/>
    <col min="1035" max="1280" width="9.109375" style="128"/>
    <col min="1281" max="1281" width="49.109375" style="128" customWidth="1"/>
    <col min="1282" max="1282" width="11.88671875" style="128" customWidth="1"/>
    <col min="1283" max="1283" width="10.33203125" style="128" customWidth="1"/>
    <col min="1284" max="1284" width="13" style="128" customWidth="1"/>
    <col min="1285" max="1288" width="9.109375" style="128"/>
    <col min="1289" max="1289" width="12.33203125" style="128" customWidth="1"/>
    <col min="1290" max="1290" width="12.6640625" style="128" customWidth="1"/>
    <col min="1291" max="1536" width="9.109375" style="128"/>
    <col min="1537" max="1537" width="49.109375" style="128" customWidth="1"/>
    <col min="1538" max="1538" width="11.88671875" style="128" customWidth="1"/>
    <col min="1539" max="1539" width="10.33203125" style="128" customWidth="1"/>
    <col min="1540" max="1540" width="13" style="128" customWidth="1"/>
    <col min="1541" max="1544" width="9.109375" style="128"/>
    <col min="1545" max="1545" width="12.33203125" style="128" customWidth="1"/>
    <col min="1546" max="1546" width="12.6640625" style="128" customWidth="1"/>
    <col min="1547" max="1792" width="9.109375" style="128"/>
    <col min="1793" max="1793" width="49.109375" style="128" customWidth="1"/>
    <col min="1794" max="1794" width="11.88671875" style="128" customWidth="1"/>
    <col min="1795" max="1795" width="10.33203125" style="128" customWidth="1"/>
    <col min="1796" max="1796" width="13" style="128" customWidth="1"/>
    <col min="1797" max="1800" width="9.109375" style="128"/>
    <col min="1801" max="1801" width="12.33203125" style="128" customWidth="1"/>
    <col min="1802" max="1802" width="12.6640625" style="128" customWidth="1"/>
    <col min="1803" max="2048" width="9.109375" style="128"/>
    <col min="2049" max="2049" width="49.109375" style="128" customWidth="1"/>
    <col min="2050" max="2050" width="11.88671875" style="128" customWidth="1"/>
    <col min="2051" max="2051" width="10.33203125" style="128" customWidth="1"/>
    <col min="2052" max="2052" width="13" style="128" customWidth="1"/>
    <col min="2053" max="2056" width="9.109375" style="128"/>
    <col min="2057" max="2057" width="12.33203125" style="128" customWidth="1"/>
    <col min="2058" max="2058" width="12.6640625" style="128" customWidth="1"/>
    <col min="2059" max="2304" width="9.109375" style="128"/>
    <col min="2305" max="2305" width="49.109375" style="128" customWidth="1"/>
    <col min="2306" max="2306" width="11.88671875" style="128" customWidth="1"/>
    <col min="2307" max="2307" width="10.33203125" style="128" customWidth="1"/>
    <col min="2308" max="2308" width="13" style="128" customWidth="1"/>
    <col min="2309" max="2312" width="9.109375" style="128"/>
    <col min="2313" max="2313" width="12.33203125" style="128" customWidth="1"/>
    <col min="2314" max="2314" width="12.6640625" style="128" customWidth="1"/>
    <col min="2315" max="2560" width="9.109375" style="128"/>
    <col min="2561" max="2561" width="49.109375" style="128" customWidth="1"/>
    <col min="2562" max="2562" width="11.88671875" style="128" customWidth="1"/>
    <col min="2563" max="2563" width="10.33203125" style="128" customWidth="1"/>
    <col min="2564" max="2564" width="13" style="128" customWidth="1"/>
    <col min="2565" max="2568" width="9.109375" style="128"/>
    <col min="2569" max="2569" width="12.33203125" style="128" customWidth="1"/>
    <col min="2570" max="2570" width="12.6640625" style="128" customWidth="1"/>
    <col min="2571" max="2816" width="9.109375" style="128"/>
    <col min="2817" max="2817" width="49.109375" style="128" customWidth="1"/>
    <col min="2818" max="2818" width="11.88671875" style="128" customWidth="1"/>
    <col min="2819" max="2819" width="10.33203125" style="128" customWidth="1"/>
    <col min="2820" max="2820" width="13" style="128" customWidth="1"/>
    <col min="2821" max="2824" width="9.109375" style="128"/>
    <col min="2825" max="2825" width="12.33203125" style="128" customWidth="1"/>
    <col min="2826" max="2826" width="12.6640625" style="128" customWidth="1"/>
    <col min="2827" max="3072" width="9.109375" style="128"/>
    <col min="3073" max="3073" width="49.109375" style="128" customWidth="1"/>
    <col min="3074" max="3074" width="11.88671875" style="128" customWidth="1"/>
    <col min="3075" max="3075" width="10.33203125" style="128" customWidth="1"/>
    <col min="3076" max="3076" width="13" style="128" customWidth="1"/>
    <col min="3077" max="3080" width="9.109375" style="128"/>
    <col min="3081" max="3081" width="12.33203125" style="128" customWidth="1"/>
    <col min="3082" max="3082" width="12.6640625" style="128" customWidth="1"/>
    <col min="3083" max="3328" width="9.109375" style="128"/>
    <col min="3329" max="3329" width="49.109375" style="128" customWidth="1"/>
    <col min="3330" max="3330" width="11.88671875" style="128" customWidth="1"/>
    <col min="3331" max="3331" width="10.33203125" style="128" customWidth="1"/>
    <col min="3332" max="3332" width="13" style="128" customWidth="1"/>
    <col min="3333" max="3336" width="9.109375" style="128"/>
    <col min="3337" max="3337" width="12.33203125" style="128" customWidth="1"/>
    <col min="3338" max="3338" width="12.6640625" style="128" customWidth="1"/>
    <col min="3339" max="3584" width="9.109375" style="128"/>
    <col min="3585" max="3585" width="49.109375" style="128" customWidth="1"/>
    <col min="3586" max="3586" width="11.88671875" style="128" customWidth="1"/>
    <col min="3587" max="3587" width="10.33203125" style="128" customWidth="1"/>
    <col min="3588" max="3588" width="13" style="128" customWidth="1"/>
    <col min="3589" max="3592" width="9.109375" style="128"/>
    <col min="3593" max="3593" width="12.33203125" style="128" customWidth="1"/>
    <col min="3594" max="3594" width="12.6640625" style="128" customWidth="1"/>
    <col min="3595" max="3840" width="9.109375" style="128"/>
    <col min="3841" max="3841" width="49.109375" style="128" customWidth="1"/>
    <col min="3842" max="3842" width="11.88671875" style="128" customWidth="1"/>
    <col min="3843" max="3843" width="10.33203125" style="128" customWidth="1"/>
    <col min="3844" max="3844" width="13" style="128" customWidth="1"/>
    <col min="3845" max="3848" width="9.109375" style="128"/>
    <col min="3849" max="3849" width="12.33203125" style="128" customWidth="1"/>
    <col min="3850" max="3850" width="12.6640625" style="128" customWidth="1"/>
    <col min="3851" max="4096" width="9.109375" style="128"/>
    <col min="4097" max="4097" width="49.109375" style="128" customWidth="1"/>
    <col min="4098" max="4098" width="11.88671875" style="128" customWidth="1"/>
    <col min="4099" max="4099" width="10.33203125" style="128" customWidth="1"/>
    <col min="4100" max="4100" width="13" style="128" customWidth="1"/>
    <col min="4101" max="4104" width="9.109375" style="128"/>
    <col min="4105" max="4105" width="12.33203125" style="128" customWidth="1"/>
    <col min="4106" max="4106" width="12.6640625" style="128" customWidth="1"/>
    <col min="4107" max="4352" width="9.109375" style="128"/>
    <col min="4353" max="4353" width="49.109375" style="128" customWidth="1"/>
    <col min="4354" max="4354" width="11.88671875" style="128" customWidth="1"/>
    <col min="4355" max="4355" width="10.33203125" style="128" customWidth="1"/>
    <col min="4356" max="4356" width="13" style="128" customWidth="1"/>
    <col min="4357" max="4360" width="9.109375" style="128"/>
    <col min="4361" max="4361" width="12.33203125" style="128" customWidth="1"/>
    <col min="4362" max="4362" width="12.6640625" style="128" customWidth="1"/>
    <col min="4363" max="4608" width="9.109375" style="128"/>
    <col min="4609" max="4609" width="49.109375" style="128" customWidth="1"/>
    <col min="4610" max="4610" width="11.88671875" style="128" customWidth="1"/>
    <col min="4611" max="4611" width="10.33203125" style="128" customWidth="1"/>
    <col min="4612" max="4612" width="13" style="128" customWidth="1"/>
    <col min="4613" max="4616" width="9.109375" style="128"/>
    <col min="4617" max="4617" width="12.33203125" style="128" customWidth="1"/>
    <col min="4618" max="4618" width="12.6640625" style="128" customWidth="1"/>
    <col min="4619" max="4864" width="9.109375" style="128"/>
    <col min="4865" max="4865" width="49.109375" style="128" customWidth="1"/>
    <col min="4866" max="4866" width="11.88671875" style="128" customWidth="1"/>
    <col min="4867" max="4867" width="10.33203125" style="128" customWidth="1"/>
    <col min="4868" max="4868" width="13" style="128" customWidth="1"/>
    <col min="4869" max="4872" width="9.109375" style="128"/>
    <col min="4873" max="4873" width="12.33203125" style="128" customWidth="1"/>
    <col min="4874" max="4874" width="12.6640625" style="128" customWidth="1"/>
    <col min="4875" max="5120" width="9.109375" style="128"/>
    <col min="5121" max="5121" width="49.109375" style="128" customWidth="1"/>
    <col min="5122" max="5122" width="11.88671875" style="128" customWidth="1"/>
    <col min="5123" max="5123" width="10.33203125" style="128" customWidth="1"/>
    <col min="5124" max="5124" width="13" style="128" customWidth="1"/>
    <col min="5125" max="5128" width="9.109375" style="128"/>
    <col min="5129" max="5129" width="12.33203125" style="128" customWidth="1"/>
    <col min="5130" max="5130" width="12.6640625" style="128" customWidth="1"/>
    <col min="5131" max="5376" width="9.109375" style="128"/>
    <col min="5377" max="5377" width="49.109375" style="128" customWidth="1"/>
    <col min="5378" max="5378" width="11.88671875" style="128" customWidth="1"/>
    <col min="5379" max="5379" width="10.33203125" style="128" customWidth="1"/>
    <col min="5380" max="5380" width="13" style="128" customWidth="1"/>
    <col min="5381" max="5384" width="9.109375" style="128"/>
    <col min="5385" max="5385" width="12.33203125" style="128" customWidth="1"/>
    <col min="5386" max="5386" width="12.6640625" style="128" customWidth="1"/>
    <col min="5387" max="5632" width="9.109375" style="128"/>
    <col min="5633" max="5633" width="49.109375" style="128" customWidth="1"/>
    <col min="5634" max="5634" width="11.88671875" style="128" customWidth="1"/>
    <col min="5635" max="5635" width="10.33203125" style="128" customWidth="1"/>
    <col min="5636" max="5636" width="13" style="128" customWidth="1"/>
    <col min="5637" max="5640" width="9.109375" style="128"/>
    <col min="5641" max="5641" width="12.33203125" style="128" customWidth="1"/>
    <col min="5642" max="5642" width="12.6640625" style="128" customWidth="1"/>
    <col min="5643" max="5888" width="9.109375" style="128"/>
    <col min="5889" max="5889" width="49.109375" style="128" customWidth="1"/>
    <col min="5890" max="5890" width="11.88671875" style="128" customWidth="1"/>
    <col min="5891" max="5891" width="10.33203125" style="128" customWidth="1"/>
    <col min="5892" max="5892" width="13" style="128" customWidth="1"/>
    <col min="5893" max="5896" width="9.109375" style="128"/>
    <col min="5897" max="5897" width="12.33203125" style="128" customWidth="1"/>
    <col min="5898" max="5898" width="12.6640625" style="128" customWidth="1"/>
    <col min="5899" max="6144" width="9.109375" style="128"/>
    <col min="6145" max="6145" width="49.109375" style="128" customWidth="1"/>
    <col min="6146" max="6146" width="11.88671875" style="128" customWidth="1"/>
    <col min="6147" max="6147" width="10.33203125" style="128" customWidth="1"/>
    <col min="6148" max="6148" width="13" style="128" customWidth="1"/>
    <col min="6149" max="6152" width="9.109375" style="128"/>
    <col min="6153" max="6153" width="12.33203125" style="128" customWidth="1"/>
    <col min="6154" max="6154" width="12.6640625" style="128" customWidth="1"/>
    <col min="6155" max="6400" width="9.109375" style="128"/>
    <col min="6401" max="6401" width="49.109375" style="128" customWidth="1"/>
    <col min="6402" max="6402" width="11.88671875" style="128" customWidth="1"/>
    <col min="6403" max="6403" width="10.33203125" style="128" customWidth="1"/>
    <col min="6404" max="6404" width="13" style="128" customWidth="1"/>
    <col min="6405" max="6408" width="9.109375" style="128"/>
    <col min="6409" max="6409" width="12.33203125" style="128" customWidth="1"/>
    <col min="6410" max="6410" width="12.6640625" style="128" customWidth="1"/>
    <col min="6411" max="6656" width="9.109375" style="128"/>
    <col min="6657" max="6657" width="49.109375" style="128" customWidth="1"/>
    <col min="6658" max="6658" width="11.88671875" style="128" customWidth="1"/>
    <col min="6659" max="6659" width="10.33203125" style="128" customWidth="1"/>
    <col min="6660" max="6660" width="13" style="128" customWidth="1"/>
    <col min="6661" max="6664" width="9.109375" style="128"/>
    <col min="6665" max="6665" width="12.33203125" style="128" customWidth="1"/>
    <col min="6666" max="6666" width="12.6640625" style="128" customWidth="1"/>
    <col min="6667" max="6912" width="9.109375" style="128"/>
    <col min="6913" max="6913" width="49.109375" style="128" customWidth="1"/>
    <col min="6914" max="6914" width="11.88671875" style="128" customWidth="1"/>
    <col min="6915" max="6915" width="10.33203125" style="128" customWidth="1"/>
    <col min="6916" max="6916" width="13" style="128" customWidth="1"/>
    <col min="6917" max="6920" width="9.109375" style="128"/>
    <col min="6921" max="6921" width="12.33203125" style="128" customWidth="1"/>
    <col min="6922" max="6922" width="12.6640625" style="128" customWidth="1"/>
    <col min="6923" max="7168" width="9.109375" style="128"/>
    <col min="7169" max="7169" width="49.109375" style="128" customWidth="1"/>
    <col min="7170" max="7170" width="11.88671875" style="128" customWidth="1"/>
    <col min="7171" max="7171" width="10.33203125" style="128" customWidth="1"/>
    <col min="7172" max="7172" width="13" style="128" customWidth="1"/>
    <col min="7173" max="7176" width="9.109375" style="128"/>
    <col min="7177" max="7177" width="12.33203125" style="128" customWidth="1"/>
    <col min="7178" max="7178" width="12.6640625" style="128" customWidth="1"/>
    <col min="7179" max="7424" width="9.109375" style="128"/>
    <col min="7425" max="7425" width="49.109375" style="128" customWidth="1"/>
    <col min="7426" max="7426" width="11.88671875" style="128" customWidth="1"/>
    <col min="7427" max="7427" width="10.33203125" style="128" customWidth="1"/>
    <col min="7428" max="7428" width="13" style="128" customWidth="1"/>
    <col min="7429" max="7432" width="9.109375" style="128"/>
    <col min="7433" max="7433" width="12.33203125" style="128" customWidth="1"/>
    <col min="7434" max="7434" width="12.6640625" style="128" customWidth="1"/>
    <col min="7435" max="7680" width="9.109375" style="128"/>
    <col min="7681" max="7681" width="49.109375" style="128" customWidth="1"/>
    <col min="7682" max="7682" width="11.88671875" style="128" customWidth="1"/>
    <col min="7683" max="7683" width="10.33203125" style="128" customWidth="1"/>
    <col min="7684" max="7684" width="13" style="128" customWidth="1"/>
    <col min="7685" max="7688" width="9.109375" style="128"/>
    <col min="7689" max="7689" width="12.33203125" style="128" customWidth="1"/>
    <col min="7690" max="7690" width="12.6640625" style="128" customWidth="1"/>
    <col min="7691" max="7936" width="9.109375" style="128"/>
    <col min="7937" max="7937" width="49.109375" style="128" customWidth="1"/>
    <col min="7938" max="7938" width="11.88671875" style="128" customWidth="1"/>
    <col min="7939" max="7939" width="10.33203125" style="128" customWidth="1"/>
    <col min="7940" max="7940" width="13" style="128" customWidth="1"/>
    <col min="7941" max="7944" width="9.109375" style="128"/>
    <col min="7945" max="7945" width="12.33203125" style="128" customWidth="1"/>
    <col min="7946" max="7946" width="12.6640625" style="128" customWidth="1"/>
    <col min="7947" max="8192" width="9.109375" style="128"/>
    <col min="8193" max="8193" width="49.109375" style="128" customWidth="1"/>
    <col min="8194" max="8194" width="11.88671875" style="128" customWidth="1"/>
    <col min="8195" max="8195" width="10.33203125" style="128" customWidth="1"/>
    <col min="8196" max="8196" width="13" style="128" customWidth="1"/>
    <col min="8197" max="8200" width="9.109375" style="128"/>
    <col min="8201" max="8201" width="12.33203125" style="128" customWidth="1"/>
    <col min="8202" max="8202" width="12.6640625" style="128" customWidth="1"/>
    <col min="8203" max="8448" width="9.109375" style="128"/>
    <col min="8449" max="8449" width="49.109375" style="128" customWidth="1"/>
    <col min="8450" max="8450" width="11.88671875" style="128" customWidth="1"/>
    <col min="8451" max="8451" width="10.33203125" style="128" customWidth="1"/>
    <col min="8452" max="8452" width="13" style="128" customWidth="1"/>
    <col min="8453" max="8456" width="9.109375" style="128"/>
    <col min="8457" max="8457" width="12.33203125" style="128" customWidth="1"/>
    <col min="8458" max="8458" width="12.6640625" style="128" customWidth="1"/>
    <col min="8459" max="8704" width="9.109375" style="128"/>
    <col min="8705" max="8705" width="49.109375" style="128" customWidth="1"/>
    <col min="8706" max="8706" width="11.88671875" style="128" customWidth="1"/>
    <col min="8707" max="8707" width="10.33203125" style="128" customWidth="1"/>
    <col min="8708" max="8708" width="13" style="128" customWidth="1"/>
    <col min="8709" max="8712" width="9.109375" style="128"/>
    <col min="8713" max="8713" width="12.33203125" style="128" customWidth="1"/>
    <col min="8714" max="8714" width="12.6640625" style="128" customWidth="1"/>
    <col min="8715" max="8960" width="9.109375" style="128"/>
    <col min="8961" max="8961" width="49.109375" style="128" customWidth="1"/>
    <col min="8962" max="8962" width="11.88671875" style="128" customWidth="1"/>
    <col min="8963" max="8963" width="10.33203125" style="128" customWidth="1"/>
    <col min="8964" max="8964" width="13" style="128" customWidth="1"/>
    <col min="8965" max="8968" width="9.109375" style="128"/>
    <col min="8969" max="8969" width="12.33203125" style="128" customWidth="1"/>
    <col min="8970" max="8970" width="12.6640625" style="128" customWidth="1"/>
    <col min="8971" max="9216" width="9.109375" style="128"/>
    <col min="9217" max="9217" width="49.109375" style="128" customWidth="1"/>
    <col min="9218" max="9218" width="11.88671875" style="128" customWidth="1"/>
    <col min="9219" max="9219" width="10.33203125" style="128" customWidth="1"/>
    <col min="9220" max="9220" width="13" style="128" customWidth="1"/>
    <col min="9221" max="9224" width="9.109375" style="128"/>
    <col min="9225" max="9225" width="12.33203125" style="128" customWidth="1"/>
    <col min="9226" max="9226" width="12.6640625" style="128" customWidth="1"/>
    <col min="9227" max="9472" width="9.109375" style="128"/>
    <col min="9473" max="9473" width="49.109375" style="128" customWidth="1"/>
    <col min="9474" max="9474" width="11.88671875" style="128" customWidth="1"/>
    <col min="9475" max="9475" width="10.33203125" style="128" customWidth="1"/>
    <col min="9476" max="9476" width="13" style="128" customWidth="1"/>
    <col min="9477" max="9480" width="9.109375" style="128"/>
    <col min="9481" max="9481" width="12.33203125" style="128" customWidth="1"/>
    <col min="9482" max="9482" width="12.6640625" style="128" customWidth="1"/>
    <col min="9483" max="9728" width="9.109375" style="128"/>
    <col min="9729" max="9729" width="49.109375" style="128" customWidth="1"/>
    <col min="9730" max="9730" width="11.88671875" style="128" customWidth="1"/>
    <col min="9731" max="9731" width="10.33203125" style="128" customWidth="1"/>
    <col min="9732" max="9732" width="13" style="128" customWidth="1"/>
    <col min="9733" max="9736" width="9.109375" style="128"/>
    <col min="9737" max="9737" width="12.33203125" style="128" customWidth="1"/>
    <col min="9738" max="9738" width="12.6640625" style="128" customWidth="1"/>
    <col min="9739" max="9984" width="9.109375" style="128"/>
    <col min="9985" max="9985" width="49.109375" style="128" customWidth="1"/>
    <col min="9986" max="9986" width="11.88671875" style="128" customWidth="1"/>
    <col min="9987" max="9987" width="10.33203125" style="128" customWidth="1"/>
    <col min="9988" max="9988" width="13" style="128" customWidth="1"/>
    <col min="9989" max="9992" width="9.109375" style="128"/>
    <col min="9993" max="9993" width="12.33203125" style="128" customWidth="1"/>
    <col min="9994" max="9994" width="12.6640625" style="128" customWidth="1"/>
    <col min="9995" max="10240" width="9.109375" style="128"/>
    <col min="10241" max="10241" width="49.109375" style="128" customWidth="1"/>
    <col min="10242" max="10242" width="11.88671875" style="128" customWidth="1"/>
    <col min="10243" max="10243" width="10.33203125" style="128" customWidth="1"/>
    <col min="10244" max="10244" width="13" style="128" customWidth="1"/>
    <col min="10245" max="10248" width="9.109375" style="128"/>
    <col min="10249" max="10249" width="12.33203125" style="128" customWidth="1"/>
    <col min="10250" max="10250" width="12.6640625" style="128" customWidth="1"/>
    <col min="10251" max="10496" width="9.109375" style="128"/>
    <col min="10497" max="10497" width="49.109375" style="128" customWidth="1"/>
    <col min="10498" max="10498" width="11.88671875" style="128" customWidth="1"/>
    <col min="10499" max="10499" width="10.33203125" style="128" customWidth="1"/>
    <col min="10500" max="10500" width="13" style="128" customWidth="1"/>
    <col min="10501" max="10504" width="9.109375" style="128"/>
    <col min="10505" max="10505" width="12.33203125" style="128" customWidth="1"/>
    <col min="10506" max="10506" width="12.6640625" style="128" customWidth="1"/>
    <col min="10507" max="10752" width="9.109375" style="128"/>
    <col min="10753" max="10753" width="49.109375" style="128" customWidth="1"/>
    <col min="10754" max="10754" width="11.88671875" style="128" customWidth="1"/>
    <col min="10755" max="10755" width="10.33203125" style="128" customWidth="1"/>
    <col min="10756" max="10756" width="13" style="128" customWidth="1"/>
    <col min="10757" max="10760" width="9.109375" style="128"/>
    <col min="10761" max="10761" width="12.33203125" style="128" customWidth="1"/>
    <col min="10762" max="10762" width="12.6640625" style="128" customWidth="1"/>
    <col min="10763" max="11008" width="9.109375" style="128"/>
    <col min="11009" max="11009" width="49.109375" style="128" customWidth="1"/>
    <col min="11010" max="11010" width="11.88671875" style="128" customWidth="1"/>
    <col min="11011" max="11011" width="10.33203125" style="128" customWidth="1"/>
    <col min="11012" max="11012" width="13" style="128" customWidth="1"/>
    <col min="11013" max="11016" width="9.109375" style="128"/>
    <col min="11017" max="11017" width="12.33203125" style="128" customWidth="1"/>
    <col min="11018" max="11018" width="12.6640625" style="128" customWidth="1"/>
    <col min="11019" max="11264" width="9.109375" style="128"/>
    <col min="11265" max="11265" width="49.109375" style="128" customWidth="1"/>
    <col min="11266" max="11266" width="11.88671875" style="128" customWidth="1"/>
    <col min="11267" max="11267" width="10.33203125" style="128" customWidth="1"/>
    <col min="11268" max="11268" width="13" style="128" customWidth="1"/>
    <col min="11269" max="11272" width="9.109375" style="128"/>
    <col min="11273" max="11273" width="12.33203125" style="128" customWidth="1"/>
    <col min="11274" max="11274" width="12.6640625" style="128" customWidth="1"/>
    <col min="11275" max="11520" width="9.109375" style="128"/>
    <col min="11521" max="11521" width="49.109375" style="128" customWidth="1"/>
    <col min="11522" max="11522" width="11.88671875" style="128" customWidth="1"/>
    <col min="11523" max="11523" width="10.33203125" style="128" customWidth="1"/>
    <col min="11524" max="11524" width="13" style="128" customWidth="1"/>
    <col min="11525" max="11528" width="9.109375" style="128"/>
    <col min="11529" max="11529" width="12.33203125" style="128" customWidth="1"/>
    <col min="11530" max="11530" width="12.6640625" style="128" customWidth="1"/>
    <col min="11531" max="11776" width="9.109375" style="128"/>
    <col min="11777" max="11777" width="49.109375" style="128" customWidth="1"/>
    <col min="11778" max="11778" width="11.88671875" style="128" customWidth="1"/>
    <col min="11779" max="11779" width="10.33203125" style="128" customWidth="1"/>
    <col min="11780" max="11780" width="13" style="128" customWidth="1"/>
    <col min="11781" max="11784" width="9.109375" style="128"/>
    <col min="11785" max="11785" width="12.33203125" style="128" customWidth="1"/>
    <col min="11786" max="11786" width="12.6640625" style="128" customWidth="1"/>
    <col min="11787" max="12032" width="9.109375" style="128"/>
    <col min="12033" max="12033" width="49.109375" style="128" customWidth="1"/>
    <col min="12034" max="12034" width="11.88671875" style="128" customWidth="1"/>
    <col min="12035" max="12035" width="10.33203125" style="128" customWidth="1"/>
    <col min="12036" max="12036" width="13" style="128" customWidth="1"/>
    <col min="12037" max="12040" width="9.109375" style="128"/>
    <col min="12041" max="12041" width="12.33203125" style="128" customWidth="1"/>
    <col min="12042" max="12042" width="12.6640625" style="128" customWidth="1"/>
    <col min="12043" max="12288" width="9.109375" style="128"/>
    <col min="12289" max="12289" width="49.109375" style="128" customWidth="1"/>
    <col min="12290" max="12290" width="11.88671875" style="128" customWidth="1"/>
    <col min="12291" max="12291" width="10.33203125" style="128" customWidth="1"/>
    <col min="12292" max="12292" width="13" style="128" customWidth="1"/>
    <col min="12293" max="12296" width="9.109375" style="128"/>
    <col min="12297" max="12297" width="12.33203125" style="128" customWidth="1"/>
    <col min="12298" max="12298" width="12.6640625" style="128" customWidth="1"/>
    <col min="12299" max="12544" width="9.109375" style="128"/>
    <col min="12545" max="12545" width="49.109375" style="128" customWidth="1"/>
    <col min="12546" max="12546" width="11.88671875" style="128" customWidth="1"/>
    <col min="12547" max="12547" width="10.33203125" style="128" customWidth="1"/>
    <col min="12548" max="12548" width="13" style="128" customWidth="1"/>
    <col min="12549" max="12552" width="9.109375" style="128"/>
    <col min="12553" max="12553" width="12.33203125" style="128" customWidth="1"/>
    <col min="12554" max="12554" width="12.6640625" style="128" customWidth="1"/>
    <col min="12555" max="12800" width="9.109375" style="128"/>
    <col min="12801" max="12801" width="49.109375" style="128" customWidth="1"/>
    <col min="12802" max="12802" width="11.88671875" style="128" customWidth="1"/>
    <col min="12803" max="12803" width="10.33203125" style="128" customWidth="1"/>
    <col min="12804" max="12804" width="13" style="128" customWidth="1"/>
    <col min="12805" max="12808" width="9.109375" style="128"/>
    <col min="12809" max="12809" width="12.33203125" style="128" customWidth="1"/>
    <col min="12810" max="12810" width="12.6640625" style="128" customWidth="1"/>
    <col min="12811" max="13056" width="9.109375" style="128"/>
    <col min="13057" max="13057" width="49.109375" style="128" customWidth="1"/>
    <col min="13058" max="13058" width="11.88671875" style="128" customWidth="1"/>
    <col min="13059" max="13059" width="10.33203125" style="128" customWidth="1"/>
    <col min="13060" max="13060" width="13" style="128" customWidth="1"/>
    <col min="13061" max="13064" width="9.109375" style="128"/>
    <col min="13065" max="13065" width="12.33203125" style="128" customWidth="1"/>
    <col min="13066" max="13066" width="12.6640625" style="128" customWidth="1"/>
    <col min="13067" max="13312" width="9.109375" style="128"/>
    <col min="13313" max="13313" width="49.109375" style="128" customWidth="1"/>
    <col min="13314" max="13314" width="11.88671875" style="128" customWidth="1"/>
    <col min="13315" max="13315" width="10.33203125" style="128" customWidth="1"/>
    <col min="13316" max="13316" width="13" style="128" customWidth="1"/>
    <col min="13317" max="13320" width="9.109375" style="128"/>
    <col min="13321" max="13321" width="12.33203125" style="128" customWidth="1"/>
    <col min="13322" max="13322" width="12.6640625" style="128" customWidth="1"/>
    <col min="13323" max="13568" width="9.109375" style="128"/>
    <col min="13569" max="13569" width="49.109375" style="128" customWidth="1"/>
    <col min="13570" max="13570" width="11.88671875" style="128" customWidth="1"/>
    <col min="13571" max="13571" width="10.33203125" style="128" customWidth="1"/>
    <col min="13572" max="13572" width="13" style="128" customWidth="1"/>
    <col min="13573" max="13576" width="9.109375" style="128"/>
    <col min="13577" max="13577" width="12.33203125" style="128" customWidth="1"/>
    <col min="13578" max="13578" width="12.6640625" style="128" customWidth="1"/>
    <col min="13579" max="13824" width="9.109375" style="128"/>
    <col min="13825" max="13825" width="49.109375" style="128" customWidth="1"/>
    <col min="13826" max="13826" width="11.88671875" style="128" customWidth="1"/>
    <col min="13827" max="13827" width="10.33203125" style="128" customWidth="1"/>
    <col min="13828" max="13828" width="13" style="128" customWidth="1"/>
    <col min="13829" max="13832" width="9.109375" style="128"/>
    <col min="13833" max="13833" width="12.33203125" style="128" customWidth="1"/>
    <col min="13834" max="13834" width="12.6640625" style="128" customWidth="1"/>
    <col min="13835" max="14080" width="9.109375" style="128"/>
    <col min="14081" max="14081" width="49.109375" style="128" customWidth="1"/>
    <col min="14082" max="14082" width="11.88671875" style="128" customWidth="1"/>
    <col min="14083" max="14083" width="10.33203125" style="128" customWidth="1"/>
    <col min="14084" max="14084" width="13" style="128" customWidth="1"/>
    <col min="14085" max="14088" width="9.109375" style="128"/>
    <col min="14089" max="14089" width="12.33203125" style="128" customWidth="1"/>
    <col min="14090" max="14090" width="12.6640625" style="128" customWidth="1"/>
    <col min="14091" max="14336" width="9.109375" style="128"/>
    <col min="14337" max="14337" width="49.109375" style="128" customWidth="1"/>
    <col min="14338" max="14338" width="11.88671875" style="128" customWidth="1"/>
    <col min="14339" max="14339" width="10.33203125" style="128" customWidth="1"/>
    <col min="14340" max="14340" width="13" style="128" customWidth="1"/>
    <col min="14341" max="14344" width="9.109375" style="128"/>
    <col min="14345" max="14345" width="12.33203125" style="128" customWidth="1"/>
    <col min="14346" max="14346" width="12.6640625" style="128" customWidth="1"/>
    <col min="14347" max="14592" width="9.109375" style="128"/>
    <col min="14593" max="14593" width="49.109375" style="128" customWidth="1"/>
    <col min="14594" max="14594" width="11.88671875" style="128" customWidth="1"/>
    <col min="14595" max="14595" width="10.33203125" style="128" customWidth="1"/>
    <col min="14596" max="14596" width="13" style="128" customWidth="1"/>
    <col min="14597" max="14600" width="9.109375" style="128"/>
    <col min="14601" max="14601" width="12.33203125" style="128" customWidth="1"/>
    <col min="14602" max="14602" width="12.6640625" style="128" customWidth="1"/>
    <col min="14603" max="14848" width="9.109375" style="128"/>
    <col min="14849" max="14849" width="49.109375" style="128" customWidth="1"/>
    <col min="14850" max="14850" width="11.88671875" style="128" customWidth="1"/>
    <col min="14851" max="14851" width="10.33203125" style="128" customWidth="1"/>
    <col min="14852" max="14852" width="13" style="128" customWidth="1"/>
    <col min="14853" max="14856" width="9.109375" style="128"/>
    <col min="14857" max="14857" width="12.33203125" style="128" customWidth="1"/>
    <col min="14858" max="14858" width="12.6640625" style="128" customWidth="1"/>
    <col min="14859" max="15104" width="9.109375" style="128"/>
    <col min="15105" max="15105" width="49.109375" style="128" customWidth="1"/>
    <col min="15106" max="15106" width="11.88671875" style="128" customWidth="1"/>
    <col min="15107" max="15107" width="10.33203125" style="128" customWidth="1"/>
    <col min="15108" max="15108" width="13" style="128" customWidth="1"/>
    <col min="15109" max="15112" width="9.109375" style="128"/>
    <col min="15113" max="15113" width="12.33203125" style="128" customWidth="1"/>
    <col min="15114" max="15114" width="12.6640625" style="128" customWidth="1"/>
    <col min="15115" max="15360" width="9.109375" style="128"/>
    <col min="15361" max="15361" width="49.109375" style="128" customWidth="1"/>
    <col min="15362" max="15362" width="11.88671875" style="128" customWidth="1"/>
    <col min="15363" max="15363" width="10.33203125" style="128" customWidth="1"/>
    <col min="15364" max="15364" width="13" style="128" customWidth="1"/>
    <col min="15365" max="15368" width="9.109375" style="128"/>
    <col min="15369" max="15369" width="12.33203125" style="128" customWidth="1"/>
    <col min="15370" max="15370" width="12.6640625" style="128" customWidth="1"/>
    <col min="15371" max="15616" width="9.109375" style="128"/>
    <col min="15617" max="15617" width="49.109375" style="128" customWidth="1"/>
    <col min="15618" max="15618" width="11.88671875" style="128" customWidth="1"/>
    <col min="15619" max="15619" width="10.33203125" style="128" customWidth="1"/>
    <col min="15620" max="15620" width="13" style="128" customWidth="1"/>
    <col min="15621" max="15624" width="9.109375" style="128"/>
    <col min="15625" max="15625" width="12.33203125" style="128" customWidth="1"/>
    <col min="15626" max="15626" width="12.6640625" style="128" customWidth="1"/>
    <col min="15627" max="15872" width="9.109375" style="128"/>
    <col min="15873" max="15873" width="49.109375" style="128" customWidth="1"/>
    <col min="15874" max="15874" width="11.88671875" style="128" customWidth="1"/>
    <col min="15875" max="15875" width="10.33203125" style="128" customWidth="1"/>
    <col min="15876" max="15876" width="13" style="128" customWidth="1"/>
    <col min="15877" max="15880" width="9.109375" style="128"/>
    <col min="15881" max="15881" width="12.33203125" style="128" customWidth="1"/>
    <col min="15882" max="15882" width="12.6640625" style="128" customWidth="1"/>
    <col min="15883" max="16128" width="9.109375" style="128"/>
    <col min="16129" max="16129" width="49.109375" style="128" customWidth="1"/>
    <col min="16130" max="16130" width="11.88671875" style="128" customWidth="1"/>
    <col min="16131" max="16131" width="10.33203125" style="128" customWidth="1"/>
    <col min="16132" max="16132" width="13" style="128" customWidth="1"/>
    <col min="16133" max="16136" width="9.109375" style="128"/>
    <col min="16137" max="16137" width="12.33203125" style="128" customWidth="1"/>
    <col min="16138" max="16138" width="12.6640625" style="128" customWidth="1"/>
    <col min="16139" max="16384" width="9.109375" style="128"/>
  </cols>
  <sheetData>
    <row r="1" spans="1:11" s="117" customFormat="1" ht="13.8">
      <c r="J1" s="86"/>
    </row>
    <row r="2" spans="1:11" s="117" customFormat="1" ht="10.199999999999999" customHeight="1">
      <c r="J2" s="86"/>
    </row>
    <row r="3" spans="1:11" s="117" customFormat="1" ht="6.75" customHeight="1"/>
    <row r="4" spans="1:11" s="117" customFormat="1" ht="13.8">
      <c r="F4" s="332" t="s">
        <v>535</v>
      </c>
      <c r="G4" s="332"/>
      <c r="H4" s="332"/>
      <c r="I4" s="332"/>
      <c r="J4" s="332"/>
    </row>
    <row r="5" spans="1:11" s="117" customFormat="1" ht="13.5" customHeight="1">
      <c r="F5" s="333" t="s">
        <v>966</v>
      </c>
      <c r="G5" s="333"/>
      <c r="H5" s="333"/>
      <c r="I5" s="333"/>
      <c r="J5" s="333"/>
    </row>
    <row r="6" spans="1:11" s="117" customFormat="1" ht="12" customHeight="1">
      <c r="F6" s="1139" t="s">
        <v>536</v>
      </c>
      <c r="G6" s="1139"/>
      <c r="H6" s="1139"/>
      <c r="I6" s="1139"/>
      <c r="J6" s="1139"/>
    </row>
    <row r="7" spans="1:11" s="117" customFormat="1" ht="15" customHeight="1">
      <c r="F7" s="1140" t="s">
        <v>912</v>
      </c>
      <c r="G7" s="1140"/>
      <c r="H7" s="1140"/>
      <c r="I7" s="1140"/>
      <c r="J7" s="1140"/>
      <c r="K7" s="118"/>
    </row>
    <row r="8" spans="1:11" s="117" customFormat="1" ht="19.8" customHeight="1">
      <c r="F8" s="1141" t="s">
        <v>606</v>
      </c>
      <c r="G8" s="1141"/>
      <c r="H8" s="1141"/>
      <c r="I8" s="1141"/>
      <c r="J8" s="1141"/>
      <c r="K8" s="119"/>
    </row>
    <row r="9" spans="1:11" s="117" customFormat="1" ht="12" customHeight="1">
      <c r="F9" s="120"/>
      <c r="G9" s="120"/>
      <c r="H9" s="120"/>
      <c r="I9" s="120"/>
      <c r="J9" s="120" t="s">
        <v>967</v>
      </c>
      <c r="K9" s="118"/>
    </row>
    <row r="10" spans="1:11" s="117" customFormat="1">
      <c r="F10" s="1138" t="s">
        <v>607</v>
      </c>
      <c r="G10" s="1138"/>
      <c r="H10" s="1138"/>
      <c r="I10" s="1138"/>
      <c r="J10" s="1138"/>
    </row>
    <row r="11" spans="1:11" s="117" customFormat="1" ht="5.25" customHeight="1">
      <c r="J11" s="122"/>
    </row>
    <row r="12" spans="1:11" s="117" customFormat="1" ht="12.6" customHeight="1">
      <c r="F12" s="325" t="s">
        <v>1137</v>
      </c>
      <c r="G12" s="1135"/>
      <c r="H12" s="1135"/>
      <c r="I12" s="1135"/>
      <c r="J12" s="1135"/>
    </row>
    <row r="13" spans="1:11" s="117" customFormat="1" ht="7.5" customHeight="1">
      <c r="J13" s="187"/>
    </row>
    <row r="14" spans="1:11" s="117" customFormat="1" ht="13.8">
      <c r="A14" s="1136" t="s">
        <v>537</v>
      </c>
      <c r="B14" s="1136"/>
      <c r="C14" s="1136"/>
      <c r="D14" s="1136"/>
      <c r="E14" s="1136"/>
      <c r="F14" s="1136"/>
      <c r="G14" s="1136"/>
      <c r="H14" s="1136"/>
      <c r="I14" s="1136"/>
      <c r="J14" s="1136"/>
    </row>
    <row r="15" spans="1:11" s="117" customFormat="1" ht="13.8">
      <c r="A15" s="1136" t="s">
        <v>538</v>
      </c>
      <c r="B15" s="1136"/>
      <c r="C15" s="1136"/>
      <c r="D15" s="1136"/>
      <c r="E15" s="1136"/>
      <c r="F15" s="1136"/>
      <c r="G15" s="1136"/>
      <c r="H15" s="1136"/>
      <c r="I15" s="1136"/>
      <c r="J15" s="1136"/>
    </row>
    <row r="16" spans="1:11" s="117" customFormat="1" ht="13.8">
      <c r="A16" s="1136" t="s">
        <v>1068</v>
      </c>
      <c r="B16" s="1136"/>
      <c r="C16" s="1136"/>
      <c r="D16" s="1136"/>
      <c r="E16" s="1136"/>
      <c r="F16" s="1136"/>
      <c r="G16" s="1136"/>
      <c r="H16" s="1136"/>
      <c r="I16" s="1136"/>
      <c r="J16" s="1136"/>
    </row>
    <row r="17" spans="1:13" s="117" customFormat="1" ht="6.75" customHeight="1" thickBot="1">
      <c r="A17" s="1136"/>
      <c r="B17" s="1136"/>
      <c r="C17" s="1136"/>
      <c r="D17" s="1136"/>
      <c r="E17" s="1136"/>
      <c r="F17" s="1136"/>
      <c r="G17" s="1136"/>
      <c r="H17" s="1136"/>
      <c r="I17" s="1136"/>
      <c r="J17" s="1136"/>
    </row>
    <row r="18" spans="1:13" s="117" customFormat="1" ht="13.8" thickBot="1">
      <c r="J18" s="87" t="s">
        <v>270</v>
      </c>
    </row>
    <row r="19" spans="1:13" s="117" customFormat="1" ht="15" customHeight="1">
      <c r="C19" s="1137" t="s">
        <v>1138</v>
      </c>
      <c r="D19" s="1137"/>
      <c r="E19" s="123"/>
      <c r="F19" s="123"/>
      <c r="G19" s="123"/>
      <c r="H19" s="1129" t="s">
        <v>539</v>
      </c>
      <c r="I19" s="1124"/>
      <c r="J19" s="88" t="s">
        <v>540</v>
      </c>
    </row>
    <row r="20" spans="1:13" s="117" customFormat="1" ht="14.25" customHeight="1">
      <c r="A20" s="1128" t="s">
        <v>541</v>
      </c>
      <c r="B20" s="1128"/>
      <c r="C20" s="1128"/>
      <c r="D20" s="1128"/>
      <c r="E20" s="1128"/>
      <c r="F20" s="1128"/>
      <c r="H20" s="1129" t="s">
        <v>273</v>
      </c>
      <c r="I20" s="1124"/>
      <c r="J20" s="89">
        <v>44284</v>
      </c>
    </row>
    <row r="21" spans="1:13" s="117" customFormat="1" ht="28.5" customHeight="1" thickBot="1">
      <c r="A21" s="1130" t="s">
        <v>913</v>
      </c>
      <c r="B21" s="1130"/>
      <c r="C21" s="1130"/>
      <c r="D21" s="1130"/>
      <c r="E21" s="90"/>
      <c r="F21" s="90"/>
      <c r="H21" s="1129" t="s">
        <v>542</v>
      </c>
      <c r="I21" s="1124"/>
      <c r="J21" s="89"/>
      <c r="K21" s="1124"/>
      <c r="L21" s="1124"/>
      <c r="M21" s="118"/>
    </row>
    <row r="22" spans="1:13" s="117" customFormat="1" ht="15" customHeight="1" thickBot="1">
      <c r="A22" s="185" t="s">
        <v>543</v>
      </c>
      <c r="B22" s="1132" t="s">
        <v>914</v>
      </c>
      <c r="C22" s="1133"/>
      <c r="D22" s="1134"/>
      <c r="E22" s="91"/>
      <c r="F22" s="91"/>
      <c r="H22" s="1129" t="s">
        <v>544</v>
      </c>
      <c r="I22" s="1124"/>
      <c r="J22" s="124"/>
    </row>
    <row r="23" spans="1:13" s="117" customFormat="1" ht="14.25" customHeight="1">
      <c r="A23" s="1128" t="s">
        <v>545</v>
      </c>
      <c r="B23" s="1128"/>
      <c r="C23" s="1128"/>
      <c r="D23" s="1128"/>
      <c r="H23" s="1129" t="s">
        <v>546</v>
      </c>
      <c r="I23" s="1124"/>
      <c r="J23" s="92"/>
    </row>
    <row r="24" spans="1:13" s="117" customFormat="1" ht="9.75" customHeight="1">
      <c r="A24" s="93"/>
      <c r="G24" s="94"/>
      <c r="H24" s="125"/>
      <c r="I24" s="125"/>
      <c r="J24" s="92"/>
    </row>
    <row r="25" spans="1:13" s="117" customFormat="1" ht="15.75" customHeight="1">
      <c r="A25" s="1128" t="s">
        <v>547</v>
      </c>
      <c r="B25" s="1128"/>
      <c r="C25" s="1128"/>
      <c r="D25" s="1128"/>
      <c r="E25" s="1128"/>
      <c r="F25" s="1128"/>
      <c r="H25" s="1129" t="s">
        <v>548</v>
      </c>
      <c r="I25" s="1124"/>
      <c r="J25" s="95" t="s">
        <v>608</v>
      </c>
    </row>
    <row r="26" spans="1:13" s="117" customFormat="1" ht="14.25" customHeight="1">
      <c r="A26" s="1130" t="s">
        <v>915</v>
      </c>
      <c r="B26" s="1130"/>
      <c r="C26" s="1130"/>
      <c r="D26" s="1130"/>
      <c r="E26" s="1130"/>
      <c r="F26" s="1130"/>
      <c r="H26" s="1129" t="s">
        <v>549</v>
      </c>
      <c r="I26" s="1124"/>
      <c r="J26" s="92">
        <v>22625717</v>
      </c>
    </row>
    <row r="27" spans="1:13" s="117" customFormat="1" ht="18" customHeight="1">
      <c r="A27" s="1128" t="s">
        <v>550</v>
      </c>
      <c r="B27" s="1128"/>
      <c r="C27" s="1128"/>
      <c r="D27" s="1128"/>
      <c r="E27" s="1128"/>
      <c r="F27" s="1128"/>
      <c r="H27" s="1129" t="s">
        <v>551</v>
      </c>
      <c r="I27" s="1124"/>
      <c r="J27" s="92">
        <v>383</v>
      </c>
    </row>
    <row r="28" spans="1:13" s="117" customFormat="1" ht="15" customHeight="1" thickBot="1">
      <c r="A28" s="1130" t="s">
        <v>552</v>
      </c>
      <c r="B28" s="1130"/>
      <c r="C28" s="1130"/>
      <c r="D28" s="1130"/>
      <c r="E28" s="1130"/>
      <c r="F28" s="1130"/>
      <c r="H28" s="96"/>
      <c r="J28" s="97"/>
    </row>
    <row r="29" spans="1:13" s="117" customFormat="1" ht="7.5" customHeight="1"/>
    <row r="30" spans="1:13" s="117" customFormat="1" ht="13.5" customHeight="1">
      <c r="A30" s="1130" t="s">
        <v>553</v>
      </c>
      <c r="B30" s="1128"/>
      <c r="C30" s="1128"/>
      <c r="D30" s="1128"/>
      <c r="E30" s="1128"/>
      <c r="F30" s="1128"/>
    </row>
    <row r="31" spans="1:13" s="117" customFormat="1" ht="1.5" customHeight="1" thickBot="1">
      <c r="A31" s="1131"/>
      <c r="B31" s="1131"/>
      <c r="C31" s="1131"/>
      <c r="D31" s="1131"/>
      <c r="E31" s="1131"/>
      <c r="F31" s="1131"/>
    </row>
    <row r="32" spans="1:13" s="117" customFormat="1" ht="13.8" thickBot="1">
      <c r="A32" s="98"/>
      <c r="F32" s="1125" t="s">
        <v>554</v>
      </c>
      <c r="G32" s="1125"/>
      <c r="H32" s="1125"/>
      <c r="I32" s="1126">
        <v>0</v>
      </c>
      <c r="J32" s="1127"/>
    </row>
    <row r="33" spans="1:12" s="117" customFormat="1" ht="5.4" customHeight="1">
      <c r="A33" s="99"/>
      <c r="E33" s="100"/>
      <c r="H33" s="1110"/>
      <c r="I33" s="1110"/>
      <c r="J33" s="183"/>
    </row>
    <row r="34" spans="1:12" s="117" customFormat="1" ht="13.5" customHeight="1">
      <c r="A34" s="99"/>
      <c r="E34" s="100"/>
      <c r="H34" s="1111" t="s">
        <v>555</v>
      </c>
      <c r="I34" s="1112"/>
      <c r="J34" s="126">
        <v>1</v>
      </c>
    </row>
    <row r="35" spans="1:12" s="117" customFormat="1" ht="5.25" customHeight="1">
      <c r="A35" s="99"/>
      <c r="E35" s="101"/>
    </row>
    <row r="36" spans="1:12" s="117" customFormat="1" ht="17.399999999999999" customHeight="1">
      <c r="A36" s="99"/>
      <c r="E36" s="100"/>
      <c r="H36" s="1111" t="s">
        <v>556</v>
      </c>
      <c r="I36" s="1112"/>
      <c r="J36" s="126">
        <v>2</v>
      </c>
    </row>
    <row r="37" spans="1:12" s="117" customFormat="1" ht="1.5" customHeight="1" thickBot="1"/>
    <row r="38" spans="1:12" s="117" customFormat="1" ht="43.2" customHeight="1">
      <c r="A38" s="1113" t="s">
        <v>557</v>
      </c>
      <c r="B38" s="1115" t="s">
        <v>558</v>
      </c>
      <c r="C38" s="1115" t="s">
        <v>559</v>
      </c>
      <c r="D38" s="1115" t="s">
        <v>560</v>
      </c>
      <c r="E38" s="1115" t="s">
        <v>916</v>
      </c>
      <c r="F38" s="1115"/>
      <c r="G38" s="1115" t="s">
        <v>561</v>
      </c>
      <c r="H38" s="1115"/>
      <c r="I38" s="1117" t="s">
        <v>562</v>
      </c>
      <c r="J38" s="1118"/>
    </row>
    <row r="39" spans="1:12" s="117" customFormat="1">
      <c r="A39" s="1114"/>
      <c r="B39" s="1116"/>
      <c r="C39" s="1116"/>
      <c r="D39" s="1116"/>
      <c r="E39" s="250" t="s">
        <v>563</v>
      </c>
      <c r="F39" s="250" t="s">
        <v>564</v>
      </c>
      <c r="G39" s="250" t="s">
        <v>563</v>
      </c>
      <c r="H39" s="250" t="s">
        <v>564</v>
      </c>
      <c r="I39" s="241" t="s">
        <v>565</v>
      </c>
      <c r="J39" s="242" t="s">
        <v>434</v>
      </c>
    </row>
    <row r="40" spans="1:12" s="117" customFormat="1">
      <c r="A40" s="188">
        <v>1</v>
      </c>
      <c r="B40" s="189">
        <v>2</v>
      </c>
      <c r="C40" s="189">
        <v>3</v>
      </c>
      <c r="D40" s="189">
        <v>4</v>
      </c>
      <c r="E40" s="189">
        <v>5</v>
      </c>
      <c r="F40" s="189">
        <v>6</v>
      </c>
      <c r="G40" s="189">
        <v>7</v>
      </c>
      <c r="H40" s="189">
        <v>8</v>
      </c>
      <c r="I40" s="232">
        <v>9</v>
      </c>
      <c r="J40" s="243">
        <v>10</v>
      </c>
    </row>
    <row r="41" spans="1:12" s="117" customFormat="1" ht="25.8" customHeight="1">
      <c r="A41" s="249" t="s">
        <v>891</v>
      </c>
      <c r="B41" s="206" t="s">
        <v>917</v>
      </c>
      <c r="C41" s="189">
        <v>150</v>
      </c>
      <c r="D41" s="189"/>
      <c r="E41" s="189"/>
      <c r="F41" s="189"/>
      <c r="G41" s="189"/>
      <c r="H41" s="189"/>
      <c r="I41" s="216">
        <v>500000</v>
      </c>
      <c r="J41" s="233"/>
    </row>
    <row r="42" spans="1:12" s="117" customFormat="1" ht="24.6" customHeight="1">
      <c r="A42" s="249" t="s">
        <v>891</v>
      </c>
      <c r="B42" s="206" t="s">
        <v>917</v>
      </c>
      <c r="C42" s="189">
        <v>112</v>
      </c>
      <c r="D42" s="189"/>
      <c r="E42" s="189"/>
      <c r="F42" s="189"/>
      <c r="G42" s="189"/>
      <c r="H42" s="189"/>
      <c r="I42" s="216"/>
      <c r="J42" s="233">
        <v>500000</v>
      </c>
    </row>
    <row r="43" spans="1:12" s="117" customFormat="1" ht="25.8" customHeight="1">
      <c r="A43" s="249" t="s">
        <v>1042</v>
      </c>
      <c r="B43" s="206" t="s">
        <v>1043</v>
      </c>
      <c r="C43" s="189">
        <v>150</v>
      </c>
      <c r="D43" s="189"/>
      <c r="E43" s="189"/>
      <c r="F43" s="189"/>
      <c r="G43" s="189"/>
      <c r="H43" s="189"/>
      <c r="I43" s="216">
        <v>122000</v>
      </c>
      <c r="J43" s="233"/>
      <c r="L43" s="127"/>
    </row>
    <row r="44" spans="1:12" s="117" customFormat="1" ht="24.6" customHeight="1">
      <c r="A44" s="249" t="s">
        <v>1042</v>
      </c>
      <c r="B44" s="206" t="s">
        <v>1043</v>
      </c>
      <c r="C44" s="189">
        <v>244</v>
      </c>
      <c r="D44" s="189"/>
      <c r="E44" s="189"/>
      <c r="F44" s="189"/>
      <c r="G44" s="189"/>
      <c r="H44" s="189"/>
      <c r="I44" s="216"/>
      <c r="J44" s="233">
        <v>122000</v>
      </c>
    </row>
    <row r="45" spans="1:12" s="117" customFormat="1" ht="24.6" customHeight="1">
      <c r="A45" s="249" t="s">
        <v>918</v>
      </c>
      <c r="B45" s="206" t="s">
        <v>919</v>
      </c>
      <c r="C45" s="189">
        <v>150</v>
      </c>
      <c r="D45" s="189"/>
      <c r="E45" s="189"/>
      <c r="F45" s="189"/>
      <c r="G45" s="189"/>
      <c r="H45" s="189"/>
      <c r="I45" s="216">
        <v>378625</v>
      </c>
      <c r="J45" s="233"/>
    </row>
    <row r="46" spans="1:12" s="117" customFormat="1" ht="24.6" customHeight="1">
      <c r="A46" s="249" t="s">
        <v>918</v>
      </c>
      <c r="B46" s="206" t="s">
        <v>919</v>
      </c>
      <c r="C46" s="189">
        <v>244</v>
      </c>
      <c r="D46" s="189"/>
      <c r="E46" s="189"/>
      <c r="F46" s="189"/>
      <c r="G46" s="189"/>
      <c r="H46" s="189"/>
      <c r="I46" s="216"/>
      <c r="J46" s="233">
        <v>378625</v>
      </c>
    </row>
    <row r="47" spans="1:12" s="117" customFormat="1" ht="18" hidden="1" customHeight="1">
      <c r="A47" s="249" t="s">
        <v>921</v>
      </c>
      <c r="B47" s="206" t="s">
        <v>922</v>
      </c>
      <c r="C47" s="189">
        <v>150</v>
      </c>
      <c r="D47" s="189"/>
      <c r="E47" s="189"/>
      <c r="F47" s="189"/>
      <c r="G47" s="189"/>
      <c r="H47" s="189"/>
      <c r="I47" s="216"/>
      <c r="J47" s="233"/>
    </row>
    <row r="48" spans="1:12" s="117" customFormat="1" ht="20.399999999999999" hidden="1">
      <c r="A48" s="249" t="s">
        <v>921</v>
      </c>
      <c r="B48" s="206" t="s">
        <v>922</v>
      </c>
      <c r="C48" s="189">
        <v>244</v>
      </c>
      <c r="D48" s="189"/>
      <c r="E48" s="189"/>
      <c r="F48" s="189"/>
      <c r="G48" s="189"/>
      <c r="H48" s="189"/>
      <c r="I48" s="216"/>
      <c r="J48" s="233"/>
    </row>
    <row r="49" spans="1:10" s="117" customFormat="1" ht="20.399999999999999">
      <c r="A49" s="249" t="s">
        <v>893</v>
      </c>
      <c r="B49" s="206" t="s">
        <v>920</v>
      </c>
      <c r="C49" s="189">
        <v>150</v>
      </c>
      <c r="D49" s="189"/>
      <c r="E49" s="189"/>
      <c r="F49" s="189"/>
      <c r="G49" s="189"/>
      <c r="H49" s="189"/>
      <c r="I49" s="216">
        <v>8000</v>
      </c>
      <c r="J49" s="233"/>
    </row>
    <row r="50" spans="1:10" s="117" customFormat="1" ht="20.399999999999999" hidden="1">
      <c r="A50" s="249" t="s">
        <v>893</v>
      </c>
      <c r="B50" s="206" t="s">
        <v>920</v>
      </c>
      <c r="C50" s="189">
        <v>243</v>
      </c>
      <c r="D50" s="189"/>
      <c r="E50" s="189"/>
      <c r="F50" s="189"/>
      <c r="G50" s="189"/>
      <c r="H50" s="189"/>
      <c r="I50" s="216"/>
      <c r="J50" s="233"/>
    </row>
    <row r="51" spans="1:10" s="117" customFormat="1" ht="20.399999999999999">
      <c r="A51" s="249" t="s">
        <v>893</v>
      </c>
      <c r="B51" s="206" t="s">
        <v>920</v>
      </c>
      <c r="C51" s="189">
        <v>244</v>
      </c>
      <c r="D51" s="189"/>
      <c r="E51" s="189"/>
      <c r="F51" s="189"/>
      <c r="G51" s="189"/>
      <c r="H51" s="189"/>
      <c r="I51" s="216"/>
      <c r="J51" s="233">
        <v>8000</v>
      </c>
    </row>
    <row r="52" spans="1:10" s="117" customFormat="1" ht="30.6" hidden="1">
      <c r="A52" s="285" t="s">
        <v>1139</v>
      </c>
      <c r="B52" s="206" t="s">
        <v>1140</v>
      </c>
      <c r="C52" s="189">
        <v>244</v>
      </c>
      <c r="D52" s="189"/>
      <c r="E52" s="189"/>
      <c r="F52" s="189"/>
      <c r="G52" s="189"/>
      <c r="H52" s="189"/>
      <c r="I52" s="216"/>
      <c r="J52" s="233"/>
    </row>
    <row r="53" spans="1:10" s="117" customFormat="1" ht="20.399999999999999" hidden="1">
      <c r="A53" s="249" t="s">
        <v>925</v>
      </c>
      <c r="B53" s="206" t="s">
        <v>926</v>
      </c>
      <c r="C53" s="189">
        <v>150</v>
      </c>
      <c r="D53" s="189"/>
      <c r="E53" s="189"/>
      <c r="F53" s="189"/>
      <c r="G53" s="189"/>
      <c r="H53" s="189"/>
      <c r="I53" s="216"/>
      <c r="J53" s="233"/>
    </row>
    <row r="54" spans="1:10" s="117" customFormat="1" ht="20.399999999999999" hidden="1">
      <c r="A54" s="249" t="s">
        <v>925</v>
      </c>
      <c r="B54" s="206" t="s">
        <v>926</v>
      </c>
      <c r="C54" s="189">
        <v>244</v>
      </c>
      <c r="D54" s="189"/>
      <c r="E54" s="189"/>
      <c r="F54" s="189"/>
      <c r="G54" s="189"/>
      <c r="H54" s="189"/>
      <c r="I54" s="216"/>
      <c r="J54" s="233"/>
    </row>
    <row r="55" spans="1:10" s="117" customFormat="1" ht="29.4" customHeight="1">
      <c r="A55" s="285" t="s">
        <v>1143</v>
      </c>
      <c r="B55" s="206" t="s">
        <v>1140</v>
      </c>
      <c r="C55" s="189">
        <v>150</v>
      </c>
      <c r="D55" s="189"/>
      <c r="E55" s="189"/>
      <c r="F55" s="189"/>
      <c r="G55" s="189"/>
      <c r="H55" s="189"/>
      <c r="I55" s="216">
        <v>504082</v>
      </c>
      <c r="J55" s="233"/>
    </row>
    <row r="56" spans="1:10" s="117" customFormat="1" ht="29.4" customHeight="1">
      <c r="A56" s="285" t="s">
        <v>1143</v>
      </c>
      <c r="B56" s="206" t="s">
        <v>1140</v>
      </c>
      <c r="C56" s="189">
        <v>244</v>
      </c>
      <c r="D56" s="189"/>
      <c r="E56" s="189"/>
      <c r="F56" s="189"/>
      <c r="G56" s="189"/>
      <c r="H56" s="189"/>
      <c r="I56" s="216"/>
      <c r="J56" s="216">
        <v>504082</v>
      </c>
    </row>
    <row r="57" spans="1:10" s="117" customFormat="1" ht="30.6">
      <c r="A57" s="285" t="s">
        <v>1142</v>
      </c>
      <c r="B57" s="206" t="s">
        <v>1141</v>
      </c>
      <c r="C57" s="189">
        <v>150</v>
      </c>
      <c r="D57" s="189"/>
      <c r="E57" s="189"/>
      <c r="F57" s="189"/>
      <c r="G57" s="189"/>
      <c r="H57" s="189"/>
      <c r="I57" s="216">
        <v>216343.9</v>
      </c>
      <c r="J57" s="233"/>
    </row>
    <row r="58" spans="1:10" s="117" customFormat="1" ht="30.6">
      <c r="A58" s="285" t="s">
        <v>1142</v>
      </c>
      <c r="B58" s="206" t="s">
        <v>1141</v>
      </c>
      <c r="C58" s="189">
        <v>244</v>
      </c>
      <c r="D58" s="189"/>
      <c r="E58" s="189"/>
      <c r="F58" s="189"/>
      <c r="G58" s="189"/>
      <c r="H58" s="189"/>
      <c r="I58" s="216"/>
      <c r="J58" s="216">
        <v>216343.9</v>
      </c>
    </row>
    <row r="59" spans="1:10" s="117" customFormat="1" ht="24.6" hidden="1" customHeight="1">
      <c r="A59" s="234" t="s">
        <v>968</v>
      </c>
      <c r="B59" s="231" t="s">
        <v>969</v>
      </c>
      <c r="C59" s="232">
        <v>150</v>
      </c>
      <c r="D59" s="232"/>
      <c r="E59" s="232"/>
      <c r="F59" s="232"/>
      <c r="G59" s="232"/>
      <c r="H59" s="232"/>
      <c r="I59" s="216"/>
      <c r="J59" s="233"/>
    </row>
    <row r="60" spans="1:10" s="117" customFormat="1" ht="23.4" hidden="1" customHeight="1">
      <c r="A60" s="234" t="s">
        <v>968</v>
      </c>
      <c r="B60" s="231" t="s">
        <v>969</v>
      </c>
      <c r="C60" s="232">
        <v>244</v>
      </c>
      <c r="D60" s="232"/>
      <c r="E60" s="232"/>
      <c r="F60" s="232"/>
      <c r="G60" s="232"/>
      <c r="H60" s="232"/>
      <c r="I60" s="216"/>
      <c r="J60" s="233"/>
    </row>
    <row r="61" spans="1:10" s="117" customFormat="1" ht="20.399999999999999">
      <c r="A61" s="249" t="s">
        <v>921</v>
      </c>
      <c r="B61" s="206" t="s">
        <v>922</v>
      </c>
      <c r="C61" s="189">
        <v>150</v>
      </c>
      <c r="D61" s="189"/>
      <c r="E61" s="189"/>
      <c r="F61" s="189"/>
      <c r="G61" s="189"/>
      <c r="H61" s="189"/>
      <c r="I61" s="216">
        <v>1473000</v>
      </c>
      <c r="J61" s="233"/>
    </row>
    <row r="62" spans="1:10" s="117" customFormat="1" ht="20.399999999999999">
      <c r="A62" s="249" t="s">
        <v>921</v>
      </c>
      <c r="B62" s="206" t="s">
        <v>922</v>
      </c>
      <c r="C62" s="189">
        <v>243</v>
      </c>
      <c r="D62" s="189"/>
      <c r="E62" s="189"/>
      <c r="F62" s="189"/>
      <c r="G62" s="189"/>
      <c r="H62" s="189"/>
      <c r="I62" s="216"/>
      <c r="J62" s="233">
        <v>473000</v>
      </c>
    </row>
    <row r="63" spans="1:10" s="117" customFormat="1" ht="20.399999999999999">
      <c r="A63" s="249" t="s">
        <v>921</v>
      </c>
      <c r="B63" s="206" t="s">
        <v>922</v>
      </c>
      <c r="C63" s="189">
        <v>244</v>
      </c>
      <c r="D63" s="189"/>
      <c r="E63" s="189"/>
      <c r="F63" s="189"/>
      <c r="G63" s="189"/>
      <c r="H63" s="189"/>
      <c r="I63" s="216"/>
      <c r="J63" s="233">
        <v>1000000</v>
      </c>
    </row>
    <row r="64" spans="1:10" s="117" customFormat="1" ht="24.6" customHeight="1">
      <c r="A64" s="234" t="s">
        <v>1044</v>
      </c>
      <c r="B64" s="206" t="s">
        <v>1045</v>
      </c>
      <c r="C64" s="232">
        <v>150</v>
      </c>
      <c r="D64" s="232"/>
      <c r="E64" s="232"/>
      <c r="F64" s="232"/>
      <c r="G64" s="232"/>
      <c r="H64" s="232"/>
      <c r="I64" s="216">
        <f>21800+14000</f>
        <v>35800</v>
      </c>
      <c r="J64" s="233"/>
    </row>
    <row r="65" spans="1:10" s="117" customFormat="1" ht="23.4" customHeight="1" thickBot="1">
      <c r="A65" s="235" t="s">
        <v>1044</v>
      </c>
      <c r="B65" s="236" t="s">
        <v>1045</v>
      </c>
      <c r="C65" s="237">
        <v>244</v>
      </c>
      <c r="D65" s="237"/>
      <c r="E65" s="237"/>
      <c r="F65" s="237"/>
      <c r="G65" s="237"/>
      <c r="H65" s="237"/>
      <c r="I65" s="238"/>
      <c r="J65" s="239">
        <f>21800+14000</f>
        <v>35800</v>
      </c>
    </row>
    <row r="66" spans="1:10" s="117" customFormat="1" ht="13.8" thickBot="1">
      <c r="A66" s="91"/>
      <c r="B66" s="91"/>
      <c r="C66" s="91"/>
      <c r="D66" s="91"/>
      <c r="E66" s="186" t="s">
        <v>566</v>
      </c>
      <c r="F66" s="207"/>
      <c r="G66" s="208" t="s">
        <v>21</v>
      </c>
      <c r="H66" s="208"/>
      <c r="I66" s="209">
        <f>SUM(I41:I65)</f>
        <v>3237850.9</v>
      </c>
      <c r="J66" s="209">
        <f>SUM(J41:J65)</f>
        <v>3237850.9</v>
      </c>
    </row>
    <row r="67" spans="1:10" s="117" customFormat="1" ht="6" customHeight="1">
      <c r="A67" s="102"/>
    </row>
    <row r="68" spans="1:10" s="117" customFormat="1" ht="13.2" customHeight="1">
      <c r="A68" s="99"/>
      <c r="E68" s="100"/>
      <c r="H68" s="1111" t="s">
        <v>555</v>
      </c>
      <c r="I68" s="1112"/>
      <c r="J68" s="126">
        <v>2</v>
      </c>
    </row>
    <row r="69" spans="1:10" s="117" customFormat="1" ht="6" customHeight="1">
      <c r="A69" s="99"/>
      <c r="E69" s="101"/>
    </row>
    <row r="70" spans="1:10" s="117" customFormat="1" ht="12.6" customHeight="1">
      <c r="A70" s="99"/>
      <c r="E70" s="100"/>
      <c r="H70" s="1111" t="s">
        <v>556</v>
      </c>
      <c r="I70" s="1112"/>
      <c r="J70" s="126">
        <v>2</v>
      </c>
    </row>
    <row r="71" spans="1:10" s="117" customFormat="1" ht="4.95" customHeight="1" thickBot="1">
      <c r="A71" s="99"/>
      <c r="E71" s="101"/>
    </row>
    <row r="72" spans="1:10" s="117" customFormat="1" ht="22.2" customHeight="1">
      <c r="A72" s="103" t="s">
        <v>984</v>
      </c>
      <c r="E72" s="1119" t="s">
        <v>567</v>
      </c>
      <c r="F72" s="1120"/>
      <c r="G72" s="1120"/>
      <c r="H72" s="1120"/>
      <c r="I72" s="1120"/>
      <c r="J72" s="1121"/>
    </row>
    <row r="73" spans="1:10" s="117" customFormat="1" ht="10.5" customHeight="1">
      <c r="A73" s="1102" t="s">
        <v>568</v>
      </c>
      <c r="B73" s="1102"/>
      <c r="E73" s="104"/>
      <c r="F73" s="105"/>
      <c r="G73" s="105"/>
      <c r="H73" s="105"/>
      <c r="I73" s="105"/>
      <c r="J73" s="106"/>
    </row>
    <row r="74" spans="1:10" s="117" customFormat="1" ht="12.6" customHeight="1">
      <c r="A74" s="99"/>
      <c r="E74" s="1122" t="s">
        <v>569</v>
      </c>
      <c r="F74" s="1123"/>
      <c r="G74" s="210"/>
      <c r="H74" s="210"/>
      <c r="I74" s="210"/>
      <c r="J74" s="211"/>
    </row>
    <row r="75" spans="1:10" s="117" customFormat="1" ht="14.25" customHeight="1">
      <c r="A75" s="107" t="s">
        <v>570</v>
      </c>
      <c r="E75" s="1107" t="s">
        <v>571</v>
      </c>
      <c r="F75" s="1108"/>
      <c r="G75" s="1108"/>
      <c r="H75" s="1108"/>
      <c r="I75" s="1108"/>
      <c r="J75" s="1109"/>
    </row>
    <row r="76" spans="1:10" s="117" customFormat="1" ht="12" customHeight="1">
      <c r="A76" s="107" t="s">
        <v>1144</v>
      </c>
      <c r="E76" s="1099"/>
      <c r="F76" s="1100"/>
      <c r="G76" s="1100"/>
      <c r="H76" s="1100"/>
      <c r="I76" s="1100"/>
      <c r="J76" s="1101"/>
    </row>
    <row r="77" spans="1:10" s="117" customFormat="1" ht="13.5" customHeight="1" thickBot="1">
      <c r="A77" s="1102" t="s">
        <v>568</v>
      </c>
      <c r="B77" s="1102"/>
      <c r="E77" s="1103" t="s">
        <v>985</v>
      </c>
      <c r="F77" s="1104"/>
      <c r="G77" s="108"/>
      <c r="H77" s="108"/>
      <c r="I77" s="108"/>
      <c r="J77" s="109"/>
    </row>
    <row r="78" spans="1:10" s="117" customFormat="1" ht="13.5" customHeight="1">
      <c r="A78" s="99" t="s">
        <v>572</v>
      </c>
      <c r="E78" s="101"/>
    </row>
    <row r="79" spans="1:10" s="117" customFormat="1">
      <c r="A79" s="107" t="s">
        <v>927</v>
      </c>
      <c r="E79" s="107"/>
    </row>
    <row r="80" spans="1:10" s="117" customFormat="1" ht="9" customHeight="1">
      <c r="A80" s="1102" t="s">
        <v>568</v>
      </c>
      <c r="B80" s="1102"/>
      <c r="E80" s="107"/>
    </row>
    <row r="81" spans="1:5" s="117" customFormat="1" ht="1.95" customHeight="1">
      <c r="A81" s="110"/>
      <c r="E81" s="101"/>
    </row>
    <row r="82" spans="1:5" s="117" customFormat="1" ht="11.4" customHeight="1">
      <c r="A82" s="1105" t="s">
        <v>1136</v>
      </c>
      <c r="B82" s="1106"/>
      <c r="C82" s="1106"/>
      <c r="D82" s="1106"/>
      <c r="E82" s="1106"/>
    </row>
  </sheetData>
  <mergeCells count="54">
    <mergeCell ref="F10:J10"/>
    <mergeCell ref="F4:J4"/>
    <mergeCell ref="F5:J5"/>
    <mergeCell ref="F6:J6"/>
    <mergeCell ref="F7:J7"/>
    <mergeCell ref="F8:J8"/>
    <mergeCell ref="C19:D19"/>
    <mergeCell ref="H19:I19"/>
    <mergeCell ref="A20:F20"/>
    <mergeCell ref="H20:I20"/>
    <mergeCell ref="A21:D21"/>
    <mergeCell ref="H21:I21"/>
    <mergeCell ref="F12:J12"/>
    <mergeCell ref="A14:J14"/>
    <mergeCell ref="A15:J15"/>
    <mergeCell ref="A16:J16"/>
    <mergeCell ref="A17:J17"/>
    <mergeCell ref="K21:L21"/>
    <mergeCell ref="F32:H32"/>
    <mergeCell ref="I32:J32"/>
    <mergeCell ref="A23:D23"/>
    <mergeCell ref="H23:I23"/>
    <mergeCell ref="A25:F25"/>
    <mergeCell ref="H25:I25"/>
    <mergeCell ref="A26:F26"/>
    <mergeCell ref="H26:I26"/>
    <mergeCell ref="A27:F27"/>
    <mergeCell ref="H27:I27"/>
    <mergeCell ref="A28:F28"/>
    <mergeCell ref="A30:F30"/>
    <mergeCell ref="A31:F31"/>
    <mergeCell ref="B22:D22"/>
    <mergeCell ref="H22:I22"/>
    <mergeCell ref="E75:J75"/>
    <mergeCell ref="H33:I33"/>
    <mergeCell ref="H34:I34"/>
    <mergeCell ref="H36:I36"/>
    <mergeCell ref="A38:A39"/>
    <mergeCell ref="B38:B39"/>
    <mergeCell ref="C38:C39"/>
    <mergeCell ref="D38:D39"/>
    <mergeCell ref="E38:F38"/>
    <mergeCell ref="G38:H38"/>
    <mergeCell ref="I38:J38"/>
    <mergeCell ref="H68:I68"/>
    <mergeCell ref="H70:I70"/>
    <mergeCell ref="E72:J72"/>
    <mergeCell ref="A73:B73"/>
    <mergeCell ref="E74:F74"/>
    <mergeCell ref="E76:J76"/>
    <mergeCell ref="A77:B77"/>
    <mergeCell ref="E77:F77"/>
    <mergeCell ref="A80:B80"/>
    <mergeCell ref="A82:E82"/>
  </mergeCells>
  <pageMargins left="0.39370078740157483" right="0.31496062992125984" top="0.39370078740157483" bottom="0.31496062992125984" header="0.31496062992125984" footer="0.31496062992125984"/>
  <pageSetup paperSize="9" scale="85" fitToHeight="2" orientation="landscape" blackAndWhite="1" r:id="rId1"/>
</worksheet>
</file>

<file path=xl/worksheets/sheet2.xml><?xml version="1.0" encoding="utf-8"?>
<worksheet xmlns="http://schemas.openxmlformats.org/spreadsheetml/2006/main" xmlns:r="http://schemas.openxmlformats.org/officeDocument/2006/relationships">
  <sheetPr>
    <tabColor theme="9"/>
  </sheetPr>
  <dimension ref="A1:FR454"/>
  <sheetViews>
    <sheetView view="pageBreakPreview" topLeftCell="A4" zoomScale="110" zoomScaleSheetLayoutView="110" workbookViewId="0">
      <pane ySplit="2" topLeftCell="A432" activePane="bottomLeft" state="frozen"/>
      <selection activeCell="A4" sqref="A4"/>
      <selection pane="bottomLeft" activeCell="A420" sqref="A420:XFD422"/>
    </sheetView>
  </sheetViews>
  <sheetFormatPr defaultColWidth="0.88671875" defaultRowHeight="10.199999999999999"/>
  <cols>
    <col min="1" max="18" width="0.88671875" style="1"/>
    <col min="19" max="19" width="0.88671875" style="1" customWidth="1"/>
    <col min="20" max="69" width="0.88671875" style="1"/>
    <col min="70" max="71" width="0.88671875" style="1" customWidth="1"/>
    <col min="72" max="76" width="0.88671875" style="1"/>
    <col min="77" max="77" width="4.44140625" style="1" customWidth="1"/>
    <col min="78" max="78" width="4.109375" style="1" customWidth="1"/>
    <col min="79" max="79" width="1.88671875" style="1" customWidth="1"/>
    <col min="80" max="80" width="2.5546875" style="1" customWidth="1"/>
    <col min="81" max="81" width="5" style="1" customWidth="1"/>
    <col min="82" max="83" width="0.88671875" style="1"/>
    <col min="84" max="84" width="5.33203125" style="1" customWidth="1"/>
    <col min="85" max="89" width="0.88671875" style="1"/>
    <col min="90" max="90" width="0.88671875" style="1" customWidth="1"/>
    <col min="91" max="91" width="0.109375" style="1" customWidth="1"/>
    <col min="92" max="95" width="0.88671875" style="1" hidden="1" customWidth="1"/>
    <col min="96" max="97" width="0" style="1" hidden="1" customWidth="1"/>
    <col min="98" max="99" width="0.88671875" style="1" hidden="1" customWidth="1"/>
    <col min="100" max="102" width="0" style="1" hidden="1" customWidth="1"/>
    <col min="103" max="108" width="0.88671875" style="1" hidden="1" customWidth="1"/>
    <col min="109" max="121" width="0" style="1" hidden="1" customWidth="1"/>
    <col min="122" max="123" width="0.88671875" style="1"/>
    <col min="124" max="124" width="0.6640625" style="1" customWidth="1"/>
    <col min="125" max="126" width="0.88671875" style="1" hidden="1" customWidth="1"/>
    <col min="127" max="127" width="3.44140625" style="1" customWidth="1"/>
    <col min="128" max="129" width="0.88671875" style="1" customWidth="1"/>
    <col min="130" max="133" width="0.88671875" style="1"/>
    <col min="134" max="134" width="2.33203125" style="1" customWidth="1"/>
    <col min="135" max="140" width="0.88671875" style="1"/>
    <col min="141" max="141" width="0.109375" style="1" customWidth="1"/>
    <col min="142" max="142" width="0.88671875" style="1" hidden="1" customWidth="1"/>
    <col min="143" max="143" width="2.109375" style="1" customWidth="1"/>
    <col min="144" max="146" width="0.88671875" style="1"/>
    <col min="147" max="147" width="0.88671875" style="1" customWidth="1"/>
    <col min="148" max="157" width="0.88671875" style="1"/>
    <col min="158" max="158" width="1" style="1" customWidth="1"/>
    <col min="159" max="168" width="0.88671875" style="1"/>
    <col min="169" max="169" width="0.44140625" style="1" hidden="1" customWidth="1"/>
    <col min="170" max="170" width="0.109375" style="1" customWidth="1"/>
    <col min="171" max="173" width="14.77734375" style="1" customWidth="1"/>
    <col min="174" max="174" width="15.88671875" style="1" customWidth="1"/>
    <col min="175" max="16384" width="0.88671875" style="1"/>
  </cols>
  <sheetData>
    <row r="1" spans="1:173" s="3" customFormat="1">
      <c r="A1" s="522" t="s">
        <v>19</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522"/>
      <c r="EY1" s="522"/>
      <c r="EZ1" s="522"/>
      <c r="FA1" s="522"/>
      <c r="FB1" s="522"/>
      <c r="FC1" s="176"/>
      <c r="FD1" s="176"/>
      <c r="FE1" s="176"/>
      <c r="FF1" s="176"/>
      <c r="FG1" s="176"/>
      <c r="FH1" s="176"/>
      <c r="FI1" s="176"/>
      <c r="FJ1" s="176"/>
      <c r="FK1" s="176"/>
      <c r="FL1" s="176"/>
    </row>
    <row r="3" spans="1:173" ht="13.2" customHeight="1">
      <c r="A3" s="529" t="s">
        <v>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1"/>
      <c r="BL3" s="538" t="s">
        <v>1</v>
      </c>
      <c r="BM3" s="539"/>
      <c r="BN3" s="539"/>
      <c r="BO3" s="539"/>
      <c r="BP3" s="539"/>
      <c r="BQ3" s="539"/>
      <c r="BR3" s="539"/>
      <c r="BS3" s="540"/>
      <c r="BT3" s="538" t="s">
        <v>2</v>
      </c>
      <c r="BU3" s="539"/>
      <c r="BV3" s="539"/>
      <c r="BW3" s="539"/>
      <c r="BX3" s="539"/>
      <c r="BY3" s="539"/>
      <c r="BZ3" s="539"/>
      <c r="CA3" s="539"/>
      <c r="CB3" s="539"/>
      <c r="CC3" s="539"/>
      <c r="CD3" s="539"/>
      <c r="CE3" s="539"/>
      <c r="CF3" s="540"/>
      <c r="CG3" s="538" t="s">
        <v>357</v>
      </c>
      <c r="CH3" s="539"/>
      <c r="CI3" s="539"/>
      <c r="CJ3" s="539"/>
      <c r="CK3" s="539"/>
      <c r="CL3" s="539"/>
      <c r="CM3" s="539"/>
      <c r="CN3" s="539"/>
      <c r="CO3" s="539"/>
      <c r="CP3" s="539"/>
      <c r="CQ3" s="540"/>
      <c r="CR3" s="622" t="s">
        <v>8</v>
      </c>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3"/>
      <c r="ED3" s="623"/>
      <c r="EE3" s="623"/>
      <c r="EF3" s="623"/>
      <c r="EG3" s="623"/>
      <c r="EH3" s="623"/>
      <c r="EI3" s="623"/>
      <c r="EJ3" s="623"/>
      <c r="EK3" s="623"/>
      <c r="EL3" s="623"/>
      <c r="EM3" s="623"/>
      <c r="EN3" s="623"/>
      <c r="EO3" s="623"/>
      <c r="EP3" s="623"/>
      <c r="EQ3" s="623"/>
      <c r="ER3" s="623"/>
      <c r="ES3" s="623"/>
      <c r="ET3" s="623"/>
      <c r="EU3" s="623"/>
      <c r="EV3" s="623"/>
      <c r="EW3" s="623"/>
      <c r="EX3" s="623"/>
      <c r="EY3" s="623"/>
      <c r="EZ3" s="623"/>
      <c r="FA3" s="623"/>
      <c r="FB3" s="623"/>
      <c r="FC3" s="623"/>
      <c r="FD3" s="623"/>
      <c r="FE3" s="623"/>
      <c r="FF3" s="623"/>
      <c r="FG3" s="623"/>
      <c r="FH3" s="623"/>
      <c r="FI3" s="623"/>
      <c r="FJ3" s="623"/>
      <c r="FK3" s="623"/>
      <c r="FL3" s="624"/>
      <c r="FM3" s="177"/>
      <c r="FN3" s="178"/>
    </row>
    <row r="4" spans="1:173" ht="11.2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4"/>
      <c r="BL4" s="541"/>
      <c r="BM4" s="542"/>
      <c r="BN4" s="542"/>
      <c r="BO4" s="542"/>
      <c r="BP4" s="542"/>
      <c r="BQ4" s="542"/>
      <c r="BR4" s="542"/>
      <c r="BS4" s="543"/>
      <c r="BT4" s="541"/>
      <c r="BU4" s="542"/>
      <c r="BV4" s="542"/>
      <c r="BW4" s="542"/>
      <c r="BX4" s="542"/>
      <c r="BY4" s="542"/>
      <c r="BZ4" s="542"/>
      <c r="CA4" s="542"/>
      <c r="CB4" s="542"/>
      <c r="CC4" s="542"/>
      <c r="CD4" s="542"/>
      <c r="CE4" s="542"/>
      <c r="CF4" s="543"/>
      <c r="CG4" s="541"/>
      <c r="CH4" s="542"/>
      <c r="CI4" s="542"/>
      <c r="CJ4" s="542"/>
      <c r="CK4" s="542"/>
      <c r="CL4" s="542"/>
      <c r="CM4" s="542"/>
      <c r="CN4" s="542"/>
      <c r="CO4" s="542"/>
      <c r="CP4" s="542"/>
      <c r="CQ4" s="543"/>
      <c r="CR4" s="562" t="s">
        <v>3</v>
      </c>
      <c r="CS4" s="563"/>
      <c r="CT4" s="563"/>
      <c r="CU4" s="563"/>
      <c r="CV4" s="563"/>
      <c r="CW4" s="563"/>
      <c r="CX4" s="343" t="s">
        <v>279</v>
      </c>
      <c r="CY4" s="343"/>
      <c r="CZ4" s="343"/>
      <c r="DA4" s="564" t="s">
        <v>4</v>
      </c>
      <c r="DB4" s="564"/>
      <c r="DC4" s="564"/>
      <c r="DD4" s="565"/>
      <c r="DE4" s="562" t="s">
        <v>3</v>
      </c>
      <c r="DF4" s="563"/>
      <c r="DG4" s="563"/>
      <c r="DH4" s="563"/>
      <c r="DI4" s="563"/>
      <c r="DJ4" s="563"/>
      <c r="DK4" s="343" t="s">
        <v>190</v>
      </c>
      <c r="DL4" s="343"/>
      <c r="DM4" s="343"/>
      <c r="DN4" s="564" t="s">
        <v>4</v>
      </c>
      <c r="DO4" s="564"/>
      <c r="DP4" s="564"/>
      <c r="DQ4" s="565"/>
      <c r="DR4" s="560" t="s">
        <v>3</v>
      </c>
      <c r="DS4" s="561"/>
      <c r="DT4" s="561"/>
      <c r="DU4" s="561"/>
      <c r="DV4" s="561"/>
      <c r="DW4" s="561"/>
      <c r="DX4" s="421" t="s">
        <v>191</v>
      </c>
      <c r="DY4" s="421"/>
      <c r="DZ4" s="421"/>
      <c r="EA4" s="558" t="s">
        <v>4</v>
      </c>
      <c r="EB4" s="558"/>
      <c r="EC4" s="558"/>
      <c r="ED4" s="559"/>
      <c r="EE4" s="560" t="s">
        <v>3</v>
      </c>
      <c r="EF4" s="561"/>
      <c r="EG4" s="561"/>
      <c r="EH4" s="561"/>
      <c r="EI4" s="561"/>
      <c r="EJ4" s="561"/>
      <c r="EK4" s="421" t="s">
        <v>192</v>
      </c>
      <c r="EL4" s="421"/>
      <c r="EM4" s="421"/>
      <c r="EN4" s="558" t="s">
        <v>4</v>
      </c>
      <c r="EO4" s="558"/>
      <c r="EP4" s="558"/>
      <c r="EQ4" s="559"/>
      <c r="ER4" s="635" t="s">
        <v>3</v>
      </c>
      <c r="ES4" s="636"/>
      <c r="ET4" s="636"/>
      <c r="EU4" s="636"/>
      <c r="EV4" s="636"/>
      <c r="EW4" s="636"/>
      <c r="EX4" s="637" t="s">
        <v>1062</v>
      </c>
      <c r="EY4" s="637"/>
      <c r="EZ4" s="637"/>
      <c r="FA4" s="288" t="s">
        <v>4</v>
      </c>
      <c r="FB4" s="289"/>
      <c r="FC4" s="628" t="s">
        <v>7</v>
      </c>
      <c r="FD4" s="629"/>
      <c r="FE4" s="629"/>
      <c r="FF4" s="629"/>
      <c r="FG4" s="629"/>
      <c r="FH4" s="629"/>
      <c r="FI4" s="630"/>
      <c r="FJ4" s="630"/>
      <c r="FK4" s="630"/>
      <c r="FL4" s="630"/>
      <c r="FM4" s="630"/>
      <c r="FN4" s="630"/>
    </row>
    <row r="5" spans="1:173" ht="39" customHeight="1">
      <c r="A5" s="535"/>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7"/>
      <c r="BL5" s="544"/>
      <c r="BM5" s="545"/>
      <c r="BN5" s="545"/>
      <c r="BO5" s="545"/>
      <c r="BP5" s="545"/>
      <c r="BQ5" s="545"/>
      <c r="BR5" s="545"/>
      <c r="BS5" s="546"/>
      <c r="BT5" s="544"/>
      <c r="BU5" s="545"/>
      <c r="BV5" s="545"/>
      <c r="BW5" s="545"/>
      <c r="BX5" s="545"/>
      <c r="BY5" s="545"/>
      <c r="BZ5" s="545"/>
      <c r="CA5" s="545"/>
      <c r="CB5" s="545"/>
      <c r="CC5" s="545"/>
      <c r="CD5" s="545"/>
      <c r="CE5" s="545"/>
      <c r="CF5" s="546"/>
      <c r="CG5" s="544"/>
      <c r="CH5" s="545"/>
      <c r="CI5" s="545"/>
      <c r="CJ5" s="545"/>
      <c r="CK5" s="545"/>
      <c r="CL5" s="545"/>
      <c r="CM5" s="545"/>
      <c r="CN5" s="545"/>
      <c r="CO5" s="545"/>
      <c r="CP5" s="545"/>
      <c r="CQ5" s="546"/>
      <c r="CR5" s="566" t="s">
        <v>280</v>
      </c>
      <c r="CS5" s="567"/>
      <c r="CT5" s="567"/>
      <c r="CU5" s="567"/>
      <c r="CV5" s="567"/>
      <c r="CW5" s="567"/>
      <c r="CX5" s="567"/>
      <c r="CY5" s="567"/>
      <c r="CZ5" s="567"/>
      <c r="DA5" s="567"/>
      <c r="DB5" s="567"/>
      <c r="DC5" s="567"/>
      <c r="DD5" s="568"/>
      <c r="DE5" s="566" t="s">
        <v>5</v>
      </c>
      <c r="DF5" s="567"/>
      <c r="DG5" s="567"/>
      <c r="DH5" s="567"/>
      <c r="DI5" s="567"/>
      <c r="DJ5" s="567"/>
      <c r="DK5" s="567"/>
      <c r="DL5" s="567"/>
      <c r="DM5" s="567"/>
      <c r="DN5" s="567"/>
      <c r="DO5" s="567"/>
      <c r="DP5" s="567"/>
      <c r="DQ5" s="568"/>
      <c r="DR5" s="523" t="s">
        <v>5</v>
      </c>
      <c r="DS5" s="524"/>
      <c r="DT5" s="524"/>
      <c r="DU5" s="524"/>
      <c r="DV5" s="524"/>
      <c r="DW5" s="524"/>
      <c r="DX5" s="524"/>
      <c r="DY5" s="524"/>
      <c r="DZ5" s="524"/>
      <c r="EA5" s="524"/>
      <c r="EB5" s="524"/>
      <c r="EC5" s="524"/>
      <c r="ED5" s="638"/>
      <c r="EE5" s="523" t="s">
        <v>6</v>
      </c>
      <c r="EF5" s="524"/>
      <c r="EG5" s="524"/>
      <c r="EH5" s="524"/>
      <c r="EI5" s="524"/>
      <c r="EJ5" s="524"/>
      <c r="EK5" s="524"/>
      <c r="EL5" s="524"/>
      <c r="EM5" s="524"/>
      <c r="EN5" s="524"/>
      <c r="EO5" s="524"/>
      <c r="EP5" s="524"/>
      <c r="EQ5" s="638"/>
      <c r="ER5" s="523" t="s">
        <v>281</v>
      </c>
      <c r="ES5" s="524"/>
      <c r="ET5" s="524"/>
      <c r="EU5" s="524"/>
      <c r="EV5" s="524"/>
      <c r="EW5" s="524"/>
      <c r="EX5" s="524"/>
      <c r="EY5" s="524"/>
      <c r="EZ5" s="524"/>
      <c r="FA5" s="524"/>
      <c r="FB5" s="525"/>
      <c r="FC5" s="631"/>
      <c r="FD5" s="632"/>
      <c r="FE5" s="632"/>
      <c r="FF5" s="632"/>
      <c r="FG5" s="632"/>
      <c r="FH5" s="632"/>
      <c r="FI5" s="632"/>
      <c r="FJ5" s="632"/>
      <c r="FK5" s="632"/>
      <c r="FL5" s="632"/>
      <c r="FM5" s="632"/>
      <c r="FN5" s="632"/>
      <c r="FO5" s="277" t="s">
        <v>1070</v>
      </c>
      <c r="FP5" s="277" t="s">
        <v>1072</v>
      </c>
      <c r="FQ5" s="277" t="s">
        <v>1075</v>
      </c>
    </row>
    <row r="6" spans="1:173" ht="10.8" thickBot="1">
      <c r="A6" s="619" t="s">
        <v>9</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0"/>
      <c r="BD6" s="620"/>
      <c r="BE6" s="620"/>
      <c r="BF6" s="620"/>
      <c r="BG6" s="620"/>
      <c r="BH6" s="620"/>
      <c r="BI6" s="620"/>
      <c r="BJ6" s="620"/>
      <c r="BK6" s="621"/>
      <c r="BL6" s="569" t="s">
        <v>10</v>
      </c>
      <c r="BM6" s="570"/>
      <c r="BN6" s="570"/>
      <c r="BO6" s="570"/>
      <c r="BP6" s="570"/>
      <c r="BQ6" s="570"/>
      <c r="BR6" s="570"/>
      <c r="BS6" s="571"/>
      <c r="BT6" s="569" t="s">
        <v>11</v>
      </c>
      <c r="BU6" s="570"/>
      <c r="BV6" s="570"/>
      <c r="BW6" s="570"/>
      <c r="BX6" s="570"/>
      <c r="BY6" s="570"/>
      <c r="BZ6" s="570"/>
      <c r="CA6" s="570"/>
      <c r="CB6" s="570"/>
      <c r="CC6" s="570"/>
      <c r="CD6" s="570"/>
      <c r="CE6" s="570"/>
      <c r="CF6" s="571"/>
      <c r="CG6" s="569" t="s">
        <v>12</v>
      </c>
      <c r="CH6" s="570"/>
      <c r="CI6" s="570"/>
      <c r="CJ6" s="570"/>
      <c r="CK6" s="570"/>
      <c r="CL6" s="570"/>
      <c r="CM6" s="570"/>
      <c r="CN6" s="570"/>
      <c r="CO6" s="570"/>
      <c r="CP6" s="570"/>
      <c r="CQ6" s="571"/>
      <c r="CR6" s="569" t="s">
        <v>13</v>
      </c>
      <c r="CS6" s="570"/>
      <c r="CT6" s="570"/>
      <c r="CU6" s="570"/>
      <c r="CV6" s="570"/>
      <c r="CW6" s="570"/>
      <c r="CX6" s="570"/>
      <c r="CY6" s="570"/>
      <c r="CZ6" s="570"/>
      <c r="DA6" s="570"/>
      <c r="DB6" s="570"/>
      <c r="DC6" s="570"/>
      <c r="DD6" s="571"/>
      <c r="DE6" s="569" t="s">
        <v>15</v>
      </c>
      <c r="DF6" s="570"/>
      <c r="DG6" s="570"/>
      <c r="DH6" s="570"/>
      <c r="DI6" s="570"/>
      <c r="DJ6" s="570"/>
      <c r="DK6" s="570"/>
      <c r="DL6" s="570"/>
      <c r="DM6" s="570"/>
      <c r="DN6" s="570"/>
      <c r="DO6" s="570"/>
      <c r="DP6" s="570"/>
      <c r="DQ6" s="571"/>
      <c r="DR6" s="569" t="s">
        <v>13</v>
      </c>
      <c r="DS6" s="570"/>
      <c r="DT6" s="570"/>
      <c r="DU6" s="570"/>
      <c r="DV6" s="570"/>
      <c r="DW6" s="570"/>
      <c r="DX6" s="570"/>
      <c r="DY6" s="570"/>
      <c r="DZ6" s="570"/>
      <c r="EA6" s="570"/>
      <c r="EB6" s="570"/>
      <c r="EC6" s="570"/>
      <c r="ED6" s="571"/>
      <c r="EE6" s="569" t="s">
        <v>14</v>
      </c>
      <c r="EF6" s="570"/>
      <c r="EG6" s="570"/>
      <c r="EH6" s="570"/>
      <c r="EI6" s="570"/>
      <c r="EJ6" s="570"/>
      <c r="EK6" s="570"/>
      <c r="EL6" s="570"/>
      <c r="EM6" s="570"/>
      <c r="EN6" s="570"/>
      <c r="EO6" s="570"/>
      <c r="EP6" s="570"/>
      <c r="EQ6" s="571"/>
      <c r="ER6" s="569" t="s">
        <v>15</v>
      </c>
      <c r="ES6" s="570"/>
      <c r="ET6" s="570"/>
      <c r="EU6" s="570"/>
      <c r="EV6" s="570"/>
      <c r="EW6" s="570"/>
      <c r="EX6" s="570"/>
      <c r="EY6" s="570"/>
      <c r="EZ6" s="570"/>
      <c r="FA6" s="570"/>
      <c r="FB6" s="571"/>
      <c r="FC6" s="633">
        <v>8</v>
      </c>
      <c r="FD6" s="634"/>
      <c r="FE6" s="634"/>
      <c r="FF6" s="634"/>
      <c r="FG6" s="634"/>
      <c r="FH6" s="634"/>
      <c r="FI6" s="634"/>
      <c r="FJ6" s="634"/>
      <c r="FK6" s="634"/>
      <c r="FL6" s="634"/>
      <c r="FM6" s="634"/>
      <c r="FN6" s="634"/>
      <c r="FO6" s="275"/>
      <c r="FP6" s="275"/>
      <c r="FQ6" s="275"/>
    </row>
    <row r="7" spans="1:173" ht="15.75" customHeight="1">
      <c r="A7" s="572" t="s">
        <v>378</v>
      </c>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3"/>
      <c r="AY7" s="573"/>
      <c r="AZ7" s="573"/>
      <c r="BA7" s="573"/>
      <c r="BB7" s="573"/>
      <c r="BC7" s="573"/>
      <c r="BD7" s="573"/>
      <c r="BE7" s="573"/>
      <c r="BF7" s="573"/>
      <c r="BG7" s="573"/>
      <c r="BH7" s="573"/>
      <c r="BI7" s="573"/>
      <c r="BJ7" s="573"/>
      <c r="BK7" s="574"/>
      <c r="BL7" s="576" t="s">
        <v>20</v>
      </c>
      <c r="BM7" s="577"/>
      <c r="BN7" s="577"/>
      <c r="BO7" s="577"/>
      <c r="BP7" s="577"/>
      <c r="BQ7" s="577"/>
      <c r="BR7" s="577"/>
      <c r="BS7" s="578"/>
      <c r="BT7" s="579" t="s">
        <v>21</v>
      </c>
      <c r="BU7" s="577"/>
      <c r="BV7" s="577"/>
      <c r="BW7" s="577"/>
      <c r="BX7" s="577"/>
      <c r="BY7" s="577"/>
      <c r="BZ7" s="577"/>
      <c r="CA7" s="577"/>
      <c r="CB7" s="577"/>
      <c r="CC7" s="577"/>
      <c r="CD7" s="577"/>
      <c r="CE7" s="577"/>
      <c r="CF7" s="578"/>
      <c r="CG7" s="579" t="s">
        <v>21</v>
      </c>
      <c r="CH7" s="577"/>
      <c r="CI7" s="577"/>
      <c r="CJ7" s="577"/>
      <c r="CK7" s="577"/>
      <c r="CL7" s="577"/>
      <c r="CM7" s="577"/>
      <c r="CN7" s="577"/>
      <c r="CO7" s="577"/>
      <c r="CP7" s="577"/>
      <c r="CQ7" s="578"/>
      <c r="CR7" s="579"/>
      <c r="CS7" s="577"/>
      <c r="CT7" s="577"/>
      <c r="CU7" s="577"/>
      <c r="CV7" s="577"/>
      <c r="CW7" s="577"/>
      <c r="CX7" s="577"/>
      <c r="CY7" s="577"/>
      <c r="CZ7" s="577"/>
      <c r="DA7" s="577"/>
      <c r="DB7" s="577"/>
      <c r="DC7" s="577"/>
      <c r="DD7" s="578"/>
      <c r="DE7" s="580">
        <f>DE8+DE9+DE10</f>
        <v>510733.79</v>
      </c>
      <c r="DF7" s="581"/>
      <c r="DG7" s="581"/>
      <c r="DH7" s="581"/>
      <c r="DI7" s="581"/>
      <c r="DJ7" s="581"/>
      <c r="DK7" s="581"/>
      <c r="DL7" s="581"/>
      <c r="DM7" s="581"/>
      <c r="DN7" s="581"/>
      <c r="DO7" s="581"/>
      <c r="DP7" s="581"/>
      <c r="DQ7" s="582"/>
      <c r="DR7" s="580">
        <f>DR8+DR9+DR10</f>
        <v>1687395.86</v>
      </c>
      <c r="DS7" s="581"/>
      <c r="DT7" s="581"/>
      <c r="DU7" s="581"/>
      <c r="DV7" s="581"/>
      <c r="DW7" s="581"/>
      <c r="DX7" s="581"/>
      <c r="DY7" s="581"/>
      <c r="DZ7" s="581"/>
      <c r="EA7" s="581"/>
      <c r="EB7" s="581"/>
      <c r="EC7" s="581"/>
      <c r="ED7" s="582"/>
      <c r="EE7" s="580"/>
      <c r="EF7" s="581"/>
      <c r="EG7" s="581"/>
      <c r="EH7" s="581"/>
      <c r="EI7" s="581"/>
      <c r="EJ7" s="581"/>
      <c r="EK7" s="581"/>
      <c r="EL7" s="581"/>
      <c r="EM7" s="581"/>
      <c r="EN7" s="581"/>
      <c r="EO7" s="581"/>
      <c r="EP7" s="581"/>
      <c r="EQ7" s="582"/>
      <c r="ER7" s="610"/>
      <c r="ES7" s="611"/>
      <c r="ET7" s="611"/>
      <c r="EU7" s="611"/>
      <c r="EV7" s="611"/>
      <c r="EW7" s="611"/>
      <c r="EX7" s="611"/>
      <c r="EY7" s="611"/>
      <c r="EZ7" s="611"/>
      <c r="FA7" s="611"/>
      <c r="FB7" s="612"/>
      <c r="FC7" s="610"/>
      <c r="FD7" s="611"/>
      <c r="FE7" s="611"/>
      <c r="FF7" s="611"/>
      <c r="FG7" s="611"/>
      <c r="FH7" s="611"/>
      <c r="FI7" s="611"/>
      <c r="FJ7" s="611"/>
      <c r="FK7" s="611"/>
      <c r="FL7" s="611"/>
      <c r="FM7" s="611"/>
      <c r="FN7" s="611"/>
      <c r="FO7" s="275"/>
      <c r="FP7" s="275"/>
      <c r="FQ7" s="275">
        <f>DR7-FO7-FP7</f>
        <v>1687395.86</v>
      </c>
    </row>
    <row r="8" spans="1:173" ht="21.75" customHeight="1">
      <c r="A8" s="607" t="s">
        <v>277</v>
      </c>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9"/>
      <c r="BL8" s="339"/>
      <c r="BM8" s="340"/>
      <c r="BN8" s="340"/>
      <c r="BO8" s="340"/>
      <c r="BP8" s="340"/>
      <c r="BQ8" s="340"/>
      <c r="BR8" s="340"/>
      <c r="BS8" s="341"/>
      <c r="BT8" s="345" t="s">
        <v>21</v>
      </c>
      <c r="BU8" s="340"/>
      <c r="BV8" s="340"/>
      <c r="BW8" s="340"/>
      <c r="BX8" s="340"/>
      <c r="BY8" s="340"/>
      <c r="BZ8" s="340"/>
      <c r="CA8" s="340"/>
      <c r="CB8" s="340"/>
      <c r="CC8" s="340"/>
      <c r="CD8" s="340"/>
      <c r="CE8" s="340"/>
      <c r="CF8" s="341"/>
      <c r="CG8" s="345" t="s">
        <v>21</v>
      </c>
      <c r="CH8" s="340"/>
      <c r="CI8" s="340"/>
      <c r="CJ8" s="340"/>
      <c r="CK8" s="340"/>
      <c r="CL8" s="340"/>
      <c r="CM8" s="340"/>
      <c r="CN8" s="340"/>
      <c r="CO8" s="340"/>
      <c r="CP8" s="340"/>
      <c r="CQ8" s="341"/>
      <c r="CR8" s="345"/>
      <c r="CS8" s="340"/>
      <c r="CT8" s="340"/>
      <c r="CU8" s="340"/>
      <c r="CV8" s="340"/>
      <c r="CW8" s="340"/>
      <c r="CX8" s="340"/>
      <c r="CY8" s="340"/>
      <c r="CZ8" s="340"/>
      <c r="DA8" s="340"/>
      <c r="DB8" s="340"/>
      <c r="DC8" s="340"/>
      <c r="DD8" s="341"/>
      <c r="DE8" s="583">
        <v>0</v>
      </c>
      <c r="DF8" s="584"/>
      <c r="DG8" s="584"/>
      <c r="DH8" s="584"/>
      <c r="DI8" s="584"/>
      <c r="DJ8" s="584"/>
      <c r="DK8" s="584"/>
      <c r="DL8" s="584"/>
      <c r="DM8" s="584"/>
      <c r="DN8" s="584"/>
      <c r="DO8" s="584"/>
      <c r="DP8" s="584"/>
      <c r="DQ8" s="585"/>
      <c r="DR8" s="583">
        <v>0</v>
      </c>
      <c r="DS8" s="584"/>
      <c r="DT8" s="584"/>
      <c r="DU8" s="584"/>
      <c r="DV8" s="584"/>
      <c r="DW8" s="584"/>
      <c r="DX8" s="584"/>
      <c r="DY8" s="584"/>
      <c r="DZ8" s="584"/>
      <c r="EA8" s="584"/>
      <c r="EB8" s="584"/>
      <c r="EC8" s="584"/>
      <c r="ED8" s="585"/>
      <c r="EE8" s="583"/>
      <c r="EF8" s="584"/>
      <c r="EG8" s="584"/>
      <c r="EH8" s="584"/>
      <c r="EI8" s="584"/>
      <c r="EJ8" s="584"/>
      <c r="EK8" s="584"/>
      <c r="EL8" s="584"/>
      <c r="EM8" s="584"/>
      <c r="EN8" s="584"/>
      <c r="EO8" s="584"/>
      <c r="EP8" s="584"/>
      <c r="EQ8" s="585"/>
      <c r="ER8" s="349"/>
      <c r="ES8" s="350"/>
      <c r="ET8" s="350"/>
      <c r="EU8" s="350"/>
      <c r="EV8" s="350"/>
      <c r="EW8" s="350"/>
      <c r="EX8" s="350"/>
      <c r="EY8" s="350"/>
      <c r="EZ8" s="350"/>
      <c r="FA8" s="350"/>
      <c r="FB8" s="351"/>
      <c r="FC8" s="482"/>
      <c r="FD8" s="483"/>
      <c r="FE8" s="483"/>
      <c r="FF8" s="483"/>
      <c r="FG8" s="483"/>
      <c r="FH8" s="483"/>
      <c r="FI8" s="483"/>
      <c r="FJ8" s="483"/>
      <c r="FK8" s="483"/>
      <c r="FL8" s="483"/>
      <c r="FM8" s="483"/>
      <c r="FN8" s="483"/>
      <c r="FO8" s="275"/>
      <c r="FP8" s="275"/>
      <c r="FQ8" s="275">
        <f t="shared" ref="FQ8:FQ74" si="0">DR8-FO8-FP8</f>
        <v>0</v>
      </c>
    </row>
    <row r="9" spans="1:173" ht="12.75" customHeight="1">
      <c r="A9" s="575" t="s">
        <v>278</v>
      </c>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3"/>
      <c r="BL9" s="339"/>
      <c r="BM9" s="340"/>
      <c r="BN9" s="340"/>
      <c r="BO9" s="340"/>
      <c r="BP9" s="340"/>
      <c r="BQ9" s="340"/>
      <c r="BR9" s="340"/>
      <c r="BS9" s="341"/>
      <c r="BT9" s="345" t="s">
        <v>21</v>
      </c>
      <c r="BU9" s="340"/>
      <c r="BV9" s="340"/>
      <c r="BW9" s="340"/>
      <c r="BX9" s="340"/>
      <c r="BY9" s="340"/>
      <c r="BZ9" s="340"/>
      <c r="CA9" s="340"/>
      <c r="CB9" s="340"/>
      <c r="CC9" s="340"/>
      <c r="CD9" s="340"/>
      <c r="CE9" s="340"/>
      <c r="CF9" s="341"/>
      <c r="CG9" s="345" t="s">
        <v>21</v>
      </c>
      <c r="CH9" s="340"/>
      <c r="CI9" s="340"/>
      <c r="CJ9" s="340"/>
      <c r="CK9" s="340"/>
      <c r="CL9" s="340"/>
      <c r="CM9" s="340"/>
      <c r="CN9" s="340"/>
      <c r="CO9" s="340"/>
      <c r="CP9" s="340"/>
      <c r="CQ9" s="341"/>
      <c r="CR9" s="345"/>
      <c r="CS9" s="340"/>
      <c r="CT9" s="340"/>
      <c r="CU9" s="340"/>
      <c r="CV9" s="340"/>
      <c r="CW9" s="340"/>
      <c r="CX9" s="340"/>
      <c r="CY9" s="340"/>
      <c r="CZ9" s="340"/>
      <c r="DA9" s="340"/>
      <c r="DB9" s="340"/>
      <c r="DC9" s="340"/>
      <c r="DD9" s="341"/>
      <c r="DE9" s="583">
        <v>506185.66</v>
      </c>
      <c r="DF9" s="584"/>
      <c r="DG9" s="584"/>
      <c r="DH9" s="584"/>
      <c r="DI9" s="584"/>
      <c r="DJ9" s="584"/>
      <c r="DK9" s="584"/>
      <c r="DL9" s="584"/>
      <c r="DM9" s="584"/>
      <c r="DN9" s="584"/>
      <c r="DO9" s="584"/>
      <c r="DP9" s="584"/>
      <c r="DQ9" s="585"/>
      <c r="DR9" s="583">
        <v>1687028.49</v>
      </c>
      <c r="DS9" s="584"/>
      <c r="DT9" s="584"/>
      <c r="DU9" s="584"/>
      <c r="DV9" s="584"/>
      <c r="DW9" s="584"/>
      <c r="DX9" s="584"/>
      <c r="DY9" s="584"/>
      <c r="DZ9" s="584"/>
      <c r="EA9" s="584"/>
      <c r="EB9" s="584"/>
      <c r="EC9" s="584"/>
      <c r="ED9" s="585"/>
      <c r="EE9" s="583"/>
      <c r="EF9" s="584"/>
      <c r="EG9" s="584"/>
      <c r="EH9" s="584"/>
      <c r="EI9" s="584"/>
      <c r="EJ9" s="584"/>
      <c r="EK9" s="584"/>
      <c r="EL9" s="584"/>
      <c r="EM9" s="584"/>
      <c r="EN9" s="584"/>
      <c r="EO9" s="584"/>
      <c r="EP9" s="584"/>
      <c r="EQ9" s="585"/>
      <c r="ER9" s="349"/>
      <c r="ES9" s="350"/>
      <c r="ET9" s="350"/>
      <c r="EU9" s="350"/>
      <c r="EV9" s="350"/>
      <c r="EW9" s="350"/>
      <c r="EX9" s="350"/>
      <c r="EY9" s="350"/>
      <c r="EZ9" s="350"/>
      <c r="FA9" s="350"/>
      <c r="FB9" s="351"/>
      <c r="FC9" s="482"/>
      <c r="FD9" s="483"/>
      <c r="FE9" s="483"/>
      <c r="FF9" s="483"/>
      <c r="FG9" s="483"/>
      <c r="FH9" s="483"/>
      <c r="FI9" s="483"/>
      <c r="FJ9" s="483"/>
      <c r="FK9" s="483"/>
      <c r="FL9" s="483"/>
      <c r="FM9" s="483"/>
      <c r="FN9" s="483"/>
      <c r="FO9" s="275"/>
      <c r="FP9" s="275"/>
      <c r="FQ9" s="275">
        <f t="shared" si="0"/>
        <v>1687028.49</v>
      </c>
    </row>
    <row r="10" spans="1:173" ht="12.75" customHeight="1">
      <c r="A10" s="575" t="s">
        <v>194</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3"/>
      <c r="BL10" s="339"/>
      <c r="BM10" s="340"/>
      <c r="BN10" s="340"/>
      <c r="BO10" s="340"/>
      <c r="BP10" s="340"/>
      <c r="BQ10" s="340"/>
      <c r="BR10" s="340"/>
      <c r="BS10" s="341"/>
      <c r="BT10" s="345" t="s">
        <v>21</v>
      </c>
      <c r="BU10" s="340"/>
      <c r="BV10" s="340"/>
      <c r="BW10" s="340"/>
      <c r="BX10" s="340"/>
      <c r="BY10" s="340"/>
      <c r="BZ10" s="340"/>
      <c r="CA10" s="340"/>
      <c r="CB10" s="340"/>
      <c r="CC10" s="340"/>
      <c r="CD10" s="340"/>
      <c r="CE10" s="340"/>
      <c r="CF10" s="341"/>
      <c r="CG10" s="345" t="s">
        <v>21</v>
      </c>
      <c r="CH10" s="340"/>
      <c r="CI10" s="340"/>
      <c r="CJ10" s="340"/>
      <c r="CK10" s="340"/>
      <c r="CL10" s="340"/>
      <c r="CM10" s="340"/>
      <c r="CN10" s="340"/>
      <c r="CO10" s="340"/>
      <c r="CP10" s="340"/>
      <c r="CQ10" s="341"/>
      <c r="CR10" s="345"/>
      <c r="CS10" s="340"/>
      <c r="CT10" s="340"/>
      <c r="CU10" s="340"/>
      <c r="CV10" s="340"/>
      <c r="CW10" s="340"/>
      <c r="CX10" s="340"/>
      <c r="CY10" s="340"/>
      <c r="CZ10" s="340"/>
      <c r="DA10" s="340"/>
      <c r="DB10" s="340"/>
      <c r="DC10" s="340"/>
      <c r="DD10" s="341"/>
      <c r="DE10" s="583">
        <v>4548.13</v>
      </c>
      <c r="DF10" s="584"/>
      <c r="DG10" s="584"/>
      <c r="DH10" s="584"/>
      <c r="DI10" s="584"/>
      <c r="DJ10" s="584"/>
      <c r="DK10" s="584"/>
      <c r="DL10" s="584"/>
      <c r="DM10" s="584"/>
      <c r="DN10" s="584"/>
      <c r="DO10" s="584"/>
      <c r="DP10" s="584"/>
      <c r="DQ10" s="585"/>
      <c r="DR10" s="583">
        <v>367.37</v>
      </c>
      <c r="DS10" s="584"/>
      <c r="DT10" s="584"/>
      <c r="DU10" s="584"/>
      <c r="DV10" s="584"/>
      <c r="DW10" s="584"/>
      <c r="DX10" s="584"/>
      <c r="DY10" s="584"/>
      <c r="DZ10" s="584"/>
      <c r="EA10" s="584"/>
      <c r="EB10" s="584"/>
      <c r="EC10" s="584"/>
      <c r="ED10" s="585"/>
      <c r="EE10" s="583"/>
      <c r="EF10" s="584"/>
      <c r="EG10" s="584"/>
      <c r="EH10" s="584"/>
      <c r="EI10" s="584"/>
      <c r="EJ10" s="584"/>
      <c r="EK10" s="584"/>
      <c r="EL10" s="584"/>
      <c r="EM10" s="584"/>
      <c r="EN10" s="584"/>
      <c r="EO10" s="584"/>
      <c r="EP10" s="584"/>
      <c r="EQ10" s="585"/>
      <c r="ER10" s="349"/>
      <c r="ES10" s="350"/>
      <c r="ET10" s="350"/>
      <c r="EU10" s="350"/>
      <c r="EV10" s="350"/>
      <c r="EW10" s="350"/>
      <c r="EX10" s="350"/>
      <c r="EY10" s="350"/>
      <c r="EZ10" s="350"/>
      <c r="FA10" s="350"/>
      <c r="FB10" s="351"/>
      <c r="FC10" s="482"/>
      <c r="FD10" s="483"/>
      <c r="FE10" s="483"/>
      <c r="FF10" s="483"/>
      <c r="FG10" s="483"/>
      <c r="FH10" s="483"/>
      <c r="FI10" s="483"/>
      <c r="FJ10" s="483"/>
      <c r="FK10" s="483"/>
      <c r="FL10" s="483"/>
      <c r="FM10" s="483"/>
      <c r="FN10" s="483"/>
      <c r="FO10" s="275"/>
      <c r="FP10" s="275"/>
      <c r="FQ10" s="275">
        <f t="shared" si="0"/>
        <v>367.37</v>
      </c>
    </row>
    <row r="11" spans="1:173" ht="15" customHeight="1">
      <c r="A11" s="572" t="s">
        <v>379</v>
      </c>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4"/>
      <c r="BL11" s="606" t="s">
        <v>22</v>
      </c>
      <c r="BM11" s="548"/>
      <c r="BN11" s="548"/>
      <c r="BO11" s="548"/>
      <c r="BP11" s="548"/>
      <c r="BQ11" s="548"/>
      <c r="BR11" s="548"/>
      <c r="BS11" s="549"/>
      <c r="BT11" s="547" t="s">
        <v>21</v>
      </c>
      <c r="BU11" s="548"/>
      <c r="BV11" s="548"/>
      <c r="BW11" s="548"/>
      <c r="BX11" s="548"/>
      <c r="BY11" s="548"/>
      <c r="BZ11" s="548"/>
      <c r="CA11" s="548"/>
      <c r="CB11" s="548"/>
      <c r="CC11" s="548"/>
      <c r="CD11" s="548"/>
      <c r="CE11" s="548"/>
      <c r="CF11" s="549"/>
      <c r="CG11" s="547" t="s">
        <v>21</v>
      </c>
      <c r="CH11" s="548"/>
      <c r="CI11" s="548"/>
      <c r="CJ11" s="548"/>
      <c r="CK11" s="548"/>
      <c r="CL11" s="548"/>
      <c r="CM11" s="548"/>
      <c r="CN11" s="548"/>
      <c r="CO11" s="548"/>
      <c r="CP11" s="548"/>
      <c r="CQ11" s="549"/>
      <c r="CR11" s="547"/>
      <c r="CS11" s="548"/>
      <c r="CT11" s="548"/>
      <c r="CU11" s="548"/>
      <c r="CV11" s="548"/>
      <c r="CW11" s="548"/>
      <c r="CX11" s="548"/>
      <c r="CY11" s="548"/>
      <c r="CZ11" s="548"/>
      <c r="DA11" s="548"/>
      <c r="DB11" s="548"/>
      <c r="DC11" s="548"/>
      <c r="DD11" s="549"/>
      <c r="DE11" s="603">
        <f>DE7+DE15-DE72</f>
        <v>0</v>
      </c>
      <c r="DF11" s="604"/>
      <c r="DG11" s="604"/>
      <c r="DH11" s="604"/>
      <c r="DI11" s="604"/>
      <c r="DJ11" s="604"/>
      <c r="DK11" s="604"/>
      <c r="DL11" s="604"/>
      <c r="DM11" s="604"/>
      <c r="DN11" s="604"/>
      <c r="DO11" s="604"/>
      <c r="DP11" s="604"/>
      <c r="DQ11" s="605"/>
      <c r="DR11" s="603">
        <f>DR7+DR15-DR72</f>
        <v>0</v>
      </c>
      <c r="DS11" s="604"/>
      <c r="DT11" s="604"/>
      <c r="DU11" s="604"/>
      <c r="DV11" s="604"/>
      <c r="DW11" s="604"/>
      <c r="DX11" s="604"/>
      <c r="DY11" s="604"/>
      <c r="DZ11" s="604"/>
      <c r="EA11" s="604"/>
      <c r="EB11" s="604"/>
      <c r="EC11" s="604"/>
      <c r="ED11" s="605"/>
      <c r="EE11" s="603"/>
      <c r="EF11" s="604"/>
      <c r="EG11" s="604"/>
      <c r="EH11" s="604"/>
      <c r="EI11" s="604"/>
      <c r="EJ11" s="604"/>
      <c r="EK11" s="604"/>
      <c r="EL11" s="604"/>
      <c r="EM11" s="604"/>
      <c r="EN11" s="604"/>
      <c r="EO11" s="604"/>
      <c r="EP11" s="604"/>
      <c r="EQ11" s="605"/>
      <c r="ER11" s="613"/>
      <c r="ES11" s="614"/>
      <c r="ET11" s="614"/>
      <c r="EU11" s="614"/>
      <c r="EV11" s="614"/>
      <c r="EW11" s="614"/>
      <c r="EX11" s="614"/>
      <c r="EY11" s="614"/>
      <c r="EZ11" s="614"/>
      <c r="FA11" s="614"/>
      <c r="FB11" s="615"/>
      <c r="FC11" s="613"/>
      <c r="FD11" s="614"/>
      <c r="FE11" s="614"/>
      <c r="FF11" s="614"/>
      <c r="FG11" s="614"/>
      <c r="FH11" s="614"/>
      <c r="FI11" s="614"/>
      <c r="FJ11" s="614"/>
      <c r="FK11" s="614"/>
      <c r="FL11" s="614"/>
      <c r="FM11" s="615"/>
      <c r="FO11" s="275"/>
      <c r="FP11" s="275"/>
      <c r="FQ11" s="275">
        <f t="shared" si="0"/>
        <v>0</v>
      </c>
    </row>
    <row r="12" spans="1:173" ht="25.5" customHeight="1">
      <c r="A12" s="607" t="s">
        <v>277</v>
      </c>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9"/>
      <c r="BL12" s="339"/>
      <c r="BM12" s="340"/>
      <c r="BN12" s="340"/>
      <c r="BO12" s="340"/>
      <c r="BP12" s="340"/>
      <c r="BQ12" s="340"/>
      <c r="BR12" s="340"/>
      <c r="BS12" s="341"/>
      <c r="BT12" s="345" t="s">
        <v>21</v>
      </c>
      <c r="BU12" s="340"/>
      <c r="BV12" s="340"/>
      <c r="BW12" s="340"/>
      <c r="BX12" s="340"/>
      <c r="BY12" s="340"/>
      <c r="BZ12" s="340"/>
      <c r="CA12" s="340"/>
      <c r="CB12" s="340"/>
      <c r="CC12" s="340"/>
      <c r="CD12" s="340"/>
      <c r="CE12" s="340"/>
      <c r="CF12" s="341"/>
      <c r="CG12" s="345" t="s">
        <v>21</v>
      </c>
      <c r="CH12" s="340"/>
      <c r="CI12" s="340"/>
      <c r="CJ12" s="340"/>
      <c r="CK12" s="340"/>
      <c r="CL12" s="340"/>
      <c r="CM12" s="340"/>
      <c r="CN12" s="340"/>
      <c r="CO12" s="340"/>
      <c r="CP12" s="340"/>
      <c r="CQ12" s="341"/>
      <c r="CR12" s="345"/>
      <c r="CS12" s="340"/>
      <c r="CT12" s="340"/>
      <c r="CU12" s="340"/>
      <c r="CV12" s="340"/>
      <c r="CW12" s="340"/>
      <c r="CX12" s="340"/>
      <c r="CY12" s="340"/>
      <c r="CZ12" s="340"/>
      <c r="DA12" s="340"/>
      <c r="DB12" s="340"/>
      <c r="DC12" s="340"/>
      <c r="DD12" s="341"/>
      <c r="DE12" s="499">
        <f>DE8+DE16-DE73</f>
        <v>0</v>
      </c>
      <c r="DF12" s="500"/>
      <c r="DG12" s="500"/>
      <c r="DH12" s="500"/>
      <c r="DI12" s="500"/>
      <c r="DJ12" s="500"/>
      <c r="DK12" s="500"/>
      <c r="DL12" s="500"/>
      <c r="DM12" s="500"/>
      <c r="DN12" s="500"/>
      <c r="DO12" s="500"/>
      <c r="DP12" s="500"/>
      <c r="DQ12" s="501"/>
      <c r="DR12" s="499">
        <f>DR8+DR16-DR73</f>
        <v>0</v>
      </c>
      <c r="DS12" s="500"/>
      <c r="DT12" s="500"/>
      <c r="DU12" s="500"/>
      <c r="DV12" s="500"/>
      <c r="DW12" s="500"/>
      <c r="DX12" s="500"/>
      <c r="DY12" s="500"/>
      <c r="DZ12" s="500"/>
      <c r="EA12" s="500"/>
      <c r="EB12" s="500"/>
      <c r="EC12" s="500"/>
      <c r="ED12" s="501"/>
      <c r="EE12" s="499"/>
      <c r="EF12" s="500"/>
      <c r="EG12" s="500"/>
      <c r="EH12" s="500"/>
      <c r="EI12" s="500"/>
      <c r="EJ12" s="500"/>
      <c r="EK12" s="500"/>
      <c r="EL12" s="500"/>
      <c r="EM12" s="500"/>
      <c r="EN12" s="500"/>
      <c r="EO12" s="500"/>
      <c r="EP12" s="500"/>
      <c r="EQ12" s="501"/>
      <c r="ER12" s="349"/>
      <c r="ES12" s="350"/>
      <c r="ET12" s="350"/>
      <c r="EU12" s="350"/>
      <c r="EV12" s="350"/>
      <c r="EW12" s="350"/>
      <c r="EX12" s="350"/>
      <c r="EY12" s="350"/>
      <c r="EZ12" s="350"/>
      <c r="FA12" s="350"/>
      <c r="FB12" s="351"/>
      <c r="FC12" s="349"/>
      <c r="FD12" s="350"/>
      <c r="FE12" s="350"/>
      <c r="FF12" s="350"/>
      <c r="FG12" s="350"/>
      <c r="FH12" s="350"/>
      <c r="FI12" s="350"/>
      <c r="FJ12" s="350"/>
      <c r="FK12" s="350"/>
      <c r="FL12" s="350"/>
      <c r="FM12" s="351"/>
      <c r="FO12" s="275"/>
      <c r="FP12" s="275"/>
      <c r="FQ12" s="275">
        <f t="shared" si="0"/>
        <v>0</v>
      </c>
    </row>
    <row r="13" spans="1:173" ht="12.75" customHeight="1">
      <c r="A13" s="469" t="s">
        <v>278</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8"/>
      <c r="BL13" s="339"/>
      <c r="BM13" s="340"/>
      <c r="BN13" s="340"/>
      <c r="BO13" s="340"/>
      <c r="BP13" s="340"/>
      <c r="BQ13" s="340"/>
      <c r="BR13" s="340"/>
      <c r="BS13" s="341"/>
      <c r="BT13" s="345" t="s">
        <v>21</v>
      </c>
      <c r="BU13" s="340"/>
      <c r="BV13" s="340"/>
      <c r="BW13" s="340"/>
      <c r="BX13" s="340"/>
      <c r="BY13" s="340"/>
      <c r="BZ13" s="340"/>
      <c r="CA13" s="340"/>
      <c r="CB13" s="340"/>
      <c r="CC13" s="340"/>
      <c r="CD13" s="340"/>
      <c r="CE13" s="340"/>
      <c r="CF13" s="341"/>
      <c r="CG13" s="345" t="s">
        <v>21</v>
      </c>
      <c r="CH13" s="340"/>
      <c r="CI13" s="340"/>
      <c r="CJ13" s="340"/>
      <c r="CK13" s="340"/>
      <c r="CL13" s="340"/>
      <c r="CM13" s="340"/>
      <c r="CN13" s="340"/>
      <c r="CO13" s="340"/>
      <c r="CP13" s="340"/>
      <c r="CQ13" s="341"/>
      <c r="CR13" s="345"/>
      <c r="CS13" s="340"/>
      <c r="CT13" s="340"/>
      <c r="CU13" s="340"/>
      <c r="CV13" s="340"/>
      <c r="CW13" s="340"/>
      <c r="CX13" s="340"/>
      <c r="CY13" s="340"/>
      <c r="CZ13" s="340"/>
      <c r="DA13" s="340"/>
      <c r="DB13" s="340"/>
      <c r="DC13" s="340"/>
      <c r="DD13" s="341"/>
      <c r="DE13" s="499">
        <f>DE9+DE17-DE74</f>
        <v>0</v>
      </c>
      <c r="DF13" s="500"/>
      <c r="DG13" s="500"/>
      <c r="DH13" s="500"/>
      <c r="DI13" s="500"/>
      <c r="DJ13" s="500"/>
      <c r="DK13" s="500"/>
      <c r="DL13" s="500"/>
      <c r="DM13" s="500"/>
      <c r="DN13" s="500"/>
      <c r="DO13" s="500"/>
      <c r="DP13" s="500"/>
      <c r="DQ13" s="501"/>
      <c r="DR13" s="499">
        <f>DR9+DR17-DR74</f>
        <v>0</v>
      </c>
      <c r="DS13" s="500"/>
      <c r="DT13" s="500"/>
      <c r="DU13" s="500"/>
      <c r="DV13" s="500"/>
      <c r="DW13" s="500"/>
      <c r="DX13" s="500"/>
      <c r="DY13" s="500"/>
      <c r="DZ13" s="500"/>
      <c r="EA13" s="500"/>
      <c r="EB13" s="500"/>
      <c r="EC13" s="500"/>
      <c r="ED13" s="501"/>
      <c r="EE13" s="499"/>
      <c r="EF13" s="500"/>
      <c r="EG13" s="500"/>
      <c r="EH13" s="500"/>
      <c r="EI13" s="500"/>
      <c r="EJ13" s="500"/>
      <c r="EK13" s="500"/>
      <c r="EL13" s="500"/>
      <c r="EM13" s="500"/>
      <c r="EN13" s="500"/>
      <c r="EO13" s="500"/>
      <c r="EP13" s="500"/>
      <c r="EQ13" s="501"/>
      <c r="ER13" s="349"/>
      <c r="ES13" s="350"/>
      <c r="ET13" s="350"/>
      <c r="EU13" s="350"/>
      <c r="EV13" s="350"/>
      <c r="EW13" s="350"/>
      <c r="EX13" s="350"/>
      <c r="EY13" s="350"/>
      <c r="EZ13" s="350"/>
      <c r="FA13" s="350"/>
      <c r="FB13" s="351"/>
      <c r="FC13" s="349"/>
      <c r="FD13" s="350"/>
      <c r="FE13" s="350"/>
      <c r="FF13" s="350"/>
      <c r="FG13" s="350"/>
      <c r="FH13" s="350"/>
      <c r="FI13" s="350"/>
      <c r="FJ13" s="350"/>
      <c r="FK13" s="350"/>
      <c r="FL13" s="350"/>
      <c r="FM13" s="351"/>
      <c r="FO13" s="275"/>
      <c r="FP13" s="275"/>
      <c r="FQ13" s="275">
        <f t="shared" si="0"/>
        <v>0</v>
      </c>
    </row>
    <row r="14" spans="1:173" ht="12.75" customHeight="1">
      <c r="A14" s="469" t="s">
        <v>194</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8"/>
      <c r="BL14" s="339"/>
      <c r="BM14" s="340"/>
      <c r="BN14" s="340"/>
      <c r="BO14" s="340"/>
      <c r="BP14" s="340"/>
      <c r="BQ14" s="340"/>
      <c r="BR14" s="340"/>
      <c r="BS14" s="341"/>
      <c r="BT14" s="345" t="s">
        <v>21</v>
      </c>
      <c r="BU14" s="340"/>
      <c r="BV14" s="340"/>
      <c r="BW14" s="340"/>
      <c r="BX14" s="340"/>
      <c r="BY14" s="340"/>
      <c r="BZ14" s="340"/>
      <c r="CA14" s="340"/>
      <c r="CB14" s="340"/>
      <c r="CC14" s="340"/>
      <c r="CD14" s="340"/>
      <c r="CE14" s="340"/>
      <c r="CF14" s="341"/>
      <c r="CG14" s="345" t="s">
        <v>21</v>
      </c>
      <c r="CH14" s="340"/>
      <c r="CI14" s="340"/>
      <c r="CJ14" s="340"/>
      <c r="CK14" s="340"/>
      <c r="CL14" s="340"/>
      <c r="CM14" s="340"/>
      <c r="CN14" s="340"/>
      <c r="CO14" s="340"/>
      <c r="CP14" s="340"/>
      <c r="CQ14" s="341"/>
      <c r="CR14" s="345"/>
      <c r="CS14" s="340"/>
      <c r="CT14" s="340"/>
      <c r="CU14" s="340"/>
      <c r="CV14" s="340"/>
      <c r="CW14" s="340"/>
      <c r="CX14" s="340"/>
      <c r="CY14" s="340"/>
      <c r="CZ14" s="340"/>
      <c r="DA14" s="340"/>
      <c r="DB14" s="340"/>
      <c r="DC14" s="340"/>
      <c r="DD14" s="341"/>
      <c r="DE14" s="499">
        <f>DE10+DE18-DE75</f>
        <v>0</v>
      </c>
      <c r="DF14" s="500"/>
      <c r="DG14" s="500"/>
      <c r="DH14" s="500"/>
      <c r="DI14" s="500"/>
      <c r="DJ14" s="500"/>
      <c r="DK14" s="500"/>
      <c r="DL14" s="500"/>
      <c r="DM14" s="500"/>
      <c r="DN14" s="500"/>
      <c r="DO14" s="500"/>
      <c r="DP14" s="500"/>
      <c r="DQ14" s="501"/>
      <c r="DR14" s="499">
        <f>DR10+DR18-DR75</f>
        <v>0</v>
      </c>
      <c r="DS14" s="500"/>
      <c r="DT14" s="500"/>
      <c r="DU14" s="500"/>
      <c r="DV14" s="500"/>
      <c r="DW14" s="500"/>
      <c r="DX14" s="500"/>
      <c r="DY14" s="500"/>
      <c r="DZ14" s="500"/>
      <c r="EA14" s="500"/>
      <c r="EB14" s="500"/>
      <c r="EC14" s="500"/>
      <c r="ED14" s="501"/>
      <c r="EE14" s="499"/>
      <c r="EF14" s="500"/>
      <c r="EG14" s="500"/>
      <c r="EH14" s="500"/>
      <c r="EI14" s="500"/>
      <c r="EJ14" s="500"/>
      <c r="EK14" s="500"/>
      <c r="EL14" s="500"/>
      <c r="EM14" s="500"/>
      <c r="EN14" s="500"/>
      <c r="EO14" s="500"/>
      <c r="EP14" s="500"/>
      <c r="EQ14" s="501"/>
      <c r="ER14" s="349"/>
      <c r="ES14" s="350"/>
      <c r="ET14" s="350"/>
      <c r="EU14" s="350"/>
      <c r="EV14" s="350"/>
      <c r="EW14" s="350"/>
      <c r="EX14" s="350"/>
      <c r="EY14" s="350"/>
      <c r="EZ14" s="350"/>
      <c r="FA14" s="350"/>
      <c r="FB14" s="351"/>
      <c r="FC14" s="349"/>
      <c r="FD14" s="350"/>
      <c r="FE14" s="350"/>
      <c r="FF14" s="350"/>
      <c r="FG14" s="350"/>
      <c r="FH14" s="350"/>
      <c r="FI14" s="350"/>
      <c r="FJ14" s="350"/>
      <c r="FK14" s="350"/>
      <c r="FL14" s="350"/>
      <c r="FM14" s="351"/>
      <c r="FO14" s="275"/>
      <c r="FP14" s="275"/>
      <c r="FQ14" s="275">
        <f t="shared" si="0"/>
        <v>0</v>
      </c>
    </row>
    <row r="15" spans="1:173" ht="13.5" customHeight="1">
      <c r="A15" s="572" t="s">
        <v>23</v>
      </c>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c r="BE15" s="573"/>
      <c r="BF15" s="573"/>
      <c r="BG15" s="573"/>
      <c r="BH15" s="573"/>
      <c r="BI15" s="573"/>
      <c r="BJ15" s="573"/>
      <c r="BK15" s="574"/>
      <c r="BL15" s="606" t="s">
        <v>24</v>
      </c>
      <c r="BM15" s="548"/>
      <c r="BN15" s="548"/>
      <c r="BO15" s="548"/>
      <c r="BP15" s="548"/>
      <c r="BQ15" s="548"/>
      <c r="BR15" s="548"/>
      <c r="BS15" s="549"/>
      <c r="BT15" s="547" t="s">
        <v>121</v>
      </c>
      <c r="BU15" s="548"/>
      <c r="BV15" s="548"/>
      <c r="BW15" s="548"/>
      <c r="BX15" s="548"/>
      <c r="BY15" s="548"/>
      <c r="BZ15" s="548"/>
      <c r="CA15" s="548"/>
      <c r="CB15" s="548"/>
      <c r="CC15" s="548"/>
      <c r="CD15" s="548"/>
      <c r="CE15" s="548"/>
      <c r="CF15" s="549"/>
      <c r="CG15" s="547" t="s">
        <v>121</v>
      </c>
      <c r="CH15" s="548"/>
      <c r="CI15" s="548"/>
      <c r="CJ15" s="548"/>
      <c r="CK15" s="548"/>
      <c r="CL15" s="548"/>
      <c r="CM15" s="548"/>
      <c r="CN15" s="548"/>
      <c r="CO15" s="548"/>
      <c r="CP15" s="548"/>
      <c r="CQ15" s="549"/>
      <c r="CR15" s="625"/>
      <c r="CS15" s="626"/>
      <c r="CT15" s="626"/>
      <c r="CU15" s="626"/>
      <c r="CV15" s="626"/>
      <c r="CW15" s="626"/>
      <c r="CX15" s="626"/>
      <c r="CY15" s="626"/>
      <c r="CZ15" s="626"/>
      <c r="DA15" s="626"/>
      <c r="DB15" s="626"/>
      <c r="DC15" s="626"/>
      <c r="DD15" s="627"/>
      <c r="DE15" s="603">
        <f>SUM(DE16:DQ19)</f>
        <v>29317328.260000005</v>
      </c>
      <c r="DF15" s="604"/>
      <c r="DG15" s="604"/>
      <c r="DH15" s="604"/>
      <c r="DI15" s="604"/>
      <c r="DJ15" s="604"/>
      <c r="DK15" s="604"/>
      <c r="DL15" s="604"/>
      <c r="DM15" s="604"/>
      <c r="DN15" s="604"/>
      <c r="DO15" s="604"/>
      <c r="DP15" s="604"/>
      <c r="DQ15" s="605"/>
      <c r="DR15" s="603">
        <f>SUM(DR16:ED19)</f>
        <v>28173053.849999998</v>
      </c>
      <c r="DS15" s="604"/>
      <c r="DT15" s="604"/>
      <c r="DU15" s="604"/>
      <c r="DV15" s="604"/>
      <c r="DW15" s="604"/>
      <c r="DX15" s="604"/>
      <c r="DY15" s="604"/>
      <c r="DZ15" s="604"/>
      <c r="EA15" s="604"/>
      <c r="EB15" s="604"/>
      <c r="EC15" s="604"/>
      <c r="ED15" s="605"/>
      <c r="EE15" s="603"/>
      <c r="EF15" s="604"/>
      <c r="EG15" s="604"/>
      <c r="EH15" s="604"/>
      <c r="EI15" s="604"/>
      <c r="EJ15" s="604"/>
      <c r="EK15" s="604"/>
      <c r="EL15" s="604"/>
      <c r="EM15" s="604"/>
      <c r="EN15" s="604"/>
      <c r="EO15" s="604"/>
      <c r="EP15" s="604"/>
      <c r="EQ15" s="605"/>
      <c r="ER15" s="616"/>
      <c r="ES15" s="617"/>
      <c r="ET15" s="617"/>
      <c r="EU15" s="617"/>
      <c r="EV15" s="617"/>
      <c r="EW15" s="617"/>
      <c r="EX15" s="617"/>
      <c r="EY15" s="617"/>
      <c r="EZ15" s="617"/>
      <c r="FA15" s="617"/>
      <c r="FB15" s="618"/>
      <c r="FC15" s="616"/>
      <c r="FD15" s="617"/>
      <c r="FE15" s="617"/>
      <c r="FF15" s="617"/>
      <c r="FG15" s="617"/>
      <c r="FH15" s="617"/>
      <c r="FI15" s="617"/>
      <c r="FJ15" s="617"/>
      <c r="FK15" s="617"/>
      <c r="FL15" s="617"/>
      <c r="FM15" s="618"/>
      <c r="FO15" s="275"/>
      <c r="FP15" s="275"/>
      <c r="FQ15" s="275">
        <f t="shared" si="0"/>
        <v>28173053.849999998</v>
      </c>
    </row>
    <row r="16" spans="1:173" ht="22.5" customHeight="1">
      <c r="A16" s="386" t="s">
        <v>283</v>
      </c>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6"/>
      <c r="BL16" s="339"/>
      <c r="BM16" s="340"/>
      <c r="BN16" s="340"/>
      <c r="BO16" s="340"/>
      <c r="BP16" s="340"/>
      <c r="BQ16" s="340"/>
      <c r="BR16" s="340"/>
      <c r="BS16" s="341"/>
      <c r="BT16" s="345" t="s">
        <v>21</v>
      </c>
      <c r="BU16" s="340"/>
      <c r="BV16" s="340"/>
      <c r="BW16" s="340"/>
      <c r="BX16" s="340"/>
      <c r="BY16" s="340"/>
      <c r="BZ16" s="340"/>
      <c r="CA16" s="340"/>
      <c r="CB16" s="340"/>
      <c r="CC16" s="340"/>
      <c r="CD16" s="340"/>
      <c r="CE16" s="340"/>
      <c r="CF16" s="341"/>
      <c r="CG16" s="345"/>
      <c r="CH16" s="340"/>
      <c r="CI16" s="340"/>
      <c r="CJ16" s="340"/>
      <c r="CK16" s="340"/>
      <c r="CL16" s="340"/>
      <c r="CM16" s="340"/>
      <c r="CN16" s="340"/>
      <c r="CO16" s="340"/>
      <c r="CP16" s="340"/>
      <c r="CQ16" s="341"/>
      <c r="CR16" s="345"/>
      <c r="CS16" s="340"/>
      <c r="CT16" s="340"/>
      <c r="CU16" s="340"/>
      <c r="CV16" s="340"/>
      <c r="CW16" s="340"/>
      <c r="CX16" s="340"/>
      <c r="CY16" s="340"/>
      <c r="CZ16" s="340"/>
      <c r="DA16" s="340"/>
      <c r="DB16" s="340"/>
      <c r="DC16" s="340"/>
      <c r="DD16" s="341"/>
      <c r="DE16" s="499">
        <f>SUM(DE22+DE29+DE54)</f>
        <v>10116751.15</v>
      </c>
      <c r="DF16" s="500"/>
      <c r="DG16" s="500"/>
      <c r="DH16" s="500"/>
      <c r="DI16" s="500"/>
      <c r="DJ16" s="500"/>
      <c r="DK16" s="500"/>
      <c r="DL16" s="500"/>
      <c r="DM16" s="500"/>
      <c r="DN16" s="500"/>
      <c r="DO16" s="500"/>
      <c r="DP16" s="500"/>
      <c r="DQ16" s="501"/>
      <c r="DR16" s="499">
        <f>SUM(DR22+DR29+DR54+DR69)+DR44+DR64</f>
        <v>10449082</v>
      </c>
      <c r="DS16" s="500"/>
      <c r="DT16" s="500"/>
      <c r="DU16" s="500"/>
      <c r="DV16" s="500"/>
      <c r="DW16" s="500"/>
      <c r="DX16" s="500"/>
      <c r="DY16" s="500"/>
      <c r="DZ16" s="500"/>
      <c r="EA16" s="500"/>
      <c r="EB16" s="500"/>
      <c r="EC16" s="500"/>
      <c r="ED16" s="501"/>
      <c r="EE16" s="499"/>
      <c r="EF16" s="500"/>
      <c r="EG16" s="500"/>
      <c r="EH16" s="500"/>
      <c r="EI16" s="500"/>
      <c r="EJ16" s="500"/>
      <c r="EK16" s="500"/>
      <c r="EL16" s="500"/>
      <c r="EM16" s="500"/>
      <c r="EN16" s="500"/>
      <c r="EO16" s="500"/>
      <c r="EP16" s="500"/>
      <c r="EQ16" s="501"/>
      <c r="ER16" s="349"/>
      <c r="ES16" s="350"/>
      <c r="ET16" s="350"/>
      <c r="EU16" s="350"/>
      <c r="EV16" s="350"/>
      <c r="EW16" s="350"/>
      <c r="EX16" s="350"/>
      <c r="EY16" s="350"/>
      <c r="EZ16" s="350"/>
      <c r="FA16" s="350"/>
      <c r="FB16" s="351"/>
      <c r="FC16" s="349"/>
      <c r="FD16" s="350"/>
      <c r="FE16" s="350"/>
      <c r="FF16" s="350"/>
      <c r="FG16" s="350"/>
      <c r="FH16" s="350"/>
      <c r="FI16" s="350"/>
      <c r="FJ16" s="350"/>
      <c r="FK16" s="350"/>
      <c r="FL16" s="350"/>
      <c r="FM16" s="350"/>
      <c r="FN16" s="350"/>
      <c r="FO16" s="275"/>
      <c r="FP16" s="275"/>
      <c r="FQ16" s="275">
        <f t="shared" si="0"/>
        <v>10449082</v>
      </c>
    </row>
    <row r="17" spans="1:173" ht="12.75" customHeight="1">
      <c r="A17" s="469" t="s">
        <v>282</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8"/>
      <c r="BL17" s="339"/>
      <c r="BM17" s="340"/>
      <c r="BN17" s="340"/>
      <c r="BO17" s="340"/>
      <c r="BP17" s="340"/>
      <c r="BQ17" s="340"/>
      <c r="BR17" s="340"/>
      <c r="BS17" s="341"/>
      <c r="BT17" s="345" t="s">
        <v>21</v>
      </c>
      <c r="BU17" s="340"/>
      <c r="BV17" s="340"/>
      <c r="BW17" s="340"/>
      <c r="BX17" s="340"/>
      <c r="BY17" s="340"/>
      <c r="BZ17" s="340"/>
      <c r="CA17" s="340"/>
      <c r="CB17" s="340"/>
      <c r="CC17" s="340"/>
      <c r="CD17" s="340"/>
      <c r="CE17" s="340"/>
      <c r="CF17" s="341"/>
      <c r="CG17" s="345"/>
      <c r="CH17" s="340"/>
      <c r="CI17" s="340"/>
      <c r="CJ17" s="340"/>
      <c r="CK17" s="340"/>
      <c r="CL17" s="340"/>
      <c r="CM17" s="340"/>
      <c r="CN17" s="340"/>
      <c r="CO17" s="340"/>
      <c r="CP17" s="340"/>
      <c r="CQ17" s="341"/>
      <c r="CR17" s="345"/>
      <c r="CS17" s="340"/>
      <c r="CT17" s="340"/>
      <c r="CU17" s="340"/>
      <c r="CV17" s="340"/>
      <c r="CW17" s="340"/>
      <c r="CX17" s="340"/>
      <c r="CY17" s="340"/>
      <c r="CZ17" s="340"/>
      <c r="DA17" s="340"/>
      <c r="DB17" s="340"/>
      <c r="DC17" s="340"/>
      <c r="DD17" s="341"/>
      <c r="DE17" s="499">
        <f>SUM(DE23+DE30+DE55+DE70)</f>
        <v>18913292.110000003</v>
      </c>
      <c r="DF17" s="500"/>
      <c r="DG17" s="500"/>
      <c r="DH17" s="500"/>
      <c r="DI17" s="500"/>
      <c r="DJ17" s="500"/>
      <c r="DK17" s="500"/>
      <c r="DL17" s="500"/>
      <c r="DM17" s="500"/>
      <c r="DN17" s="500"/>
      <c r="DO17" s="500"/>
      <c r="DP17" s="500"/>
      <c r="DQ17" s="501"/>
      <c r="DR17" s="499">
        <f>SUM(DR23+DR30+DR55+DR70)+DR45+DR65</f>
        <v>17423971.849999998</v>
      </c>
      <c r="DS17" s="500"/>
      <c r="DT17" s="500"/>
      <c r="DU17" s="500"/>
      <c r="DV17" s="500"/>
      <c r="DW17" s="500"/>
      <c r="DX17" s="500"/>
      <c r="DY17" s="500"/>
      <c r="DZ17" s="500"/>
      <c r="EA17" s="500"/>
      <c r="EB17" s="500"/>
      <c r="EC17" s="500"/>
      <c r="ED17" s="501"/>
      <c r="EE17" s="499"/>
      <c r="EF17" s="500"/>
      <c r="EG17" s="500"/>
      <c r="EH17" s="500"/>
      <c r="EI17" s="500"/>
      <c r="EJ17" s="500"/>
      <c r="EK17" s="500"/>
      <c r="EL17" s="500"/>
      <c r="EM17" s="500"/>
      <c r="EN17" s="500"/>
      <c r="EO17" s="500"/>
      <c r="EP17" s="500"/>
      <c r="EQ17" s="501"/>
      <c r="ER17" s="349"/>
      <c r="ES17" s="350"/>
      <c r="ET17" s="350"/>
      <c r="EU17" s="350"/>
      <c r="EV17" s="350"/>
      <c r="EW17" s="350"/>
      <c r="EX17" s="350"/>
      <c r="EY17" s="350"/>
      <c r="EZ17" s="350"/>
      <c r="FA17" s="350"/>
      <c r="FB17" s="351"/>
      <c r="FC17" s="349"/>
      <c r="FD17" s="350"/>
      <c r="FE17" s="350"/>
      <c r="FF17" s="350"/>
      <c r="FG17" s="350"/>
      <c r="FH17" s="350"/>
      <c r="FI17" s="350"/>
      <c r="FJ17" s="350"/>
      <c r="FK17" s="350"/>
      <c r="FL17" s="350"/>
      <c r="FM17" s="350"/>
      <c r="FN17" s="350"/>
      <c r="FO17" s="275"/>
      <c r="FP17" s="275"/>
      <c r="FQ17" s="275">
        <f t="shared" si="0"/>
        <v>17423971.849999998</v>
      </c>
    </row>
    <row r="18" spans="1:173" ht="12" customHeight="1">
      <c r="A18" s="383" t="s">
        <v>194</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5"/>
      <c r="BL18" s="339"/>
      <c r="BM18" s="340"/>
      <c r="BN18" s="340"/>
      <c r="BO18" s="340"/>
      <c r="BP18" s="340"/>
      <c r="BQ18" s="340"/>
      <c r="BR18" s="340"/>
      <c r="BS18" s="341"/>
      <c r="BT18" s="345" t="s">
        <v>21</v>
      </c>
      <c r="BU18" s="340"/>
      <c r="BV18" s="340"/>
      <c r="BW18" s="340"/>
      <c r="BX18" s="340"/>
      <c r="BY18" s="340"/>
      <c r="BZ18" s="340"/>
      <c r="CA18" s="340"/>
      <c r="CB18" s="340"/>
      <c r="CC18" s="340"/>
      <c r="CD18" s="340"/>
      <c r="CE18" s="340"/>
      <c r="CF18" s="341"/>
      <c r="CG18" s="345"/>
      <c r="CH18" s="340"/>
      <c r="CI18" s="340"/>
      <c r="CJ18" s="340"/>
      <c r="CK18" s="340"/>
      <c r="CL18" s="340"/>
      <c r="CM18" s="340"/>
      <c r="CN18" s="340"/>
      <c r="CO18" s="340"/>
      <c r="CP18" s="340"/>
      <c r="CQ18" s="341"/>
      <c r="CR18" s="345"/>
      <c r="CS18" s="340"/>
      <c r="CT18" s="340"/>
      <c r="CU18" s="340"/>
      <c r="CV18" s="340"/>
      <c r="CW18" s="340"/>
      <c r="CX18" s="340"/>
      <c r="CY18" s="340"/>
      <c r="CZ18" s="340"/>
      <c r="DA18" s="340"/>
      <c r="DB18" s="340"/>
      <c r="DC18" s="340"/>
      <c r="DD18" s="341"/>
      <c r="DE18" s="499">
        <f>SUM(DE24+DE31+DE39+DE46+DE433)</f>
        <v>287285</v>
      </c>
      <c r="DF18" s="500"/>
      <c r="DG18" s="500"/>
      <c r="DH18" s="500"/>
      <c r="DI18" s="500"/>
      <c r="DJ18" s="500"/>
      <c r="DK18" s="500"/>
      <c r="DL18" s="500"/>
      <c r="DM18" s="500"/>
      <c r="DN18" s="500"/>
      <c r="DO18" s="500"/>
      <c r="DP18" s="500"/>
      <c r="DQ18" s="501"/>
      <c r="DR18" s="499">
        <f>SUM(DR24+DR31+DR56+DR71)+DR46+DR66</f>
        <v>300000</v>
      </c>
      <c r="DS18" s="500"/>
      <c r="DT18" s="500"/>
      <c r="DU18" s="500"/>
      <c r="DV18" s="500"/>
      <c r="DW18" s="500"/>
      <c r="DX18" s="500"/>
      <c r="DY18" s="500"/>
      <c r="DZ18" s="500"/>
      <c r="EA18" s="500"/>
      <c r="EB18" s="500"/>
      <c r="EC18" s="500"/>
      <c r="ED18" s="501"/>
      <c r="EE18" s="499"/>
      <c r="EF18" s="500"/>
      <c r="EG18" s="500"/>
      <c r="EH18" s="500"/>
      <c r="EI18" s="500"/>
      <c r="EJ18" s="500"/>
      <c r="EK18" s="500"/>
      <c r="EL18" s="500"/>
      <c r="EM18" s="500"/>
      <c r="EN18" s="500"/>
      <c r="EO18" s="500"/>
      <c r="EP18" s="500"/>
      <c r="EQ18" s="501"/>
      <c r="ER18" s="349"/>
      <c r="ES18" s="350"/>
      <c r="ET18" s="350"/>
      <c r="EU18" s="350"/>
      <c r="EV18" s="350"/>
      <c r="EW18" s="350"/>
      <c r="EX18" s="350"/>
      <c r="EY18" s="350"/>
      <c r="EZ18" s="350"/>
      <c r="FA18" s="350"/>
      <c r="FB18" s="351"/>
      <c r="FC18" s="349"/>
      <c r="FD18" s="350"/>
      <c r="FE18" s="350"/>
      <c r="FF18" s="350"/>
      <c r="FG18" s="350"/>
      <c r="FH18" s="350"/>
      <c r="FI18" s="350"/>
      <c r="FJ18" s="350"/>
      <c r="FK18" s="350"/>
      <c r="FL18" s="350"/>
      <c r="FM18" s="350"/>
      <c r="FN18" s="350"/>
      <c r="FO18" s="275"/>
      <c r="FP18" s="275"/>
      <c r="FQ18" s="275">
        <f t="shared" si="0"/>
        <v>300000</v>
      </c>
    </row>
    <row r="19" spans="1:173" ht="12" customHeight="1">
      <c r="A19" s="383" t="s">
        <v>200</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5"/>
      <c r="BL19" s="339"/>
      <c r="BM19" s="340"/>
      <c r="BN19" s="340"/>
      <c r="BO19" s="340"/>
      <c r="BP19" s="340"/>
      <c r="BQ19" s="340"/>
      <c r="BR19" s="340"/>
      <c r="BS19" s="341"/>
      <c r="BT19" s="345" t="s">
        <v>21</v>
      </c>
      <c r="BU19" s="340"/>
      <c r="BV19" s="340"/>
      <c r="BW19" s="340"/>
      <c r="BX19" s="340"/>
      <c r="BY19" s="340"/>
      <c r="BZ19" s="340"/>
      <c r="CA19" s="340"/>
      <c r="CB19" s="340"/>
      <c r="CC19" s="340"/>
      <c r="CD19" s="340"/>
      <c r="CE19" s="340"/>
      <c r="CF19" s="341"/>
      <c r="CG19" s="345"/>
      <c r="CH19" s="340"/>
      <c r="CI19" s="340"/>
      <c r="CJ19" s="340"/>
      <c r="CK19" s="340"/>
      <c r="CL19" s="340"/>
      <c r="CM19" s="340"/>
      <c r="CN19" s="340"/>
      <c r="CO19" s="340"/>
      <c r="CP19" s="340"/>
      <c r="CQ19" s="341"/>
      <c r="CR19" s="345"/>
      <c r="CS19" s="340"/>
      <c r="CT19" s="340"/>
      <c r="CU19" s="340"/>
      <c r="CV19" s="340"/>
      <c r="CW19" s="340"/>
      <c r="CX19" s="340"/>
      <c r="CY19" s="340"/>
      <c r="CZ19" s="340"/>
      <c r="DA19" s="340"/>
      <c r="DB19" s="340"/>
      <c r="DC19" s="340"/>
      <c r="DD19" s="341"/>
      <c r="DE19" s="346"/>
      <c r="DF19" s="347"/>
      <c r="DG19" s="347"/>
      <c r="DH19" s="347"/>
      <c r="DI19" s="347"/>
      <c r="DJ19" s="347"/>
      <c r="DK19" s="347"/>
      <c r="DL19" s="347"/>
      <c r="DM19" s="347"/>
      <c r="DN19" s="347"/>
      <c r="DO19" s="347"/>
      <c r="DP19" s="347"/>
      <c r="DQ19" s="348"/>
      <c r="DR19" s="346"/>
      <c r="DS19" s="347"/>
      <c r="DT19" s="347"/>
      <c r="DU19" s="347"/>
      <c r="DV19" s="347"/>
      <c r="DW19" s="347"/>
      <c r="DX19" s="347"/>
      <c r="DY19" s="347"/>
      <c r="DZ19" s="347"/>
      <c r="EA19" s="347"/>
      <c r="EB19" s="347"/>
      <c r="EC19" s="347"/>
      <c r="ED19" s="348"/>
      <c r="EE19" s="346"/>
      <c r="EF19" s="347"/>
      <c r="EG19" s="347"/>
      <c r="EH19" s="347"/>
      <c r="EI19" s="347"/>
      <c r="EJ19" s="347"/>
      <c r="EK19" s="347"/>
      <c r="EL19" s="347"/>
      <c r="EM19" s="347"/>
      <c r="EN19" s="347"/>
      <c r="EO19" s="347"/>
      <c r="EP19" s="347"/>
      <c r="EQ19" s="348"/>
      <c r="ER19" s="349"/>
      <c r="ES19" s="350"/>
      <c r="ET19" s="350"/>
      <c r="EU19" s="350"/>
      <c r="EV19" s="350"/>
      <c r="EW19" s="350"/>
      <c r="EX19" s="350"/>
      <c r="EY19" s="350"/>
      <c r="EZ19" s="350"/>
      <c r="FA19" s="350"/>
      <c r="FB19" s="351"/>
      <c r="FC19" s="349"/>
      <c r="FD19" s="350"/>
      <c r="FE19" s="350"/>
      <c r="FF19" s="350"/>
      <c r="FG19" s="350"/>
      <c r="FH19" s="350"/>
      <c r="FI19" s="350"/>
      <c r="FJ19" s="350"/>
      <c r="FK19" s="350"/>
      <c r="FL19" s="350"/>
      <c r="FM19" s="350"/>
      <c r="FN19" s="350"/>
      <c r="FO19" s="275"/>
      <c r="FP19" s="275"/>
      <c r="FQ19" s="275">
        <f t="shared" si="0"/>
        <v>0</v>
      </c>
    </row>
    <row r="20" spans="1:173" ht="22.5" customHeight="1">
      <c r="A20" s="386" t="s">
        <v>285</v>
      </c>
      <c r="B20" s="555"/>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6"/>
      <c r="BL20" s="460" t="s">
        <v>25</v>
      </c>
      <c r="BM20" s="363"/>
      <c r="BN20" s="363"/>
      <c r="BO20" s="363"/>
      <c r="BP20" s="363"/>
      <c r="BQ20" s="363"/>
      <c r="BR20" s="363"/>
      <c r="BS20" s="364"/>
      <c r="BT20" s="362" t="s">
        <v>26</v>
      </c>
      <c r="BU20" s="363"/>
      <c r="BV20" s="363"/>
      <c r="BW20" s="363"/>
      <c r="BX20" s="363"/>
      <c r="BY20" s="363"/>
      <c r="BZ20" s="363"/>
      <c r="CA20" s="363"/>
      <c r="CB20" s="363"/>
      <c r="CC20" s="363"/>
      <c r="CD20" s="363"/>
      <c r="CE20" s="363"/>
      <c r="CF20" s="364"/>
      <c r="CG20" s="362" t="s">
        <v>767</v>
      </c>
      <c r="CH20" s="363"/>
      <c r="CI20" s="363"/>
      <c r="CJ20" s="363"/>
      <c r="CK20" s="363"/>
      <c r="CL20" s="363"/>
      <c r="CM20" s="363"/>
      <c r="CN20" s="363"/>
      <c r="CO20" s="363"/>
      <c r="CP20" s="363"/>
      <c r="CQ20" s="364"/>
      <c r="CR20" s="362"/>
      <c r="CS20" s="363"/>
      <c r="CT20" s="363"/>
      <c r="CU20" s="363"/>
      <c r="CV20" s="363"/>
      <c r="CW20" s="363"/>
      <c r="CX20" s="363"/>
      <c r="CY20" s="363"/>
      <c r="CZ20" s="363"/>
      <c r="DA20" s="363"/>
      <c r="DB20" s="363"/>
      <c r="DC20" s="363"/>
      <c r="DD20" s="364"/>
      <c r="DE20" s="365">
        <f>SUM(DE22:DQ24)</f>
        <v>192000</v>
      </c>
      <c r="DF20" s="366"/>
      <c r="DG20" s="366"/>
      <c r="DH20" s="366"/>
      <c r="DI20" s="366"/>
      <c r="DJ20" s="366"/>
      <c r="DK20" s="366"/>
      <c r="DL20" s="366"/>
      <c r="DM20" s="366"/>
      <c r="DN20" s="366"/>
      <c r="DO20" s="366"/>
      <c r="DP20" s="366"/>
      <c r="DQ20" s="367"/>
      <c r="DR20" s="365">
        <f>SUM(DR22:ED24)</f>
        <v>200000</v>
      </c>
      <c r="DS20" s="366"/>
      <c r="DT20" s="366"/>
      <c r="DU20" s="366"/>
      <c r="DV20" s="366"/>
      <c r="DW20" s="366"/>
      <c r="DX20" s="366"/>
      <c r="DY20" s="366"/>
      <c r="DZ20" s="366"/>
      <c r="EA20" s="366"/>
      <c r="EB20" s="366"/>
      <c r="EC20" s="366"/>
      <c r="ED20" s="367"/>
      <c r="EE20" s="365"/>
      <c r="EF20" s="366"/>
      <c r="EG20" s="366"/>
      <c r="EH20" s="366"/>
      <c r="EI20" s="366"/>
      <c r="EJ20" s="366"/>
      <c r="EK20" s="366"/>
      <c r="EL20" s="366"/>
      <c r="EM20" s="366"/>
      <c r="EN20" s="366"/>
      <c r="EO20" s="366"/>
      <c r="EP20" s="366"/>
      <c r="EQ20" s="367"/>
      <c r="ER20" s="349"/>
      <c r="ES20" s="350"/>
      <c r="ET20" s="350"/>
      <c r="EU20" s="350"/>
      <c r="EV20" s="350"/>
      <c r="EW20" s="350"/>
      <c r="EX20" s="350"/>
      <c r="EY20" s="350"/>
      <c r="EZ20" s="350"/>
      <c r="FA20" s="350"/>
      <c r="FB20" s="351"/>
      <c r="FC20" s="349"/>
      <c r="FD20" s="350"/>
      <c r="FE20" s="350"/>
      <c r="FF20" s="350"/>
      <c r="FG20" s="350"/>
      <c r="FH20" s="350"/>
      <c r="FI20" s="350"/>
      <c r="FJ20" s="350"/>
      <c r="FK20" s="350"/>
      <c r="FL20" s="350"/>
      <c r="FM20" s="350"/>
      <c r="FN20" s="350"/>
      <c r="FO20" s="275"/>
      <c r="FP20" s="275"/>
      <c r="FQ20" s="275">
        <f t="shared" si="0"/>
        <v>200000</v>
      </c>
    </row>
    <row r="21" spans="1:173" ht="12" customHeight="1">
      <c r="A21" s="386" t="s">
        <v>110</v>
      </c>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6"/>
      <c r="BL21" s="339"/>
      <c r="BM21" s="340"/>
      <c r="BN21" s="340"/>
      <c r="BO21" s="340"/>
      <c r="BP21" s="340"/>
      <c r="BQ21" s="340"/>
      <c r="BR21" s="340"/>
      <c r="BS21" s="341"/>
      <c r="BT21" s="345"/>
      <c r="BU21" s="340"/>
      <c r="BV21" s="340"/>
      <c r="BW21" s="340"/>
      <c r="BX21" s="340"/>
      <c r="BY21" s="340"/>
      <c r="BZ21" s="340"/>
      <c r="CA21" s="340"/>
      <c r="CB21" s="340"/>
      <c r="CC21" s="340"/>
      <c r="CD21" s="340"/>
      <c r="CE21" s="340"/>
      <c r="CF21" s="341"/>
      <c r="CG21" s="345"/>
      <c r="CH21" s="340"/>
      <c r="CI21" s="340"/>
      <c r="CJ21" s="340"/>
      <c r="CK21" s="340"/>
      <c r="CL21" s="340"/>
      <c r="CM21" s="340"/>
      <c r="CN21" s="340"/>
      <c r="CO21" s="340"/>
      <c r="CP21" s="340"/>
      <c r="CQ21" s="341"/>
      <c r="CR21" s="345"/>
      <c r="CS21" s="340"/>
      <c r="CT21" s="340"/>
      <c r="CU21" s="340"/>
      <c r="CV21" s="340"/>
      <c r="CW21" s="340"/>
      <c r="CX21" s="340"/>
      <c r="CY21" s="340"/>
      <c r="CZ21" s="340"/>
      <c r="DA21" s="340"/>
      <c r="DB21" s="340"/>
      <c r="DC21" s="340"/>
      <c r="DD21" s="341"/>
      <c r="DE21" s="346"/>
      <c r="DF21" s="347"/>
      <c r="DG21" s="347"/>
      <c r="DH21" s="347"/>
      <c r="DI21" s="347"/>
      <c r="DJ21" s="347"/>
      <c r="DK21" s="347"/>
      <c r="DL21" s="347"/>
      <c r="DM21" s="347"/>
      <c r="DN21" s="347"/>
      <c r="DO21" s="347"/>
      <c r="DP21" s="347"/>
      <c r="DQ21" s="348"/>
      <c r="DR21" s="346"/>
      <c r="DS21" s="347"/>
      <c r="DT21" s="347"/>
      <c r="DU21" s="347"/>
      <c r="DV21" s="347"/>
      <c r="DW21" s="347"/>
      <c r="DX21" s="347"/>
      <c r="DY21" s="347"/>
      <c r="DZ21" s="347"/>
      <c r="EA21" s="347"/>
      <c r="EB21" s="347"/>
      <c r="EC21" s="347"/>
      <c r="ED21" s="348"/>
      <c r="EE21" s="346"/>
      <c r="EF21" s="347"/>
      <c r="EG21" s="347"/>
      <c r="EH21" s="347"/>
      <c r="EI21" s="347"/>
      <c r="EJ21" s="347"/>
      <c r="EK21" s="347"/>
      <c r="EL21" s="347"/>
      <c r="EM21" s="347"/>
      <c r="EN21" s="347"/>
      <c r="EO21" s="347"/>
      <c r="EP21" s="347"/>
      <c r="EQ21" s="348"/>
      <c r="ER21" s="349"/>
      <c r="ES21" s="350"/>
      <c r="ET21" s="350"/>
      <c r="EU21" s="350"/>
      <c r="EV21" s="350"/>
      <c r="EW21" s="350"/>
      <c r="EX21" s="350"/>
      <c r="EY21" s="350"/>
      <c r="EZ21" s="350"/>
      <c r="FA21" s="350"/>
      <c r="FB21" s="351"/>
      <c r="FC21" s="349"/>
      <c r="FD21" s="350"/>
      <c r="FE21" s="350"/>
      <c r="FF21" s="350"/>
      <c r="FG21" s="350"/>
      <c r="FH21" s="350"/>
      <c r="FI21" s="350"/>
      <c r="FJ21" s="350"/>
      <c r="FK21" s="350"/>
      <c r="FL21" s="350"/>
      <c r="FM21" s="350"/>
      <c r="FN21" s="350"/>
      <c r="FO21" s="275"/>
      <c r="FP21" s="275"/>
      <c r="FQ21" s="275">
        <f t="shared" si="0"/>
        <v>0</v>
      </c>
    </row>
    <row r="22" spans="1:173" ht="12" customHeight="1">
      <c r="A22" s="386" t="s">
        <v>284</v>
      </c>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6"/>
      <c r="BL22" s="339"/>
      <c r="BM22" s="340"/>
      <c r="BN22" s="340"/>
      <c r="BO22" s="340"/>
      <c r="BP22" s="340"/>
      <c r="BQ22" s="340"/>
      <c r="BR22" s="340"/>
      <c r="BS22" s="341"/>
      <c r="BT22" s="345"/>
      <c r="BU22" s="340"/>
      <c r="BV22" s="340"/>
      <c r="BW22" s="340"/>
      <c r="BX22" s="340"/>
      <c r="BY22" s="340"/>
      <c r="BZ22" s="340"/>
      <c r="CA22" s="340"/>
      <c r="CB22" s="340"/>
      <c r="CC22" s="340"/>
      <c r="CD22" s="340"/>
      <c r="CE22" s="340"/>
      <c r="CF22" s="341"/>
      <c r="CG22" s="345"/>
      <c r="CH22" s="340"/>
      <c r="CI22" s="340"/>
      <c r="CJ22" s="340"/>
      <c r="CK22" s="340"/>
      <c r="CL22" s="340"/>
      <c r="CM22" s="340"/>
      <c r="CN22" s="340"/>
      <c r="CO22" s="340"/>
      <c r="CP22" s="340"/>
      <c r="CQ22" s="341"/>
      <c r="CR22" s="345"/>
      <c r="CS22" s="340"/>
      <c r="CT22" s="340"/>
      <c r="CU22" s="340"/>
      <c r="CV22" s="340"/>
      <c r="CW22" s="340"/>
      <c r="CX22" s="340"/>
      <c r="CY22" s="340"/>
      <c r="CZ22" s="340"/>
      <c r="DA22" s="340"/>
      <c r="DB22" s="340"/>
      <c r="DC22" s="340"/>
      <c r="DD22" s="341"/>
      <c r="DE22" s="346">
        <v>0</v>
      </c>
      <c r="DF22" s="347"/>
      <c r="DG22" s="347"/>
      <c r="DH22" s="347"/>
      <c r="DI22" s="347"/>
      <c r="DJ22" s="347"/>
      <c r="DK22" s="347"/>
      <c r="DL22" s="347"/>
      <c r="DM22" s="347"/>
      <c r="DN22" s="347"/>
      <c r="DO22" s="347"/>
      <c r="DP22" s="347"/>
      <c r="DQ22" s="348"/>
      <c r="DR22" s="346">
        <v>0</v>
      </c>
      <c r="DS22" s="347"/>
      <c r="DT22" s="347"/>
      <c r="DU22" s="347"/>
      <c r="DV22" s="347"/>
      <c r="DW22" s="347"/>
      <c r="DX22" s="347"/>
      <c r="DY22" s="347"/>
      <c r="DZ22" s="347"/>
      <c r="EA22" s="347"/>
      <c r="EB22" s="347"/>
      <c r="EC22" s="347"/>
      <c r="ED22" s="348"/>
      <c r="EE22" s="346"/>
      <c r="EF22" s="347"/>
      <c r="EG22" s="347"/>
      <c r="EH22" s="347"/>
      <c r="EI22" s="347"/>
      <c r="EJ22" s="347"/>
      <c r="EK22" s="347"/>
      <c r="EL22" s="347"/>
      <c r="EM22" s="347"/>
      <c r="EN22" s="347"/>
      <c r="EO22" s="347"/>
      <c r="EP22" s="347"/>
      <c r="EQ22" s="348"/>
      <c r="ER22" s="349"/>
      <c r="ES22" s="350"/>
      <c r="ET22" s="350"/>
      <c r="EU22" s="350"/>
      <c r="EV22" s="350"/>
      <c r="EW22" s="350"/>
      <c r="EX22" s="350"/>
      <c r="EY22" s="350"/>
      <c r="EZ22" s="350"/>
      <c r="FA22" s="350"/>
      <c r="FB22" s="351"/>
      <c r="FC22" s="349"/>
      <c r="FD22" s="350"/>
      <c r="FE22" s="350"/>
      <c r="FF22" s="350"/>
      <c r="FG22" s="350"/>
      <c r="FH22" s="350"/>
      <c r="FI22" s="350"/>
      <c r="FJ22" s="350"/>
      <c r="FK22" s="350"/>
      <c r="FL22" s="350"/>
      <c r="FM22" s="350"/>
      <c r="FN22" s="350"/>
      <c r="FO22" s="275"/>
      <c r="FP22" s="275"/>
      <c r="FQ22" s="275">
        <f t="shared" si="0"/>
        <v>0</v>
      </c>
    </row>
    <row r="23" spans="1:173" ht="12" customHeight="1">
      <c r="A23" s="469" t="s">
        <v>282</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8"/>
      <c r="BL23" s="339"/>
      <c r="BM23" s="340"/>
      <c r="BN23" s="340"/>
      <c r="BO23" s="340"/>
      <c r="BP23" s="340"/>
      <c r="BQ23" s="340"/>
      <c r="BR23" s="340"/>
      <c r="BS23" s="341"/>
      <c r="BT23" s="345"/>
      <c r="BU23" s="340"/>
      <c r="BV23" s="340"/>
      <c r="BW23" s="340"/>
      <c r="BX23" s="340"/>
      <c r="BY23" s="340"/>
      <c r="BZ23" s="340"/>
      <c r="CA23" s="340"/>
      <c r="CB23" s="340"/>
      <c r="CC23" s="340"/>
      <c r="CD23" s="340"/>
      <c r="CE23" s="340"/>
      <c r="CF23" s="341"/>
      <c r="CG23" s="345"/>
      <c r="CH23" s="340"/>
      <c r="CI23" s="340"/>
      <c r="CJ23" s="340"/>
      <c r="CK23" s="340"/>
      <c r="CL23" s="340"/>
      <c r="CM23" s="340"/>
      <c r="CN23" s="340"/>
      <c r="CO23" s="340"/>
      <c r="CP23" s="340"/>
      <c r="CQ23" s="341"/>
      <c r="CR23" s="345"/>
      <c r="CS23" s="340"/>
      <c r="CT23" s="340"/>
      <c r="CU23" s="340"/>
      <c r="CV23" s="340"/>
      <c r="CW23" s="340"/>
      <c r="CX23" s="340"/>
      <c r="CY23" s="340"/>
      <c r="CZ23" s="340"/>
      <c r="DA23" s="340"/>
      <c r="DB23" s="340"/>
      <c r="DC23" s="340"/>
      <c r="DD23" s="341"/>
      <c r="DE23" s="346">
        <v>0</v>
      </c>
      <c r="DF23" s="347"/>
      <c r="DG23" s="347"/>
      <c r="DH23" s="347"/>
      <c r="DI23" s="347"/>
      <c r="DJ23" s="347"/>
      <c r="DK23" s="347"/>
      <c r="DL23" s="347"/>
      <c r="DM23" s="347"/>
      <c r="DN23" s="347"/>
      <c r="DO23" s="347"/>
      <c r="DP23" s="347"/>
      <c r="DQ23" s="348"/>
      <c r="DR23" s="346">
        <v>0</v>
      </c>
      <c r="DS23" s="347"/>
      <c r="DT23" s="347"/>
      <c r="DU23" s="347"/>
      <c r="DV23" s="347"/>
      <c r="DW23" s="347"/>
      <c r="DX23" s="347"/>
      <c r="DY23" s="347"/>
      <c r="DZ23" s="347"/>
      <c r="EA23" s="347"/>
      <c r="EB23" s="347"/>
      <c r="EC23" s="347"/>
      <c r="ED23" s="348"/>
      <c r="EE23" s="346"/>
      <c r="EF23" s="347"/>
      <c r="EG23" s="347"/>
      <c r="EH23" s="347"/>
      <c r="EI23" s="347"/>
      <c r="EJ23" s="347"/>
      <c r="EK23" s="347"/>
      <c r="EL23" s="347"/>
      <c r="EM23" s="347"/>
      <c r="EN23" s="347"/>
      <c r="EO23" s="347"/>
      <c r="EP23" s="347"/>
      <c r="EQ23" s="348"/>
      <c r="ER23" s="349"/>
      <c r="ES23" s="350"/>
      <c r="ET23" s="350"/>
      <c r="EU23" s="350"/>
      <c r="EV23" s="350"/>
      <c r="EW23" s="350"/>
      <c r="EX23" s="350"/>
      <c r="EY23" s="350"/>
      <c r="EZ23" s="350"/>
      <c r="FA23" s="350"/>
      <c r="FB23" s="351"/>
      <c r="FC23" s="349"/>
      <c r="FD23" s="350"/>
      <c r="FE23" s="350"/>
      <c r="FF23" s="350"/>
      <c r="FG23" s="350"/>
      <c r="FH23" s="350"/>
      <c r="FI23" s="350"/>
      <c r="FJ23" s="350"/>
      <c r="FK23" s="350"/>
      <c r="FL23" s="350"/>
      <c r="FM23" s="350"/>
      <c r="FN23" s="350"/>
      <c r="FO23" s="275"/>
      <c r="FP23" s="275"/>
      <c r="FQ23" s="275">
        <f t="shared" si="0"/>
        <v>0</v>
      </c>
    </row>
    <row r="24" spans="1:173" ht="12" customHeight="1">
      <c r="A24" s="383" t="s">
        <v>194</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5"/>
      <c r="BL24" s="339"/>
      <c r="BM24" s="340"/>
      <c r="BN24" s="340"/>
      <c r="BO24" s="340"/>
      <c r="BP24" s="340"/>
      <c r="BQ24" s="340"/>
      <c r="BR24" s="340"/>
      <c r="BS24" s="341"/>
      <c r="BT24" s="345"/>
      <c r="BU24" s="340"/>
      <c r="BV24" s="340"/>
      <c r="BW24" s="340"/>
      <c r="BX24" s="340"/>
      <c r="BY24" s="340"/>
      <c r="BZ24" s="340"/>
      <c r="CA24" s="340"/>
      <c r="CB24" s="340"/>
      <c r="CC24" s="340"/>
      <c r="CD24" s="340"/>
      <c r="CE24" s="340"/>
      <c r="CF24" s="341"/>
      <c r="CG24" s="345"/>
      <c r="CH24" s="340"/>
      <c r="CI24" s="340"/>
      <c r="CJ24" s="340"/>
      <c r="CK24" s="340"/>
      <c r="CL24" s="340"/>
      <c r="CM24" s="340"/>
      <c r="CN24" s="340"/>
      <c r="CO24" s="340"/>
      <c r="CP24" s="340"/>
      <c r="CQ24" s="341"/>
      <c r="CR24" s="345"/>
      <c r="CS24" s="340"/>
      <c r="CT24" s="340"/>
      <c r="CU24" s="340"/>
      <c r="CV24" s="340"/>
      <c r="CW24" s="340"/>
      <c r="CX24" s="340"/>
      <c r="CY24" s="340"/>
      <c r="CZ24" s="340"/>
      <c r="DA24" s="340"/>
      <c r="DB24" s="340"/>
      <c r="DC24" s="340"/>
      <c r="DD24" s="341"/>
      <c r="DE24" s="376">
        <f>DE26</f>
        <v>192000</v>
      </c>
      <c r="DF24" s="377"/>
      <c r="DG24" s="377"/>
      <c r="DH24" s="377"/>
      <c r="DI24" s="377"/>
      <c r="DJ24" s="377"/>
      <c r="DK24" s="377"/>
      <c r="DL24" s="377"/>
      <c r="DM24" s="377"/>
      <c r="DN24" s="377"/>
      <c r="DO24" s="377"/>
      <c r="DP24" s="377"/>
      <c r="DQ24" s="378"/>
      <c r="DR24" s="376">
        <f>DR26</f>
        <v>200000</v>
      </c>
      <c r="DS24" s="377"/>
      <c r="DT24" s="377"/>
      <c r="DU24" s="377"/>
      <c r="DV24" s="377"/>
      <c r="DW24" s="377"/>
      <c r="DX24" s="377"/>
      <c r="DY24" s="377"/>
      <c r="DZ24" s="377"/>
      <c r="EA24" s="377"/>
      <c r="EB24" s="377"/>
      <c r="EC24" s="377"/>
      <c r="ED24" s="378"/>
      <c r="EE24" s="376"/>
      <c r="EF24" s="377"/>
      <c r="EG24" s="377"/>
      <c r="EH24" s="377"/>
      <c r="EI24" s="377"/>
      <c r="EJ24" s="377"/>
      <c r="EK24" s="377"/>
      <c r="EL24" s="377"/>
      <c r="EM24" s="377"/>
      <c r="EN24" s="377"/>
      <c r="EO24" s="377"/>
      <c r="EP24" s="377"/>
      <c r="EQ24" s="378"/>
      <c r="ER24" s="349"/>
      <c r="ES24" s="350"/>
      <c r="ET24" s="350"/>
      <c r="EU24" s="350"/>
      <c r="EV24" s="350"/>
      <c r="EW24" s="350"/>
      <c r="EX24" s="350"/>
      <c r="EY24" s="350"/>
      <c r="EZ24" s="350"/>
      <c r="FA24" s="350"/>
      <c r="FB24" s="351"/>
      <c r="FC24" s="349"/>
      <c r="FD24" s="350"/>
      <c r="FE24" s="350"/>
      <c r="FF24" s="350"/>
      <c r="FG24" s="350"/>
      <c r="FH24" s="350"/>
      <c r="FI24" s="350"/>
      <c r="FJ24" s="350"/>
      <c r="FK24" s="350"/>
      <c r="FL24" s="350"/>
      <c r="FM24" s="350"/>
      <c r="FN24" s="350"/>
      <c r="FO24" s="275"/>
      <c r="FP24" s="275"/>
      <c r="FQ24" s="275">
        <f t="shared" si="0"/>
        <v>200000</v>
      </c>
    </row>
    <row r="25" spans="1:173" ht="12" customHeight="1">
      <c r="A25" s="386" t="s">
        <v>27</v>
      </c>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6"/>
      <c r="BL25" s="339" t="s">
        <v>28</v>
      </c>
      <c r="BM25" s="340"/>
      <c r="BN25" s="340"/>
      <c r="BO25" s="340"/>
      <c r="BP25" s="340"/>
      <c r="BQ25" s="340"/>
      <c r="BR25" s="340"/>
      <c r="BS25" s="341"/>
      <c r="BT25" s="345"/>
      <c r="BU25" s="340"/>
      <c r="BV25" s="340"/>
      <c r="BW25" s="340"/>
      <c r="BX25" s="340"/>
      <c r="BY25" s="340"/>
      <c r="BZ25" s="340"/>
      <c r="CA25" s="340"/>
      <c r="CB25" s="340"/>
      <c r="CC25" s="340"/>
      <c r="CD25" s="340"/>
      <c r="CE25" s="340"/>
      <c r="CF25" s="341"/>
      <c r="CG25" s="345"/>
      <c r="CH25" s="340"/>
      <c r="CI25" s="340"/>
      <c r="CJ25" s="340"/>
      <c r="CK25" s="340"/>
      <c r="CL25" s="340"/>
      <c r="CM25" s="340"/>
      <c r="CN25" s="340"/>
      <c r="CO25" s="340"/>
      <c r="CP25" s="340"/>
      <c r="CQ25" s="341"/>
      <c r="CR25" s="345"/>
      <c r="CS25" s="340"/>
      <c r="CT25" s="340"/>
      <c r="CU25" s="340"/>
      <c r="CV25" s="340"/>
      <c r="CW25" s="340"/>
      <c r="CX25" s="340"/>
      <c r="CY25" s="340"/>
      <c r="CZ25" s="340"/>
      <c r="DA25" s="340"/>
      <c r="DB25" s="340"/>
      <c r="DC25" s="340"/>
      <c r="DD25" s="341"/>
      <c r="DE25" s="346"/>
      <c r="DF25" s="347"/>
      <c r="DG25" s="347"/>
      <c r="DH25" s="347"/>
      <c r="DI25" s="347"/>
      <c r="DJ25" s="347"/>
      <c r="DK25" s="347"/>
      <c r="DL25" s="347"/>
      <c r="DM25" s="347"/>
      <c r="DN25" s="347"/>
      <c r="DO25" s="347"/>
      <c r="DP25" s="347"/>
      <c r="DQ25" s="348"/>
      <c r="DR25" s="346"/>
      <c r="DS25" s="347"/>
      <c r="DT25" s="347"/>
      <c r="DU25" s="347"/>
      <c r="DV25" s="347"/>
      <c r="DW25" s="347"/>
      <c r="DX25" s="347"/>
      <c r="DY25" s="347"/>
      <c r="DZ25" s="347"/>
      <c r="EA25" s="347"/>
      <c r="EB25" s="347"/>
      <c r="EC25" s="347"/>
      <c r="ED25" s="348"/>
      <c r="EE25" s="346"/>
      <c r="EF25" s="347"/>
      <c r="EG25" s="347"/>
      <c r="EH25" s="347"/>
      <c r="EI25" s="347"/>
      <c r="EJ25" s="347"/>
      <c r="EK25" s="347"/>
      <c r="EL25" s="347"/>
      <c r="EM25" s="347"/>
      <c r="EN25" s="347"/>
      <c r="EO25" s="347"/>
      <c r="EP25" s="347"/>
      <c r="EQ25" s="348"/>
      <c r="ER25" s="349"/>
      <c r="ES25" s="350"/>
      <c r="ET25" s="350"/>
      <c r="EU25" s="350"/>
      <c r="EV25" s="350"/>
      <c r="EW25" s="350"/>
      <c r="EX25" s="350"/>
      <c r="EY25" s="350"/>
      <c r="EZ25" s="350"/>
      <c r="FA25" s="350"/>
      <c r="FB25" s="351"/>
      <c r="FC25" s="352"/>
      <c r="FD25" s="353"/>
      <c r="FE25" s="353"/>
      <c r="FF25" s="353"/>
      <c r="FG25" s="353"/>
      <c r="FH25" s="353"/>
      <c r="FI25" s="353"/>
      <c r="FJ25" s="353"/>
      <c r="FK25" s="353"/>
      <c r="FL25" s="353"/>
      <c r="FO25" s="275"/>
      <c r="FP25" s="275"/>
      <c r="FQ25" s="275">
        <f t="shared" si="0"/>
        <v>0</v>
      </c>
    </row>
    <row r="26" spans="1:173" ht="12" customHeight="1">
      <c r="A26" s="386" t="s">
        <v>768</v>
      </c>
      <c r="B26" s="550"/>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0"/>
      <c r="BJ26" s="550"/>
      <c r="BK26" s="551"/>
      <c r="BL26" s="339"/>
      <c r="BM26" s="340"/>
      <c r="BN26" s="340"/>
      <c r="BO26" s="340"/>
      <c r="BP26" s="340"/>
      <c r="BQ26" s="340"/>
      <c r="BR26" s="340"/>
      <c r="BS26" s="341"/>
      <c r="BT26" s="345"/>
      <c r="BU26" s="340"/>
      <c r="BV26" s="340"/>
      <c r="BW26" s="340"/>
      <c r="BX26" s="340"/>
      <c r="BY26" s="340"/>
      <c r="BZ26" s="340"/>
      <c r="CA26" s="340"/>
      <c r="CB26" s="340"/>
      <c r="CC26" s="340"/>
      <c r="CD26" s="340"/>
      <c r="CE26" s="340"/>
      <c r="CF26" s="341"/>
      <c r="CG26" s="345"/>
      <c r="CH26" s="340"/>
      <c r="CI26" s="340"/>
      <c r="CJ26" s="340"/>
      <c r="CK26" s="340"/>
      <c r="CL26" s="340"/>
      <c r="CM26" s="340"/>
      <c r="CN26" s="340"/>
      <c r="CO26" s="340"/>
      <c r="CP26" s="340"/>
      <c r="CQ26" s="341"/>
      <c r="CR26" s="345"/>
      <c r="CS26" s="340"/>
      <c r="CT26" s="340"/>
      <c r="CU26" s="340"/>
      <c r="CV26" s="340"/>
      <c r="CW26" s="340"/>
      <c r="CX26" s="340"/>
      <c r="CY26" s="340"/>
      <c r="CZ26" s="340"/>
      <c r="DA26" s="340"/>
      <c r="DB26" s="340"/>
      <c r="DC26" s="340"/>
      <c r="DD26" s="341"/>
      <c r="DE26" s="346">
        <f>260000-58700-9300</f>
        <v>192000</v>
      </c>
      <c r="DF26" s="347"/>
      <c r="DG26" s="347"/>
      <c r="DH26" s="347"/>
      <c r="DI26" s="347"/>
      <c r="DJ26" s="347"/>
      <c r="DK26" s="347"/>
      <c r="DL26" s="347"/>
      <c r="DM26" s="347"/>
      <c r="DN26" s="347"/>
      <c r="DO26" s="347"/>
      <c r="DP26" s="347"/>
      <c r="DQ26" s="348"/>
      <c r="DR26" s="346">
        <f>200000</f>
        <v>200000</v>
      </c>
      <c r="DS26" s="347"/>
      <c r="DT26" s="347"/>
      <c r="DU26" s="347"/>
      <c r="DV26" s="347"/>
      <c r="DW26" s="347"/>
      <c r="DX26" s="347"/>
      <c r="DY26" s="347"/>
      <c r="DZ26" s="347"/>
      <c r="EA26" s="347"/>
      <c r="EB26" s="347"/>
      <c r="EC26" s="347"/>
      <c r="ED26" s="348"/>
      <c r="EE26" s="346"/>
      <c r="EF26" s="347"/>
      <c r="EG26" s="347"/>
      <c r="EH26" s="347"/>
      <c r="EI26" s="347"/>
      <c r="EJ26" s="347"/>
      <c r="EK26" s="347"/>
      <c r="EL26" s="347"/>
      <c r="EM26" s="347"/>
      <c r="EN26" s="347"/>
      <c r="EO26" s="347"/>
      <c r="EP26" s="347"/>
      <c r="EQ26" s="348"/>
      <c r="ER26" s="349"/>
      <c r="ES26" s="350"/>
      <c r="ET26" s="350"/>
      <c r="EU26" s="350"/>
      <c r="EV26" s="350"/>
      <c r="EW26" s="350"/>
      <c r="EX26" s="350"/>
      <c r="EY26" s="350"/>
      <c r="EZ26" s="350"/>
      <c r="FA26" s="350"/>
      <c r="FB26" s="351"/>
      <c r="FC26" s="349"/>
      <c r="FD26" s="350"/>
      <c r="FE26" s="350"/>
      <c r="FF26" s="350"/>
      <c r="FG26" s="350"/>
      <c r="FH26" s="350"/>
      <c r="FI26" s="350"/>
      <c r="FJ26" s="350"/>
      <c r="FK26" s="350"/>
      <c r="FL26" s="350"/>
      <c r="FM26" s="350"/>
      <c r="FN26" s="350"/>
      <c r="FO26" s="275"/>
      <c r="FP26" s="275"/>
      <c r="FQ26" s="275">
        <f t="shared" si="0"/>
        <v>200000</v>
      </c>
    </row>
    <row r="27" spans="1:173" ht="12" customHeight="1">
      <c r="A27" s="487" t="s">
        <v>29</v>
      </c>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9"/>
      <c r="BL27" s="460" t="s">
        <v>30</v>
      </c>
      <c r="BM27" s="363"/>
      <c r="BN27" s="363"/>
      <c r="BO27" s="363"/>
      <c r="BP27" s="363"/>
      <c r="BQ27" s="363"/>
      <c r="BR27" s="363"/>
      <c r="BS27" s="364"/>
      <c r="BT27" s="362" t="s">
        <v>31</v>
      </c>
      <c r="BU27" s="363"/>
      <c r="BV27" s="363"/>
      <c r="BW27" s="363"/>
      <c r="BX27" s="363"/>
      <c r="BY27" s="363"/>
      <c r="BZ27" s="363"/>
      <c r="CA27" s="363"/>
      <c r="CB27" s="363"/>
      <c r="CC27" s="363"/>
      <c r="CD27" s="363"/>
      <c r="CE27" s="363"/>
      <c r="CF27" s="364"/>
      <c r="CG27" s="362" t="s">
        <v>66</v>
      </c>
      <c r="CH27" s="363"/>
      <c r="CI27" s="363"/>
      <c r="CJ27" s="363"/>
      <c r="CK27" s="363"/>
      <c r="CL27" s="363"/>
      <c r="CM27" s="363"/>
      <c r="CN27" s="363"/>
      <c r="CO27" s="363"/>
      <c r="CP27" s="363"/>
      <c r="CQ27" s="364"/>
      <c r="CR27" s="362"/>
      <c r="CS27" s="363"/>
      <c r="CT27" s="363"/>
      <c r="CU27" s="363"/>
      <c r="CV27" s="363"/>
      <c r="CW27" s="363"/>
      <c r="CX27" s="363"/>
      <c r="CY27" s="363"/>
      <c r="CZ27" s="363"/>
      <c r="DA27" s="363"/>
      <c r="DB27" s="363"/>
      <c r="DC27" s="363"/>
      <c r="DD27" s="364"/>
      <c r="DE27" s="365">
        <f>SUM(DE29:DQ31)</f>
        <v>25184527.5</v>
      </c>
      <c r="DF27" s="366"/>
      <c r="DG27" s="366"/>
      <c r="DH27" s="366"/>
      <c r="DI27" s="366"/>
      <c r="DJ27" s="366"/>
      <c r="DK27" s="366"/>
      <c r="DL27" s="366"/>
      <c r="DM27" s="366"/>
      <c r="DN27" s="366"/>
      <c r="DO27" s="366"/>
      <c r="DP27" s="366"/>
      <c r="DQ27" s="367"/>
      <c r="DR27" s="365">
        <f>SUM(DR29:ED31)</f>
        <v>24735202.949999999</v>
      </c>
      <c r="DS27" s="366"/>
      <c r="DT27" s="366"/>
      <c r="DU27" s="366"/>
      <c r="DV27" s="366"/>
      <c r="DW27" s="366"/>
      <c r="DX27" s="366"/>
      <c r="DY27" s="366"/>
      <c r="DZ27" s="366"/>
      <c r="EA27" s="366"/>
      <c r="EB27" s="366"/>
      <c r="EC27" s="366"/>
      <c r="ED27" s="367"/>
      <c r="EE27" s="365"/>
      <c r="EF27" s="366"/>
      <c r="EG27" s="366"/>
      <c r="EH27" s="366"/>
      <c r="EI27" s="366"/>
      <c r="EJ27" s="366"/>
      <c r="EK27" s="366"/>
      <c r="EL27" s="366"/>
      <c r="EM27" s="366"/>
      <c r="EN27" s="366"/>
      <c r="EO27" s="366"/>
      <c r="EP27" s="366"/>
      <c r="EQ27" s="367"/>
      <c r="ER27" s="349"/>
      <c r="ES27" s="350"/>
      <c r="ET27" s="350"/>
      <c r="EU27" s="350"/>
      <c r="EV27" s="350"/>
      <c r="EW27" s="350"/>
      <c r="EX27" s="350"/>
      <c r="EY27" s="350"/>
      <c r="EZ27" s="350"/>
      <c r="FA27" s="350"/>
      <c r="FB27" s="351"/>
      <c r="FC27" s="352"/>
      <c r="FD27" s="353"/>
      <c r="FE27" s="353"/>
      <c r="FF27" s="353"/>
      <c r="FG27" s="353"/>
      <c r="FH27" s="353"/>
      <c r="FI27" s="353"/>
      <c r="FJ27" s="353"/>
      <c r="FK27" s="353"/>
      <c r="FL27" s="353"/>
      <c r="FO27" s="275"/>
      <c r="FP27" s="275"/>
      <c r="FQ27" s="275">
        <f t="shared" si="0"/>
        <v>24735202.949999999</v>
      </c>
    </row>
    <row r="28" spans="1:173" ht="12" customHeight="1">
      <c r="A28" s="386" t="s">
        <v>110</v>
      </c>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6"/>
      <c r="BL28" s="339"/>
      <c r="BM28" s="340"/>
      <c r="BN28" s="340"/>
      <c r="BO28" s="340"/>
      <c r="BP28" s="340"/>
      <c r="BQ28" s="340"/>
      <c r="BR28" s="340"/>
      <c r="BS28" s="341"/>
      <c r="BT28" s="345"/>
      <c r="BU28" s="340"/>
      <c r="BV28" s="340"/>
      <c r="BW28" s="340"/>
      <c r="BX28" s="340"/>
      <c r="BY28" s="340"/>
      <c r="BZ28" s="340"/>
      <c r="CA28" s="340"/>
      <c r="CB28" s="340"/>
      <c r="CC28" s="340"/>
      <c r="CD28" s="340"/>
      <c r="CE28" s="340"/>
      <c r="CF28" s="341"/>
      <c r="CG28" s="345"/>
      <c r="CH28" s="340"/>
      <c r="CI28" s="340"/>
      <c r="CJ28" s="340"/>
      <c r="CK28" s="340"/>
      <c r="CL28" s="340"/>
      <c r="CM28" s="340"/>
      <c r="CN28" s="340"/>
      <c r="CO28" s="340"/>
      <c r="CP28" s="340"/>
      <c r="CQ28" s="341"/>
      <c r="CR28" s="345"/>
      <c r="CS28" s="340"/>
      <c r="CT28" s="340"/>
      <c r="CU28" s="340"/>
      <c r="CV28" s="340"/>
      <c r="CW28" s="340"/>
      <c r="CX28" s="340"/>
      <c r="CY28" s="340"/>
      <c r="CZ28" s="340"/>
      <c r="DA28" s="340"/>
      <c r="DB28" s="340"/>
      <c r="DC28" s="340"/>
      <c r="DD28" s="341"/>
      <c r="DE28" s="346"/>
      <c r="DF28" s="347"/>
      <c r="DG28" s="347"/>
      <c r="DH28" s="347"/>
      <c r="DI28" s="347"/>
      <c r="DJ28" s="347"/>
      <c r="DK28" s="347"/>
      <c r="DL28" s="347"/>
      <c r="DM28" s="347"/>
      <c r="DN28" s="347"/>
      <c r="DO28" s="347"/>
      <c r="DP28" s="347"/>
      <c r="DQ28" s="348"/>
      <c r="DR28" s="346"/>
      <c r="DS28" s="347"/>
      <c r="DT28" s="347"/>
      <c r="DU28" s="347"/>
      <c r="DV28" s="347"/>
      <c r="DW28" s="347"/>
      <c r="DX28" s="347"/>
      <c r="DY28" s="347"/>
      <c r="DZ28" s="347"/>
      <c r="EA28" s="347"/>
      <c r="EB28" s="347"/>
      <c r="EC28" s="347"/>
      <c r="ED28" s="348"/>
      <c r="EE28" s="346"/>
      <c r="EF28" s="347"/>
      <c r="EG28" s="347"/>
      <c r="EH28" s="347"/>
      <c r="EI28" s="347"/>
      <c r="EJ28" s="347"/>
      <c r="EK28" s="347"/>
      <c r="EL28" s="347"/>
      <c r="EM28" s="347"/>
      <c r="EN28" s="347"/>
      <c r="EO28" s="347"/>
      <c r="EP28" s="347"/>
      <c r="EQ28" s="348"/>
      <c r="ER28" s="349"/>
      <c r="ES28" s="350"/>
      <c r="ET28" s="350"/>
      <c r="EU28" s="350"/>
      <c r="EV28" s="350"/>
      <c r="EW28" s="350"/>
      <c r="EX28" s="350"/>
      <c r="EY28" s="350"/>
      <c r="EZ28" s="350"/>
      <c r="FA28" s="350"/>
      <c r="FB28" s="351"/>
      <c r="FC28" s="349"/>
      <c r="FD28" s="350"/>
      <c r="FE28" s="350"/>
      <c r="FF28" s="350"/>
      <c r="FG28" s="350"/>
      <c r="FH28" s="350"/>
      <c r="FI28" s="350"/>
      <c r="FJ28" s="350"/>
      <c r="FK28" s="350"/>
      <c r="FL28" s="350"/>
      <c r="FM28" s="350"/>
      <c r="FN28" s="350"/>
      <c r="FO28" s="275"/>
      <c r="FP28" s="275"/>
      <c r="FQ28" s="275">
        <f t="shared" si="0"/>
        <v>0</v>
      </c>
    </row>
    <row r="29" spans="1:173" ht="12" customHeight="1">
      <c r="A29" s="386" t="s">
        <v>284</v>
      </c>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6"/>
      <c r="BL29" s="339"/>
      <c r="BM29" s="340"/>
      <c r="BN29" s="340"/>
      <c r="BO29" s="340"/>
      <c r="BP29" s="340"/>
      <c r="BQ29" s="340"/>
      <c r="BR29" s="340"/>
      <c r="BS29" s="341"/>
      <c r="BT29" s="345"/>
      <c r="BU29" s="340"/>
      <c r="BV29" s="340"/>
      <c r="BW29" s="340"/>
      <c r="BX29" s="340"/>
      <c r="BY29" s="340"/>
      <c r="BZ29" s="340"/>
      <c r="CA29" s="340"/>
      <c r="CB29" s="340"/>
      <c r="CC29" s="340"/>
      <c r="CD29" s="340"/>
      <c r="CE29" s="340"/>
      <c r="CF29" s="341"/>
      <c r="CG29" s="345"/>
      <c r="CH29" s="340"/>
      <c r="CI29" s="340"/>
      <c r="CJ29" s="340"/>
      <c r="CK29" s="340"/>
      <c r="CL29" s="340"/>
      <c r="CM29" s="340"/>
      <c r="CN29" s="340"/>
      <c r="CO29" s="340"/>
      <c r="CP29" s="340"/>
      <c r="CQ29" s="341"/>
      <c r="CR29" s="345"/>
      <c r="CS29" s="340"/>
      <c r="CT29" s="340"/>
      <c r="CU29" s="340"/>
      <c r="CV29" s="340"/>
      <c r="CW29" s="340"/>
      <c r="CX29" s="340"/>
      <c r="CY29" s="340"/>
      <c r="CZ29" s="340"/>
      <c r="DA29" s="340"/>
      <c r="DB29" s="340"/>
      <c r="DC29" s="340"/>
      <c r="DD29" s="341"/>
      <c r="DE29" s="346">
        <f>8603000</f>
        <v>8603000</v>
      </c>
      <c r="DF29" s="347"/>
      <c r="DG29" s="347"/>
      <c r="DH29" s="347"/>
      <c r="DI29" s="347"/>
      <c r="DJ29" s="347"/>
      <c r="DK29" s="347"/>
      <c r="DL29" s="347"/>
      <c r="DM29" s="347"/>
      <c r="DN29" s="347"/>
      <c r="DO29" s="347"/>
      <c r="DP29" s="347"/>
      <c r="DQ29" s="348"/>
      <c r="DR29" s="346">
        <v>9945000</v>
      </c>
      <c r="DS29" s="347"/>
      <c r="DT29" s="347"/>
      <c r="DU29" s="347"/>
      <c r="DV29" s="347"/>
      <c r="DW29" s="347"/>
      <c r="DX29" s="347"/>
      <c r="DY29" s="347"/>
      <c r="DZ29" s="347"/>
      <c r="EA29" s="347"/>
      <c r="EB29" s="347"/>
      <c r="EC29" s="347"/>
      <c r="ED29" s="348"/>
      <c r="EE29" s="346"/>
      <c r="EF29" s="347"/>
      <c r="EG29" s="347"/>
      <c r="EH29" s="347"/>
      <c r="EI29" s="347"/>
      <c r="EJ29" s="347"/>
      <c r="EK29" s="347"/>
      <c r="EL29" s="347"/>
      <c r="EM29" s="347"/>
      <c r="EN29" s="347"/>
      <c r="EO29" s="347"/>
      <c r="EP29" s="347"/>
      <c r="EQ29" s="348"/>
      <c r="ER29" s="349"/>
      <c r="ES29" s="350"/>
      <c r="ET29" s="350"/>
      <c r="EU29" s="350"/>
      <c r="EV29" s="350"/>
      <c r="EW29" s="350"/>
      <c r="EX29" s="350"/>
      <c r="EY29" s="350"/>
      <c r="EZ29" s="350"/>
      <c r="FA29" s="350"/>
      <c r="FB29" s="351"/>
      <c r="FC29" s="349"/>
      <c r="FD29" s="350"/>
      <c r="FE29" s="350"/>
      <c r="FF29" s="350"/>
      <c r="FG29" s="350"/>
      <c r="FH29" s="350"/>
      <c r="FI29" s="350"/>
      <c r="FJ29" s="350"/>
      <c r="FK29" s="350"/>
      <c r="FL29" s="350"/>
      <c r="FM29" s="350"/>
      <c r="FN29" s="350"/>
      <c r="FO29" s="275"/>
      <c r="FP29" s="275"/>
      <c r="FQ29" s="275">
        <f t="shared" si="0"/>
        <v>9945000</v>
      </c>
    </row>
    <row r="30" spans="1:173" ht="12" customHeight="1">
      <c r="A30" s="469" t="s">
        <v>282</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8"/>
      <c r="BL30" s="339"/>
      <c r="BM30" s="340"/>
      <c r="BN30" s="340"/>
      <c r="BO30" s="340"/>
      <c r="BP30" s="340"/>
      <c r="BQ30" s="340"/>
      <c r="BR30" s="340"/>
      <c r="BS30" s="341"/>
      <c r="BT30" s="345"/>
      <c r="BU30" s="340"/>
      <c r="BV30" s="340"/>
      <c r="BW30" s="340"/>
      <c r="BX30" s="340"/>
      <c r="BY30" s="340"/>
      <c r="BZ30" s="340"/>
      <c r="CA30" s="340"/>
      <c r="CB30" s="340"/>
      <c r="CC30" s="340"/>
      <c r="CD30" s="340"/>
      <c r="CE30" s="340"/>
      <c r="CF30" s="341"/>
      <c r="CG30" s="345"/>
      <c r="CH30" s="340"/>
      <c r="CI30" s="340"/>
      <c r="CJ30" s="340"/>
      <c r="CK30" s="340"/>
      <c r="CL30" s="340"/>
      <c r="CM30" s="340"/>
      <c r="CN30" s="340"/>
      <c r="CO30" s="340"/>
      <c r="CP30" s="340"/>
      <c r="CQ30" s="341"/>
      <c r="CR30" s="345"/>
      <c r="CS30" s="340"/>
      <c r="CT30" s="340"/>
      <c r="CU30" s="340"/>
      <c r="CV30" s="340"/>
      <c r="CW30" s="340"/>
      <c r="CX30" s="340"/>
      <c r="CY30" s="340"/>
      <c r="CZ30" s="340"/>
      <c r="DA30" s="340"/>
      <c r="DB30" s="340"/>
      <c r="DC30" s="340"/>
      <c r="DD30" s="341"/>
      <c r="DE30" s="346">
        <f>5142573.53+452789.47+11779910.53-890566.03</f>
        <v>16484707.500000002</v>
      </c>
      <c r="DF30" s="347"/>
      <c r="DG30" s="347"/>
      <c r="DH30" s="347"/>
      <c r="DI30" s="347"/>
      <c r="DJ30" s="347"/>
      <c r="DK30" s="347"/>
      <c r="DL30" s="347"/>
      <c r="DM30" s="347"/>
      <c r="DN30" s="347"/>
      <c r="DO30" s="347"/>
      <c r="DP30" s="347"/>
      <c r="DQ30" s="348"/>
      <c r="DR30" s="346">
        <f>5457000+523422+8709780.95</f>
        <v>14690202.949999999</v>
      </c>
      <c r="DS30" s="347"/>
      <c r="DT30" s="347"/>
      <c r="DU30" s="347"/>
      <c r="DV30" s="347"/>
      <c r="DW30" s="347"/>
      <c r="DX30" s="347"/>
      <c r="DY30" s="347"/>
      <c r="DZ30" s="347"/>
      <c r="EA30" s="347"/>
      <c r="EB30" s="347"/>
      <c r="EC30" s="347"/>
      <c r="ED30" s="348"/>
      <c r="EE30" s="346"/>
      <c r="EF30" s="347"/>
      <c r="EG30" s="347"/>
      <c r="EH30" s="347"/>
      <c r="EI30" s="347"/>
      <c r="EJ30" s="347"/>
      <c r="EK30" s="347"/>
      <c r="EL30" s="347"/>
      <c r="EM30" s="347"/>
      <c r="EN30" s="347"/>
      <c r="EO30" s="347"/>
      <c r="EP30" s="347"/>
      <c r="EQ30" s="348"/>
      <c r="ER30" s="349"/>
      <c r="ES30" s="350"/>
      <c r="ET30" s="350"/>
      <c r="EU30" s="350"/>
      <c r="EV30" s="350"/>
      <c r="EW30" s="350"/>
      <c r="EX30" s="350"/>
      <c r="EY30" s="350"/>
      <c r="EZ30" s="350"/>
      <c r="FA30" s="350"/>
      <c r="FB30" s="351"/>
      <c r="FC30" s="349"/>
      <c r="FD30" s="350"/>
      <c r="FE30" s="350"/>
      <c r="FF30" s="350"/>
      <c r="FG30" s="350"/>
      <c r="FH30" s="350"/>
      <c r="FI30" s="350"/>
      <c r="FJ30" s="350"/>
      <c r="FK30" s="350"/>
      <c r="FL30" s="350"/>
      <c r="FM30" s="350"/>
      <c r="FN30" s="350"/>
      <c r="FO30" s="275"/>
      <c r="FP30" s="275"/>
      <c r="FQ30" s="275">
        <f t="shared" si="0"/>
        <v>14690202.949999999</v>
      </c>
    </row>
    <row r="31" spans="1:173" ht="12" customHeight="1">
      <c r="A31" s="383" t="s">
        <v>194</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5"/>
      <c r="BL31" s="339"/>
      <c r="BM31" s="340"/>
      <c r="BN31" s="340"/>
      <c r="BO31" s="340"/>
      <c r="BP31" s="340"/>
      <c r="BQ31" s="340"/>
      <c r="BR31" s="340"/>
      <c r="BS31" s="341"/>
      <c r="BT31" s="345"/>
      <c r="BU31" s="340"/>
      <c r="BV31" s="340"/>
      <c r="BW31" s="340"/>
      <c r="BX31" s="340"/>
      <c r="BY31" s="340"/>
      <c r="BZ31" s="340"/>
      <c r="CA31" s="340"/>
      <c r="CB31" s="340"/>
      <c r="CC31" s="340"/>
      <c r="CD31" s="340"/>
      <c r="CE31" s="340"/>
      <c r="CF31" s="341"/>
      <c r="CG31" s="345"/>
      <c r="CH31" s="340"/>
      <c r="CI31" s="340"/>
      <c r="CJ31" s="340"/>
      <c r="CK31" s="340"/>
      <c r="CL31" s="340"/>
      <c r="CM31" s="340"/>
      <c r="CN31" s="340"/>
      <c r="CO31" s="340"/>
      <c r="CP31" s="340"/>
      <c r="CQ31" s="341"/>
      <c r="CR31" s="345"/>
      <c r="CS31" s="340"/>
      <c r="CT31" s="340"/>
      <c r="CU31" s="340"/>
      <c r="CV31" s="340"/>
      <c r="CW31" s="340"/>
      <c r="CX31" s="340"/>
      <c r="CY31" s="340"/>
      <c r="CZ31" s="340"/>
      <c r="DA31" s="340"/>
      <c r="DB31" s="340"/>
      <c r="DC31" s="340"/>
      <c r="DD31" s="341"/>
      <c r="DE31" s="346">
        <f>490000-25000-377480+9300</f>
        <v>96820</v>
      </c>
      <c r="DF31" s="347"/>
      <c r="DG31" s="347"/>
      <c r="DH31" s="347"/>
      <c r="DI31" s="347"/>
      <c r="DJ31" s="347"/>
      <c r="DK31" s="347"/>
      <c r="DL31" s="347"/>
      <c r="DM31" s="347"/>
      <c r="DN31" s="347"/>
      <c r="DO31" s="347"/>
      <c r="DP31" s="347"/>
      <c r="DQ31" s="348"/>
      <c r="DR31" s="346">
        <f>100000</f>
        <v>100000</v>
      </c>
      <c r="DS31" s="347"/>
      <c r="DT31" s="347"/>
      <c r="DU31" s="347"/>
      <c r="DV31" s="347"/>
      <c r="DW31" s="347"/>
      <c r="DX31" s="347"/>
      <c r="DY31" s="347"/>
      <c r="DZ31" s="347"/>
      <c r="EA31" s="347"/>
      <c r="EB31" s="347"/>
      <c r="EC31" s="347"/>
      <c r="ED31" s="348"/>
      <c r="EE31" s="346"/>
      <c r="EF31" s="347"/>
      <c r="EG31" s="347"/>
      <c r="EH31" s="347"/>
      <c r="EI31" s="347"/>
      <c r="EJ31" s="347"/>
      <c r="EK31" s="347"/>
      <c r="EL31" s="347"/>
      <c r="EM31" s="347"/>
      <c r="EN31" s="347"/>
      <c r="EO31" s="347"/>
      <c r="EP31" s="347"/>
      <c r="EQ31" s="348"/>
      <c r="ER31" s="349"/>
      <c r="ES31" s="350"/>
      <c r="ET31" s="350"/>
      <c r="EU31" s="350"/>
      <c r="EV31" s="350"/>
      <c r="EW31" s="350"/>
      <c r="EX31" s="350"/>
      <c r="EY31" s="350"/>
      <c r="EZ31" s="350"/>
      <c r="FA31" s="350"/>
      <c r="FB31" s="351"/>
      <c r="FC31" s="349"/>
      <c r="FD31" s="350"/>
      <c r="FE31" s="350"/>
      <c r="FF31" s="350"/>
      <c r="FG31" s="350"/>
      <c r="FH31" s="350"/>
      <c r="FI31" s="350"/>
      <c r="FJ31" s="350"/>
      <c r="FK31" s="350"/>
      <c r="FL31" s="350"/>
      <c r="FM31" s="350"/>
      <c r="FN31" s="350"/>
      <c r="FO31" s="275"/>
      <c r="FP31" s="275"/>
      <c r="FQ31" s="275">
        <f t="shared" si="0"/>
        <v>100000</v>
      </c>
    </row>
    <row r="32" spans="1:173" ht="12" customHeight="1">
      <c r="A32" s="386" t="s">
        <v>27</v>
      </c>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5"/>
      <c r="BK32" s="556"/>
      <c r="BL32" s="339" t="s">
        <v>32</v>
      </c>
      <c r="BM32" s="340"/>
      <c r="BN32" s="340"/>
      <c r="BO32" s="340"/>
      <c r="BP32" s="340"/>
      <c r="BQ32" s="340"/>
      <c r="BR32" s="340"/>
      <c r="BS32" s="341"/>
      <c r="BT32" s="345" t="s">
        <v>31</v>
      </c>
      <c r="BU32" s="340"/>
      <c r="BV32" s="340"/>
      <c r="BW32" s="340"/>
      <c r="BX32" s="340"/>
      <c r="BY32" s="340"/>
      <c r="BZ32" s="340"/>
      <c r="CA32" s="340"/>
      <c r="CB32" s="340"/>
      <c r="CC32" s="340"/>
      <c r="CD32" s="340"/>
      <c r="CE32" s="340"/>
      <c r="CF32" s="341"/>
      <c r="CG32" s="345"/>
      <c r="CH32" s="340"/>
      <c r="CI32" s="340"/>
      <c r="CJ32" s="340"/>
      <c r="CK32" s="340"/>
      <c r="CL32" s="340"/>
      <c r="CM32" s="340"/>
      <c r="CN32" s="340"/>
      <c r="CO32" s="340"/>
      <c r="CP32" s="340"/>
      <c r="CQ32" s="341"/>
      <c r="CR32" s="345"/>
      <c r="CS32" s="340"/>
      <c r="CT32" s="340"/>
      <c r="CU32" s="340"/>
      <c r="CV32" s="340"/>
      <c r="CW32" s="340"/>
      <c r="CX32" s="340"/>
      <c r="CY32" s="340"/>
      <c r="CZ32" s="340"/>
      <c r="DA32" s="340"/>
      <c r="DB32" s="340"/>
      <c r="DC32" s="340"/>
      <c r="DD32" s="341"/>
      <c r="DE32" s="346"/>
      <c r="DF32" s="347"/>
      <c r="DG32" s="347"/>
      <c r="DH32" s="347"/>
      <c r="DI32" s="347"/>
      <c r="DJ32" s="347"/>
      <c r="DK32" s="347"/>
      <c r="DL32" s="347"/>
      <c r="DM32" s="347"/>
      <c r="DN32" s="347"/>
      <c r="DO32" s="347"/>
      <c r="DP32" s="347"/>
      <c r="DQ32" s="348"/>
      <c r="DR32" s="346"/>
      <c r="DS32" s="347"/>
      <c r="DT32" s="347"/>
      <c r="DU32" s="347"/>
      <c r="DV32" s="347"/>
      <c r="DW32" s="347"/>
      <c r="DX32" s="347"/>
      <c r="DY32" s="347"/>
      <c r="DZ32" s="347"/>
      <c r="EA32" s="347"/>
      <c r="EB32" s="347"/>
      <c r="EC32" s="347"/>
      <c r="ED32" s="348"/>
      <c r="EE32" s="346"/>
      <c r="EF32" s="347"/>
      <c r="EG32" s="347"/>
      <c r="EH32" s="347"/>
      <c r="EI32" s="347"/>
      <c r="EJ32" s="347"/>
      <c r="EK32" s="347"/>
      <c r="EL32" s="347"/>
      <c r="EM32" s="347"/>
      <c r="EN32" s="347"/>
      <c r="EO32" s="347"/>
      <c r="EP32" s="347"/>
      <c r="EQ32" s="348"/>
      <c r="ER32" s="349"/>
      <c r="ES32" s="350"/>
      <c r="ET32" s="350"/>
      <c r="EU32" s="350"/>
      <c r="EV32" s="350"/>
      <c r="EW32" s="350"/>
      <c r="EX32" s="350"/>
      <c r="EY32" s="350"/>
      <c r="EZ32" s="350"/>
      <c r="FA32" s="350"/>
      <c r="FB32" s="351"/>
      <c r="FC32" s="352"/>
      <c r="FD32" s="353"/>
      <c r="FE32" s="353"/>
      <c r="FF32" s="353"/>
      <c r="FG32" s="353"/>
      <c r="FH32" s="353"/>
      <c r="FI32" s="353"/>
      <c r="FJ32" s="353"/>
      <c r="FK32" s="353"/>
      <c r="FL32" s="353"/>
      <c r="FO32" s="275"/>
      <c r="FP32" s="275"/>
      <c r="FQ32" s="275">
        <f t="shared" si="0"/>
        <v>0</v>
      </c>
    </row>
    <row r="33" spans="1:173" ht="36" customHeight="1">
      <c r="A33" s="354" t="s">
        <v>286</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5"/>
      <c r="BL33" s="339" t="s">
        <v>272</v>
      </c>
      <c r="BM33" s="340"/>
      <c r="BN33" s="340"/>
      <c r="BO33" s="340"/>
      <c r="BP33" s="340"/>
      <c r="BQ33" s="340"/>
      <c r="BR33" s="340"/>
      <c r="BS33" s="341"/>
      <c r="BT33" s="345" t="s">
        <v>31</v>
      </c>
      <c r="BU33" s="340"/>
      <c r="BV33" s="340"/>
      <c r="BW33" s="340"/>
      <c r="BX33" s="340"/>
      <c r="BY33" s="340"/>
      <c r="BZ33" s="340"/>
      <c r="CA33" s="340"/>
      <c r="CB33" s="340"/>
      <c r="CC33" s="340"/>
      <c r="CD33" s="340"/>
      <c r="CE33" s="340"/>
      <c r="CF33" s="341"/>
      <c r="CG33" s="345" t="s">
        <v>66</v>
      </c>
      <c r="CH33" s="340"/>
      <c r="CI33" s="340"/>
      <c r="CJ33" s="340"/>
      <c r="CK33" s="340"/>
      <c r="CL33" s="340"/>
      <c r="CM33" s="340"/>
      <c r="CN33" s="340"/>
      <c r="CO33" s="340"/>
      <c r="CP33" s="340"/>
      <c r="CQ33" s="341"/>
      <c r="CR33" s="345"/>
      <c r="CS33" s="340"/>
      <c r="CT33" s="340"/>
      <c r="CU33" s="340"/>
      <c r="CV33" s="340"/>
      <c r="CW33" s="340"/>
      <c r="CX33" s="340"/>
      <c r="CY33" s="340"/>
      <c r="CZ33" s="340"/>
      <c r="DA33" s="340"/>
      <c r="DB33" s="340"/>
      <c r="DC33" s="340"/>
      <c r="DD33" s="341"/>
      <c r="DE33" s="499">
        <f>DE29+DE30</f>
        <v>25087707.5</v>
      </c>
      <c r="DF33" s="500"/>
      <c r="DG33" s="500"/>
      <c r="DH33" s="500"/>
      <c r="DI33" s="500"/>
      <c r="DJ33" s="500"/>
      <c r="DK33" s="500"/>
      <c r="DL33" s="500"/>
      <c r="DM33" s="500"/>
      <c r="DN33" s="500"/>
      <c r="DO33" s="500"/>
      <c r="DP33" s="500"/>
      <c r="DQ33" s="501"/>
      <c r="DR33" s="499">
        <f>DR29+DR30</f>
        <v>24635202.949999999</v>
      </c>
      <c r="DS33" s="500"/>
      <c r="DT33" s="500"/>
      <c r="DU33" s="500"/>
      <c r="DV33" s="500"/>
      <c r="DW33" s="500"/>
      <c r="DX33" s="500"/>
      <c r="DY33" s="500"/>
      <c r="DZ33" s="500"/>
      <c r="EA33" s="500"/>
      <c r="EB33" s="500"/>
      <c r="EC33" s="500"/>
      <c r="ED33" s="501"/>
      <c r="EE33" s="499"/>
      <c r="EF33" s="500"/>
      <c r="EG33" s="500"/>
      <c r="EH33" s="500"/>
      <c r="EI33" s="500"/>
      <c r="EJ33" s="500"/>
      <c r="EK33" s="500"/>
      <c r="EL33" s="500"/>
      <c r="EM33" s="500"/>
      <c r="EN33" s="500"/>
      <c r="EO33" s="500"/>
      <c r="EP33" s="500"/>
      <c r="EQ33" s="501"/>
      <c r="ER33" s="349"/>
      <c r="ES33" s="350"/>
      <c r="ET33" s="350"/>
      <c r="EU33" s="350"/>
      <c r="EV33" s="350"/>
      <c r="EW33" s="350"/>
      <c r="EX33" s="350"/>
      <c r="EY33" s="350"/>
      <c r="EZ33" s="350"/>
      <c r="FA33" s="350"/>
      <c r="FB33" s="351"/>
      <c r="FC33" s="352"/>
      <c r="FD33" s="353"/>
      <c r="FE33" s="353"/>
      <c r="FF33" s="353"/>
      <c r="FG33" s="353"/>
      <c r="FH33" s="353"/>
      <c r="FI33" s="353"/>
      <c r="FJ33" s="353"/>
      <c r="FK33" s="353"/>
      <c r="FL33" s="353"/>
      <c r="FO33" s="275"/>
      <c r="FP33" s="275"/>
      <c r="FQ33" s="275">
        <f t="shared" si="0"/>
        <v>24635202.949999999</v>
      </c>
    </row>
    <row r="34" spans="1:173" ht="12" customHeight="1">
      <c r="A34" s="557" t="s">
        <v>194</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6"/>
      <c r="BL34" s="339"/>
      <c r="BM34" s="340"/>
      <c r="BN34" s="340"/>
      <c r="BO34" s="340"/>
      <c r="BP34" s="340"/>
      <c r="BQ34" s="340"/>
      <c r="BR34" s="340"/>
      <c r="BS34" s="341"/>
      <c r="BT34" s="345"/>
      <c r="BU34" s="340"/>
      <c r="BV34" s="340"/>
      <c r="BW34" s="340"/>
      <c r="BX34" s="340"/>
      <c r="BY34" s="340"/>
      <c r="BZ34" s="340"/>
      <c r="CA34" s="340"/>
      <c r="CB34" s="340"/>
      <c r="CC34" s="340"/>
      <c r="CD34" s="340"/>
      <c r="CE34" s="340"/>
      <c r="CF34" s="341"/>
      <c r="CG34" s="345" t="s">
        <v>66</v>
      </c>
      <c r="CH34" s="340"/>
      <c r="CI34" s="340"/>
      <c r="CJ34" s="340"/>
      <c r="CK34" s="340"/>
      <c r="CL34" s="340"/>
      <c r="CM34" s="340"/>
      <c r="CN34" s="340"/>
      <c r="CO34" s="340"/>
      <c r="CP34" s="340"/>
      <c r="CQ34" s="341"/>
      <c r="CR34" s="345"/>
      <c r="CS34" s="340"/>
      <c r="CT34" s="340"/>
      <c r="CU34" s="340"/>
      <c r="CV34" s="340"/>
      <c r="CW34" s="340"/>
      <c r="CX34" s="340"/>
      <c r="CY34" s="340"/>
      <c r="CZ34" s="340"/>
      <c r="DA34" s="340"/>
      <c r="DB34" s="340"/>
      <c r="DC34" s="340"/>
      <c r="DD34" s="341"/>
      <c r="DE34" s="499">
        <f>DE31</f>
        <v>96820</v>
      </c>
      <c r="DF34" s="500"/>
      <c r="DG34" s="500"/>
      <c r="DH34" s="500"/>
      <c r="DI34" s="500"/>
      <c r="DJ34" s="500"/>
      <c r="DK34" s="500"/>
      <c r="DL34" s="500"/>
      <c r="DM34" s="500"/>
      <c r="DN34" s="500"/>
      <c r="DO34" s="500"/>
      <c r="DP34" s="500"/>
      <c r="DQ34" s="501"/>
      <c r="DR34" s="499">
        <f>DR31</f>
        <v>100000</v>
      </c>
      <c r="DS34" s="500"/>
      <c r="DT34" s="500"/>
      <c r="DU34" s="500"/>
      <c r="DV34" s="500"/>
      <c r="DW34" s="500"/>
      <c r="DX34" s="500"/>
      <c r="DY34" s="500"/>
      <c r="DZ34" s="500"/>
      <c r="EA34" s="500"/>
      <c r="EB34" s="500"/>
      <c r="EC34" s="500"/>
      <c r="ED34" s="501"/>
      <c r="EE34" s="499"/>
      <c r="EF34" s="500"/>
      <c r="EG34" s="500"/>
      <c r="EH34" s="500"/>
      <c r="EI34" s="500"/>
      <c r="EJ34" s="500"/>
      <c r="EK34" s="500"/>
      <c r="EL34" s="500"/>
      <c r="EM34" s="500"/>
      <c r="EN34" s="500"/>
      <c r="EO34" s="500"/>
      <c r="EP34" s="500"/>
      <c r="EQ34" s="501"/>
      <c r="ER34" s="349"/>
      <c r="ES34" s="350"/>
      <c r="ET34" s="350"/>
      <c r="EU34" s="350"/>
      <c r="EV34" s="350"/>
      <c r="EW34" s="350"/>
      <c r="EX34" s="350"/>
      <c r="EY34" s="350"/>
      <c r="EZ34" s="350"/>
      <c r="FA34" s="350"/>
      <c r="FB34" s="351"/>
      <c r="FC34" s="352"/>
      <c r="FD34" s="353"/>
      <c r="FE34" s="353"/>
      <c r="FF34" s="353"/>
      <c r="FG34" s="353"/>
      <c r="FH34" s="353"/>
      <c r="FI34" s="353"/>
      <c r="FJ34" s="353"/>
      <c r="FK34" s="353"/>
      <c r="FL34" s="353"/>
      <c r="FO34" s="275"/>
      <c r="FP34" s="275"/>
      <c r="FQ34" s="275">
        <f t="shared" si="0"/>
        <v>100000</v>
      </c>
    </row>
    <row r="35" spans="1:173" ht="12" customHeight="1">
      <c r="A35" s="487" t="s">
        <v>33</v>
      </c>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9"/>
      <c r="BL35" s="460" t="s">
        <v>34</v>
      </c>
      <c r="BM35" s="363"/>
      <c r="BN35" s="363"/>
      <c r="BO35" s="363"/>
      <c r="BP35" s="363"/>
      <c r="BQ35" s="363"/>
      <c r="BR35" s="363"/>
      <c r="BS35" s="364"/>
      <c r="BT35" s="362" t="s">
        <v>35</v>
      </c>
      <c r="BU35" s="363"/>
      <c r="BV35" s="363"/>
      <c r="BW35" s="363"/>
      <c r="BX35" s="363"/>
      <c r="BY35" s="363"/>
      <c r="BZ35" s="363"/>
      <c r="CA35" s="363"/>
      <c r="CB35" s="363"/>
      <c r="CC35" s="363"/>
      <c r="CD35" s="363"/>
      <c r="CE35" s="363"/>
      <c r="CF35" s="364"/>
      <c r="CG35" s="362"/>
      <c r="CH35" s="363"/>
      <c r="CI35" s="363"/>
      <c r="CJ35" s="363"/>
      <c r="CK35" s="363"/>
      <c r="CL35" s="363"/>
      <c r="CM35" s="363"/>
      <c r="CN35" s="363"/>
      <c r="CO35" s="363"/>
      <c r="CP35" s="363"/>
      <c r="CQ35" s="364"/>
      <c r="CR35" s="362"/>
      <c r="CS35" s="363"/>
      <c r="CT35" s="363"/>
      <c r="CU35" s="363"/>
      <c r="CV35" s="363"/>
      <c r="CW35" s="363"/>
      <c r="CX35" s="363"/>
      <c r="CY35" s="363"/>
      <c r="CZ35" s="363"/>
      <c r="DA35" s="363"/>
      <c r="DB35" s="363"/>
      <c r="DC35" s="363"/>
      <c r="DD35" s="364"/>
      <c r="DE35" s="365">
        <f>SUM(DE37:DQ39)</f>
        <v>0</v>
      </c>
      <c r="DF35" s="366"/>
      <c r="DG35" s="366"/>
      <c r="DH35" s="366"/>
      <c r="DI35" s="366"/>
      <c r="DJ35" s="366"/>
      <c r="DK35" s="366"/>
      <c r="DL35" s="366"/>
      <c r="DM35" s="366"/>
      <c r="DN35" s="366"/>
      <c r="DO35" s="366"/>
      <c r="DP35" s="366"/>
      <c r="DQ35" s="367"/>
      <c r="DR35" s="365">
        <f>SUM(DR37:ED39)</f>
        <v>0</v>
      </c>
      <c r="DS35" s="366"/>
      <c r="DT35" s="366"/>
      <c r="DU35" s="366"/>
      <c r="DV35" s="366"/>
      <c r="DW35" s="366"/>
      <c r="DX35" s="366"/>
      <c r="DY35" s="366"/>
      <c r="DZ35" s="366"/>
      <c r="EA35" s="366"/>
      <c r="EB35" s="366"/>
      <c r="EC35" s="366"/>
      <c r="ED35" s="367"/>
      <c r="EE35" s="365"/>
      <c r="EF35" s="366"/>
      <c r="EG35" s="366"/>
      <c r="EH35" s="366"/>
      <c r="EI35" s="366"/>
      <c r="EJ35" s="366"/>
      <c r="EK35" s="366"/>
      <c r="EL35" s="366"/>
      <c r="EM35" s="366"/>
      <c r="EN35" s="366"/>
      <c r="EO35" s="366"/>
      <c r="EP35" s="366"/>
      <c r="EQ35" s="367"/>
      <c r="ER35" s="349"/>
      <c r="ES35" s="350"/>
      <c r="ET35" s="350"/>
      <c r="EU35" s="350"/>
      <c r="EV35" s="350"/>
      <c r="EW35" s="350"/>
      <c r="EX35" s="350"/>
      <c r="EY35" s="350"/>
      <c r="EZ35" s="350"/>
      <c r="FA35" s="350"/>
      <c r="FB35" s="351"/>
      <c r="FC35" s="352"/>
      <c r="FD35" s="353"/>
      <c r="FE35" s="353"/>
      <c r="FF35" s="353"/>
      <c r="FG35" s="353"/>
      <c r="FH35" s="353"/>
      <c r="FI35" s="353"/>
      <c r="FJ35" s="353"/>
      <c r="FK35" s="353"/>
      <c r="FL35" s="353"/>
      <c r="FO35" s="275"/>
      <c r="FP35" s="275"/>
      <c r="FQ35" s="275">
        <f t="shared" si="0"/>
        <v>0</v>
      </c>
    </row>
    <row r="36" spans="1:173" ht="12" customHeight="1">
      <c r="A36" s="386" t="s">
        <v>110</v>
      </c>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6"/>
      <c r="BL36" s="339"/>
      <c r="BM36" s="340"/>
      <c r="BN36" s="340"/>
      <c r="BO36" s="340"/>
      <c r="BP36" s="340"/>
      <c r="BQ36" s="340"/>
      <c r="BR36" s="340"/>
      <c r="BS36" s="341"/>
      <c r="BT36" s="345"/>
      <c r="BU36" s="340"/>
      <c r="BV36" s="340"/>
      <c r="BW36" s="340"/>
      <c r="BX36" s="340"/>
      <c r="BY36" s="340"/>
      <c r="BZ36" s="340"/>
      <c r="CA36" s="340"/>
      <c r="CB36" s="340"/>
      <c r="CC36" s="340"/>
      <c r="CD36" s="340"/>
      <c r="CE36" s="340"/>
      <c r="CF36" s="341"/>
      <c r="CG36" s="345"/>
      <c r="CH36" s="340"/>
      <c r="CI36" s="340"/>
      <c r="CJ36" s="340"/>
      <c r="CK36" s="340"/>
      <c r="CL36" s="340"/>
      <c r="CM36" s="340"/>
      <c r="CN36" s="340"/>
      <c r="CO36" s="340"/>
      <c r="CP36" s="340"/>
      <c r="CQ36" s="341"/>
      <c r="CR36" s="345"/>
      <c r="CS36" s="340"/>
      <c r="CT36" s="340"/>
      <c r="CU36" s="340"/>
      <c r="CV36" s="340"/>
      <c r="CW36" s="340"/>
      <c r="CX36" s="340"/>
      <c r="CY36" s="340"/>
      <c r="CZ36" s="340"/>
      <c r="DA36" s="340"/>
      <c r="DB36" s="340"/>
      <c r="DC36" s="340"/>
      <c r="DD36" s="341"/>
      <c r="DE36" s="346"/>
      <c r="DF36" s="347"/>
      <c r="DG36" s="347"/>
      <c r="DH36" s="347"/>
      <c r="DI36" s="347"/>
      <c r="DJ36" s="347"/>
      <c r="DK36" s="347"/>
      <c r="DL36" s="347"/>
      <c r="DM36" s="347"/>
      <c r="DN36" s="347"/>
      <c r="DO36" s="347"/>
      <c r="DP36" s="347"/>
      <c r="DQ36" s="348"/>
      <c r="DR36" s="346"/>
      <c r="DS36" s="347"/>
      <c r="DT36" s="347"/>
      <c r="DU36" s="347"/>
      <c r="DV36" s="347"/>
      <c r="DW36" s="347"/>
      <c r="DX36" s="347"/>
      <c r="DY36" s="347"/>
      <c r="DZ36" s="347"/>
      <c r="EA36" s="347"/>
      <c r="EB36" s="347"/>
      <c r="EC36" s="347"/>
      <c r="ED36" s="348"/>
      <c r="EE36" s="346"/>
      <c r="EF36" s="347"/>
      <c r="EG36" s="347"/>
      <c r="EH36" s="347"/>
      <c r="EI36" s="347"/>
      <c r="EJ36" s="347"/>
      <c r="EK36" s="347"/>
      <c r="EL36" s="347"/>
      <c r="EM36" s="347"/>
      <c r="EN36" s="347"/>
      <c r="EO36" s="347"/>
      <c r="EP36" s="347"/>
      <c r="EQ36" s="348"/>
      <c r="ER36" s="349"/>
      <c r="ES36" s="350"/>
      <c r="ET36" s="350"/>
      <c r="EU36" s="350"/>
      <c r="EV36" s="350"/>
      <c r="EW36" s="350"/>
      <c r="EX36" s="350"/>
      <c r="EY36" s="350"/>
      <c r="EZ36" s="350"/>
      <c r="FA36" s="350"/>
      <c r="FB36" s="351"/>
      <c r="FC36" s="349"/>
      <c r="FD36" s="350"/>
      <c r="FE36" s="350"/>
      <c r="FF36" s="350"/>
      <c r="FG36" s="350"/>
      <c r="FH36" s="350"/>
      <c r="FI36" s="350"/>
      <c r="FJ36" s="350"/>
      <c r="FK36" s="350"/>
      <c r="FL36" s="350"/>
      <c r="FM36" s="350"/>
      <c r="FN36" s="350"/>
      <c r="FO36" s="275"/>
      <c r="FP36" s="275"/>
      <c r="FQ36" s="275">
        <f t="shared" si="0"/>
        <v>0</v>
      </c>
    </row>
    <row r="37" spans="1:173" ht="12" customHeight="1">
      <c r="A37" s="386" t="s">
        <v>284</v>
      </c>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6"/>
      <c r="BL37" s="339"/>
      <c r="BM37" s="340"/>
      <c r="BN37" s="340"/>
      <c r="BO37" s="340"/>
      <c r="BP37" s="340"/>
      <c r="BQ37" s="340"/>
      <c r="BR37" s="340"/>
      <c r="BS37" s="341"/>
      <c r="BT37" s="345"/>
      <c r="BU37" s="340"/>
      <c r="BV37" s="340"/>
      <c r="BW37" s="340"/>
      <c r="BX37" s="340"/>
      <c r="BY37" s="340"/>
      <c r="BZ37" s="340"/>
      <c r="CA37" s="340"/>
      <c r="CB37" s="340"/>
      <c r="CC37" s="340"/>
      <c r="CD37" s="340"/>
      <c r="CE37" s="340"/>
      <c r="CF37" s="341"/>
      <c r="CG37" s="345"/>
      <c r="CH37" s="340"/>
      <c r="CI37" s="340"/>
      <c r="CJ37" s="340"/>
      <c r="CK37" s="340"/>
      <c r="CL37" s="340"/>
      <c r="CM37" s="340"/>
      <c r="CN37" s="340"/>
      <c r="CO37" s="340"/>
      <c r="CP37" s="340"/>
      <c r="CQ37" s="341"/>
      <c r="CR37" s="345"/>
      <c r="CS37" s="340"/>
      <c r="CT37" s="340"/>
      <c r="CU37" s="340"/>
      <c r="CV37" s="340"/>
      <c r="CW37" s="340"/>
      <c r="CX37" s="340"/>
      <c r="CY37" s="340"/>
      <c r="CZ37" s="340"/>
      <c r="DA37" s="340"/>
      <c r="DB37" s="340"/>
      <c r="DC37" s="340"/>
      <c r="DD37" s="341"/>
      <c r="DE37" s="346">
        <v>0</v>
      </c>
      <c r="DF37" s="347"/>
      <c r="DG37" s="347"/>
      <c r="DH37" s="347"/>
      <c r="DI37" s="347"/>
      <c r="DJ37" s="347"/>
      <c r="DK37" s="347"/>
      <c r="DL37" s="347"/>
      <c r="DM37" s="347"/>
      <c r="DN37" s="347"/>
      <c r="DO37" s="347"/>
      <c r="DP37" s="347"/>
      <c r="DQ37" s="348"/>
      <c r="DR37" s="346">
        <v>0</v>
      </c>
      <c r="DS37" s="347"/>
      <c r="DT37" s="347"/>
      <c r="DU37" s="347"/>
      <c r="DV37" s="347"/>
      <c r="DW37" s="347"/>
      <c r="DX37" s="347"/>
      <c r="DY37" s="347"/>
      <c r="DZ37" s="347"/>
      <c r="EA37" s="347"/>
      <c r="EB37" s="347"/>
      <c r="EC37" s="347"/>
      <c r="ED37" s="348"/>
      <c r="EE37" s="346"/>
      <c r="EF37" s="347"/>
      <c r="EG37" s="347"/>
      <c r="EH37" s="347"/>
      <c r="EI37" s="347"/>
      <c r="EJ37" s="347"/>
      <c r="EK37" s="347"/>
      <c r="EL37" s="347"/>
      <c r="EM37" s="347"/>
      <c r="EN37" s="347"/>
      <c r="EO37" s="347"/>
      <c r="EP37" s="347"/>
      <c r="EQ37" s="348"/>
      <c r="ER37" s="349"/>
      <c r="ES37" s="350"/>
      <c r="ET37" s="350"/>
      <c r="EU37" s="350"/>
      <c r="EV37" s="350"/>
      <c r="EW37" s="350"/>
      <c r="EX37" s="350"/>
      <c r="EY37" s="350"/>
      <c r="EZ37" s="350"/>
      <c r="FA37" s="350"/>
      <c r="FB37" s="351"/>
      <c r="FC37" s="349"/>
      <c r="FD37" s="350"/>
      <c r="FE37" s="350"/>
      <c r="FF37" s="350"/>
      <c r="FG37" s="350"/>
      <c r="FH37" s="350"/>
      <c r="FI37" s="350"/>
      <c r="FJ37" s="350"/>
      <c r="FK37" s="350"/>
      <c r="FL37" s="350"/>
      <c r="FM37" s="350"/>
      <c r="FN37" s="350"/>
      <c r="FO37" s="275"/>
      <c r="FP37" s="275"/>
      <c r="FQ37" s="275">
        <f t="shared" si="0"/>
        <v>0</v>
      </c>
    </row>
    <row r="38" spans="1:173" ht="12" customHeight="1">
      <c r="A38" s="469" t="s">
        <v>282</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8"/>
      <c r="BL38" s="339"/>
      <c r="BM38" s="340"/>
      <c r="BN38" s="340"/>
      <c r="BO38" s="340"/>
      <c r="BP38" s="340"/>
      <c r="BQ38" s="340"/>
      <c r="BR38" s="340"/>
      <c r="BS38" s="341"/>
      <c r="BT38" s="345"/>
      <c r="BU38" s="340"/>
      <c r="BV38" s="340"/>
      <c r="BW38" s="340"/>
      <c r="BX38" s="340"/>
      <c r="BY38" s="340"/>
      <c r="BZ38" s="340"/>
      <c r="CA38" s="340"/>
      <c r="CB38" s="340"/>
      <c r="CC38" s="340"/>
      <c r="CD38" s="340"/>
      <c r="CE38" s="340"/>
      <c r="CF38" s="341"/>
      <c r="CG38" s="345"/>
      <c r="CH38" s="340"/>
      <c r="CI38" s="340"/>
      <c r="CJ38" s="340"/>
      <c r="CK38" s="340"/>
      <c r="CL38" s="340"/>
      <c r="CM38" s="340"/>
      <c r="CN38" s="340"/>
      <c r="CO38" s="340"/>
      <c r="CP38" s="340"/>
      <c r="CQ38" s="341"/>
      <c r="CR38" s="345"/>
      <c r="CS38" s="340"/>
      <c r="CT38" s="340"/>
      <c r="CU38" s="340"/>
      <c r="CV38" s="340"/>
      <c r="CW38" s="340"/>
      <c r="CX38" s="340"/>
      <c r="CY38" s="340"/>
      <c r="CZ38" s="340"/>
      <c r="DA38" s="340"/>
      <c r="DB38" s="340"/>
      <c r="DC38" s="340"/>
      <c r="DD38" s="341"/>
      <c r="DE38" s="346">
        <f>SUM(DE47)</f>
        <v>0</v>
      </c>
      <c r="DF38" s="347"/>
      <c r="DG38" s="347"/>
      <c r="DH38" s="347"/>
      <c r="DI38" s="347"/>
      <c r="DJ38" s="347"/>
      <c r="DK38" s="347"/>
      <c r="DL38" s="347"/>
      <c r="DM38" s="347"/>
      <c r="DN38" s="347"/>
      <c r="DO38" s="347"/>
      <c r="DP38" s="347"/>
      <c r="DQ38" s="348"/>
      <c r="DR38" s="346">
        <f>SUM(DR47)</f>
        <v>0</v>
      </c>
      <c r="DS38" s="347"/>
      <c r="DT38" s="347"/>
      <c r="DU38" s="347"/>
      <c r="DV38" s="347"/>
      <c r="DW38" s="347"/>
      <c r="DX38" s="347"/>
      <c r="DY38" s="347"/>
      <c r="DZ38" s="347"/>
      <c r="EA38" s="347"/>
      <c r="EB38" s="347"/>
      <c r="EC38" s="347"/>
      <c r="ED38" s="348"/>
      <c r="EE38" s="346"/>
      <c r="EF38" s="347"/>
      <c r="EG38" s="347"/>
      <c r="EH38" s="347"/>
      <c r="EI38" s="347"/>
      <c r="EJ38" s="347"/>
      <c r="EK38" s="347"/>
      <c r="EL38" s="347"/>
      <c r="EM38" s="347"/>
      <c r="EN38" s="347"/>
      <c r="EO38" s="347"/>
      <c r="EP38" s="347"/>
      <c r="EQ38" s="348"/>
      <c r="ER38" s="349"/>
      <c r="ES38" s="350"/>
      <c r="ET38" s="350"/>
      <c r="EU38" s="350"/>
      <c r="EV38" s="350"/>
      <c r="EW38" s="350"/>
      <c r="EX38" s="350"/>
      <c r="EY38" s="350"/>
      <c r="EZ38" s="350"/>
      <c r="FA38" s="350"/>
      <c r="FB38" s="351"/>
      <c r="FC38" s="349"/>
      <c r="FD38" s="350"/>
      <c r="FE38" s="350"/>
      <c r="FF38" s="350"/>
      <c r="FG38" s="350"/>
      <c r="FH38" s="350"/>
      <c r="FI38" s="350"/>
      <c r="FJ38" s="350"/>
      <c r="FK38" s="350"/>
      <c r="FL38" s="350"/>
      <c r="FM38" s="350"/>
      <c r="FN38" s="350"/>
      <c r="FO38" s="275"/>
      <c r="FP38" s="275"/>
      <c r="FQ38" s="275">
        <f t="shared" si="0"/>
        <v>0</v>
      </c>
    </row>
    <row r="39" spans="1:173" ht="12" customHeight="1">
      <c r="A39" s="383" t="s">
        <v>194</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5"/>
      <c r="BL39" s="339"/>
      <c r="BM39" s="340"/>
      <c r="BN39" s="340"/>
      <c r="BO39" s="340"/>
      <c r="BP39" s="340"/>
      <c r="BQ39" s="340"/>
      <c r="BR39" s="340"/>
      <c r="BS39" s="341"/>
      <c r="BT39" s="345"/>
      <c r="BU39" s="340"/>
      <c r="BV39" s="340"/>
      <c r="BW39" s="340"/>
      <c r="BX39" s="340"/>
      <c r="BY39" s="340"/>
      <c r="BZ39" s="340"/>
      <c r="CA39" s="340"/>
      <c r="CB39" s="340"/>
      <c r="CC39" s="340"/>
      <c r="CD39" s="340"/>
      <c r="CE39" s="340"/>
      <c r="CF39" s="341"/>
      <c r="CG39" s="345"/>
      <c r="CH39" s="340"/>
      <c r="CI39" s="340"/>
      <c r="CJ39" s="340"/>
      <c r="CK39" s="340"/>
      <c r="CL39" s="340"/>
      <c r="CM39" s="340"/>
      <c r="CN39" s="340"/>
      <c r="CO39" s="340"/>
      <c r="CP39" s="340"/>
      <c r="CQ39" s="341"/>
      <c r="CR39" s="345"/>
      <c r="CS39" s="340"/>
      <c r="CT39" s="340"/>
      <c r="CU39" s="340"/>
      <c r="CV39" s="340"/>
      <c r="CW39" s="340"/>
      <c r="CX39" s="340"/>
      <c r="CY39" s="340"/>
      <c r="CZ39" s="340"/>
      <c r="DA39" s="340"/>
      <c r="DB39" s="340"/>
      <c r="DC39" s="340"/>
      <c r="DD39" s="341"/>
      <c r="DE39" s="346">
        <v>0</v>
      </c>
      <c r="DF39" s="347"/>
      <c r="DG39" s="347"/>
      <c r="DH39" s="347"/>
      <c r="DI39" s="347"/>
      <c r="DJ39" s="347"/>
      <c r="DK39" s="347"/>
      <c r="DL39" s="347"/>
      <c r="DM39" s="347"/>
      <c r="DN39" s="347"/>
      <c r="DO39" s="347"/>
      <c r="DP39" s="347"/>
      <c r="DQ39" s="348"/>
      <c r="DR39" s="346">
        <v>0</v>
      </c>
      <c r="DS39" s="347"/>
      <c r="DT39" s="347"/>
      <c r="DU39" s="347"/>
      <c r="DV39" s="347"/>
      <c r="DW39" s="347"/>
      <c r="DX39" s="347"/>
      <c r="DY39" s="347"/>
      <c r="DZ39" s="347"/>
      <c r="EA39" s="347"/>
      <c r="EB39" s="347"/>
      <c r="EC39" s="347"/>
      <c r="ED39" s="348"/>
      <c r="EE39" s="346"/>
      <c r="EF39" s="347"/>
      <c r="EG39" s="347"/>
      <c r="EH39" s="347"/>
      <c r="EI39" s="347"/>
      <c r="EJ39" s="347"/>
      <c r="EK39" s="347"/>
      <c r="EL39" s="347"/>
      <c r="EM39" s="347"/>
      <c r="EN39" s="347"/>
      <c r="EO39" s="347"/>
      <c r="EP39" s="347"/>
      <c r="EQ39" s="348"/>
      <c r="ER39" s="349"/>
      <c r="ES39" s="350"/>
      <c r="ET39" s="350"/>
      <c r="EU39" s="350"/>
      <c r="EV39" s="350"/>
      <c r="EW39" s="350"/>
      <c r="EX39" s="350"/>
      <c r="EY39" s="350"/>
      <c r="EZ39" s="350"/>
      <c r="FA39" s="350"/>
      <c r="FB39" s="351"/>
      <c r="FC39" s="349"/>
      <c r="FD39" s="350"/>
      <c r="FE39" s="350"/>
      <c r="FF39" s="350"/>
      <c r="FG39" s="350"/>
      <c r="FH39" s="350"/>
      <c r="FI39" s="350"/>
      <c r="FJ39" s="350"/>
      <c r="FK39" s="350"/>
      <c r="FL39" s="350"/>
      <c r="FM39" s="350"/>
      <c r="FN39" s="350"/>
      <c r="FO39" s="275"/>
      <c r="FP39" s="275"/>
      <c r="FQ39" s="275">
        <f t="shared" si="0"/>
        <v>0</v>
      </c>
    </row>
    <row r="40" spans="1:173" ht="12" customHeight="1">
      <c r="A40" s="557" t="s">
        <v>27</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6"/>
      <c r="BL40" s="339" t="s">
        <v>287</v>
      </c>
      <c r="BM40" s="340"/>
      <c r="BN40" s="340"/>
      <c r="BO40" s="340"/>
      <c r="BP40" s="340"/>
      <c r="BQ40" s="340"/>
      <c r="BR40" s="340"/>
      <c r="BS40" s="341"/>
      <c r="BT40" s="345" t="s">
        <v>35</v>
      </c>
      <c r="BU40" s="340"/>
      <c r="BV40" s="340"/>
      <c r="BW40" s="340"/>
      <c r="BX40" s="340"/>
      <c r="BY40" s="340"/>
      <c r="BZ40" s="340"/>
      <c r="CA40" s="340"/>
      <c r="CB40" s="340"/>
      <c r="CC40" s="340"/>
      <c r="CD40" s="340"/>
      <c r="CE40" s="340"/>
      <c r="CF40" s="341"/>
      <c r="CG40" s="345"/>
      <c r="CH40" s="340"/>
      <c r="CI40" s="340"/>
      <c r="CJ40" s="340"/>
      <c r="CK40" s="340"/>
      <c r="CL40" s="340"/>
      <c r="CM40" s="340"/>
      <c r="CN40" s="340"/>
      <c r="CO40" s="340"/>
      <c r="CP40" s="340"/>
      <c r="CQ40" s="341"/>
      <c r="CR40" s="345"/>
      <c r="CS40" s="340"/>
      <c r="CT40" s="340"/>
      <c r="CU40" s="340"/>
      <c r="CV40" s="340"/>
      <c r="CW40" s="340"/>
      <c r="CX40" s="340"/>
      <c r="CY40" s="340"/>
      <c r="CZ40" s="340"/>
      <c r="DA40" s="340"/>
      <c r="DB40" s="340"/>
      <c r="DC40" s="340"/>
      <c r="DD40" s="341"/>
      <c r="DE40" s="346"/>
      <c r="DF40" s="347"/>
      <c r="DG40" s="347"/>
      <c r="DH40" s="347"/>
      <c r="DI40" s="347"/>
      <c r="DJ40" s="347"/>
      <c r="DK40" s="347"/>
      <c r="DL40" s="347"/>
      <c r="DM40" s="347"/>
      <c r="DN40" s="347"/>
      <c r="DO40" s="347"/>
      <c r="DP40" s="347"/>
      <c r="DQ40" s="348"/>
      <c r="DR40" s="346"/>
      <c r="DS40" s="347"/>
      <c r="DT40" s="347"/>
      <c r="DU40" s="347"/>
      <c r="DV40" s="347"/>
      <c r="DW40" s="347"/>
      <c r="DX40" s="347"/>
      <c r="DY40" s="347"/>
      <c r="DZ40" s="347"/>
      <c r="EA40" s="347"/>
      <c r="EB40" s="347"/>
      <c r="EC40" s="347"/>
      <c r="ED40" s="348"/>
      <c r="EE40" s="346"/>
      <c r="EF40" s="347"/>
      <c r="EG40" s="347"/>
      <c r="EH40" s="347"/>
      <c r="EI40" s="347"/>
      <c r="EJ40" s="347"/>
      <c r="EK40" s="347"/>
      <c r="EL40" s="347"/>
      <c r="EM40" s="347"/>
      <c r="EN40" s="347"/>
      <c r="EO40" s="347"/>
      <c r="EP40" s="347"/>
      <c r="EQ40" s="348"/>
      <c r="ER40" s="349"/>
      <c r="ES40" s="350"/>
      <c r="ET40" s="350"/>
      <c r="EU40" s="350"/>
      <c r="EV40" s="350"/>
      <c r="EW40" s="350"/>
      <c r="EX40" s="350"/>
      <c r="EY40" s="350"/>
      <c r="EZ40" s="350"/>
      <c r="FA40" s="350"/>
      <c r="FB40" s="351"/>
      <c r="FC40" s="349"/>
      <c r="FD40" s="350"/>
      <c r="FE40" s="350"/>
      <c r="FF40" s="350"/>
      <c r="FG40" s="350"/>
      <c r="FH40" s="350"/>
      <c r="FI40" s="350"/>
      <c r="FJ40" s="350"/>
      <c r="FK40" s="350"/>
      <c r="FL40" s="350"/>
      <c r="FM40" s="350"/>
      <c r="FN40" s="350"/>
      <c r="FO40" s="275"/>
      <c r="FP40" s="275"/>
      <c r="FQ40" s="275">
        <f t="shared" si="0"/>
        <v>0</v>
      </c>
    </row>
    <row r="41" spans="1:173" ht="12" customHeight="1">
      <c r="A41" s="386"/>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c r="BI41" s="550"/>
      <c r="BJ41" s="550"/>
      <c r="BK41" s="551"/>
      <c r="BL41" s="339"/>
      <c r="BM41" s="340"/>
      <c r="BN41" s="340"/>
      <c r="BO41" s="340"/>
      <c r="BP41" s="340"/>
      <c r="BQ41" s="340"/>
      <c r="BR41" s="340"/>
      <c r="BS41" s="341"/>
      <c r="BT41" s="345"/>
      <c r="BU41" s="340"/>
      <c r="BV41" s="340"/>
      <c r="BW41" s="340"/>
      <c r="BX41" s="340"/>
      <c r="BY41" s="340"/>
      <c r="BZ41" s="340"/>
      <c r="CA41" s="340"/>
      <c r="CB41" s="340"/>
      <c r="CC41" s="340"/>
      <c r="CD41" s="340"/>
      <c r="CE41" s="340"/>
      <c r="CF41" s="341"/>
      <c r="CG41" s="345"/>
      <c r="CH41" s="340"/>
      <c r="CI41" s="340"/>
      <c r="CJ41" s="340"/>
      <c r="CK41" s="340"/>
      <c r="CL41" s="340"/>
      <c r="CM41" s="340"/>
      <c r="CN41" s="340"/>
      <c r="CO41" s="340"/>
      <c r="CP41" s="340"/>
      <c r="CQ41" s="341"/>
      <c r="CR41" s="345"/>
      <c r="CS41" s="340"/>
      <c r="CT41" s="340"/>
      <c r="CU41" s="340"/>
      <c r="CV41" s="340"/>
      <c r="CW41" s="340"/>
      <c r="CX41" s="340"/>
      <c r="CY41" s="340"/>
      <c r="CZ41" s="340"/>
      <c r="DA41" s="340"/>
      <c r="DB41" s="340"/>
      <c r="DC41" s="340"/>
      <c r="DD41" s="341"/>
      <c r="DE41" s="346"/>
      <c r="DF41" s="347"/>
      <c r="DG41" s="347"/>
      <c r="DH41" s="347"/>
      <c r="DI41" s="347"/>
      <c r="DJ41" s="347"/>
      <c r="DK41" s="347"/>
      <c r="DL41" s="347"/>
      <c r="DM41" s="347"/>
      <c r="DN41" s="347"/>
      <c r="DO41" s="347"/>
      <c r="DP41" s="347"/>
      <c r="DQ41" s="348"/>
      <c r="DR41" s="346"/>
      <c r="DS41" s="347"/>
      <c r="DT41" s="347"/>
      <c r="DU41" s="347"/>
      <c r="DV41" s="347"/>
      <c r="DW41" s="347"/>
      <c r="DX41" s="347"/>
      <c r="DY41" s="347"/>
      <c r="DZ41" s="347"/>
      <c r="EA41" s="347"/>
      <c r="EB41" s="347"/>
      <c r="EC41" s="347"/>
      <c r="ED41" s="348"/>
      <c r="EE41" s="346"/>
      <c r="EF41" s="347"/>
      <c r="EG41" s="347"/>
      <c r="EH41" s="347"/>
      <c r="EI41" s="347"/>
      <c r="EJ41" s="347"/>
      <c r="EK41" s="347"/>
      <c r="EL41" s="347"/>
      <c r="EM41" s="347"/>
      <c r="EN41" s="347"/>
      <c r="EO41" s="347"/>
      <c r="EP41" s="347"/>
      <c r="EQ41" s="348"/>
      <c r="ER41" s="349"/>
      <c r="ES41" s="350"/>
      <c r="ET41" s="350"/>
      <c r="EU41" s="350"/>
      <c r="EV41" s="350"/>
      <c r="EW41" s="350"/>
      <c r="EX41" s="350"/>
      <c r="EY41" s="350"/>
      <c r="EZ41" s="350"/>
      <c r="FA41" s="350"/>
      <c r="FB41" s="351"/>
      <c r="FC41" s="349"/>
      <c r="FD41" s="350"/>
      <c r="FE41" s="350"/>
      <c r="FF41" s="350"/>
      <c r="FG41" s="350"/>
      <c r="FH41" s="350"/>
      <c r="FI41" s="350"/>
      <c r="FJ41" s="350"/>
      <c r="FK41" s="350"/>
      <c r="FL41" s="350"/>
      <c r="FM41" s="350"/>
      <c r="FN41" s="350"/>
      <c r="FO41" s="275"/>
      <c r="FP41" s="275"/>
      <c r="FQ41" s="275">
        <f t="shared" si="0"/>
        <v>0</v>
      </c>
    </row>
    <row r="42" spans="1:173" ht="12" customHeight="1">
      <c r="A42" s="487" t="s">
        <v>36</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9"/>
      <c r="BL42" s="460" t="s">
        <v>37</v>
      </c>
      <c r="BM42" s="363"/>
      <c r="BN42" s="363"/>
      <c r="BO42" s="363"/>
      <c r="BP42" s="363"/>
      <c r="BQ42" s="363"/>
      <c r="BR42" s="363"/>
      <c r="BS42" s="364"/>
      <c r="BT42" s="362" t="s">
        <v>38</v>
      </c>
      <c r="BU42" s="363"/>
      <c r="BV42" s="363"/>
      <c r="BW42" s="363"/>
      <c r="BX42" s="363"/>
      <c r="BY42" s="363"/>
      <c r="BZ42" s="363"/>
      <c r="CA42" s="363"/>
      <c r="CB42" s="363"/>
      <c r="CC42" s="363"/>
      <c r="CD42" s="363"/>
      <c r="CE42" s="363"/>
      <c r="CF42" s="364"/>
      <c r="CG42" s="362"/>
      <c r="CH42" s="363"/>
      <c r="CI42" s="363"/>
      <c r="CJ42" s="363"/>
      <c r="CK42" s="363"/>
      <c r="CL42" s="363"/>
      <c r="CM42" s="363"/>
      <c r="CN42" s="363"/>
      <c r="CO42" s="363"/>
      <c r="CP42" s="363"/>
      <c r="CQ42" s="364"/>
      <c r="CR42" s="362"/>
      <c r="CS42" s="363"/>
      <c r="CT42" s="363"/>
      <c r="CU42" s="363"/>
      <c r="CV42" s="363"/>
      <c r="CW42" s="363"/>
      <c r="CX42" s="363"/>
      <c r="CY42" s="363"/>
      <c r="CZ42" s="363"/>
      <c r="DA42" s="363"/>
      <c r="DB42" s="363"/>
      <c r="DC42" s="363"/>
      <c r="DD42" s="364"/>
      <c r="DE42" s="365">
        <f>SUM(DE44:DQ46)</f>
        <v>0</v>
      </c>
      <c r="DF42" s="366"/>
      <c r="DG42" s="366"/>
      <c r="DH42" s="366"/>
      <c r="DI42" s="366"/>
      <c r="DJ42" s="366"/>
      <c r="DK42" s="366"/>
      <c r="DL42" s="366"/>
      <c r="DM42" s="366"/>
      <c r="DN42" s="366"/>
      <c r="DO42" s="366"/>
      <c r="DP42" s="366"/>
      <c r="DQ42" s="367"/>
      <c r="DR42" s="365">
        <f>SUM(DR44:ED46)</f>
        <v>3237850.9</v>
      </c>
      <c r="DS42" s="366"/>
      <c r="DT42" s="366"/>
      <c r="DU42" s="366"/>
      <c r="DV42" s="366"/>
      <c r="DW42" s="366"/>
      <c r="DX42" s="366"/>
      <c r="DY42" s="366"/>
      <c r="DZ42" s="366"/>
      <c r="EA42" s="366"/>
      <c r="EB42" s="366"/>
      <c r="EC42" s="366"/>
      <c r="ED42" s="367"/>
      <c r="EE42" s="365"/>
      <c r="EF42" s="366"/>
      <c r="EG42" s="366"/>
      <c r="EH42" s="366"/>
      <c r="EI42" s="366"/>
      <c r="EJ42" s="366"/>
      <c r="EK42" s="366"/>
      <c r="EL42" s="366"/>
      <c r="EM42" s="366"/>
      <c r="EN42" s="366"/>
      <c r="EO42" s="366"/>
      <c r="EP42" s="366"/>
      <c r="EQ42" s="367"/>
      <c r="ER42" s="349"/>
      <c r="ES42" s="350"/>
      <c r="ET42" s="350"/>
      <c r="EU42" s="350"/>
      <c r="EV42" s="350"/>
      <c r="EW42" s="350"/>
      <c r="EX42" s="350"/>
      <c r="EY42" s="350"/>
      <c r="EZ42" s="350"/>
      <c r="FA42" s="350"/>
      <c r="FB42" s="351"/>
      <c r="FC42" s="352"/>
      <c r="FD42" s="353"/>
      <c r="FE42" s="353"/>
      <c r="FF42" s="353"/>
      <c r="FG42" s="353"/>
      <c r="FH42" s="353"/>
      <c r="FI42" s="353"/>
      <c r="FJ42" s="353"/>
      <c r="FK42" s="353"/>
      <c r="FL42" s="353"/>
      <c r="FO42" s="275"/>
      <c r="FP42" s="275"/>
      <c r="FQ42" s="275">
        <f t="shared" si="0"/>
        <v>3237850.9</v>
      </c>
    </row>
    <row r="43" spans="1:173" ht="12" customHeight="1">
      <c r="A43" s="386" t="s">
        <v>110</v>
      </c>
      <c r="B43" s="555"/>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5"/>
      <c r="AY43" s="555"/>
      <c r="AZ43" s="555"/>
      <c r="BA43" s="555"/>
      <c r="BB43" s="555"/>
      <c r="BC43" s="555"/>
      <c r="BD43" s="555"/>
      <c r="BE43" s="555"/>
      <c r="BF43" s="555"/>
      <c r="BG43" s="555"/>
      <c r="BH43" s="555"/>
      <c r="BI43" s="555"/>
      <c r="BJ43" s="555"/>
      <c r="BK43" s="556"/>
      <c r="BL43" s="339"/>
      <c r="BM43" s="340"/>
      <c r="BN43" s="340"/>
      <c r="BO43" s="340"/>
      <c r="BP43" s="340"/>
      <c r="BQ43" s="340"/>
      <c r="BR43" s="340"/>
      <c r="BS43" s="341"/>
      <c r="BT43" s="345"/>
      <c r="BU43" s="340"/>
      <c r="BV43" s="340"/>
      <c r="BW43" s="340"/>
      <c r="BX43" s="340"/>
      <c r="BY43" s="340"/>
      <c r="BZ43" s="340"/>
      <c r="CA43" s="340"/>
      <c r="CB43" s="340"/>
      <c r="CC43" s="340"/>
      <c r="CD43" s="340"/>
      <c r="CE43" s="340"/>
      <c r="CF43" s="341"/>
      <c r="CG43" s="345"/>
      <c r="CH43" s="340"/>
      <c r="CI43" s="340"/>
      <c r="CJ43" s="340"/>
      <c r="CK43" s="340"/>
      <c r="CL43" s="340"/>
      <c r="CM43" s="340"/>
      <c r="CN43" s="340"/>
      <c r="CO43" s="340"/>
      <c r="CP43" s="340"/>
      <c r="CQ43" s="341"/>
      <c r="CR43" s="345"/>
      <c r="CS43" s="340"/>
      <c r="CT43" s="340"/>
      <c r="CU43" s="340"/>
      <c r="CV43" s="340"/>
      <c r="CW43" s="340"/>
      <c r="CX43" s="340"/>
      <c r="CY43" s="340"/>
      <c r="CZ43" s="340"/>
      <c r="DA43" s="340"/>
      <c r="DB43" s="340"/>
      <c r="DC43" s="340"/>
      <c r="DD43" s="341"/>
      <c r="DE43" s="346"/>
      <c r="DF43" s="347"/>
      <c r="DG43" s="347"/>
      <c r="DH43" s="347"/>
      <c r="DI43" s="347"/>
      <c r="DJ43" s="347"/>
      <c r="DK43" s="347"/>
      <c r="DL43" s="347"/>
      <c r="DM43" s="347"/>
      <c r="DN43" s="347"/>
      <c r="DO43" s="347"/>
      <c r="DP43" s="347"/>
      <c r="DQ43" s="348"/>
      <c r="DR43" s="346"/>
      <c r="DS43" s="347"/>
      <c r="DT43" s="347"/>
      <c r="DU43" s="347"/>
      <c r="DV43" s="347"/>
      <c r="DW43" s="347"/>
      <c r="DX43" s="347"/>
      <c r="DY43" s="347"/>
      <c r="DZ43" s="347"/>
      <c r="EA43" s="347"/>
      <c r="EB43" s="347"/>
      <c r="EC43" s="347"/>
      <c r="ED43" s="348"/>
      <c r="EE43" s="346"/>
      <c r="EF43" s="347"/>
      <c r="EG43" s="347"/>
      <c r="EH43" s="347"/>
      <c r="EI43" s="347"/>
      <c r="EJ43" s="347"/>
      <c r="EK43" s="347"/>
      <c r="EL43" s="347"/>
      <c r="EM43" s="347"/>
      <c r="EN43" s="347"/>
      <c r="EO43" s="347"/>
      <c r="EP43" s="347"/>
      <c r="EQ43" s="348"/>
      <c r="ER43" s="349"/>
      <c r="ES43" s="350"/>
      <c r="ET43" s="350"/>
      <c r="EU43" s="350"/>
      <c r="EV43" s="350"/>
      <c r="EW43" s="350"/>
      <c r="EX43" s="350"/>
      <c r="EY43" s="350"/>
      <c r="EZ43" s="350"/>
      <c r="FA43" s="350"/>
      <c r="FB43" s="351"/>
      <c r="FC43" s="349"/>
      <c r="FD43" s="350"/>
      <c r="FE43" s="350"/>
      <c r="FF43" s="350"/>
      <c r="FG43" s="350"/>
      <c r="FH43" s="350"/>
      <c r="FI43" s="350"/>
      <c r="FJ43" s="350"/>
      <c r="FK43" s="350"/>
      <c r="FL43" s="350"/>
      <c r="FM43" s="350"/>
      <c r="FN43" s="350"/>
      <c r="FO43" s="275"/>
      <c r="FP43" s="275"/>
      <c r="FQ43" s="275">
        <f t="shared" si="0"/>
        <v>0</v>
      </c>
    </row>
    <row r="44" spans="1:173" ht="12" customHeight="1">
      <c r="A44" s="386" t="s">
        <v>284</v>
      </c>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c r="BC44" s="555"/>
      <c r="BD44" s="555"/>
      <c r="BE44" s="555"/>
      <c r="BF44" s="555"/>
      <c r="BG44" s="555"/>
      <c r="BH44" s="555"/>
      <c r="BI44" s="555"/>
      <c r="BJ44" s="555"/>
      <c r="BK44" s="556"/>
      <c r="BL44" s="339"/>
      <c r="BM44" s="340"/>
      <c r="BN44" s="340"/>
      <c r="BO44" s="340"/>
      <c r="BP44" s="340"/>
      <c r="BQ44" s="340"/>
      <c r="BR44" s="340"/>
      <c r="BS44" s="341"/>
      <c r="BT44" s="345"/>
      <c r="BU44" s="340"/>
      <c r="BV44" s="340"/>
      <c r="BW44" s="340"/>
      <c r="BX44" s="340"/>
      <c r="BY44" s="340"/>
      <c r="BZ44" s="340"/>
      <c r="CA44" s="340"/>
      <c r="CB44" s="340"/>
      <c r="CC44" s="340"/>
      <c r="CD44" s="340"/>
      <c r="CE44" s="340"/>
      <c r="CF44" s="341"/>
      <c r="CG44" s="345"/>
      <c r="CH44" s="340"/>
      <c r="CI44" s="340"/>
      <c r="CJ44" s="340"/>
      <c r="CK44" s="340"/>
      <c r="CL44" s="340"/>
      <c r="CM44" s="340"/>
      <c r="CN44" s="340"/>
      <c r="CO44" s="340"/>
      <c r="CP44" s="340"/>
      <c r="CQ44" s="341"/>
      <c r="CR44" s="345"/>
      <c r="CS44" s="340"/>
      <c r="CT44" s="340"/>
      <c r="CU44" s="340"/>
      <c r="CV44" s="340"/>
      <c r="CW44" s="340"/>
      <c r="CX44" s="340"/>
      <c r="CY44" s="340"/>
      <c r="CZ44" s="340"/>
      <c r="DA44" s="340"/>
      <c r="DB44" s="340"/>
      <c r="DC44" s="340"/>
      <c r="DD44" s="341"/>
      <c r="DE44" s="346"/>
      <c r="DF44" s="347"/>
      <c r="DG44" s="347"/>
      <c r="DH44" s="347"/>
      <c r="DI44" s="347"/>
      <c r="DJ44" s="347"/>
      <c r="DK44" s="347"/>
      <c r="DL44" s="347"/>
      <c r="DM44" s="347"/>
      <c r="DN44" s="347"/>
      <c r="DO44" s="347"/>
      <c r="DP44" s="347"/>
      <c r="DQ44" s="348"/>
      <c r="DR44" s="346">
        <f>504082</f>
        <v>504082</v>
      </c>
      <c r="DS44" s="347"/>
      <c r="DT44" s="347"/>
      <c r="DU44" s="347"/>
      <c r="DV44" s="347"/>
      <c r="DW44" s="347"/>
      <c r="DX44" s="347"/>
      <c r="DY44" s="347"/>
      <c r="DZ44" s="347"/>
      <c r="EA44" s="347"/>
      <c r="EB44" s="347"/>
      <c r="EC44" s="347"/>
      <c r="ED44" s="348"/>
      <c r="EE44" s="346"/>
      <c r="EF44" s="347"/>
      <c r="EG44" s="347"/>
      <c r="EH44" s="347"/>
      <c r="EI44" s="347"/>
      <c r="EJ44" s="347"/>
      <c r="EK44" s="347"/>
      <c r="EL44" s="347"/>
      <c r="EM44" s="347"/>
      <c r="EN44" s="347"/>
      <c r="EO44" s="347"/>
      <c r="EP44" s="347"/>
      <c r="EQ44" s="348"/>
      <c r="ER44" s="349"/>
      <c r="ES44" s="350"/>
      <c r="ET44" s="350"/>
      <c r="EU44" s="350"/>
      <c r="EV44" s="350"/>
      <c r="EW44" s="350"/>
      <c r="EX44" s="350"/>
      <c r="EY44" s="350"/>
      <c r="EZ44" s="350"/>
      <c r="FA44" s="350"/>
      <c r="FB44" s="351"/>
      <c r="FC44" s="349"/>
      <c r="FD44" s="350"/>
      <c r="FE44" s="350"/>
      <c r="FF44" s="350"/>
      <c r="FG44" s="350"/>
      <c r="FH44" s="350"/>
      <c r="FI44" s="350"/>
      <c r="FJ44" s="350"/>
      <c r="FK44" s="350"/>
      <c r="FL44" s="350"/>
      <c r="FM44" s="350"/>
      <c r="FN44" s="350"/>
      <c r="FO44" s="275"/>
      <c r="FP44" s="275"/>
      <c r="FQ44" s="275">
        <f t="shared" si="0"/>
        <v>504082</v>
      </c>
    </row>
    <row r="45" spans="1:173" ht="12" customHeight="1">
      <c r="A45" s="469" t="s">
        <v>282</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8"/>
      <c r="BL45" s="339"/>
      <c r="BM45" s="340"/>
      <c r="BN45" s="340"/>
      <c r="BO45" s="340"/>
      <c r="BP45" s="340"/>
      <c r="BQ45" s="340"/>
      <c r="BR45" s="340"/>
      <c r="BS45" s="341"/>
      <c r="BT45" s="345"/>
      <c r="BU45" s="340"/>
      <c r="BV45" s="340"/>
      <c r="BW45" s="340"/>
      <c r="BX45" s="340"/>
      <c r="BY45" s="340"/>
      <c r="BZ45" s="340"/>
      <c r="CA45" s="340"/>
      <c r="CB45" s="340"/>
      <c r="CC45" s="340"/>
      <c r="CD45" s="340"/>
      <c r="CE45" s="340"/>
      <c r="CF45" s="341"/>
      <c r="CG45" s="345"/>
      <c r="CH45" s="340"/>
      <c r="CI45" s="340"/>
      <c r="CJ45" s="340"/>
      <c r="CK45" s="340"/>
      <c r="CL45" s="340"/>
      <c r="CM45" s="340"/>
      <c r="CN45" s="340"/>
      <c r="CO45" s="340"/>
      <c r="CP45" s="340"/>
      <c r="CQ45" s="341"/>
      <c r="CR45" s="345"/>
      <c r="CS45" s="340"/>
      <c r="CT45" s="340"/>
      <c r="CU45" s="340"/>
      <c r="CV45" s="340"/>
      <c r="CW45" s="340"/>
      <c r="CX45" s="340"/>
      <c r="CY45" s="340"/>
      <c r="CZ45" s="340"/>
      <c r="DA45" s="340"/>
      <c r="DB45" s="340"/>
      <c r="DC45" s="340"/>
      <c r="DD45" s="341"/>
      <c r="DE45" s="346"/>
      <c r="DF45" s="347"/>
      <c r="DG45" s="347"/>
      <c r="DH45" s="347"/>
      <c r="DI45" s="347"/>
      <c r="DJ45" s="347"/>
      <c r="DK45" s="347"/>
      <c r="DL45" s="347"/>
      <c r="DM45" s="347"/>
      <c r="DN45" s="347"/>
      <c r="DO45" s="347"/>
      <c r="DP45" s="347"/>
      <c r="DQ45" s="348"/>
      <c r="DR45" s="346">
        <f>500000+122000+378625+8000+1473000+35800+216343.9</f>
        <v>2733768.9</v>
      </c>
      <c r="DS45" s="347"/>
      <c r="DT45" s="347"/>
      <c r="DU45" s="347"/>
      <c r="DV45" s="347"/>
      <c r="DW45" s="347"/>
      <c r="DX45" s="347"/>
      <c r="DY45" s="347"/>
      <c r="DZ45" s="347"/>
      <c r="EA45" s="347"/>
      <c r="EB45" s="347"/>
      <c r="EC45" s="347"/>
      <c r="ED45" s="348"/>
      <c r="EE45" s="346"/>
      <c r="EF45" s="347"/>
      <c r="EG45" s="347"/>
      <c r="EH45" s="347"/>
      <c r="EI45" s="347"/>
      <c r="EJ45" s="347"/>
      <c r="EK45" s="347"/>
      <c r="EL45" s="347"/>
      <c r="EM45" s="347"/>
      <c r="EN45" s="347"/>
      <c r="EO45" s="347"/>
      <c r="EP45" s="347"/>
      <c r="EQ45" s="348"/>
      <c r="ER45" s="349"/>
      <c r="ES45" s="350"/>
      <c r="ET45" s="350"/>
      <c r="EU45" s="350"/>
      <c r="EV45" s="350"/>
      <c r="EW45" s="350"/>
      <c r="EX45" s="350"/>
      <c r="EY45" s="350"/>
      <c r="EZ45" s="350"/>
      <c r="FA45" s="350"/>
      <c r="FB45" s="351"/>
      <c r="FC45" s="349"/>
      <c r="FD45" s="350"/>
      <c r="FE45" s="350"/>
      <c r="FF45" s="350"/>
      <c r="FG45" s="350"/>
      <c r="FH45" s="350"/>
      <c r="FI45" s="350"/>
      <c r="FJ45" s="350"/>
      <c r="FK45" s="350"/>
      <c r="FL45" s="350"/>
      <c r="FM45" s="350"/>
      <c r="FN45" s="350"/>
      <c r="FO45" s="275"/>
      <c r="FP45" s="275"/>
      <c r="FQ45" s="275">
        <f t="shared" si="0"/>
        <v>2733768.9</v>
      </c>
    </row>
    <row r="46" spans="1:173" ht="12" customHeight="1">
      <c r="A46" s="383" t="s">
        <v>194</v>
      </c>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5"/>
      <c r="BL46" s="339"/>
      <c r="BM46" s="340"/>
      <c r="BN46" s="340"/>
      <c r="BO46" s="340"/>
      <c r="BP46" s="340"/>
      <c r="BQ46" s="340"/>
      <c r="BR46" s="340"/>
      <c r="BS46" s="341"/>
      <c r="BT46" s="345"/>
      <c r="BU46" s="340"/>
      <c r="BV46" s="340"/>
      <c r="BW46" s="340"/>
      <c r="BX46" s="340"/>
      <c r="BY46" s="340"/>
      <c r="BZ46" s="340"/>
      <c r="CA46" s="340"/>
      <c r="CB46" s="340"/>
      <c r="CC46" s="340"/>
      <c r="CD46" s="340"/>
      <c r="CE46" s="340"/>
      <c r="CF46" s="341"/>
      <c r="CG46" s="345"/>
      <c r="CH46" s="340"/>
      <c r="CI46" s="340"/>
      <c r="CJ46" s="340"/>
      <c r="CK46" s="340"/>
      <c r="CL46" s="340"/>
      <c r="CM46" s="340"/>
      <c r="CN46" s="340"/>
      <c r="CO46" s="340"/>
      <c r="CP46" s="340"/>
      <c r="CQ46" s="341"/>
      <c r="CR46" s="345"/>
      <c r="CS46" s="340"/>
      <c r="CT46" s="340"/>
      <c r="CU46" s="340"/>
      <c r="CV46" s="340"/>
      <c r="CW46" s="340"/>
      <c r="CX46" s="340"/>
      <c r="CY46" s="340"/>
      <c r="CZ46" s="340"/>
      <c r="DA46" s="340"/>
      <c r="DB46" s="340"/>
      <c r="DC46" s="340"/>
      <c r="DD46" s="341"/>
      <c r="DE46" s="346">
        <f>SUM(DE50)</f>
        <v>0</v>
      </c>
      <c r="DF46" s="347"/>
      <c r="DG46" s="347"/>
      <c r="DH46" s="347"/>
      <c r="DI46" s="347"/>
      <c r="DJ46" s="347"/>
      <c r="DK46" s="347"/>
      <c r="DL46" s="347"/>
      <c r="DM46" s="347"/>
      <c r="DN46" s="347"/>
      <c r="DO46" s="347"/>
      <c r="DP46" s="347"/>
      <c r="DQ46" s="348"/>
      <c r="DR46" s="346">
        <v>0</v>
      </c>
      <c r="DS46" s="347"/>
      <c r="DT46" s="347"/>
      <c r="DU46" s="347"/>
      <c r="DV46" s="347"/>
      <c r="DW46" s="347"/>
      <c r="DX46" s="347"/>
      <c r="DY46" s="347"/>
      <c r="DZ46" s="347"/>
      <c r="EA46" s="347"/>
      <c r="EB46" s="347"/>
      <c r="EC46" s="347"/>
      <c r="ED46" s="348"/>
      <c r="EE46" s="346"/>
      <c r="EF46" s="347"/>
      <c r="EG46" s="347"/>
      <c r="EH46" s="347"/>
      <c r="EI46" s="347"/>
      <c r="EJ46" s="347"/>
      <c r="EK46" s="347"/>
      <c r="EL46" s="347"/>
      <c r="EM46" s="347"/>
      <c r="EN46" s="347"/>
      <c r="EO46" s="347"/>
      <c r="EP46" s="347"/>
      <c r="EQ46" s="348"/>
      <c r="ER46" s="349"/>
      <c r="ES46" s="350"/>
      <c r="ET46" s="350"/>
      <c r="EU46" s="350"/>
      <c r="EV46" s="350"/>
      <c r="EW46" s="350"/>
      <c r="EX46" s="350"/>
      <c r="EY46" s="350"/>
      <c r="EZ46" s="350"/>
      <c r="FA46" s="350"/>
      <c r="FB46" s="351"/>
      <c r="FC46" s="349"/>
      <c r="FD46" s="350"/>
      <c r="FE46" s="350"/>
      <c r="FF46" s="350"/>
      <c r="FG46" s="350"/>
      <c r="FH46" s="350"/>
      <c r="FI46" s="350"/>
      <c r="FJ46" s="350"/>
      <c r="FK46" s="350"/>
      <c r="FL46" s="350"/>
      <c r="FM46" s="350"/>
      <c r="FN46" s="350"/>
      <c r="FO46" s="275"/>
      <c r="FP46" s="275"/>
      <c r="FQ46" s="275">
        <f t="shared" si="0"/>
        <v>0</v>
      </c>
    </row>
    <row r="47" spans="1:173" ht="12" customHeight="1">
      <c r="A47" s="380" t="s">
        <v>27</v>
      </c>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2"/>
      <c r="BL47" s="339" t="s">
        <v>195</v>
      </c>
      <c r="BM47" s="340"/>
      <c r="BN47" s="340"/>
      <c r="BO47" s="340"/>
      <c r="BP47" s="340"/>
      <c r="BQ47" s="340"/>
      <c r="BR47" s="340"/>
      <c r="BS47" s="341"/>
      <c r="BT47" s="345" t="s">
        <v>38</v>
      </c>
      <c r="BU47" s="340"/>
      <c r="BV47" s="340"/>
      <c r="BW47" s="340"/>
      <c r="BX47" s="340"/>
      <c r="BY47" s="340"/>
      <c r="BZ47" s="340"/>
      <c r="CA47" s="340"/>
      <c r="CB47" s="340"/>
      <c r="CC47" s="340"/>
      <c r="CD47" s="340"/>
      <c r="CE47" s="340"/>
      <c r="CF47" s="341"/>
      <c r="CG47" s="345"/>
      <c r="CH47" s="340"/>
      <c r="CI47" s="340"/>
      <c r="CJ47" s="340"/>
      <c r="CK47" s="340"/>
      <c r="CL47" s="340"/>
      <c r="CM47" s="340"/>
      <c r="CN47" s="340"/>
      <c r="CO47" s="340"/>
      <c r="CP47" s="340"/>
      <c r="CQ47" s="341"/>
      <c r="CR47" s="345"/>
      <c r="CS47" s="340"/>
      <c r="CT47" s="340"/>
      <c r="CU47" s="340"/>
      <c r="CV47" s="340"/>
      <c r="CW47" s="340"/>
      <c r="CX47" s="340"/>
      <c r="CY47" s="340"/>
      <c r="CZ47" s="340"/>
      <c r="DA47" s="340"/>
      <c r="DB47" s="340"/>
      <c r="DC47" s="340"/>
      <c r="DD47" s="341"/>
      <c r="DE47" s="346"/>
      <c r="DF47" s="347"/>
      <c r="DG47" s="347"/>
      <c r="DH47" s="347"/>
      <c r="DI47" s="347"/>
      <c r="DJ47" s="347"/>
      <c r="DK47" s="347"/>
      <c r="DL47" s="347"/>
      <c r="DM47" s="347"/>
      <c r="DN47" s="347"/>
      <c r="DO47" s="347"/>
      <c r="DP47" s="347"/>
      <c r="DQ47" s="348"/>
      <c r="DR47" s="346"/>
      <c r="DS47" s="347"/>
      <c r="DT47" s="347"/>
      <c r="DU47" s="347"/>
      <c r="DV47" s="347"/>
      <c r="DW47" s="347"/>
      <c r="DX47" s="347"/>
      <c r="DY47" s="347"/>
      <c r="DZ47" s="347"/>
      <c r="EA47" s="347"/>
      <c r="EB47" s="347"/>
      <c r="EC47" s="347"/>
      <c r="ED47" s="348"/>
      <c r="EE47" s="346"/>
      <c r="EF47" s="347"/>
      <c r="EG47" s="347"/>
      <c r="EH47" s="347"/>
      <c r="EI47" s="347"/>
      <c r="EJ47" s="347"/>
      <c r="EK47" s="347"/>
      <c r="EL47" s="347"/>
      <c r="EM47" s="347"/>
      <c r="EN47" s="347"/>
      <c r="EO47" s="347"/>
      <c r="EP47" s="347"/>
      <c r="EQ47" s="348"/>
      <c r="ER47" s="349"/>
      <c r="ES47" s="350"/>
      <c r="ET47" s="350"/>
      <c r="EU47" s="350"/>
      <c r="EV47" s="350"/>
      <c r="EW47" s="350"/>
      <c r="EX47" s="350"/>
      <c r="EY47" s="350"/>
      <c r="EZ47" s="350"/>
      <c r="FA47" s="350"/>
      <c r="FB47" s="351"/>
      <c r="FC47" s="349"/>
      <c r="FD47" s="350"/>
      <c r="FE47" s="350"/>
      <c r="FF47" s="350"/>
      <c r="FG47" s="350"/>
      <c r="FH47" s="350"/>
      <c r="FI47" s="350"/>
      <c r="FJ47" s="350"/>
      <c r="FK47" s="350"/>
      <c r="FL47" s="350"/>
      <c r="FM47" s="350"/>
      <c r="FN47" s="350"/>
      <c r="FO47" s="275"/>
      <c r="FP47" s="275"/>
      <c r="FQ47" s="275">
        <f t="shared" si="0"/>
        <v>0</v>
      </c>
    </row>
    <row r="48" spans="1:173" ht="12" customHeight="1">
      <c r="A48" s="557" t="s">
        <v>27</v>
      </c>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6"/>
      <c r="BL48" s="339" t="s">
        <v>272</v>
      </c>
      <c r="BM48" s="340"/>
      <c r="BN48" s="340"/>
      <c r="BO48" s="340"/>
      <c r="BP48" s="340"/>
      <c r="BQ48" s="340"/>
      <c r="BR48" s="340"/>
      <c r="BS48" s="341"/>
      <c r="BT48" s="345" t="s">
        <v>272</v>
      </c>
      <c r="BU48" s="340"/>
      <c r="BV48" s="340"/>
      <c r="BW48" s="340"/>
      <c r="BX48" s="340"/>
      <c r="BY48" s="340"/>
      <c r="BZ48" s="340"/>
      <c r="CA48" s="340"/>
      <c r="CB48" s="340"/>
      <c r="CC48" s="340"/>
      <c r="CD48" s="340"/>
      <c r="CE48" s="340"/>
      <c r="CF48" s="341"/>
      <c r="CG48" s="345"/>
      <c r="CH48" s="340"/>
      <c r="CI48" s="340"/>
      <c r="CJ48" s="340"/>
      <c r="CK48" s="340"/>
      <c r="CL48" s="340"/>
      <c r="CM48" s="340"/>
      <c r="CN48" s="340"/>
      <c r="CO48" s="340"/>
      <c r="CP48" s="340"/>
      <c r="CQ48" s="341"/>
      <c r="CR48" s="345"/>
      <c r="CS48" s="340"/>
      <c r="CT48" s="340"/>
      <c r="CU48" s="340"/>
      <c r="CV48" s="340"/>
      <c r="CW48" s="340"/>
      <c r="CX48" s="340"/>
      <c r="CY48" s="340"/>
      <c r="CZ48" s="340"/>
      <c r="DA48" s="340"/>
      <c r="DB48" s="340"/>
      <c r="DC48" s="340"/>
      <c r="DD48" s="341"/>
      <c r="DE48" s="346"/>
      <c r="DF48" s="347"/>
      <c r="DG48" s="347"/>
      <c r="DH48" s="347"/>
      <c r="DI48" s="347"/>
      <c r="DJ48" s="347"/>
      <c r="DK48" s="347"/>
      <c r="DL48" s="347"/>
      <c r="DM48" s="347"/>
      <c r="DN48" s="347"/>
      <c r="DO48" s="347"/>
      <c r="DP48" s="347"/>
      <c r="DQ48" s="348"/>
      <c r="DR48" s="346"/>
      <c r="DS48" s="347"/>
      <c r="DT48" s="347"/>
      <c r="DU48" s="347"/>
      <c r="DV48" s="347"/>
      <c r="DW48" s="347"/>
      <c r="DX48" s="347"/>
      <c r="DY48" s="347"/>
      <c r="DZ48" s="347"/>
      <c r="EA48" s="347"/>
      <c r="EB48" s="347"/>
      <c r="EC48" s="347"/>
      <c r="ED48" s="348"/>
      <c r="EE48" s="346"/>
      <c r="EF48" s="347"/>
      <c r="EG48" s="347"/>
      <c r="EH48" s="347"/>
      <c r="EI48" s="347"/>
      <c r="EJ48" s="347"/>
      <c r="EK48" s="347"/>
      <c r="EL48" s="347"/>
      <c r="EM48" s="347"/>
      <c r="EN48" s="347"/>
      <c r="EO48" s="347"/>
      <c r="EP48" s="347"/>
      <c r="EQ48" s="348"/>
      <c r="ER48" s="349"/>
      <c r="ES48" s="350"/>
      <c r="ET48" s="350"/>
      <c r="EU48" s="350"/>
      <c r="EV48" s="350"/>
      <c r="EW48" s="350"/>
      <c r="EX48" s="350"/>
      <c r="EY48" s="350"/>
      <c r="EZ48" s="350"/>
      <c r="FA48" s="350"/>
      <c r="FB48" s="351"/>
      <c r="FC48" s="349"/>
      <c r="FD48" s="350"/>
      <c r="FE48" s="350"/>
      <c r="FF48" s="350"/>
      <c r="FG48" s="350"/>
      <c r="FH48" s="350"/>
      <c r="FI48" s="350"/>
      <c r="FJ48" s="350"/>
      <c r="FK48" s="350"/>
      <c r="FL48" s="350"/>
      <c r="FM48" s="350"/>
      <c r="FN48" s="350"/>
      <c r="FO48" s="281"/>
      <c r="FP48" s="281"/>
      <c r="FQ48" s="281">
        <f t="shared" ref="FQ48:FQ49" si="1">DR48-FO48-FP48</f>
        <v>0</v>
      </c>
    </row>
    <row r="49" spans="1:173" ht="12" customHeight="1">
      <c r="A49" s="380" t="s">
        <v>42</v>
      </c>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2"/>
      <c r="BL49" s="339" t="s">
        <v>43</v>
      </c>
      <c r="BM49" s="340"/>
      <c r="BN49" s="340"/>
      <c r="BO49" s="340"/>
      <c r="BP49" s="340"/>
      <c r="BQ49" s="340"/>
      <c r="BR49" s="340"/>
      <c r="BS49" s="341"/>
      <c r="BT49" s="345" t="s">
        <v>38</v>
      </c>
      <c r="BU49" s="340"/>
      <c r="BV49" s="340"/>
      <c r="BW49" s="340"/>
      <c r="BX49" s="340"/>
      <c r="BY49" s="340"/>
      <c r="BZ49" s="340"/>
      <c r="CA49" s="340"/>
      <c r="CB49" s="340"/>
      <c r="CC49" s="340"/>
      <c r="CD49" s="340"/>
      <c r="CE49" s="340"/>
      <c r="CF49" s="341"/>
      <c r="CG49" s="345" t="s">
        <v>1145</v>
      </c>
      <c r="CH49" s="340"/>
      <c r="CI49" s="340"/>
      <c r="CJ49" s="340"/>
      <c r="CK49" s="340"/>
      <c r="CL49" s="340"/>
      <c r="CM49" s="340"/>
      <c r="CN49" s="340"/>
      <c r="CO49" s="340"/>
      <c r="CP49" s="340"/>
      <c r="CQ49" s="341"/>
      <c r="CR49" s="352"/>
      <c r="CS49" s="353"/>
      <c r="CT49" s="353"/>
      <c r="CU49" s="353"/>
      <c r="CV49" s="353"/>
      <c r="CW49" s="353"/>
      <c r="CX49" s="353"/>
      <c r="CY49" s="353"/>
      <c r="CZ49" s="353"/>
      <c r="DA49" s="353"/>
      <c r="DB49" s="353"/>
      <c r="DC49" s="353"/>
      <c r="DD49" s="379"/>
      <c r="DE49" s="376">
        <f>DE45+DE46</f>
        <v>0</v>
      </c>
      <c r="DF49" s="377"/>
      <c r="DG49" s="377"/>
      <c r="DH49" s="377"/>
      <c r="DI49" s="377"/>
      <c r="DJ49" s="377"/>
      <c r="DK49" s="377"/>
      <c r="DL49" s="377"/>
      <c r="DM49" s="377"/>
      <c r="DN49" s="377"/>
      <c r="DO49" s="377"/>
      <c r="DP49" s="377"/>
      <c r="DQ49" s="378"/>
      <c r="DR49" s="376">
        <f>DR45+DR44</f>
        <v>3237850.9</v>
      </c>
      <c r="DS49" s="377"/>
      <c r="DT49" s="377"/>
      <c r="DU49" s="377"/>
      <c r="DV49" s="377"/>
      <c r="DW49" s="377"/>
      <c r="DX49" s="377"/>
      <c r="DY49" s="377"/>
      <c r="DZ49" s="377"/>
      <c r="EA49" s="377"/>
      <c r="EB49" s="377"/>
      <c r="EC49" s="377"/>
      <c r="ED49" s="378"/>
      <c r="EE49" s="376"/>
      <c r="EF49" s="377"/>
      <c r="EG49" s="377"/>
      <c r="EH49" s="377"/>
      <c r="EI49" s="377"/>
      <c r="EJ49" s="377"/>
      <c r="EK49" s="377"/>
      <c r="EL49" s="377"/>
      <c r="EM49" s="377"/>
      <c r="EN49" s="377"/>
      <c r="EO49" s="377"/>
      <c r="EP49" s="377"/>
      <c r="EQ49" s="378"/>
      <c r="ER49" s="352"/>
      <c r="ES49" s="353"/>
      <c r="ET49" s="353"/>
      <c r="EU49" s="353"/>
      <c r="EV49" s="353"/>
      <c r="EW49" s="353"/>
      <c r="EX49" s="353"/>
      <c r="EY49" s="353"/>
      <c r="EZ49" s="353"/>
      <c r="FA49" s="353"/>
      <c r="FB49" s="379"/>
      <c r="FC49" s="349"/>
      <c r="FD49" s="350"/>
      <c r="FE49" s="350"/>
      <c r="FF49" s="350"/>
      <c r="FG49" s="350"/>
      <c r="FH49" s="350"/>
      <c r="FI49" s="350"/>
      <c r="FJ49" s="350"/>
      <c r="FK49" s="350"/>
      <c r="FL49" s="350"/>
      <c r="FM49" s="350"/>
      <c r="FN49" s="350"/>
      <c r="FO49" s="281"/>
      <c r="FP49" s="281"/>
      <c r="FQ49" s="281">
        <f t="shared" si="1"/>
        <v>3237850.9</v>
      </c>
    </row>
    <row r="50" spans="1:173" ht="12" customHeight="1">
      <c r="A50" s="354" t="s">
        <v>44</v>
      </c>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5"/>
      <c r="BL50" s="339"/>
      <c r="BM50" s="340"/>
      <c r="BN50" s="340"/>
      <c r="BO50" s="340"/>
      <c r="BP50" s="340"/>
      <c r="BQ50" s="340"/>
      <c r="BR50" s="340"/>
      <c r="BS50" s="341"/>
      <c r="BT50" s="345"/>
      <c r="BU50" s="340"/>
      <c r="BV50" s="340"/>
      <c r="BW50" s="340"/>
      <c r="BX50" s="340"/>
      <c r="BY50" s="340"/>
      <c r="BZ50" s="340"/>
      <c r="CA50" s="340"/>
      <c r="CB50" s="340"/>
      <c r="CC50" s="340"/>
      <c r="CD50" s="340"/>
      <c r="CE50" s="340"/>
      <c r="CF50" s="341"/>
      <c r="CG50" s="345"/>
      <c r="CH50" s="340"/>
      <c r="CI50" s="340"/>
      <c r="CJ50" s="340"/>
      <c r="CK50" s="340"/>
      <c r="CL50" s="340"/>
      <c r="CM50" s="340"/>
      <c r="CN50" s="340"/>
      <c r="CO50" s="340"/>
      <c r="CP50" s="340"/>
      <c r="CQ50" s="341"/>
      <c r="CR50" s="345"/>
      <c r="CS50" s="340"/>
      <c r="CT50" s="340"/>
      <c r="CU50" s="340"/>
      <c r="CV50" s="340"/>
      <c r="CW50" s="340"/>
      <c r="CX50" s="340"/>
      <c r="CY50" s="340"/>
      <c r="CZ50" s="340"/>
      <c r="DA50" s="340"/>
      <c r="DB50" s="340"/>
      <c r="DC50" s="340"/>
      <c r="DD50" s="341"/>
      <c r="DE50" s="346">
        <v>0</v>
      </c>
      <c r="DF50" s="347"/>
      <c r="DG50" s="347"/>
      <c r="DH50" s="347"/>
      <c r="DI50" s="347"/>
      <c r="DJ50" s="347"/>
      <c r="DK50" s="347"/>
      <c r="DL50" s="347"/>
      <c r="DM50" s="347"/>
      <c r="DN50" s="347"/>
      <c r="DO50" s="347"/>
      <c r="DP50" s="347"/>
      <c r="DQ50" s="348"/>
      <c r="DR50" s="346">
        <v>0</v>
      </c>
      <c r="DS50" s="347"/>
      <c r="DT50" s="347"/>
      <c r="DU50" s="347"/>
      <c r="DV50" s="347"/>
      <c r="DW50" s="347"/>
      <c r="DX50" s="347"/>
      <c r="DY50" s="347"/>
      <c r="DZ50" s="347"/>
      <c r="EA50" s="347"/>
      <c r="EB50" s="347"/>
      <c r="EC50" s="347"/>
      <c r="ED50" s="348"/>
      <c r="EE50" s="346"/>
      <c r="EF50" s="347"/>
      <c r="EG50" s="347"/>
      <c r="EH50" s="347"/>
      <c r="EI50" s="347"/>
      <c r="EJ50" s="347"/>
      <c r="EK50" s="347"/>
      <c r="EL50" s="347"/>
      <c r="EM50" s="347"/>
      <c r="EN50" s="347"/>
      <c r="EO50" s="347"/>
      <c r="EP50" s="347"/>
      <c r="EQ50" s="348"/>
      <c r="ER50" s="349"/>
      <c r="ES50" s="350"/>
      <c r="ET50" s="350"/>
      <c r="EU50" s="350"/>
      <c r="EV50" s="350"/>
      <c r="EW50" s="350"/>
      <c r="EX50" s="350"/>
      <c r="EY50" s="350"/>
      <c r="EZ50" s="350"/>
      <c r="FA50" s="350"/>
      <c r="FB50" s="351"/>
      <c r="FC50" s="349"/>
      <c r="FD50" s="350"/>
      <c r="FE50" s="350"/>
      <c r="FF50" s="350"/>
      <c r="FG50" s="350"/>
      <c r="FH50" s="350"/>
      <c r="FI50" s="350"/>
      <c r="FJ50" s="350"/>
      <c r="FK50" s="350"/>
      <c r="FL50" s="350"/>
      <c r="FM50" s="350"/>
      <c r="FN50" s="350"/>
      <c r="FO50" s="275"/>
      <c r="FP50" s="275"/>
      <c r="FQ50" s="275">
        <f t="shared" si="0"/>
        <v>0</v>
      </c>
    </row>
    <row r="51" spans="1:173" ht="12" customHeight="1">
      <c r="A51" s="386"/>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1"/>
      <c r="BL51" s="339"/>
      <c r="BM51" s="340"/>
      <c r="BN51" s="340"/>
      <c r="BO51" s="340"/>
      <c r="BP51" s="340"/>
      <c r="BQ51" s="340"/>
      <c r="BR51" s="340"/>
      <c r="BS51" s="341"/>
      <c r="BT51" s="345"/>
      <c r="BU51" s="340"/>
      <c r="BV51" s="340"/>
      <c r="BW51" s="340"/>
      <c r="BX51" s="340"/>
      <c r="BY51" s="340"/>
      <c r="BZ51" s="340"/>
      <c r="CA51" s="340"/>
      <c r="CB51" s="340"/>
      <c r="CC51" s="340"/>
      <c r="CD51" s="340"/>
      <c r="CE51" s="340"/>
      <c r="CF51" s="341"/>
      <c r="CG51" s="345"/>
      <c r="CH51" s="340"/>
      <c r="CI51" s="340"/>
      <c r="CJ51" s="340"/>
      <c r="CK51" s="340"/>
      <c r="CL51" s="340"/>
      <c r="CM51" s="340"/>
      <c r="CN51" s="340"/>
      <c r="CO51" s="340"/>
      <c r="CP51" s="340"/>
      <c r="CQ51" s="341"/>
      <c r="CR51" s="345"/>
      <c r="CS51" s="340"/>
      <c r="CT51" s="340"/>
      <c r="CU51" s="340"/>
      <c r="CV51" s="340"/>
      <c r="CW51" s="340"/>
      <c r="CX51" s="340"/>
      <c r="CY51" s="340"/>
      <c r="CZ51" s="340"/>
      <c r="DA51" s="340"/>
      <c r="DB51" s="340"/>
      <c r="DC51" s="340"/>
      <c r="DD51" s="341"/>
      <c r="DE51" s="346"/>
      <c r="DF51" s="347"/>
      <c r="DG51" s="347"/>
      <c r="DH51" s="347"/>
      <c r="DI51" s="347"/>
      <c r="DJ51" s="347"/>
      <c r="DK51" s="347"/>
      <c r="DL51" s="347"/>
      <c r="DM51" s="347"/>
      <c r="DN51" s="347"/>
      <c r="DO51" s="347"/>
      <c r="DP51" s="347"/>
      <c r="DQ51" s="348"/>
      <c r="DR51" s="346"/>
      <c r="DS51" s="347"/>
      <c r="DT51" s="347"/>
      <c r="DU51" s="347"/>
      <c r="DV51" s="347"/>
      <c r="DW51" s="347"/>
      <c r="DX51" s="347"/>
      <c r="DY51" s="347"/>
      <c r="DZ51" s="347"/>
      <c r="EA51" s="347"/>
      <c r="EB51" s="347"/>
      <c r="EC51" s="347"/>
      <c r="ED51" s="348"/>
      <c r="EE51" s="346"/>
      <c r="EF51" s="347"/>
      <c r="EG51" s="347"/>
      <c r="EH51" s="347"/>
      <c r="EI51" s="347"/>
      <c r="EJ51" s="347"/>
      <c r="EK51" s="347"/>
      <c r="EL51" s="347"/>
      <c r="EM51" s="347"/>
      <c r="EN51" s="347"/>
      <c r="EO51" s="347"/>
      <c r="EP51" s="347"/>
      <c r="EQ51" s="348"/>
      <c r="ER51" s="349"/>
      <c r="ES51" s="350"/>
      <c r="ET51" s="350"/>
      <c r="EU51" s="350"/>
      <c r="EV51" s="350"/>
      <c r="EW51" s="350"/>
      <c r="EX51" s="350"/>
      <c r="EY51" s="350"/>
      <c r="EZ51" s="350"/>
      <c r="FA51" s="350"/>
      <c r="FB51" s="351"/>
      <c r="FC51" s="349"/>
      <c r="FD51" s="350"/>
      <c r="FE51" s="350"/>
      <c r="FF51" s="350"/>
      <c r="FG51" s="350"/>
      <c r="FH51" s="350"/>
      <c r="FI51" s="350"/>
      <c r="FJ51" s="350"/>
      <c r="FK51" s="350"/>
      <c r="FL51" s="350"/>
      <c r="FM51" s="350"/>
      <c r="FN51" s="350"/>
      <c r="FO51" s="275"/>
      <c r="FP51" s="275"/>
      <c r="FQ51" s="275">
        <f t="shared" si="0"/>
        <v>0</v>
      </c>
    </row>
    <row r="52" spans="1:173" ht="12" customHeight="1">
      <c r="A52" s="487" t="s">
        <v>39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9"/>
      <c r="BL52" s="460" t="s">
        <v>40</v>
      </c>
      <c r="BM52" s="363"/>
      <c r="BN52" s="363"/>
      <c r="BO52" s="363"/>
      <c r="BP52" s="363"/>
      <c r="BQ52" s="363"/>
      <c r="BR52" s="363"/>
      <c r="BS52" s="364"/>
      <c r="BT52" s="362" t="s">
        <v>41</v>
      </c>
      <c r="BU52" s="363"/>
      <c r="BV52" s="363"/>
      <c r="BW52" s="363"/>
      <c r="BX52" s="363"/>
      <c r="BY52" s="363"/>
      <c r="BZ52" s="363"/>
      <c r="CA52" s="363"/>
      <c r="CB52" s="363"/>
      <c r="CC52" s="363"/>
      <c r="CD52" s="363"/>
      <c r="CE52" s="363"/>
      <c r="CF52" s="364"/>
      <c r="CG52" s="362"/>
      <c r="CH52" s="363"/>
      <c r="CI52" s="363"/>
      <c r="CJ52" s="363"/>
      <c r="CK52" s="363"/>
      <c r="CL52" s="363"/>
      <c r="CM52" s="363"/>
      <c r="CN52" s="363"/>
      <c r="CO52" s="363"/>
      <c r="CP52" s="363"/>
      <c r="CQ52" s="364"/>
      <c r="CR52" s="362"/>
      <c r="CS52" s="363"/>
      <c r="CT52" s="363"/>
      <c r="CU52" s="363"/>
      <c r="CV52" s="363"/>
      <c r="CW52" s="363"/>
      <c r="CX52" s="363"/>
      <c r="CY52" s="363"/>
      <c r="CZ52" s="363"/>
      <c r="DA52" s="363"/>
      <c r="DB52" s="363"/>
      <c r="DC52" s="363"/>
      <c r="DD52" s="364"/>
      <c r="DE52" s="365">
        <f>SUM(DE54:DQ56)</f>
        <v>3935610.92</v>
      </c>
      <c r="DF52" s="366"/>
      <c r="DG52" s="366"/>
      <c r="DH52" s="366"/>
      <c r="DI52" s="366"/>
      <c r="DJ52" s="366"/>
      <c r="DK52" s="366"/>
      <c r="DL52" s="366"/>
      <c r="DM52" s="366"/>
      <c r="DN52" s="366"/>
      <c r="DO52" s="366"/>
      <c r="DP52" s="366"/>
      <c r="DQ52" s="367"/>
      <c r="DR52" s="365">
        <f>SUM(DR54:ED56)</f>
        <v>0</v>
      </c>
      <c r="DS52" s="366"/>
      <c r="DT52" s="366"/>
      <c r="DU52" s="366"/>
      <c r="DV52" s="366"/>
      <c r="DW52" s="366"/>
      <c r="DX52" s="366"/>
      <c r="DY52" s="366"/>
      <c r="DZ52" s="366"/>
      <c r="EA52" s="366"/>
      <c r="EB52" s="366"/>
      <c r="EC52" s="366"/>
      <c r="ED52" s="367"/>
      <c r="EE52" s="365"/>
      <c r="EF52" s="366"/>
      <c r="EG52" s="366"/>
      <c r="EH52" s="366"/>
      <c r="EI52" s="366"/>
      <c r="EJ52" s="366"/>
      <c r="EK52" s="366"/>
      <c r="EL52" s="366"/>
      <c r="EM52" s="366"/>
      <c r="EN52" s="366"/>
      <c r="EO52" s="366"/>
      <c r="EP52" s="366"/>
      <c r="EQ52" s="367"/>
      <c r="ER52" s="349"/>
      <c r="ES52" s="350"/>
      <c r="ET52" s="350"/>
      <c r="EU52" s="350"/>
      <c r="EV52" s="350"/>
      <c r="EW52" s="350"/>
      <c r="EX52" s="350"/>
      <c r="EY52" s="350"/>
      <c r="EZ52" s="350"/>
      <c r="FA52" s="350"/>
      <c r="FB52" s="351"/>
      <c r="FC52" s="352"/>
      <c r="FD52" s="353"/>
      <c r="FE52" s="353"/>
      <c r="FF52" s="353"/>
      <c r="FG52" s="353"/>
      <c r="FH52" s="353"/>
      <c r="FI52" s="353"/>
      <c r="FJ52" s="353"/>
      <c r="FK52" s="353"/>
      <c r="FL52" s="353"/>
      <c r="FO52" s="275"/>
      <c r="FP52" s="275"/>
      <c r="FQ52" s="275">
        <f t="shared" si="0"/>
        <v>0</v>
      </c>
    </row>
    <row r="53" spans="1:173" ht="12" customHeight="1">
      <c r="A53" s="386" t="s">
        <v>110</v>
      </c>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6"/>
      <c r="BL53" s="339"/>
      <c r="BM53" s="340"/>
      <c r="BN53" s="340"/>
      <c r="BO53" s="340"/>
      <c r="BP53" s="340"/>
      <c r="BQ53" s="340"/>
      <c r="BR53" s="340"/>
      <c r="BS53" s="341"/>
      <c r="BT53" s="345"/>
      <c r="BU53" s="340"/>
      <c r="BV53" s="340"/>
      <c r="BW53" s="340"/>
      <c r="BX53" s="340"/>
      <c r="BY53" s="340"/>
      <c r="BZ53" s="340"/>
      <c r="CA53" s="340"/>
      <c r="CB53" s="340"/>
      <c r="CC53" s="340"/>
      <c r="CD53" s="340"/>
      <c r="CE53" s="340"/>
      <c r="CF53" s="341"/>
      <c r="CG53" s="345"/>
      <c r="CH53" s="340"/>
      <c r="CI53" s="340"/>
      <c r="CJ53" s="340"/>
      <c r="CK53" s="340"/>
      <c r="CL53" s="340"/>
      <c r="CM53" s="340"/>
      <c r="CN53" s="340"/>
      <c r="CO53" s="340"/>
      <c r="CP53" s="340"/>
      <c r="CQ53" s="341"/>
      <c r="CR53" s="345"/>
      <c r="CS53" s="340"/>
      <c r="CT53" s="340"/>
      <c r="CU53" s="340"/>
      <c r="CV53" s="340"/>
      <c r="CW53" s="340"/>
      <c r="CX53" s="340"/>
      <c r="CY53" s="340"/>
      <c r="CZ53" s="340"/>
      <c r="DA53" s="340"/>
      <c r="DB53" s="340"/>
      <c r="DC53" s="340"/>
      <c r="DD53" s="341"/>
      <c r="DE53" s="346"/>
      <c r="DF53" s="347"/>
      <c r="DG53" s="347"/>
      <c r="DH53" s="347"/>
      <c r="DI53" s="347"/>
      <c r="DJ53" s="347"/>
      <c r="DK53" s="347"/>
      <c r="DL53" s="347"/>
      <c r="DM53" s="347"/>
      <c r="DN53" s="347"/>
      <c r="DO53" s="347"/>
      <c r="DP53" s="347"/>
      <c r="DQ53" s="348"/>
      <c r="DR53" s="346"/>
      <c r="DS53" s="347"/>
      <c r="DT53" s="347"/>
      <c r="DU53" s="347"/>
      <c r="DV53" s="347"/>
      <c r="DW53" s="347"/>
      <c r="DX53" s="347"/>
      <c r="DY53" s="347"/>
      <c r="DZ53" s="347"/>
      <c r="EA53" s="347"/>
      <c r="EB53" s="347"/>
      <c r="EC53" s="347"/>
      <c r="ED53" s="348"/>
      <c r="EE53" s="346"/>
      <c r="EF53" s="347"/>
      <c r="EG53" s="347"/>
      <c r="EH53" s="347"/>
      <c r="EI53" s="347"/>
      <c r="EJ53" s="347"/>
      <c r="EK53" s="347"/>
      <c r="EL53" s="347"/>
      <c r="EM53" s="347"/>
      <c r="EN53" s="347"/>
      <c r="EO53" s="347"/>
      <c r="EP53" s="347"/>
      <c r="EQ53" s="348"/>
      <c r="ER53" s="349"/>
      <c r="ES53" s="350"/>
      <c r="ET53" s="350"/>
      <c r="EU53" s="350"/>
      <c r="EV53" s="350"/>
      <c r="EW53" s="350"/>
      <c r="EX53" s="350"/>
      <c r="EY53" s="350"/>
      <c r="EZ53" s="350"/>
      <c r="FA53" s="350"/>
      <c r="FB53" s="351"/>
      <c r="FC53" s="349"/>
      <c r="FD53" s="350"/>
      <c r="FE53" s="350"/>
      <c r="FF53" s="350"/>
      <c r="FG53" s="350"/>
      <c r="FH53" s="350"/>
      <c r="FI53" s="350"/>
      <c r="FJ53" s="350"/>
      <c r="FK53" s="350"/>
      <c r="FL53" s="350"/>
      <c r="FM53" s="350"/>
      <c r="FN53" s="350"/>
      <c r="FO53" s="275"/>
      <c r="FP53" s="275"/>
      <c r="FQ53" s="275">
        <f t="shared" si="0"/>
        <v>0</v>
      </c>
    </row>
    <row r="54" spans="1:173" ht="12" customHeight="1">
      <c r="A54" s="386" t="s">
        <v>284</v>
      </c>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8"/>
      <c r="BL54" s="339"/>
      <c r="BM54" s="340"/>
      <c r="BN54" s="340"/>
      <c r="BO54" s="340"/>
      <c r="BP54" s="340"/>
      <c r="BQ54" s="340"/>
      <c r="BR54" s="340"/>
      <c r="BS54" s="341"/>
      <c r="BT54" s="345"/>
      <c r="BU54" s="340"/>
      <c r="BV54" s="340"/>
      <c r="BW54" s="340"/>
      <c r="BX54" s="340"/>
      <c r="BY54" s="340"/>
      <c r="BZ54" s="340"/>
      <c r="CA54" s="340"/>
      <c r="CB54" s="340"/>
      <c r="CC54" s="340"/>
      <c r="CD54" s="340"/>
      <c r="CE54" s="340"/>
      <c r="CF54" s="341"/>
      <c r="CG54" s="345"/>
      <c r="CH54" s="340"/>
      <c r="CI54" s="340"/>
      <c r="CJ54" s="340"/>
      <c r="CK54" s="340"/>
      <c r="CL54" s="340"/>
      <c r="CM54" s="340"/>
      <c r="CN54" s="340"/>
      <c r="CO54" s="340"/>
      <c r="CP54" s="340"/>
      <c r="CQ54" s="341"/>
      <c r="CR54" s="345"/>
      <c r="CS54" s="340"/>
      <c r="CT54" s="340"/>
      <c r="CU54" s="340"/>
      <c r="CV54" s="340"/>
      <c r="CW54" s="340"/>
      <c r="CX54" s="340"/>
      <c r="CY54" s="340"/>
      <c r="CZ54" s="340"/>
      <c r="DA54" s="340"/>
      <c r="DB54" s="340"/>
      <c r="DC54" s="340"/>
      <c r="DD54" s="341"/>
      <c r="DE54" s="346">
        <f>791062.77+618341.9+104346.48</f>
        <v>1513751.15</v>
      </c>
      <c r="DF54" s="347"/>
      <c r="DG54" s="347"/>
      <c r="DH54" s="347"/>
      <c r="DI54" s="347"/>
      <c r="DJ54" s="347"/>
      <c r="DK54" s="347"/>
      <c r="DL54" s="347"/>
      <c r="DM54" s="347"/>
      <c r="DN54" s="347"/>
      <c r="DO54" s="347"/>
      <c r="DP54" s="347"/>
      <c r="DQ54" s="348"/>
      <c r="DR54" s="346">
        <v>0</v>
      </c>
      <c r="DS54" s="347"/>
      <c r="DT54" s="347"/>
      <c r="DU54" s="347"/>
      <c r="DV54" s="347"/>
      <c r="DW54" s="347"/>
      <c r="DX54" s="347"/>
      <c r="DY54" s="347"/>
      <c r="DZ54" s="347"/>
      <c r="EA54" s="347"/>
      <c r="EB54" s="347"/>
      <c r="EC54" s="347"/>
      <c r="ED54" s="348"/>
      <c r="EE54" s="346"/>
      <c r="EF54" s="347"/>
      <c r="EG54" s="347"/>
      <c r="EH54" s="347"/>
      <c r="EI54" s="347"/>
      <c r="EJ54" s="347"/>
      <c r="EK54" s="347"/>
      <c r="EL54" s="347"/>
      <c r="EM54" s="347"/>
      <c r="EN54" s="347"/>
      <c r="EO54" s="347"/>
      <c r="EP54" s="347"/>
      <c r="EQ54" s="348"/>
      <c r="ER54" s="349"/>
      <c r="ES54" s="350"/>
      <c r="ET54" s="350"/>
      <c r="EU54" s="350"/>
      <c r="EV54" s="350"/>
      <c r="EW54" s="350"/>
      <c r="EX54" s="350"/>
      <c r="EY54" s="350"/>
      <c r="EZ54" s="350"/>
      <c r="FA54" s="350"/>
      <c r="FB54" s="351"/>
      <c r="FC54" s="349"/>
      <c r="FD54" s="350"/>
      <c r="FE54" s="350"/>
      <c r="FF54" s="350"/>
      <c r="FG54" s="350"/>
      <c r="FH54" s="350"/>
      <c r="FI54" s="350"/>
      <c r="FJ54" s="350"/>
      <c r="FK54" s="350"/>
      <c r="FL54" s="350"/>
      <c r="FM54" s="350"/>
      <c r="FN54" s="351"/>
      <c r="FO54" s="275"/>
      <c r="FP54" s="275"/>
      <c r="FQ54" s="275">
        <f t="shared" si="0"/>
        <v>0</v>
      </c>
    </row>
    <row r="55" spans="1:173" ht="12" customHeight="1">
      <c r="A55" s="469" t="s">
        <v>282</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8"/>
      <c r="BL55" s="339"/>
      <c r="BM55" s="340"/>
      <c r="BN55" s="340"/>
      <c r="BO55" s="340"/>
      <c r="BP55" s="340"/>
      <c r="BQ55" s="340"/>
      <c r="BR55" s="340"/>
      <c r="BS55" s="341"/>
      <c r="BT55" s="345"/>
      <c r="BU55" s="340"/>
      <c r="BV55" s="340"/>
      <c r="BW55" s="340"/>
      <c r="BX55" s="340"/>
      <c r="BY55" s="340"/>
      <c r="BZ55" s="340"/>
      <c r="CA55" s="340"/>
      <c r="CB55" s="340"/>
      <c r="CC55" s="340"/>
      <c r="CD55" s="340"/>
      <c r="CE55" s="340"/>
      <c r="CF55" s="341"/>
      <c r="CG55" s="345"/>
      <c r="CH55" s="340"/>
      <c r="CI55" s="340"/>
      <c r="CJ55" s="340"/>
      <c r="CK55" s="340"/>
      <c r="CL55" s="340"/>
      <c r="CM55" s="340"/>
      <c r="CN55" s="340"/>
      <c r="CO55" s="340"/>
      <c r="CP55" s="340"/>
      <c r="CQ55" s="341"/>
      <c r="CR55" s="345"/>
      <c r="CS55" s="340"/>
      <c r="CT55" s="340"/>
      <c r="CU55" s="340"/>
      <c r="CV55" s="340"/>
      <c r="CW55" s="340"/>
      <c r="CX55" s="340"/>
      <c r="CY55" s="340"/>
      <c r="CZ55" s="340"/>
      <c r="DA55" s="340"/>
      <c r="DB55" s="340"/>
      <c r="DC55" s="340"/>
      <c r="DD55" s="341"/>
      <c r="DE55" s="346">
        <f>500000+1037382+342000+41700+250000-250000-2000+328148.1+55253.52+3932.2-480184.08+25000+260190.03+104990+205448</f>
        <v>2421859.77</v>
      </c>
      <c r="DF55" s="347"/>
      <c r="DG55" s="347"/>
      <c r="DH55" s="347"/>
      <c r="DI55" s="347"/>
      <c r="DJ55" s="347"/>
      <c r="DK55" s="347"/>
      <c r="DL55" s="347"/>
      <c r="DM55" s="347"/>
      <c r="DN55" s="347"/>
      <c r="DO55" s="347"/>
      <c r="DP55" s="347"/>
      <c r="DQ55" s="348"/>
      <c r="DR55" s="346">
        <v>0</v>
      </c>
      <c r="DS55" s="347"/>
      <c r="DT55" s="347"/>
      <c r="DU55" s="347"/>
      <c r="DV55" s="347"/>
      <c r="DW55" s="347"/>
      <c r="DX55" s="347"/>
      <c r="DY55" s="347"/>
      <c r="DZ55" s="347"/>
      <c r="EA55" s="347"/>
      <c r="EB55" s="347"/>
      <c r="EC55" s="347"/>
      <c r="ED55" s="348"/>
      <c r="EE55" s="346"/>
      <c r="EF55" s="347"/>
      <c r="EG55" s="347"/>
      <c r="EH55" s="347"/>
      <c r="EI55" s="347"/>
      <c r="EJ55" s="347"/>
      <c r="EK55" s="347"/>
      <c r="EL55" s="347"/>
      <c r="EM55" s="347"/>
      <c r="EN55" s="347"/>
      <c r="EO55" s="347"/>
      <c r="EP55" s="347"/>
      <c r="EQ55" s="348"/>
      <c r="ER55" s="349"/>
      <c r="ES55" s="350"/>
      <c r="ET55" s="350"/>
      <c r="EU55" s="350"/>
      <c r="EV55" s="350"/>
      <c r="EW55" s="350"/>
      <c r="EX55" s="350"/>
      <c r="EY55" s="350"/>
      <c r="EZ55" s="350"/>
      <c r="FA55" s="350"/>
      <c r="FB55" s="351"/>
      <c r="FC55" s="349"/>
      <c r="FD55" s="350"/>
      <c r="FE55" s="350"/>
      <c r="FF55" s="350"/>
      <c r="FG55" s="350"/>
      <c r="FH55" s="350"/>
      <c r="FI55" s="350"/>
      <c r="FJ55" s="350"/>
      <c r="FK55" s="350"/>
      <c r="FL55" s="350"/>
      <c r="FM55" s="350"/>
      <c r="FN55" s="351"/>
      <c r="FO55" s="275"/>
      <c r="FP55" s="275"/>
      <c r="FQ55" s="275">
        <f t="shared" si="0"/>
        <v>0</v>
      </c>
    </row>
    <row r="56" spans="1:173" ht="12" customHeight="1">
      <c r="A56" s="383" t="s">
        <v>194</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5"/>
      <c r="BL56" s="339"/>
      <c r="BM56" s="340"/>
      <c r="BN56" s="340"/>
      <c r="BO56" s="340"/>
      <c r="BP56" s="340"/>
      <c r="BQ56" s="340"/>
      <c r="BR56" s="340"/>
      <c r="BS56" s="341"/>
      <c r="BT56" s="345"/>
      <c r="BU56" s="340"/>
      <c r="BV56" s="340"/>
      <c r="BW56" s="340"/>
      <c r="BX56" s="340"/>
      <c r="BY56" s="340"/>
      <c r="BZ56" s="340"/>
      <c r="CA56" s="340"/>
      <c r="CB56" s="340"/>
      <c r="CC56" s="340"/>
      <c r="CD56" s="340"/>
      <c r="CE56" s="340"/>
      <c r="CF56" s="341"/>
      <c r="CG56" s="345"/>
      <c r="CH56" s="340"/>
      <c r="CI56" s="340"/>
      <c r="CJ56" s="340"/>
      <c r="CK56" s="340"/>
      <c r="CL56" s="340"/>
      <c r="CM56" s="340"/>
      <c r="CN56" s="340"/>
      <c r="CO56" s="340"/>
      <c r="CP56" s="340"/>
      <c r="CQ56" s="341"/>
      <c r="CR56" s="345"/>
      <c r="CS56" s="340"/>
      <c r="CT56" s="340"/>
      <c r="CU56" s="340"/>
      <c r="CV56" s="340"/>
      <c r="CW56" s="340"/>
      <c r="CX56" s="340"/>
      <c r="CY56" s="340"/>
      <c r="CZ56" s="340"/>
      <c r="DA56" s="340"/>
      <c r="DB56" s="340"/>
      <c r="DC56" s="340"/>
      <c r="DD56" s="341"/>
      <c r="DE56" s="346"/>
      <c r="DF56" s="347"/>
      <c r="DG56" s="347"/>
      <c r="DH56" s="347"/>
      <c r="DI56" s="347"/>
      <c r="DJ56" s="347"/>
      <c r="DK56" s="347"/>
      <c r="DL56" s="347"/>
      <c r="DM56" s="347"/>
      <c r="DN56" s="347"/>
      <c r="DO56" s="347"/>
      <c r="DP56" s="347"/>
      <c r="DQ56" s="348"/>
      <c r="DR56" s="346"/>
      <c r="DS56" s="347"/>
      <c r="DT56" s="347"/>
      <c r="DU56" s="347"/>
      <c r="DV56" s="347"/>
      <c r="DW56" s="347"/>
      <c r="DX56" s="347"/>
      <c r="DY56" s="347"/>
      <c r="DZ56" s="347"/>
      <c r="EA56" s="347"/>
      <c r="EB56" s="347"/>
      <c r="EC56" s="347"/>
      <c r="ED56" s="348"/>
      <c r="EE56" s="346"/>
      <c r="EF56" s="347"/>
      <c r="EG56" s="347"/>
      <c r="EH56" s="347"/>
      <c r="EI56" s="347"/>
      <c r="EJ56" s="347"/>
      <c r="EK56" s="347"/>
      <c r="EL56" s="347"/>
      <c r="EM56" s="347"/>
      <c r="EN56" s="347"/>
      <c r="EO56" s="347"/>
      <c r="EP56" s="347"/>
      <c r="EQ56" s="348"/>
      <c r="ER56" s="349"/>
      <c r="ES56" s="350"/>
      <c r="ET56" s="350"/>
      <c r="EU56" s="350"/>
      <c r="EV56" s="350"/>
      <c r="EW56" s="350"/>
      <c r="EX56" s="350"/>
      <c r="EY56" s="350"/>
      <c r="EZ56" s="350"/>
      <c r="FA56" s="350"/>
      <c r="FB56" s="351"/>
      <c r="FC56" s="349"/>
      <c r="FD56" s="350"/>
      <c r="FE56" s="350"/>
      <c r="FF56" s="350"/>
      <c r="FG56" s="350"/>
      <c r="FH56" s="350"/>
      <c r="FI56" s="350"/>
      <c r="FJ56" s="350"/>
      <c r="FK56" s="350"/>
      <c r="FL56" s="350"/>
      <c r="FM56" s="350"/>
      <c r="FN56" s="351"/>
      <c r="FO56" s="275"/>
      <c r="FP56" s="275"/>
      <c r="FQ56" s="275">
        <f t="shared" si="0"/>
        <v>0</v>
      </c>
    </row>
    <row r="57" spans="1:173" ht="12" customHeight="1">
      <c r="A57" s="557" t="s">
        <v>27</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6"/>
      <c r="BL57" s="339" t="s">
        <v>272</v>
      </c>
      <c r="BM57" s="340"/>
      <c r="BN57" s="340"/>
      <c r="BO57" s="340"/>
      <c r="BP57" s="340"/>
      <c r="BQ57" s="340"/>
      <c r="BR57" s="340"/>
      <c r="BS57" s="341"/>
      <c r="BT57" s="345" t="s">
        <v>272</v>
      </c>
      <c r="BU57" s="340"/>
      <c r="BV57" s="340"/>
      <c r="BW57" s="340"/>
      <c r="BX57" s="340"/>
      <c r="BY57" s="340"/>
      <c r="BZ57" s="340"/>
      <c r="CA57" s="340"/>
      <c r="CB57" s="340"/>
      <c r="CC57" s="340"/>
      <c r="CD57" s="340"/>
      <c r="CE57" s="340"/>
      <c r="CF57" s="341"/>
      <c r="CG57" s="345"/>
      <c r="CH57" s="340"/>
      <c r="CI57" s="340"/>
      <c r="CJ57" s="340"/>
      <c r="CK57" s="340"/>
      <c r="CL57" s="340"/>
      <c r="CM57" s="340"/>
      <c r="CN57" s="340"/>
      <c r="CO57" s="340"/>
      <c r="CP57" s="340"/>
      <c r="CQ57" s="341"/>
      <c r="CR57" s="345"/>
      <c r="CS57" s="340"/>
      <c r="CT57" s="340"/>
      <c r="CU57" s="340"/>
      <c r="CV57" s="340"/>
      <c r="CW57" s="340"/>
      <c r="CX57" s="340"/>
      <c r="CY57" s="340"/>
      <c r="CZ57" s="340"/>
      <c r="DA57" s="340"/>
      <c r="DB57" s="340"/>
      <c r="DC57" s="340"/>
      <c r="DD57" s="341"/>
      <c r="DE57" s="346"/>
      <c r="DF57" s="347"/>
      <c r="DG57" s="347"/>
      <c r="DH57" s="347"/>
      <c r="DI57" s="347"/>
      <c r="DJ57" s="347"/>
      <c r="DK57" s="347"/>
      <c r="DL57" s="347"/>
      <c r="DM57" s="347"/>
      <c r="DN57" s="347"/>
      <c r="DO57" s="347"/>
      <c r="DP57" s="347"/>
      <c r="DQ57" s="348"/>
      <c r="DR57" s="346"/>
      <c r="DS57" s="347"/>
      <c r="DT57" s="347"/>
      <c r="DU57" s="347"/>
      <c r="DV57" s="347"/>
      <c r="DW57" s="347"/>
      <c r="DX57" s="347"/>
      <c r="DY57" s="347"/>
      <c r="DZ57" s="347"/>
      <c r="EA57" s="347"/>
      <c r="EB57" s="347"/>
      <c r="EC57" s="347"/>
      <c r="ED57" s="348"/>
      <c r="EE57" s="346"/>
      <c r="EF57" s="347"/>
      <c r="EG57" s="347"/>
      <c r="EH57" s="347"/>
      <c r="EI57" s="347"/>
      <c r="EJ57" s="347"/>
      <c r="EK57" s="347"/>
      <c r="EL57" s="347"/>
      <c r="EM57" s="347"/>
      <c r="EN57" s="347"/>
      <c r="EO57" s="347"/>
      <c r="EP57" s="347"/>
      <c r="EQ57" s="348"/>
      <c r="ER57" s="349"/>
      <c r="ES57" s="350"/>
      <c r="ET57" s="350"/>
      <c r="EU57" s="350"/>
      <c r="EV57" s="350"/>
      <c r="EW57" s="350"/>
      <c r="EX57" s="350"/>
      <c r="EY57" s="350"/>
      <c r="EZ57" s="350"/>
      <c r="FA57" s="350"/>
      <c r="FB57" s="351"/>
      <c r="FC57" s="349"/>
      <c r="FD57" s="350"/>
      <c r="FE57" s="350"/>
      <c r="FF57" s="350"/>
      <c r="FG57" s="350"/>
      <c r="FH57" s="350"/>
      <c r="FI57" s="350"/>
      <c r="FJ57" s="350"/>
      <c r="FK57" s="350"/>
      <c r="FL57" s="350"/>
      <c r="FM57" s="350"/>
      <c r="FN57" s="351"/>
      <c r="FO57" s="275"/>
      <c r="FP57" s="275"/>
      <c r="FQ57" s="275">
        <f t="shared" si="0"/>
        <v>0</v>
      </c>
    </row>
    <row r="58" spans="1:173" ht="12" customHeight="1">
      <c r="A58" s="380" t="s">
        <v>42</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2"/>
      <c r="BL58" s="339" t="s">
        <v>43</v>
      </c>
      <c r="BM58" s="340"/>
      <c r="BN58" s="340"/>
      <c r="BO58" s="340"/>
      <c r="BP58" s="340"/>
      <c r="BQ58" s="340"/>
      <c r="BR58" s="340"/>
      <c r="BS58" s="341"/>
      <c r="BT58" s="345"/>
      <c r="BU58" s="340"/>
      <c r="BV58" s="340"/>
      <c r="BW58" s="340"/>
      <c r="BX58" s="340"/>
      <c r="BY58" s="340"/>
      <c r="BZ58" s="340"/>
      <c r="CA58" s="340"/>
      <c r="CB58" s="340"/>
      <c r="CC58" s="340"/>
      <c r="CD58" s="340"/>
      <c r="CE58" s="340"/>
      <c r="CF58" s="341"/>
      <c r="CG58" s="345"/>
      <c r="CH58" s="340"/>
      <c r="CI58" s="340"/>
      <c r="CJ58" s="340"/>
      <c r="CK58" s="340"/>
      <c r="CL58" s="340"/>
      <c r="CM58" s="340"/>
      <c r="CN58" s="340"/>
      <c r="CO58" s="340"/>
      <c r="CP58" s="340"/>
      <c r="CQ58" s="341"/>
      <c r="CR58" s="352"/>
      <c r="CS58" s="353"/>
      <c r="CT58" s="353"/>
      <c r="CU58" s="353"/>
      <c r="CV58" s="353"/>
      <c r="CW58" s="353"/>
      <c r="CX58" s="353"/>
      <c r="CY58" s="353"/>
      <c r="CZ58" s="353"/>
      <c r="DA58" s="353"/>
      <c r="DB58" s="353"/>
      <c r="DC58" s="353"/>
      <c r="DD58" s="379"/>
      <c r="DE58" s="376">
        <f>DE54+DE55</f>
        <v>3935610.92</v>
      </c>
      <c r="DF58" s="377"/>
      <c r="DG58" s="377"/>
      <c r="DH58" s="377"/>
      <c r="DI58" s="377"/>
      <c r="DJ58" s="377"/>
      <c r="DK58" s="377"/>
      <c r="DL58" s="377"/>
      <c r="DM58" s="377"/>
      <c r="DN58" s="377"/>
      <c r="DO58" s="377"/>
      <c r="DP58" s="377"/>
      <c r="DQ58" s="378"/>
      <c r="DR58" s="346">
        <v>0</v>
      </c>
      <c r="DS58" s="347"/>
      <c r="DT58" s="347"/>
      <c r="DU58" s="347"/>
      <c r="DV58" s="347"/>
      <c r="DW58" s="347"/>
      <c r="DX58" s="347"/>
      <c r="DY58" s="347"/>
      <c r="DZ58" s="347"/>
      <c r="EA58" s="347"/>
      <c r="EB58" s="347"/>
      <c r="EC58" s="347"/>
      <c r="ED58" s="348"/>
      <c r="EE58" s="346"/>
      <c r="EF58" s="347"/>
      <c r="EG58" s="347"/>
      <c r="EH58" s="347"/>
      <c r="EI58" s="347"/>
      <c r="EJ58" s="347"/>
      <c r="EK58" s="347"/>
      <c r="EL58" s="347"/>
      <c r="EM58" s="347"/>
      <c r="EN58" s="347"/>
      <c r="EO58" s="347"/>
      <c r="EP58" s="347"/>
      <c r="EQ58" s="348"/>
      <c r="ER58" s="352"/>
      <c r="ES58" s="353"/>
      <c r="ET58" s="353"/>
      <c r="EU58" s="353"/>
      <c r="EV58" s="353"/>
      <c r="EW58" s="353"/>
      <c r="EX58" s="353"/>
      <c r="EY58" s="353"/>
      <c r="EZ58" s="353"/>
      <c r="FA58" s="353"/>
      <c r="FB58" s="379"/>
      <c r="FC58" s="349"/>
      <c r="FD58" s="350"/>
      <c r="FE58" s="350"/>
      <c r="FF58" s="350"/>
      <c r="FG58" s="350"/>
      <c r="FH58" s="350"/>
      <c r="FI58" s="350"/>
      <c r="FJ58" s="350"/>
      <c r="FK58" s="350"/>
      <c r="FL58" s="350"/>
      <c r="FM58" s="350"/>
      <c r="FN58" s="351"/>
      <c r="FO58" s="275"/>
      <c r="FP58" s="275"/>
      <c r="FQ58" s="275">
        <f t="shared" si="0"/>
        <v>0</v>
      </c>
    </row>
    <row r="59" spans="1:173" ht="12" customHeight="1">
      <c r="A59" s="354" t="s">
        <v>110</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5"/>
      <c r="BL59" s="339"/>
      <c r="BM59" s="340"/>
      <c r="BN59" s="340"/>
      <c r="BO59" s="340"/>
      <c r="BP59" s="340"/>
      <c r="BQ59" s="340"/>
      <c r="BR59" s="340"/>
      <c r="BS59" s="341"/>
      <c r="BT59" s="345"/>
      <c r="BU59" s="340"/>
      <c r="BV59" s="340"/>
      <c r="BW59" s="340"/>
      <c r="BX59" s="340"/>
      <c r="BY59" s="340"/>
      <c r="BZ59" s="340"/>
      <c r="CA59" s="340"/>
      <c r="CB59" s="340"/>
      <c r="CC59" s="340"/>
      <c r="CD59" s="340"/>
      <c r="CE59" s="340"/>
      <c r="CF59" s="341"/>
      <c r="CG59" s="345"/>
      <c r="CH59" s="340"/>
      <c r="CI59" s="340"/>
      <c r="CJ59" s="340"/>
      <c r="CK59" s="340"/>
      <c r="CL59" s="340"/>
      <c r="CM59" s="340"/>
      <c r="CN59" s="340"/>
      <c r="CO59" s="340"/>
      <c r="CP59" s="340"/>
      <c r="CQ59" s="341"/>
      <c r="CR59" s="345"/>
      <c r="CS59" s="340"/>
      <c r="CT59" s="340"/>
      <c r="CU59" s="340"/>
      <c r="CV59" s="340"/>
      <c r="CW59" s="340"/>
      <c r="CX59" s="340"/>
      <c r="CY59" s="340"/>
      <c r="CZ59" s="340"/>
      <c r="DA59" s="340"/>
      <c r="DB59" s="340"/>
      <c r="DC59" s="340"/>
      <c r="DD59" s="341"/>
      <c r="DE59" s="346"/>
      <c r="DF59" s="347"/>
      <c r="DG59" s="347"/>
      <c r="DH59" s="347"/>
      <c r="DI59" s="347"/>
      <c r="DJ59" s="347"/>
      <c r="DK59" s="347"/>
      <c r="DL59" s="347"/>
      <c r="DM59" s="347"/>
      <c r="DN59" s="347"/>
      <c r="DO59" s="347"/>
      <c r="DP59" s="347"/>
      <c r="DQ59" s="348"/>
      <c r="DR59" s="346"/>
      <c r="DS59" s="347"/>
      <c r="DT59" s="347"/>
      <c r="DU59" s="347"/>
      <c r="DV59" s="347"/>
      <c r="DW59" s="347"/>
      <c r="DX59" s="347"/>
      <c r="DY59" s="347"/>
      <c r="DZ59" s="347"/>
      <c r="EA59" s="347"/>
      <c r="EB59" s="347"/>
      <c r="EC59" s="347"/>
      <c r="ED59" s="348"/>
      <c r="EE59" s="346"/>
      <c r="EF59" s="347"/>
      <c r="EG59" s="347"/>
      <c r="EH59" s="347"/>
      <c r="EI59" s="347"/>
      <c r="EJ59" s="347"/>
      <c r="EK59" s="347"/>
      <c r="EL59" s="347"/>
      <c r="EM59" s="347"/>
      <c r="EN59" s="347"/>
      <c r="EO59" s="347"/>
      <c r="EP59" s="347"/>
      <c r="EQ59" s="348"/>
      <c r="ER59" s="349"/>
      <c r="ES59" s="350"/>
      <c r="ET59" s="350"/>
      <c r="EU59" s="350"/>
      <c r="EV59" s="350"/>
      <c r="EW59" s="350"/>
      <c r="EX59" s="350"/>
      <c r="EY59" s="350"/>
      <c r="EZ59" s="350"/>
      <c r="FA59" s="350"/>
      <c r="FB59" s="351"/>
      <c r="FC59" s="349"/>
      <c r="FD59" s="350"/>
      <c r="FE59" s="350"/>
      <c r="FF59" s="350"/>
      <c r="FG59" s="350"/>
      <c r="FH59" s="350"/>
      <c r="FI59" s="350"/>
      <c r="FJ59" s="350"/>
      <c r="FK59" s="350"/>
      <c r="FL59" s="350"/>
      <c r="FM59" s="350"/>
      <c r="FN59" s="351"/>
      <c r="FO59" s="281"/>
      <c r="FP59" s="281"/>
      <c r="FQ59" s="281">
        <f t="shared" ref="FQ59" si="2">DR59-FO59-FP59</f>
        <v>0</v>
      </c>
    </row>
    <row r="60" spans="1:173" ht="12" customHeight="1">
      <c r="A60" s="354" t="s">
        <v>44</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c r="BF60" s="374"/>
      <c r="BG60" s="374"/>
      <c r="BH60" s="374"/>
      <c r="BI60" s="374"/>
      <c r="BJ60" s="374"/>
      <c r="BK60" s="375"/>
      <c r="BL60" s="339" t="s">
        <v>45</v>
      </c>
      <c r="BM60" s="340"/>
      <c r="BN60" s="340"/>
      <c r="BO60" s="340"/>
      <c r="BP60" s="340"/>
      <c r="BQ60" s="340"/>
      <c r="BR60" s="340"/>
      <c r="BS60" s="341"/>
      <c r="BT60" s="345"/>
      <c r="BU60" s="340"/>
      <c r="BV60" s="340"/>
      <c r="BW60" s="340"/>
      <c r="BX60" s="340"/>
      <c r="BY60" s="340"/>
      <c r="BZ60" s="340"/>
      <c r="CA60" s="340"/>
      <c r="CB60" s="340"/>
      <c r="CC60" s="340"/>
      <c r="CD60" s="340"/>
      <c r="CE60" s="340"/>
      <c r="CF60" s="341"/>
      <c r="CG60" s="345"/>
      <c r="CH60" s="340"/>
      <c r="CI60" s="340"/>
      <c r="CJ60" s="340"/>
      <c r="CK60" s="340"/>
      <c r="CL60" s="340"/>
      <c r="CM60" s="340"/>
      <c r="CN60" s="340"/>
      <c r="CO60" s="340"/>
      <c r="CP60" s="340"/>
      <c r="CQ60" s="341"/>
      <c r="CR60" s="345"/>
      <c r="CS60" s="340"/>
      <c r="CT60" s="340"/>
      <c r="CU60" s="340"/>
      <c r="CV60" s="340"/>
      <c r="CW60" s="340"/>
      <c r="CX60" s="340"/>
      <c r="CY60" s="340"/>
      <c r="CZ60" s="340"/>
      <c r="DA60" s="340"/>
      <c r="DB60" s="340"/>
      <c r="DC60" s="340"/>
      <c r="DD60" s="341"/>
      <c r="DE60" s="346"/>
      <c r="DF60" s="347"/>
      <c r="DG60" s="347"/>
      <c r="DH60" s="347"/>
      <c r="DI60" s="347"/>
      <c r="DJ60" s="347"/>
      <c r="DK60" s="347"/>
      <c r="DL60" s="347"/>
      <c r="DM60" s="347"/>
      <c r="DN60" s="347"/>
      <c r="DO60" s="347"/>
      <c r="DP60" s="347"/>
      <c r="DQ60" s="348"/>
      <c r="DR60" s="346"/>
      <c r="DS60" s="347"/>
      <c r="DT60" s="347"/>
      <c r="DU60" s="347"/>
      <c r="DV60" s="347"/>
      <c r="DW60" s="347"/>
      <c r="DX60" s="347"/>
      <c r="DY60" s="347"/>
      <c r="DZ60" s="347"/>
      <c r="EA60" s="347"/>
      <c r="EB60" s="347"/>
      <c r="EC60" s="347"/>
      <c r="ED60" s="348"/>
      <c r="EE60" s="346"/>
      <c r="EF60" s="347"/>
      <c r="EG60" s="347"/>
      <c r="EH60" s="347"/>
      <c r="EI60" s="347"/>
      <c r="EJ60" s="347"/>
      <c r="EK60" s="347"/>
      <c r="EL60" s="347"/>
      <c r="EM60" s="347"/>
      <c r="EN60" s="347"/>
      <c r="EO60" s="347"/>
      <c r="EP60" s="347"/>
      <c r="EQ60" s="348"/>
      <c r="ER60" s="349"/>
      <c r="ES60" s="350"/>
      <c r="ET60" s="350"/>
      <c r="EU60" s="350"/>
      <c r="EV60" s="350"/>
      <c r="EW60" s="350"/>
      <c r="EX60" s="350"/>
      <c r="EY60" s="350"/>
      <c r="EZ60" s="350"/>
      <c r="FA60" s="350"/>
      <c r="FB60" s="351"/>
      <c r="FC60" s="349"/>
      <c r="FD60" s="350"/>
      <c r="FE60" s="350"/>
      <c r="FF60" s="350"/>
      <c r="FG60" s="350"/>
      <c r="FH60" s="350"/>
      <c r="FI60" s="350"/>
      <c r="FJ60" s="350"/>
      <c r="FK60" s="350"/>
      <c r="FL60" s="350"/>
      <c r="FM60" s="350"/>
      <c r="FN60" s="351"/>
      <c r="FO60" s="275"/>
      <c r="FP60" s="275"/>
      <c r="FQ60" s="275">
        <f t="shared" si="0"/>
        <v>0</v>
      </c>
    </row>
    <row r="61" spans="1:173" ht="12" customHeight="1">
      <c r="A61" s="485"/>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2"/>
      <c r="BL61" s="339"/>
      <c r="BM61" s="340"/>
      <c r="BN61" s="340"/>
      <c r="BO61" s="340"/>
      <c r="BP61" s="340"/>
      <c r="BQ61" s="340"/>
      <c r="BR61" s="340"/>
      <c r="BS61" s="341"/>
      <c r="BT61" s="345"/>
      <c r="BU61" s="340"/>
      <c r="BV61" s="340"/>
      <c r="BW61" s="340"/>
      <c r="BX61" s="340"/>
      <c r="BY61" s="340"/>
      <c r="BZ61" s="340"/>
      <c r="CA61" s="340"/>
      <c r="CB61" s="340"/>
      <c r="CC61" s="340"/>
      <c r="CD61" s="340"/>
      <c r="CE61" s="340"/>
      <c r="CF61" s="341"/>
      <c r="CG61" s="345"/>
      <c r="CH61" s="340"/>
      <c r="CI61" s="340"/>
      <c r="CJ61" s="340"/>
      <c r="CK61" s="340"/>
      <c r="CL61" s="340"/>
      <c r="CM61" s="340"/>
      <c r="CN61" s="340"/>
      <c r="CO61" s="340"/>
      <c r="CP61" s="340"/>
      <c r="CQ61" s="341"/>
      <c r="CR61" s="345"/>
      <c r="CS61" s="340"/>
      <c r="CT61" s="340"/>
      <c r="CU61" s="340"/>
      <c r="CV61" s="340"/>
      <c r="CW61" s="340"/>
      <c r="CX61" s="340"/>
      <c r="CY61" s="340"/>
      <c r="CZ61" s="340"/>
      <c r="DA61" s="340"/>
      <c r="DB61" s="340"/>
      <c r="DC61" s="340"/>
      <c r="DD61" s="341"/>
      <c r="DE61" s="346"/>
      <c r="DF61" s="347"/>
      <c r="DG61" s="347"/>
      <c r="DH61" s="347"/>
      <c r="DI61" s="347"/>
      <c r="DJ61" s="347"/>
      <c r="DK61" s="347"/>
      <c r="DL61" s="347"/>
      <c r="DM61" s="347"/>
      <c r="DN61" s="347"/>
      <c r="DO61" s="347"/>
      <c r="DP61" s="347"/>
      <c r="DQ61" s="348"/>
      <c r="DR61" s="346"/>
      <c r="DS61" s="347"/>
      <c r="DT61" s="347"/>
      <c r="DU61" s="347"/>
      <c r="DV61" s="347"/>
      <c r="DW61" s="347"/>
      <c r="DX61" s="347"/>
      <c r="DY61" s="347"/>
      <c r="DZ61" s="347"/>
      <c r="EA61" s="347"/>
      <c r="EB61" s="347"/>
      <c r="EC61" s="347"/>
      <c r="ED61" s="348"/>
      <c r="EE61" s="346"/>
      <c r="EF61" s="347"/>
      <c r="EG61" s="347"/>
      <c r="EH61" s="347"/>
      <c r="EI61" s="347"/>
      <c r="EJ61" s="347"/>
      <c r="EK61" s="347"/>
      <c r="EL61" s="347"/>
      <c r="EM61" s="347"/>
      <c r="EN61" s="347"/>
      <c r="EO61" s="347"/>
      <c r="EP61" s="347"/>
      <c r="EQ61" s="348"/>
      <c r="ER61" s="349"/>
      <c r="ES61" s="350"/>
      <c r="ET61" s="350"/>
      <c r="EU61" s="350"/>
      <c r="EV61" s="350"/>
      <c r="EW61" s="350"/>
      <c r="EX61" s="350"/>
      <c r="EY61" s="350"/>
      <c r="EZ61" s="350"/>
      <c r="FA61" s="350"/>
      <c r="FB61" s="351"/>
      <c r="FC61" s="349"/>
      <c r="FD61" s="350"/>
      <c r="FE61" s="350"/>
      <c r="FF61" s="350"/>
      <c r="FG61" s="350"/>
      <c r="FH61" s="350"/>
      <c r="FI61" s="350"/>
      <c r="FJ61" s="350"/>
      <c r="FK61" s="350"/>
      <c r="FL61" s="350"/>
      <c r="FM61" s="350"/>
      <c r="FN61" s="350"/>
      <c r="FO61" s="275"/>
      <c r="FP61" s="275"/>
      <c r="FQ61" s="275">
        <f t="shared" si="0"/>
        <v>0</v>
      </c>
    </row>
    <row r="62" spans="1:173" ht="12" customHeight="1">
      <c r="A62" s="487" t="s">
        <v>46</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88"/>
      <c r="BG62" s="488"/>
      <c r="BH62" s="488"/>
      <c r="BI62" s="488"/>
      <c r="BJ62" s="488"/>
      <c r="BK62" s="489"/>
      <c r="BL62" s="460" t="s">
        <v>47</v>
      </c>
      <c r="BM62" s="363"/>
      <c r="BN62" s="363"/>
      <c r="BO62" s="363"/>
      <c r="BP62" s="363"/>
      <c r="BQ62" s="363"/>
      <c r="BR62" s="363"/>
      <c r="BS62" s="364"/>
      <c r="BT62" s="362"/>
      <c r="BU62" s="363"/>
      <c r="BV62" s="363"/>
      <c r="BW62" s="363"/>
      <c r="BX62" s="363"/>
      <c r="BY62" s="363"/>
      <c r="BZ62" s="363"/>
      <c r="CA62" s="363"/>
      <c r="CB62" s="363"/>
      <c r="CC62" s="363"/>
      <c r="CD62" s="363"/>
      <c r="CE62" s="363"/>
      <c r="CF62" s="364"/>
      <c r="CG62" s="362"/>
      <c r="CH62" s="363"/>
      <c r="CI62" s="363"/>
      <c r="CJ62" s="363"/>
      <c r="CK62" s="363"/>
      <c r="CL62" s="363"/>
      <c r="CM62" s="363"/>
      <c r="CN62" s="363"/>
      <c r="CO62" s="363"/>
      <c r="CP62" s="363"/>
      <c r="CQ62" s="364"/>
      <c r="CR62" s="362"/>
      <c r="CS62" s="363"/>
      <c r="CT62" s="363"/>
      <c r="CU62" s="363"/>
      <c r="CV62" s="363"/>
      <c r="CW62" s="363"/>
      <c r="CX62" s="363"/>
      <c r="CY62" s="363"/>
      <c r="CZ62" s="363"/>
      <c r="DA62" s="363"/>
      <c r="DB62" s="363"/>
      <c r="DC62" s="363"/>
      <c r="DD62" s="364"/>
      <c r="DE62" s="365">
        <f>SUM(DE64:DQ66)</f>
        <v>0</v>
      </c>
      <c r="DF62" s="366"/>
      <c r="DG62" s="366"/>
      <c r="DH62" s="366"/>
      <c r="DI62" s="366"/>
      <c r="DJ62" s="366"/>
      <c r="DK62" s="366"/>
      <c r="DL62" s="366"/>
      <c r="DM62" s="366"/>
      <c r="DN62" s="366"/>
      <c r="DO62" s="366"/>
      <c r="DP62" s="366"/>
      <c r="DQ62" s="367"/>
      <c r="DR62" s="365">
        <f>SUM(DR64:ED66)</f>
        <v>0</v>
      </c>
      <c r="DS62" s="366"/>
      <c r="DT62" s="366"/>
      <c r="DU62" s="366"/>
      <c r="DV62" s="366"/>
      <c r="DW62" s="366"/>
      <c r="DX62" s="366"/>
      <c r="DY62" s="366"/>
      <c r="DZ62" s="366"/>
      <c r="EA62" s="366"/>
      <c r="EB62" s="366"/>
      <c r="EC62" s="366"/>
      <c r="ED62" s="367"/>
      <c r="EE62" s="365"/>
      <c r="EF62" s="366"/>
      <c r="EG62" s="366"/>
      <c r="EH62" s="366"/>
      <c r="EI62" s="366"/>
      <c r="EJ62" s="366"/>
      <c r="EK62" s="366"/>
      <c r="EL62" s="366"/>
      <c r="EM62" s="366"/>
      <c r="EN62" s="366"/>
      <c r="EO62" s="366"/>
      <c r="EP62" s="366"/>
      <c r="EQ62" s="367"/>
      <c r="ER62" s="349"/>
      <c r="ES62" s="350"/>
      <c r="ET62" s="350"/>
      <c r="EU62" s="350"/>
      <c r="EV62" s="350"/>
      <c r="EW62" s="350"/>
      <c r="EX62" s="350"/>
      <c r="EY62" s="350"/>
      <c r="EZ62" s="350"/>
      <c r="FA62" s="350"/>
      <c r="FB62" s="351"/>
      <c r="FC62" s="352"/>
      <c r="FD62" s="353"/>
      <c r="FE62" s="353"/>
      <c r="FF62" s="353"/>
      <c r="FG62" s="353"/>
      <c r="FH62" s="353"/>
      <c r="FI62" s="353"/>
      <c r="FJ62" s="353"/>
      <c r="FK62" s="353"/>
      <c r="FL62" s="353"/>
      <c r="FO62" s="275"/>
      <c r="FP62" s="275"/>
      <c r="FQ62" s="275">
        <f t="shared" si="0"/>
        <v>0</v>
      </c>
    </row>
    <row r="63" spans="1:173" ht="12" customHeight="1">
      <c r="A63" s="380" t="s">
        <v>110</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1"/>
      <c r="BK63" s="382"/>
      <c r="BL63" s="339" t="s">
        <v>198</v>
      </c>
      <c r="BM63" s="340"/>
      <c r="BN63" s="340"/>
      <c r="BO63" s="340"/>
      <c r="BP63" s="340"/>
      <c r="BQ63" s="340"/>
      <c r="BR63" s="340"/>
      <c r="BS63" s="341"/>
      <c r="BT63" s="345"/>
      <c r="BU63" s="340"/>
      <c r="BV63" s="340"/>
      <c r="BW63" s="340"/>
      <c r="BX63" s="340"/>
      <c r="BY63" s="340"/>
      <c r="BZ63" s="340"/>
      <c r="CA63" s="340"/>
      <c r="CB63" s="340"/>
      <c r="CC63" s="340"/>
      <c r="CD63" s="340"/>
      <c r="CE63" s="340"/>
      <c r="CF63" s="341"/>
      <c r="CG63" s="345"/>
      <c r="CH63" s="340"/>
      <c r="CI63" s="340"/>
      <c r="CJ63" s="340"/>
      <c r="CK63" s="340"/>
      <c r="CL63" s="340"/>
      <c r="CM63" s="340"/>
      <c r="CN63" s="340"/>
      <c r="CO63" s="340"/>
      <c r="CP63" s="340"/>
      <c r="CQ63" s="341"/>
      <c r="CR63" s="345"/>
      <c r="CS63" s="340"/>
      <c r="CT63" s="340"/>
      <c r="CU63" s="340"/>
      <c r="CV63" s="340"/>
      <c r="CW63" s="340"/>
      <c r="CX63" s="340"/>
      <c r="CY63" s="340"/>
      <c r="CZ63" s="340"/>
      <c r="DA63" s="340"/>
      <c r="DB63" s="340"/>
      <c r="DC63" s="340"/>
      <c r="DD63" s="341"/>
      <c r="DE63" s="349"/>
      <c r="DF63" s="350"/>
      <c r="DG63" s="350"/>
      <c r="DH63" s="350"/>
      <c r="DI63" s="350"/>
      <c r="DJ63" s="350"/>
      <c r="DK63" s="350"/>
      <c r="DL63" s="350"/>
      <c r="DM63" s="350"/>
      <c r="DN63" s="350"/>
      <c r="DO63" s="350"/>
      <c r="DP63" s="350"/>
      <c r="DQ63" s="351"/>
      <c r="DR63" s="349"/>
      <c r="DS63" s="350"/>
      <c r="DT63" s="350"/>
      <c r="DU63" s="350"/>
      <c r="DV63" s="350"/>
      <c r="DW63" s="350"/>
      <c r="DX63" s="350"/>
      <c r="DY63" s="350"/>
      <c r="DZ63" s="350"/>
      <c r="EA63" s="350"/>
      <c r="EB63" s="350"/>
      <c r="EC63" s="350"/>
      <c r="ED63" s="351"/>
      <c r="EE63" s="349"/>
      <c r="EF63" s="350"/>
      <c r="EG63" s="350"/>
      <c r="EH63" s="350"/>
      <c r="EI63" s="350"/>
      <c r="EJ63" s="350"/>
      <c r="EK63" s="350"/>
      <c r="EL63" s="350"/>
      <c r="EM63" s="350"/>
      <c r="EN63" s="350"/>
      <c r="EO63" s="350"/>
      <c r="EP63" s="350"/>
      <c r="EQ63" s="351"/>
      <c r="ER63" s="349"/>
      <c r="ES63" s="350"/>
      <c r="ET63" s="350"/>
      <c r="EU63" s="350"/>
      <c r="EV63" s="350"/>
      <c r="EW63" s="350"/>
      <c r="EX63" s="350"/>
      <c r="EY63" s="350"/>
      <c r="EZ63" s="350"/>
      <c r="FA63" s="350"/>
      <c r="FB63" s="351"/>
      <c r="FC63" s="349"/>
      <c r="FD63" s="350"/>
      <c r="FE63" s="350"/>
      <c r="FF63" s="350"/>
      <c r="FG63" s="350"/>
      <c r="FH63" s="350"/>
      <c r="FI63" s="350"/>
      <c r="FJ63" s="350"/>
      <c r="FK63" s="350"/>
      <c r="FL63" s="350"/>
      <c r="FM63" s="350"/>
      <c r="FN63" s="350"/>
      <c r="FO63" s="275"/>
      <c r="FP63" s="275"/>
      <c r="FQ63" s="275">
        <f t="shared" si="0"/>
        <v>0</v>
      </c>
    </row>
    <row r="64" spans="1:173" ht="12" customHeight="1">
      <c r="A64" s="386" t="s">
        <v>284</v>
      </c>
      <c r="B64" s="555"/>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555"/>
      <c r="BK64" s="556"/>
      <c r="BL64" s="339"/>
      <c r="BM64" s="340"/>
      <c r="BN64" s="340"/>
      <c r="BO64" s="340"/>
      <c r="BP64" s="340"/>
      <c r="BQ64" s="340"/>
      <c r="BR64" s="340"/>
      <c r="BS64" s="341"/>
      <c r="BT64" s="345"/>
      <c r="BU64" s="340"/>
      <c r="BV64" s="340"/>
      <c r="BW64" s="340"/>
      <c r="BX64" s="340"/>
      <c r="BY64" s="340"/>
      <c r="BZ64" s="340"/>
      <c r="CA64" s="340"/>
      <c r="CB64" s="340"/>
      <c r="CC64" s="340"/>
      <c r="CD64" s="340"/>
      <c r="CE64" s="340"/>
      <c r="CF64" s="341"/>
      <c r="CG64" s="345"/>
      <c r="CH64" s="340"/>
      <c r="CI64" s="340"/>
      <c r="CJ64" s="340"/>
      <c r="CK64" s="340"/>
      <c r="CL64" s="340"/>
      <c r="CM64" s="340"/>
      <c r="CN64" s="340"/>
      <c r="CO64" s="340"/>
      <c r="CP64" s="340"/>
      <c r="CQ64" s="341"/>
      <c r="CR64" s="345"/>
      <c r="CS64" s="340"/>
      <c r="CT64" s="340"/>
      <c r="CU64" s="340"/>
      <c r="CV64" s="340"/>
      <c r="CW64" s="340"/>
      <c r="CX64" s="340"/>
      <c r="CY64" s="340"/>
      <c r="CZ64" s="340"/>
      <c r="DA64" s="340"/>
      <c r="DB64" s="340"/>
      <c r="DC64" s="340"/>
      <c r="DD64" s="341"/>
      <c r="DE64" s="346">
        <v>0</v>
      </c>
      <c r="DF64" s="347"/>
      <c r="DG64" s="347"/>
      <c r="DH64" s="347"/>
      <c r="DI64" s="347"/>
      <c r="DJ64" s="347"/>
      <c r="DK64" s="347"/>
      <c r="DL64" s="347"/>
      <c r="DM64" s="347"/>
      <c r="DN64" s="347"/>
      <c r="DO64" s="347"/>
      <c r="DP64" s="347"/>
      <c r="DQ64" s="348"/>
      <c r="DR64" s="346">
        <v>0</v>
      </c>
      <c r="DS64" s="347"/>
      <c r="DT64" s="347"/>
      <c r="DU64" s="347"/>
      <c r="DV64" s="347"/>
      <c r="DW64" s="347"/>
      <c r="DX64" s="347"/>
      <c r="DY64" s="347"/>
      <c r="DZ64" s="347"/>
      <c r="EA64" s="347"/>
      <c r="EB64" s="347"/>
      <c r="EC64" s="347"/>
      <c r="ED64" s="348"/>
      <c r="EE64" s="346"/>
      <c r="EF64" s="347"/>
      <c r="EG64" s="347"/>
      <c r="EH64" s="347"/>
      <c r="EI64" s="347"/>
      <c r="EJ64" s="347"/>
      <c r="EK64" s="347"/>
      <c r="EL64" s="347"/>
      <c r="EM64" s="347"/>
      <c r="EN64" s="347"/>
      <c r="EO64" s="347"/>
      <c r="EP64" s="347"/>
      <c r="EQ64" s="348"/>
      <c r="ER64" s="349"/>
      <c r="ES64" s="350"/>
      <c r="ET64" s="350"/>
      <c r="EU64" s="350"/>
      <c r="EV64" s="350"/>
      <c r="EW64" s="350"/>
      <c r="EX64" s="350"/>
      <c r="EY64" s="350"/>
      <c r="EZ64" s="350"/>
      <c r="FA64" s="350"/>
      <c r="FB64" s="351"/>
      <c r="FC64" s="349"/>
      <c r="FD64" s="350"/>
      <c r="FE64" s="350"/>
      <c r="FF64" s="350"/>
      <c r="FG64" s="350"/>
      <c r="FH64" s="350"/>
      <c r="FI64" s="350"/>
      <c r="FJ64" s="350"/>
      <c r="FK64" s="350"/>
      <c r="FL64" s="350"/>
      <c r="FM64" s="350"/>
      <c r="FN64" s="350"/>
      <c r="FO64" s="275"/>
      <c r="FP64" s="275"/>
      <c r="FQ64" s="275">
        <f t="shared" si="0"/>
        <v>0</v>
      </c>
    </row>
    <row r="65" spans="1:173" ht="12" customHeight="1">
      <c r="A65" s="469" t="s">
        <v>282</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8"/>
      <c r="BL65" s="339"/>
      <c r="BM65" s="340"/>
      <c r="BN65" s="340"/>
      <c r="BO65" s="340"/>
      <c r="BP65" s="340"/>
      <c r="BQ65" s="340"/>
      <c r="BR65" s="340"/>
      <c r="BS65" s="341"/>
      <c r="BT65" s="345"/>
      <c r="BU65" s="340"/>
      <c r="BV65" s="340"/>
      <c r="BW65" s="340"/>
      <c r="BX65" s="340"/>
      <c r="BY65" s="340"/>
      <c r="BZ65" s="340"/>
      <c r="CA65" s="340"/>
      <c r="CB65" s="340"/>
      <c r="CC65" s="340"/>
      <c r="CD65" s="340"/>
      <c r="CE65" s="340"/>
      <c r="CF65" s="341"/>
      <c r="CG65" s="345"/>
      <c r="CH65" s="340"/>
      <c r="CI65" s="340"/>
      <c r="CJ65" s="340"/>
      <c r="CK65" s="340"/>
      <c r="CL65" s="340"/>
      <c r="CM65" s="340"/>
      <c r="CN65" s="340"/>
      <c r="CO65" s="340"/>
      <c r="CP65" s="340"/>
      <c r="CQ65" s="341"/>
      <c r="CR65" s="345"/>
      <c r="CS65" s="340"/>
      <c r="CT65" s="340"/>
      <c r="CU65" s="340"/>
      <c r="CV65" s="340"/>
      <c r="CW65" s="340"/>
      <c r="CX65" s="340"/>
      <c r="CY65" s="340"/>
      <c r="CZ65" s="340"/>
      <c r="DA65" s="340"/>
      <c r="DB65" s="340"/>
      <c r="DC65" s="340"/>
      <c r="DD65" s="341"/>
      <c r="DE65" s="346">
        <v>0</v>
      </c>
      <c r="DF65" s="347"/>
      <c r="DG65" s="347"/>
      <c r="DH65" s="347"/>
      <c r="DI65" s="347"/>
      <c r="DJ65" s="347"/>
      <c r="DK65" s="347"/>
      <c r="DL65" s="347"/>
      <c r="DM65" s="347"/>
      <c r="DN65" s="347"/>
      <c r="DO65" s="347"/>
      <c r="DP65" s="347"/>
      <c r="DQ65" s="348"/>
      <c r="DR65" s="346">
        <v>0</v>
      </c>
      <c r="DS65" s="347"/>
      <c r="DT65" s="347"/>
      <c r="DU65" s="347"/>
      <c r="DV65" s="347"/>
      <c r="DW65" s="347"/>
      <c r="DX65" s="347"/>
      <c r="DY65" s="347"/>
      <c r="DZ65" s="347"/>
      <c r="EA65" s="347"/>
      <c r="EB65" s="347"/>
      <c r="EC65" s="347"/>
      <c r="ED65" s="348"/>
      <c r="EE65" s="346"/>
      <c r="EF65" s="347"/>
      <c r="EG65" s="347"/>
      <c r="EH65" s="347"/>
      <c r="EI65" s="347"/>
      <c r="EJ65" s="347"/>
      <c r="EK65" s="347"/>
      <c r="EL65" s="347"/>
      <c r="EM65" s="347"/>
      <c r="EN65" s="347"/>
      <c r="EO65" s="347"/>
      <c r="EP65" s="347"/>
      <c r="EQ65" s="348"/>
      <c r="ER65" s="349"/>
      <c r="ES65" s="350"/>
      <c r="ET65" s="350"/>
      <c r="EU65" s="350"/>
      <c r="EV65" s="350"/>
      <c r="EW65" s="350"/>
      <c r="EX65" s="350"/>
      <c r="EY65" s="350"/>
      <c r="EZ65" s="350"/>
      <c r="FA65" s="350"/>
      <c r="FB65" s="351"/>
      <c r="FC65" s="349"/>
      <c r="FD65" s="350"/>
      <c r="FE65" s="350"/>
      <c r="FF65" s="350"/>
      <c r="FG65" s="350"/>
      <c r="FH65" s="350"/>
      <c r="FI65" s="350"/>
      <c r="FJ65" s="350"/>
      <c r="FK65" s="350"/>
      <c r="FL65" s="350"/>
      <c r="FM65" s="350"/>
      <c r="FN65" s="350"/>
      <c r="FO65" s="275"/>
      <c r="FP65" s="275"/>
      <c r="FQ65" s="275">
        <f t="shared" si="0"/>
        <v>0</v>
      </c>
    </row>
    <row r="66" spans="1:173" ht="12" customHeight="1">
      <c r="A66" s="383" t="s">
        <v>194</v>
      </c>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4"/>
      <c r="BD66" s="384"/>
      <c r="BE66" s="384"/>
      <c r="BF66" s="384"/>
      <c r="BG66" s="384"/>
      <c r="BH66" s="384"/>
      <c r="BI66" s="384"/>
      <c r="BJ66" s="384"/>
      <c r="BK66" s="385"/>
      <c r="BL66" s="339"/>
      <c r="BM66" s="340"/>
      <c r="BN66" s="340"/>
      <c r="BO66" s="340"/>
      <c r="BP66" s="340"/>
      <c r="BQ66" s="340"/>
      <c r="BR66" s="340"/>
      <c r="BS66" s="341"/>
      <c r="BT66" s="345"/>
      <c r="BU66" s="340"/>
      <c r="BV66" s="340"/>
      <c r="BW66" s="340"/>
      <c r="BX66" s="340"/>
      <c r="BY66" s="340"/>
      <c r="BZ66" s="340"/>
      <c r="CA66" s="340"/>
      <c r="CB66" s="340"/>
      <c r="CC66" s="340"/>
      <c r="CD66" s="340"/>
      <c r="CE66" s="340"/>
      <c r="CF66" s="341"/>
      <c r="CG66" s="345"/>
      <c r="CH66" s="340"/>
      <c r="CI66" s="340"/>
      <c r="CJ66" s="340"/>
      <c r="CK66" s="340"/>
      <c r="CL66" s="340"/>
      <c r="CM66" s="340"/>
      <c r="CN66" s="340"/>
      <c r="CO66" s="340"/>
      <c r="CP66" s="340"/>
      <c r="CQ66" s="341"/>
      <c r="CR66" s="345"/>
      <c r="CS66" s="340"/>
      <c r="CT66" s="340"/>
      <c r="CU66" s="340"/>
      <c r="CV66" s="340"/>
      <c r="CW66" s="340"/>
      <c r="CX66" s="340"/>
      <c r="CY66" s="340"/>
      <c r="CZ66" s="340"/>
      <c r="DA66" s="340"/>
      <c r="DB66" s="340"/>
      <c r="DC66" s="340"/>
      <c r="DD66" s="341"/>
      <c r="DE66" s="346">
        <v>0</v>
      </c>
      <c r="DF66" s="347"/>
      <c r="DG66" s="347"/>
      <c r="DH66" s="347"/>
      <c r="DI66" s="347"/>
      <c r="DJ66" s="347"/>
      <c r="DK66" s="347"/>
      <c r="DL66" s="347"/>
      <c r="DM66" s="347"/>
      <c r="DN66" s="347"/>
      <c r="DO66" s="347"/>
      <c r="DP66" s="347"/>
      <c r="DQ66" s="348"/>
      <c r="DR66" s="346">
        <v>0</v>
      </c>
      <c r="DS66" s="347"/>
      <c r="DT66" s="347"/>
      <c r="DU66" s="347"/>
      <c r="DV66" s="347"/>
      <c r="DW66" s="347"/>
      <c r="DX66" s="347"/>
      <c r="DY66" s="347"/>
      <c r="DZ66" s="347"/>
      <c r="EA66" s="347"/>
      <c r="EB66" s="347"/>
      <c r="EC66" s="347"/>
      <c r="ED66" s="348"/>
      <c r="EE66" s="346"/>
      <c r="EF66" s="347"/>
      <c r="EG66" s="347"/>
      <c r="EH66" s="347"/>
      <c r="EI66" s="347"/>
      <c r="EJ66" s="347"/>
      <c r="EK66" s="347"/>
      <c r="EL66" s="347"/>
      <c r="EM66" s="347"/>
      <c r="EN66" s="347"/>
      <c r="EO66" s="347"/>
      <c r="EP66" s="347"/>
      <c r="EQ66" s="348"/>
      <c r="ER66" s="349"/>
      <c r="ES66" s="350"/>
      <c r="ET66" s="350"/>
      <c r="EU66" s="350"/>
      <c r="EV66" s="350"/>
      <c r="EW66" s="350"/>
      <c r="EX66" s="350"/>
      <c r="EY66" s="350"/>
      <c r="EZ66" s="350"/>
      <c r="FA66" s="350"/>
      <c r="FB66" s="351"/>
      <c r="FC66" s="349"/>
      <c r="FD66" s="350"/>
      <c r="FE66" s="350"/>
      <c r="FF66" s="350"/>
      <c r="FG66" s="350"/>
      <c r="FH66" s="350"/>
      <c r="FI66" s="350"/>
      <c r="FJ66" s="350"/>
      <c r="FK66" s="350"/>
      <c r="FL66" s="350"/>
      <c r="FM66" s="350"/>
      <c r="FN66" s="350"/>
      <c r="FO66" s="275"/>
      <c r="FP66" s="275"/>
      <c r="FQ66" s="275">
        <f t="shared" si="0"/>
        <v>0</v>
      </c>
    </row>
    <row r="67" spans="1:173" ht="12" customHeight="1">
      <c r="A67" s="380" t="s">
        <v>27</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2"/>
      <c r="BL67" s="339" t="s">
        <v>199</v>
      </c>
      <c r="BM67" s="340"/>
      <c r="BN67" s="340"/>
      <c r="BO67" s="340"/>
      <c r="BP67" s="340"/>
      <c r="BQ67" s="340"/>
      <c r="BR67" s="340"/>
      <c r="BS67" s="341"/>
      <c r="BT67" s="345"/>
      <c r="BU67" s="340"/>
      <c r="BV67" s="340"/>
      <c r="BW67" s="340"/>
      <c r="BX67" s="340"/>
      <c r="BY67" s="340"/>
      <c r="BZ67" s="340"/>
      <c r="CA67" s="340"/>
      <c r="CB67" s="340"/>
      <c r="CC67" s="340"/>
      <c r="CD67" s="340"/>
      <c r="CE67" s="340"/>
      <c r="CF67" s="341"/>
      <c r="CG67" s="345"/>
      <c r="CH67" s="340"/>
      <c r="CI67" s="340"/>
      <c r="CJ67" s="340"/>
      <c r="CK67" s="340"/>
      <c r="CL67" s="340"/>
      <c r="CM67" s="340"/>
      <c r="CN67" s="340"/>
      <c r="CO67" s="340"/>
      <c r="CP67" s="340"/>
      <c r="CQ67" s="341"/>
      <c r="CR67" s="345"/>
      <c r="CS67" s="340"/>
      <c r="CT67" s="340"/>
      <c r="CU67" s="340"/>
      <c r="CV67" s="340"/>
      <c r="CW67" s="340"/>
      <c r="CX67" s="340"/>
      <c r="CY67" s="340"/>
      <c r="CZ67" s="340"/>
      <c r="DA67" s="340"/>
      <c r="DB67" s="340"/>
      <c r="DC67" s="340"/>
      <c r="DD67" s="341"/>
      <c r="DE67" s="349"/>
      <c r="DF67" s="350"/>
      <c r="DG67" s="350"/>
      <c r="DH67" s="350"/>
      <c r="DI67" s="350"/>
      <c r="DJ67" s="350"/>
      <c r="DK67" s="350"/>
      <c r="DL67" s="350"/>
      <c r="DM67" s="350"/>
      <c r="DN67" s="350"/>
      <c r="DO67" s="350"/>
      <c r="DP67" s="350"/>
      <c r="DQ67" s="351"/>
      <c r="DR67" s="349"/>
      <c r="DS67" s="350"/>
      <c r="DT67" s="350"/>
      <c r="DU67" s="350"/>
      <c r="DV67" s="350"/>
      <c r="DW67" s="350"/>
      <c r="DX67" s="350"/>
      <c r="DY67" s="350"/>
      <c r="DZ67" s="350"/>
      <c r="EA67" s="350"/>
      <c r="EB67" s="350"/>
      <c r="EC67" s="350"/>
      <c r="ED67" s="351"/>
      <c r="EE67" s="349"/>
      <c r="EF67" s="350"/>
      <c r="EG67" s="350"/>
      <c r="EH67" s="350"/>
      <c r="EI67" s="350"/>
      <c r="EJ67" s="350"/>
      <c r="EK67" s="350"/>
      <c r="EL67" s="350"/>
      <c r="EM67" s="350"/>
      <c r="EN67" s="350"/>
      <c r="EO67" s="350"/>
      <c r="EP67" s="350"/>
      <c r="EQ67" s="351"/>
      <c r="ER67" s="349"/>
      <c r="ES67" s="350"/>
      <c r="ET67" s="350"/>
      <c r="EU67" s="350"/>
      <c r="EV67" s="350"/>
      <c r="EW67" s="350"/>
      <c r="EX67" s="350"/>
      <c r="EY67" s="350"/>
      <c r="EZ67" s="350"/>
      <c r="FA67" s="350"/>
      <c r="FB67" s="351"/>
      <c r="FC67" s="349"/>
      <c r="FD67" s="350"/>
      <c r="FE67" s="350"/>
      <c r="FF67" s="350"/>
      <c r="FG67" s="350"/>
      <c r="FH67" s="350"/>
      <c r="FI67" s="350"/>
      <c r="FJ67" s="350"/>
      <c r="FK67" s="350"/>
      <c r="FL67" s="350"/>
      <c r="FM67" s="350"/>
      <c r="FN67" s="350"/>
      <c r="FO67" s="275"/>
      <c r="FP67" s="275"/>
      <c r="FQ67" s="275">
        <f t="shared" si="0"/>
        <v>0</v>
      </c>
    </row>
    <row r="68" spans="1:173" ht="12" customHeight="1">
      <c r="A68" s="485"/>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381"/>
      <c r="BJ68" s="381"/>
      <c r="BK68" s="382"/>
      <c r="BL68" s="339"/>
      <c r="BM68" s="340"/>
      <c r="BN68" s="340"/>
      <c r="BO68" s="340"/>
      <c r="BP68" s="340"/>
      <c r="BQ68" s="340"/>
      <c r="BR68" s="340"/>
      <c r="BS68" s="341"/>
      <c r="BT68" s="345"/>
      <c r="BU68" s="340"/>
      <c r="BV68" s="340"/>
      <c r="BW68" s="340"/>
      <c r="BX68" s="340"/>
      <c r="BY68" s="340"/>
      <c r="BZ68" s="340"/>
      <c r="CA68" s="340"/>
      <c r="CB68" s="340"/>
      <c r="CC68" s="340"/>
      <c r="CD68" s="340"/>
      <c r="CE68" s="340"/>
      <c r="CF68" s="341"/>
      <c r="CG68" s="345"/>
      <c r="CH68" s="340"/>
      <c r="CI68" s="340"/>
      <c r="CJ68" s="340"/>
      <c r="CK68" s="340"/>
      <c r="CL68" s="340"/>
      <c r="CM68" s="340"/>
      <c r="CN68" s="340"/>
      <c r="CO68" s="340"/>
      <c r="CP68" s="340"/>
      <c r="CQ68" s="341"/>
      <c r="CR68" s="345"/>
      <c r="CS68" s="340"/>
      <c r="CT68" s="340"/>
      <c r="CU68" s="340"/>
      <c r="CV68" s="340"/>
      <c r="CW68" s="340"/>
      <c r="CX68" s="340"/>
      <c r="CY68" s="340"/>
      <c r="CZ68" s="340"/>
      <c r="DA68" s="340"/>
      <c r="DB68" s="340"/>
      <c r="DC68" s="340"/>
      <c r="DD68" s="341"/>
      <c r="DE68" s="346"/>
      <c r="DF68" s="347"/>
      <c r="DG68" s="347"/>
      <c r="DH68" s="347"/>
      <c r="DI68" s="347"/>
      <c r="DJ68" s="347"/>
      <c r="DK68" s="347"/>
      <c r="DL68" s="347"/>
      <c r="DM68" s="347"/>
      <c r="DN68" s="347"/>
      <c r="DO68" s="347"/>
      <c r="DP68" s="347"/>
      <c r="DQ68" s="348"/>
      <c r="DR68" s="346"/>
      <c r="DS68" s="347"/>
      <c r="DT68" s="347"/>
      <c r="DU68" s="347"/>
      <c r="DV68" s="347"/>
      <c r="DW68" s="347"/>
      <c r="DX68" s="347"/>
      <c r="DY68" s="347"/>
      <c r="DZ68" s="347"/>
      <c r="EA68" s="347"/>
      <c r="EB68" s="347"/>
      <c r="EC68" s="347"/>
      <c r="ED68" s="348"/>
      <c r="EE68" s="346"/>
      <c r="EF68" s="347"/>
      <c r="EG68" s="347"/>
      <c r="EH68" s="347"/>
      <c r="EI68" s="347"/>
      <c r="EJ68" s="347"/>
      <c r="EK68" s="347"/>
      <c r="EL68" s="347"/>
      <c r="EM68" s="347"/>
      <c r="EN68" s="347"/>
      <c r="EO68" s="347"/>
      <c r="EP68" s="347"/>
      <c r="EQ68" s="348"/>
      <c r="ER68" s="349"/>
      <c r="ES68" s="350"/>
      <c r="ET68" s="350"/>
      <c r="EU68" s="350"/>
      <c r="EV68" s="350"/>
      <c r="EW68" s="350"/>
      <c r="EX68" s="350"/>
      <c r="EY68" s="350"/>
      <c r="EZ68" s="350"/>
      <c r="FA68" s="350"/>
      <c r="FB68" s="351"/>
      <c r="FC68" s="349"/>
      <c r="FD68" s="350"/>
      <c r="FE68" s="350"/>
      <c r="FF68" s="350"/>
      <c r="FG68" s="350"/>
      <c r="FH68" s="350"/>
      <c r="FI68" s="350"/>
      <c r="FJ68" s="350"/>
      <c r="FK68" s="350"/>
      <c r="FL68" s="350"/>
      <c r="FM68" s="350"/>
      <c r="FN68" s="350"/>
      <c r="FO68" s="275"/>
      <c r="FP68" s="275"/>
      <c r="FQ68" s="275">
        <f t="shared" si="0"/>
        <v>0</v>
      </c>
    </row>
    <row r="69" spans="1:173" ht="12" customHeight="1">
      <c r="A69" s="487" t="s">
        <v>203</v>
      </c>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8"/>
      <c r="AY69" s="488"/>
      <c r="AZ69" s="488"/>
      <c r="BA69" s="488"/>
      <c r="BB69" s="488"/>
      <c r="BC69" s="488"/>
      <c r="BD69" s="488"/>
      <c r="BE69" s="488"/>
      <c r="BF69" s="488"/>
      <c r="BG69" s="488"/>
      <c r="BH69" s="488"/>
      <c r="BI69" s="488"/>
      <c r="BJ69" s="488"/>
      <c r="BK69" s="489"/>
      <c r="BL69" s="339" t="s">
        <v>48</v>
      </c>
      <c r="BM69" s="340"/>
      <c r="BN69" s="340"/>
      <c r="BO69" s="340"/>
      <c r="BP69" s="340"/>
      <c r="BQ69" s="340"/>
      <c r="BR69" s="340"/>
      <c r="BS69" s="341"/>
      <c r="BT69" s="345" t="s">
        <v>21</v>
      </c>
      <c r="BU69" s="340"/>
      <c r="BV69" s="340"/>
      <c r="BW69" s="340"/>
      <c r="BX69" s="340"/>
      <c r="BY69" s="340"/>
      <c r="BZ69" s="340"/>
      <c r="CA69" s="340"/>
      <c r="CB69" s="340"/>
      <c r="CC69" s="340"/>
      <c r="CD69" s="340"/>
      <c r="CE69" s="340"/>
      <c r="CF69" s="341"/>
      <c r="CG69" s="345"/>
      <c r="CH69" s="340"/>
      <c r="CI69" s="340"/>
      <c r="CJ69" s="340"/>
      <c r="CK69" s="340"/>
      <c r="CL69" s="340"/>
      <c r="CM69" s="340"/>
      <c r="CN69" s="340"/>
      <c r="CO69" s="340"/>
      <c r="CP69" s="340"/>
      <c r="CQ69" s="341"/>
      <c r="CR69" s="345"/>
      <c r="CS69" s="340"/>
      <c r="CT69" s="340"/>
      <c r="CU69" s="340"/>
      <c r="CV69" s="340"/>
      <c r="CW69" s="340"/>
      <c r="CX69" s="340"/>
      <c r="CY69" s="340"/>
      <c r="CZ69" s="340"/>
      <c r="DA69" s="340"/>
      <c r="DB69" s="340"/>
      <c r="DC69" s="340"/>
      <c r="DD69" s="341"/>
      <c r="DE69" s="365">
        <f>DE70</f>
        <v>6724.84</v>
      </c>
      <c r="DF69" s="366"/>
      <c r="DG69" s="366"/>
      <c r="DH69" s="366"/>
      <c r="DI69" s="366"/>
      <c r="DJ69" s="366"/>
      <c r="DK69" s="366"/>
      <c r="DL69" s="366"/>
      <c r="DM69" s="366"/>
      <c r="DN69" s="366"/>
      <c r="DO69" s="366"/>
      <c r="DP69" s="366"/>
      <c r="DQ69" s="367"/>
      <c r="DR69" s="365">
        <f>DR70</f>
        <v>0</v>
      </c>
      <c r="DS69" s="366"/>
      <c r="DT69" s="366"/>
      <c r="DU69" s="366"/>
      <c r="DV69" s="366"/>
      <c r="DW69" s="366"/>
      <c r="DX69" s="366"/>
      <c r="DY69" s="366"/>
      <c r="DZ69" s="366"/>
      <c r="EA69" s="366"/>
      <c r="EB69" s="366"/>
      <c r="EC69" s="366"/>
      <c r="ED69" s="367"/>
      <c r="EE69" s="365"/>
      <c r="EF69" s="366"/>
      <c r="EG69" s="366"/>
      <c r="EH69" s="366"/>
      <c r="EI69" s="366"/>
      <c r="EJ69" s="366"/>
      <c r="EK69" s="366"/>
      <c r="EL69" s="366"/>
      <c r="EM69" s="366"/>
      <c r="EN69" s="366"/>
      <c r="EO69" s="366"/>
      <c r="EP69" s="366"/>
      <c r="EQ69" s="367"/>
      <c r="ER69" s="349"/>
      <c r="ES69" s="350"/>
      <c r="ET69" s="350"/>
      <c r="EU69" s="350"/>
      <c r="EV69" s="350"/>
      <c r="EW69" s="350"/>
      <c r="EX69" s="350"/>
      <c r="EY69" s="350"/>
      <c r="EZ69" s="350"/>
      <c r="FA69" s="350"/>
      <c r="FB69" s="351"/>
      <c r="FC69" s="352"/>
      <c r="FD69" s="353"/>
      <c r="FE69" s="353"/>
      <c r="FF69" s="353"/>
      <c r="FG69" s="353"/>
      <c r="FH69" s="353"/>
      <c r="FI69" s="353"/>
      <c r="FJ69" s="353"/>
      <c r="FK69" s="353"/>
      <c r="FL69" s="353"/>
      <c r="FO69" s="275"/>
      <c r="FP69" s="275"/>
      <c r="FQ69" s="275">
        <f t="shared" si="0"/>
        <v>0</v>
      </c>
    </row>
    <row r="70" spans="1:173" ht="30.6" customHeight="1">
      <c r="A70" s="485" t="s">
        <v>49</v>
      </c>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2"/>
      <c r="BL70" s="339" t="s">
        <v>50</v>
      </c>
      <c r="BM70" s="340"/>
      <c r="BN70" s="340"/>
      <c r="BO70" s="340"/>
      <c r="BP70" s="340"/>
      <c r="BQ70" s="340"/>
      <c r="BR70" s="340"/>
      <c r="BS70" s="341"/>
      <c r="BT70" s="345" t="s">
        <v>51</v>
      </c>
      <c r="BU70" s="340"/>
      <c r="BV70" s="340"/>
      <c r="BW70" s="340"/>
      <c r="BX70" s="340"/>
      <c r="BY70" s="340"/>
      <c r="BZ70" s="340"/>
      <c r="CA70" s="340"/>
      <c r="CB70" s="340"/>
      <c r="CC70" s="340"/>
      <c r="CD70" s="340"/>
      <c r="CE70" s="340"/>
      <c r="CF70" s="341"/>
      <c r="CG70" s="373" t="s">
        <v>972</v>
      </c>
      <c r="CH70" s="371"/>
      <c r="CI70" s="371"/>
      <c r="CJ70" s="371"/>
      <c r="CK70" s="371"/>
      <c r="CL70" s="371"/>
      <c r="CM70" s="371"/>
      <c r="CN70" s="371"/>
      <c r="CO70" s="371"/>
      <c r="CP70" s="371"/>
      <c r="CQ70" s="372"/>
      <c r="CR70" s="345"/>
      <c r="CS70" s="340"/>
      <c r="CT70" s="340"/>
      <c r="CU70" s="340"/>
      <c r="CV70" s="340"/>
      <c r="CW70" s="340"/>
      <c r="CX70" s="340"/>
      <c r="CY70" s="340"/>
      <c r="CZ70" s="340"/>
      <c r="DA70" s="340"/>
      <c r="DB70" s="340"/>
      <c r="DC70" s="340"/>
      <c r="DD70" s="341"/>
      <c r="DE70" s="346">
        <v>6724.84</v>
      </c>
      <c r="DF70" s="347"/>
      <c r="DG70" s="347"/>
      <c r="DH70" s="347"/>
      <c r="DI70" s="347"/>
      <c r="DJ70" s="347"/>
      <c r="DK70" s="347"/>
      <c r="DL70" s="347"/>
      <c r="DM70" s="347"/>
      <c r="DN70" s="347"/>
      <c r="DO70" s="347"/>
      <c r="DP70" s="347"/>
      <c r="DQ70" s="348"/>
      <c r="DR70" s="346">
        <v>0</v>
      </c>
      <c r="DS70" s="347"/>
      <c r="DT70" s="347"/>
      <c r="DU70" s="347"/>
      <c r="DV70" s="347"/>
      <c r="DW70" s="347"/>
      <c r="DX70" s="347"/>
      <c r="DY70" s="347"/>
      <c r="DZ70" s="347"/>
      <c r="EA70" s="347"/>
      <c r="EB70" s="347"/>
      <c r="EC70" s="347"/>
      <c r="ED70" s="348"/>
      <c r="EE70" s="346"/>
      <c r="EF70" s="347"/>
      <c r="EG70" s="347"/>
      <c r="EH70" s="347"/>
      <c r="EI70" s="347"/>
      <c r="EJ70" s="347"/>
      <c r="EK70" s="347"/>
      <c r="EL70" s="347"/>
      <c r="EM70" s="347"/>
      <c r="EN70" s="347"/>
      <c r="EO70" s="347"/>
      <c r="EP70" s="347"/>
      <c r="EQ70" s="348"/>
      <c r="ER70" s="349"/>
      <c r="ES70" s="350"/>
      <c r="ET70" s="350"/>
      <c r="EU70" s="350"/>
      <c r="EV70" s="350"/>
      <c r="EW70" s="350"/>
      <c r="EX70" s="350"/>
      <c r="EY70" s="350"/>
      <c r="EZ70" s="350"/>
      <c r="FA70" s="350"/>
      <c r="FB70" s="351"/>
      <c r="FC70" s="349"/>
      <c r="FD70" s="350"/>
      <c r="FE70" s="350"/>
      <c r="FF70" s="350"/>
      <c r="FG70" s="350"/>
      <c r="FH70" s="350"/>
      <c r="FI70" s="350"/>
      <c r="FJ70" s="350"/>
      <c r="FK70" s="350"/>
      <c r="FL70" s="350"/>
      <c r="FM70" s="350"/>
      <c r="FN70" s="350"/>
      <c r="FO70" s="275"/>
      <c r="FP70" s="275"/>
      <c r="FQ70" s="275">
        <f t="shared" si="0"/>
        <v>0</v>
      </c>
    </row>
    <row r="71" spans="1:173" ht="12" customHeight="1">
      <c r="A71" s="485"/>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2"/>
      <c r="BL71" s="339"/>
      <c r="BM71" s="340"/>
      <c r="BN71" s="340"/>
      <c r="BO71" s="340"/>
      <c r="BP71" s="340"/>
      <c r="BQ71" s="340"/>
      <c r="BR71" s="340"/>
      <c r="BS71" s="341"/>
      <c r="BT71" s="345"/>
      <c r="BU71" s="340"/>
      <c r="BV71" s="340"/>
      <c r="BW71" s="340"/>
      <c r="BX71" s="340"/>
      <c r="BY71" s="340"/>
      <c r="BZ71" s="340"/>
      <c r="CA71" s="340"/>
      <c r="CB71" s="340"/>
      <c r="CC71" s="340"/>
      <c r="CD71" s="340"/>
      <c r="CE71" s="340"/>
      <c r="CF71" s="341"/>
      <c r="CG71" s="345"/>
      <c r="CH71" s="340"/>
      <c r="CI71" s="340"/>
      <c r="CJ71" s="340"/>
      <c r="CK71" s="340"/>
      <c r="CL71" s="340"/>
      <c r="CM71" s="340"/>
      <c r="CN71" s="340"/>
      <c r="CO71" s="340"/>
      <c r="CP71" s="340"/>
      <c r="CQ71" s="341"/>
      <c r="CR71" s="345"/>
      <c r="CS71" s="340"/>
      <c r="CT71" s="340"/>
      <c r="CU71" s="340"/>
      <c r="CV71" s="340"/>
      <c r="CW71" s="340"/>
      <c r="CX71" s="340"/>
      <c r="CY71" s="340"/>
      <c r="CZ71" s="340"/>
      <c r="DA71" s="340"/>
      <c r="DB71" s="340"/>
      <c r="DC71" s="340"/>
      <c r="DD71" s="341"/>
      <c r="DE71" s="349"/>
      <c r="DF71" s="350"/>
      <c r="DG71" s="350"/>
      <c r="DH71" s="350"/>
      <c r="DI71" s="350"/>
      <c r="DJ71" s="350"/>
      <c r="DK71" s="350"/>
      <c r="DL71" s="350"/>
      <c r="DM71" s="350"/>
      <c r="DN71" s="350"/>
      <c r="DO71" s="350"/>
      <c r="DP71" s="350"/>
      <c r="DQ71" s="351"/>
      <c r="DR71" s="349"/>
      <c r="DS71" s="350"/>
      <c r="DT71" s="350"/>
      <c r="DU71" s="350"/>
      <c r="DV71" s="350"/>
      <c r="DW71" s="350"/>
      <c r="DX71" s="350"/>
      <c r="DY71" s="350"/>
      <c r="DZ71" s="350"/>
      <c r="EA71" s="350"/>
      <c r="EB71" s="350"/>
      <c r="EC71" s="350"/>
      <c r="ED71" s="351"/>
      <c r="EE71" s="349"/>
      <c r="EF71" s="350"/>
      <c r="EG71" s="350"/>
      <c r="EH71" s="350"/>
      <c r="EI71" s="350"/>
      <c r="EJ71" s="350"/>
      <c r="EK71" s="350"/>
      <c r="EL71" s="350"/>
      <c r="EM71" s="350"/>
      <c r="EN71" s="350"/>
      <c r="EO71" s="350"/>
      <c r="EP71" s="350"/>
      <c r="EQ71" s="351"/>
      <c r="ER71" s="349"/>
      <c r="ES71" s="350"/>
      <c r="ET71" s="350"/>
      <c r="EU71" s="350"/>
      <c r="EV71" s="350"/>
      <c r="EW71" s="350"/>
      <c r="EX71" s="350"/>
      <c r="EY71" s="350"/>
      <c r="EZ71" s="350"/>
      <c r="FA71" s="350"/>
      <c r="FB71" s="351"/>
      <c r="FC71" s="352"/>
      <c r="FD71" s="353"/>
      <c r="FE71" s="353"/>
      <c r="FF71" s="353"/>
      <c r="FG71" s="353"/>
      <c r="FH71" s="353"/>
      <c r="FI71" s="353"/>
      <c r="FJ71" s="353"/>
      <c r="FK71" s="353"/>
      <c r="FL71" s="353"/>
      <c r="FO71" s="275"/>
      <c r="FP71" s="275"/>
      <c r="FQ71" s="275">
        <f t="shared" si="0"/>
        <v>0</v>
      </c>
    </row>
    <row r="72" spans="1:173" ht="12.75" customHeight="1">
      <c r="A72" s="572" t="s">
        <v>52</v>
      </c>
      <c r="B72" s="573"/>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573"/>
      <c r="BF72" s="573"/>
      <c r="BG72" s="573"/>
      <c r="BH72" s="573"/>
      <c r="BI72" s="573"/>
      <c r="BJ72" s="573"/>
      <c r="BK72" s="574"/>
      <c r="BL72" s="606" t="s">
        <v>53</v>
      </c>
      <c r="BM72" s="548"/>
      <c r="BN72" s="548"/>
      <c r="BO72" s="548"/>
      <c r="BP72" s="548"/>
      <c r="BQ72" s="548"/>
      <c r="BR72" s="548"/>
      <c r="BS72" s="549"/>
      <c r="BT72" s="547" t="s">
        <v>21</v>
      </c>
      <c r="BU72" s="548"/>
      <c r="BV72" s="548"/>
      <c r="BW72" s="548"/>
      <c r="BX72" s="548"/>
      <c r="BY72" s="548"/>
      <c r="BZ72" s="548"/>
      <c r="CA72" s="548"/>
      <c r="CB72" s="548"/>
      <c r="CC72" s="548"/>
      <c r="CD72" s="548"/>
      <c r="CE72" s="548"/>
      <c r="CF72" s="549"/>
      <c r="CG72" s="625" t="s">
        <v>265</v>
      </c>
      <c r="CH72" s="626"/>
      <c r="CI72" s="626"/>
      <c r="CJ72" s="626"/>
      <c r="CK72" s="626"/>
      <c r="CL72" s="626"/>
      <c r="CM72" s="626"/>
      <c r="CN72" s="626"/>
      <c r="CO72" s="626"/>
      <c r="CP72" s="626"/>
      <c r="CQ72" s="627"/>
      <c r="CR72" s="625"/>
      <c r="CS72" s="626"/>
      <c r="CT72" s="626"/>
      <c r="CU72" s="626"/>
      <c r="CV72" s="626"/>
      <c r="CW72" s="626"/>
      <c r="CX72" s="626"/>
      <c r="CY72" s="626"/>
      <c r="CZ72" s="626"/>
      <c r="DA72" s="626"/>
      <c r="DB72" s="626"/>
      <c r="DC72" s="626"/>
      <c r="DD72" s="627"/>
      <c r="DE72" s="603">
        <f>SUM(DE73:DQ76)</f>
        <v>29828062.050000001</v>
      </c>
      <c r="DF72" s="604"/>
      <c r="DG72" s="604"/>
      <c r="DH72" s="604"/>
      <c r="DI72" s="604"/>
      <c r="DJ72" s="604"/>
      <c r="DK72" s="604"/>
      <c r="DL72" s="604"/>
      <c r="DM72" s="604"/>
      <c r="DN72" s="604"/>
      <c r="DO72" s="604"/>
      <c r="DP72" s="604"/>
      <c r="DQ72" s="605"/>
      <c r="DR72" s="603">
        <f>SUM(DR73:ED76)</f>
        <v>29860449.710000005</v>
      </c>
      <c r="DS72" s="604"/>
      <c r="DT72" s="604"/>
      <c r="DU72" s="604"/>
      <c r="DV72" s="604"/>
      <c r="DW72" s="604"/>
      <c r="DX72" s="604"/>
      <c r="DY72" s="604"/>
      <c r="DZ72" s="604"/>
      <c r="EA72" s="604"/>
      <c r="EB72" s="604"/>
      <c r="EC72" s="604"/>
      <c r="ED72" s="605"/>
      <c r="EE72" s="603"/>
      <c r="EF72" s="604"/>
      <c r="EG72" s="604"/>
      <c r="EH72" s="604"/>
      <c r="EI72" s="604"/>
      <c r="EJ72" s="604"/>
      <c r="EK72" s="604"/>
      <c r="EL72" s="604"/>
      <c r="EM72" s="604"/>
      <c r="EN72" s="604"/>
      <c r="EO72" s="604"/>
      <c r="EP72" s="604"/>
      <c r="EQ72" s="605"/>
      <c r="ER72" s="616"/>
      <c r="ES72" s="617"/>
      <c r="ET72" s="617"/>
      <c r="EU72" s="617"/>
      <c r="EV72" s="617"/>
      <c r="EW72" s="617"/>
      <c r="EX72" s="617"/>
      <c r="EY72" s="617"/>
      <c r="EZ72" s="617"/>
      <c r="FA72" s="617"/>
      <c r="FB72" s="618"/>
      <c r="FC72" s="416"/>
      <c r="FD72" s="417"/>
      <c r="FE72" s="417"/>
      <c r="FF72" s="417"/>
      <c r="FG72" s="417"/>
      <c r="FH72" s="417"/>
      <c r="FI72" s="417"/>
      <c r="FJ72" s="417"/>
      <c r="FK72" s="417"/>
      <c r="FL72" s="417"/>
      <c r="FO72" s="275"/>
      <c r="FP72" s="275"/>
      <c r="FQ72" s="275">
        <f t="shared" si="0"/>
        <v>29860449.710000005</v>
      </c>
    </row>
    <row r="73" spans="1:173" ht="12" customHeight="1">
      <c r="A73" s="386" t="s">
        <v>284</v>
      </c>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6"/>
      <c r="BL73" s="339"/>
      <c r="BM73" s="340"/>
      <c r="BN73" s="340"/>
      <c r="BO73" s="340"/>
      <c r="BP73" s="340"/>
      <c r="BQ73" s="340"/>
      <c r="BR73" s="340"/>
      <c r="BS73" s="341"/>
      <c r="BT73" s="345"/>
      <c r="BU73" s="340"/>
      <c r="BV73" s="340"/>
      <c r="BW73" s="340"/>
      <c r="BX73" s="340"/>
      <c r="BY73" s="340"/>
      <c r="BZ73" s="340"/>
      <c r="CA73" s="340"/>
      <c r="CB73" s="340"/>
      <c r="CC73" s="340"/>
      <c r="CD73" s="340"/>
      <c r="CE73" s="340"/>
      <c r="CF73" s="341"/>
      <c r="CG73" s="345"/>
      <c r="CH73" s="340"/>
      <c r="CI73" s="340"/>
      <c r="CJ73" s="340"/>
      <c r="CK73" s="340"/>
      <c r="CL73" s="340"/>
      <c r="CM73" s="340"/>
      <c r="CN73" s="340"/>
      <c r="CO73" s="340"/>
      <c r="CP73" s="340"/>
      <c r="CQ73" s="341"/>
      <c r="CR73" s="345"/>
      <c r="CS73" s="340"/>
      <c r="CT73" s="340"/>
      <c r="CU73" s="340"/>
      <c r="CV73" s="340"/>
      <c r="CW73" s="340"/>
      <c r="CX73" s="340"/>
      <c r="CY73" s="340"/>
      <c r="CZ73" s="340"/>
      <c r="DA73" s="340"/>
      <c r="DB73" s="340"/>
      <c r="DC73" s="340"/>
      <c r="DD73" s="341"/>
      <c r="DE73" s="376">
        <f>SUM(DE78+DE133+DE145+DE158+DE169+DE182)</f>
        <v>10116751.15</v>
      </c>
      <c r="DF73" s="377"/>
      <c r="DG73" s="377"/>
      <c r="DH73" s="377"/>
      <c r="DI73" s="377"/>
      <c r="DJ73" s="377"/>
      <c r="DK73" s="377"/>
      <c r="DL73" s="377"/>
      <c r="DM73" s="377"/>
      <c r="DN73" s="377"/>
      <c r="DO73" s="377"/>
      <c r="DP73" s="377"/>
      <c r="DQ73" s="378"/>
      <c r="DR73" s="376">
        <f>SUM(DR78+DR133+DR145+DR158+DR169+DR182)</f>
        <v>10449082</v>
      </c>
      <c r="DS73" s="377"/>
      <c r="DT73" s="377"/>
      <c r="DU73" s="377"/>
      <c r="DV73" s="377"/>
      <c r="DW73" s="377"/>
      <c r="DX73" s="377"/>
      <c r="DY73" s="377"/>
      <c r="DZ73" s="377"/>
      <c r="EA73" s="377"/>
      <c r="EB73" s="377"/>
      <c r="EC73" s="377"/>
      <c r="ED73" s="378"/>
      <c r="EE73" s="376"/>
      <c r="EF73" s="377"/>
      <c r="EG73" s="377"/>
      <c r="EH73" s="377"/>
      <c r="EI73" s="377"/>
      <c r="EJ73" s="377"/>
      <c r="EK73" s="377"/>
      <c r="EL73" s="377"/>
      <c r="EM73" s="377"/>
      <c r="EN73" s="377"/>
      <c r="EO73" s="377"/>
      <c r="EP73" s="377"/>
      <c r="EQ73" s="378"/>
      <c r="ER73" s="349"/>
      <c r="ES73" s="350"/>
      <c r="ET73" s="350"/>
      <c r="EU73" s="350"/>
      <c r="EV73" s="350"/>
      <c r="EW73" s="350"/>
      <c r="EX73" s="350"/>
      <c r="EY73" s="350"/>
      <c r="EZ73" s="350"/>
      <c r="FA73" s="350"/>
      <c r="FB73" s="351"/>
      <c r="FC73" s="349"/>
      <c r="FD73" s="350"/>
      <c r="FE73" s="350"/>
      <c r="FF73" s="350"/>
      <c r="FG73" s="350"/>
      <c r="FH73" s="350"/>
      <c r="FI73" s="350"/>
      <c r="FJ73" s="350"/>
      <c r="FK73" s="350"/>
      <c r="FL73" s="350"/>
      <c r="FM73" s="350"/>
      <c r="FN73" s="350"/>
      <c r="FO73" s="275"/>
      <c r="FP73" s="275"/>
      <c r="FQ73" s="275">
        <f t="shared" si="0"/>
        <v>10449082</v>
      </c>
    </row>
    <row r="74" spans="1:173" ht="12" customHeight="1">
      <c r="A74" s="469" t="s">
        <v>282</v>
      </c>
      <c r="B74" s="337"/>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8"/>
      <c r="BL74" s="339"/>
      <c r="BM74" s="340"/>
      <c r="BN74" s="340"/>
      <c r="BO74" s="340"/>
      <c r="BP74" s="340"/>
      <c r="BQ74" s="340"/>
      <c r="BR74" s="340"/>
      <c r="BS74" s="341"/>
      <c r="BT74" s="345"/>
      <c r="BU74" s="340"/>
      <c r="BV74" s="340"/>
      <c r="BW74" s="340"/>
      <c r="BX74" s="340"/>
      <c r="BY74" s="340"/>
      <c r="BZ74" s="340"/>
      <c r="CA74" s="340"/>
      <c r="CB74" s="340"/>
      <c r="CC74" s="340"/>
      <c r="CD74" s="340"/>
      <c r="CE74" s="340"/>
      <c r="CF74" s="341"/>
      <c r="CG74" s="345"/>
      <c r="CH74" s="340"/>
      <c r="CI74" s="340"/>
      <c r="CJ74" s="340"/>
      <c r="CK74" s="340"/>
      <c r="CL74" s="340"/>
      <c r="CM74" s="340"/>
      <c r="CN74" s="340"/>
      <c r="CO74" s="340"/>
      <c r="CP74" s="340"/>
      <c r="CQ74" s="341"/>
      <c r="CR74" s="345"/>
      <c r="CS74" s="340"/>
      <c r="CT74" s="340"/>
      <c r="CU74" s="340"/>
      <c r="CV74" s="340"/>
      <c r="CW74" s="340"/>
      <c r="CX74" s="340"/>
      <c r="CY74" s="340"/>
      <c r="CZ74" s="340"/>
      <c r="DA74" s="340"/>
      <c r="DB74" s="340"/>
      <c r="DC74" s="340"/>
      <c r="DD74" s="341"/>
      <c r="DE74" s="376">
        <f>SUM(DE79+DE134+DE146+DE183)</f>
        <v>19419477.77</v>
      </c>
      <c r="DF74" s="377"/>
      <c r="DG74" s="377"/>
      <c r="DH74" s="377"/>
      <c r="DI74" s="377"/>
      <c r="DJ74" s="377"/>
      <c r="DK74" s="377"/>
      <c r="DL74" s="377"/>
      <c r="DM74" s="377"/>
      <c r="DN74" s="377"/>
      <c r="DO74" s="377"/>
      <c r="DP74" s="377"/>
      <c r="DQ74" s="378"/>
      <c r="DR74" s="376">
        <f>SUM(DR79+DR134+DR146+DR183)</f>
        <v>19111000.340000004</v>
      </c>
      <c r="DS74" s="377"/>
      <c r="DT74" s="377"/>
      <c r="DU74" s="377"/>
      <c r="DV74" s="377"/>
      <c r="DW74" s="377"/>
      <c r="DX74" s="377"/>
      <c r="DY74" s="377"/>
      <c r="DZ74" s="377"/>
      <c r="EA74" s="377"/>
      <c r="EB74" s="377"/>
      <c r="EC74" s="377"/>
      <c r="ED74" s="378"/>
      <c r="EE74" s="376"/>
      <c r="EF74" s="377"/>
      <c r="EG74" s="377"/>
      <c r="EH74" s="377"/>
      <c r="EI74" s="377"/>
      <c r="EJ74" s="377"/>
      <c r="EK74" s="377"/>
      <c r="EL74" s="377"/>
      <c r="EM74" s="377"/>
      <c r="EN74" s="377"/>
      <c r="EO74" s="377"/>
      <c r="EP74" s="377"/>
      <c r="EQ74" s="378"/>
      <c r="ER74" s="349"/>
      <c r="ES74" s="350"/>
      <c r="ET74" s="350"/>
      <c r="EU74" s="350"/>
      <c r="EV74" s="350"/>
      <c r="EW74" s="350"/>
      <c r="EX74" s="350"/>
      <c r="EY74" s="350"/>
      <c r="EZ74" s="350"/>
      <c r="FA74" s="350"/>
      <c r="FB74" s="351"/>
      <c r="FC74" s="349"/>
      <c r="FD74" s="350"/>
      <c r="FE74" s="350"/>
      <c r="FF74" s="350"/>
      <c r="FG74" s="350"/>
      <c r="FH74" s="350"/>
      <c r="FI74" s="350"/>
      <c r="FJ74" s="350"/>
      <c r="FK74" s="350"/>
      <c r="FL74" s="350"/>
      <c r="FM74" s="350"/>
      <c r="FN74" s="350"/>
      <c r="FO74" s="275"/>
      <c r="FP74" s="275"/>
      <c r="FQ74" s="275">
        <f t="shared" si="0"/>
        <v>19111000.340000004</v>
      </c>
    </row>
    <row r="75" spans="1:173" ht="12" customHeight="1">
      <c r="A75" s="383" t="s">
        <v>194</v>
      </c>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4"/>
      <c r="AZ75" s="384"/>
      <c r="BA75" s="384"/>
      <c r="BB75" s="384"/>
      <c r="BC75" s="384"/>
      <c r="BD75" s="384"/>
      <c r="BE75" s="384"/>
      <c r="BF75" s="384"/>
      <c r="BG75" s="384"/>
      <c r="BH75" s="384"/>
      <c r="BI75" s="384"/>
      <c r="BJ75" s="384"/>
      <c r="BK75" s="385"/>
      <c r="BL75" s="339"/>
      <c r="BM75" s="340"/>
      <c r="BN75" s="340"/>
      <c r="BO75" s="340"/>
      <c r="BP75" s="340"/>
      <c r="BQ75" s="340"/>
      <c r="BR75" s="340"/>
      <c r="BS75" s="341"/>
      <c r="BT75" s="345"/>
      <c r="BU75" s="340"/>
      <c r="BV75" s="340"/>
      <c r="BW75" s="340"/>
      <c r="BX75" s="340"/>
      <c r="BY75" s="340"/>
      <c r="BZ75" s="340"/>
      <c r="CA75" s="340"/>
      <c r="CB75" s="340"/>
      <c r="CC75" s="340"/>
      <c r="CD75" s="340"/>
      <c r="CE75" s="340"/>
      <c r="CF75" s="341"/>
      <c r="CG75" s="345"/>
      <c r="CH75" s="340"/>
      <c r="CI75" s="340"/>
      <c r="CJ75" s="340"/>
      <c r="CK75" s="340"/>
      <c r="CL75" s="340"/>
      <c r="CM75" s="340"/>
      <c r="CN75" s="340"/>
      <c r="CO75" s="340"/>
      <c r="CP75" s="340"/>
      <c r="CQ75" s="341"/>
      <c r="CR75" s="345"/>
      <c r="CS75" s="340"/>
      <c r="CT75" s="340"/>
      <c r="CU75" s="340"/>
      <c r="CV75" s="340"/>
      <c r="CW75" s="340"/>
      <c r="CX75" s="340"/>
      <c r="CY75" s="340"/>
      <c r="CZ75" s="340"/>
      <c r="DA75" s="340"/>
      <c r="DB75" s="340"/>
      <c r="DC75" s="340"/>
      <c r="DD75" s="341"/>
      <c r="DE75" s="376">
        <f>DE80+DE135+DE147+DE184</f>
        <v>291833.13</v>
      </c>
      <c r="DF75" s="377"/>
      <c r="DG75" s="377"/>
      <c r="DH75" s="377"/>
      <c r="DI75" s="377"/>
      <c r="DJ75" s="377"/>
      <c r="DK75" s="377"/>
      <c r="DL75" s="377"/>
      <c r="DM75" s="377"/>
      <c r="DN75" s="377"/>
      <c r="DO75" s="377"/>
      <c r="DP75" s="377"/>
      <c r="DQ75" s="378"/>
      <c r="DR75" s="376">
        <f>DR80+DR135+DR147+DR184+DR141</f>
        <v>300367.37</v>
      </c>
      <c r="DS75" s="377"/>
      <c r="DT75" s="377"/>
      <c r="DU75" s="377"/>
      <c r="DV75" s="377"/>
      <c r="DW75" s="377"/>
      <c r="DX75" s="377"/>
      <c r="DY75" s="377"/>
      <c r="DZ75" s="377"/>
      <c r="EA75" s="377"/>
      <c r="EB75" s="377"/>
      <c r="EC75" s="377"/>
      <c r="ED75" s="378"/>
      <c r="EE75" s="376"/>
      <c r="EF75" s="377"/>
      <c r="EG75" s="377"/>
      <c r="EH75" s="377"/>
      <c r="EI75" s="377"/>
      <c r="EJ75" s="377"/>
      <c r="EK75" s="377"/>
      <c r="EL75" s="377"/>
      <c r="EM75" s="377"/>
      <c r="EN75" s="377"/>
      <c r="EO75" s="377"/>
      <c r="EP75" s="377"/>
      <c r="EQ75" s="378"/>
      <c r="ER75" s="349"/>
      <c r="ES75" s="350"/>
      <c r="ET75" s="350"/>
      <c r="EU75" s="350"/>
      <c r="EV75" s="350"/>
      <c r="EW75" s="350"/>
      <c r="EX75" s="350"/>
      <c r="EY75" s="350"/>
      <c r="EZ75" s="350"/>
      <c r="FA75" s="350"/>
      <c r="FB75" s="351"/>
      <c r="FC75" s="349"/>
      <c r="FD75" s="350"/>
      <c r="FE75" s="350"/>
      <c r="FF75" s="350"/>
      <c r="FG75" s="350"/>
      <c r="FH75" s="350"/>
      <c r="FI75" s="350"/>
      <c r="FJ75" s="350"/>
      <c r="FK75" s="350"/>
      <c r="FL75" s="350"/>
      <c r="FM75" s="350"/>
      <c r="FN75" s="350"/>
      <c r="FO75" s="275"/>
      <c r="FP75" s="275"/>
      <c r="FQ75" s="275">
        <f t="shared" ref="FQ75:FQ138" si="3">DR75-FO75-FP75</f>
        <v>300367.37</v>
      </c>
    </row>
    <row r="76" spans="1:173" ht="12" customHeight="1">
      <c r="A76" s="354" t="s">
        <v>201</v>
      </c>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5"/>
      <c r="BL76" s="339" t="s">
        <v>272</v>
      </c>
      <c r="BM76" s="340"/>
      <c r="BN76" s="340"/>
      <c r="BO76" s="340"/>
      <c r="BP76" s="340"/>
      <c r="BQ76" s="340"/>
      <c r="BR76" s="340"/>
      <c r="BS76" s="341"/>
      <c r="BT76" s="345" t="s">
        <v>21</v>
      </c>
      <c r="BU76" s="340"/>
      <c r="BV76" s="340"/>
      <c r="BW76" s="340"/>
      <c r="BX76" s="340"/>
      <c r="BY76" s="340"/>
      <c r="BZ76" s="340"/>
      <c r="CA76" s="340"/>
      <c r="CB76" s="340"/>
      <c r="CC76" s="340"/>
      <c r="CD76" s="340"/>
      <c r="CE76" s="340"/>
      <c r="CF76" s="341"/>
      <c r="CG76" s="345"/>
      <c r="CH76" s="340"/>
      <c r="CI76" s="340"/>
      <c r="CJ76" s="340"/>
      <c r="CK76" s="340"/>
      <c r="CL76" s="340"/>
      <c r="CM76" s="340"/>
      <c r="CN76" s="340"/>
      <c r="CO76" s="340"/>
      <c r="CP76" s="340"/>
      <c r="CQ76" s="341"/>
      <c r="CR76" s="345"/>
      <c r="CS76" s="340"/>
      <c r="CT76" s="340"/>
      <c r="CU76" s="340"/>
      <c r="CV76" s="340"/>
      <c r="CW76" s="340"/>
      <c r="CX76" s="340"/>
      <c r="CY76" s="340"/>
      <c r="CZ76" s="340"/>
      <c r="DA76" s="340"/>
      <c r="DB76" s="340"/>
      <c r="DC76" s="340"/>
      <c r="DD76" s="341"/>
      <c r="DE76" s="346">
        <v>0</v>
      </c>
      <c r="DF76" s="347"/>
      <c r="DG76" s="347"/>
      <c r="DH76" s="347"/>
      <c r="DI76" s="347"/>
      <c r="DJ76" s="347"/>
      <c r="DK76" s="347"/>
      <c r="DL76" s="347"/>
      <c r="DM76" s="347"/>
      <c r="DN76" s="347"/>
      <c r="DO76" s="347"/>
      <c r="DP76" s="347"/>
      <c r="DQ76" s="348"/>
      <c r="DR76" s="346">
        <v>0</v>
      </c>
      <c r="DS76" s="347"/>
      <c r="DT76" s="347"/>
      <c r="DU76" s="347"/>
      <c r="DV76" s="347"/>
      <c r="DW76" s="347"/>
      <c r="DX76" s="347"/>
      <c r="DY76" s="347"/>
      <c r="DZ76" s="347"/>
      <c r="EA76" s="347"/>
      <c r="EB76" s="347"/>
      <c r="EC76" s="347"/>
      <c r="ED76" s="348"/>
      <c r="EE76" s="346"/>
      <c r="EF76" s="347"/>
      <c r="EG76" s="347"/>
      <c r="EH76" s="347"/>
      <c r="EI76" s="347"/>
      <c r="EJ76" s="347"/>
      <c r="EK76" s="347"/>
      <c r="EL76" s="347"/>
      <c r="EM76" s="347"/>
      <c r="EN76" s="347"/>
      <c r="EO76" s="347"/>
      <c r="EP76" s="347"/>
      <c r="EQ76" s="348"/>
      <c r="ER76" s="349"/>
      <c r="ES76" s="350"/>
      <c r="ET76" s="350"/>
      <c r="EU76" s="350"/>
      <c r="EV76" s="350"/>
      <c r="EW76" s="350"/>
      <c r="EX76" s="350"/>
      <c r="EY76" s="350"/>
      <c r="EZ76" s="350"/>
      <c r="FA76" s="350"/>
      <c r="FB76" s="351"/>
      <c r="FC76" s="349"/>
      <c r="FD76" s="350"/>
      <c r="FE76" s="350"/>
      <c r="FF76" s="350"/>
      <c r="FG76" s="350"/>
      <c r="FH76" s="350"/>
      <c r="FI76" s="350"/>
      <c r="FJ76" s="350"/>
      <c r="FK76" s="350"/>
      <c r="FL76" s="350"/>
      <c r="FM76" s="350"/>
      <c r="FN76" s="350"/>
      <c r="FO76" s="275"/>
      <c r="FP76" s="275"/>
      <c r="FQ76" s="275">
        <f t="shared" si="3"/>
        <v>0</v>
      </c>
    </row>
    <row r="77" spans="1:173" ht="24" customHeight="1">
      <c r="A77" s="354" t="s">
        <v>202</v>
      </c>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5"/>
      <c r="BL77" s="339" t="s">
        <v>54</v>
      </c>
      <c r="BM77" s="340"/>
      <c r="BN77" s="340"/>
      <c r="BO77" s="340"/>
      <c r="BP77" s="340"/>
      <c r="BQ77" s="340"/>
      <c r="BR77" s="340"/>
      <c r="BS77" s="341"/>
      <c r="BT77" s="345" t="s">
        <v>21</v>
      </c>
      <c r="BU77" s="340"/>
      <c r="BV77" s="340"/>
      <c r="BW77" s="340"/>
      <c r="BX77" s="340"/>
      <c r="BY77" s="340"/>
      <c r="BZ77" s="340"/>
      <c r="CA77" s="340"/>
      <c r="CB77" s="340"/>
      <c r="CC77" s="340"/>
      <c r="CD77" s="340"/>
      <c r="CE77" s="340"/>
      <c r="CF77" s="341"/>
      <c r="CG77" s="345" t="s">
        <v>266</v>
      </c>
      <c r="CH77" s="340"/>
      <c r="CI77" s="340"/>
      <c r="CJ77" s="340"/>
      <c r="CK77" s="340"/>
      <c r="CL77" s="340"/>
      <c r="CM77" s="340"/>
      <c r="CN77" s="340"/>
      <c r="CO77" s="340"/>
      <c r="CP77" s="340"/>
      <c r="CQ77" s="341"/>
      <c r="CR77" s="345"/>
      <c r="CS77" s="340"/>
      <c r="CT77" s="340"/>
      <c r="CU77" s="340"/>
      <c r="CV77" s="340"/>
      <c r="CW77" s="340"/>
      <c r="CX77" s="340"/>
      <c r="CY77" s="340"/>
      <c r="CZ77" s="340"/>
      <c r="DA77" s="340"/>
      <c r="DB77" s="340"/>
      <c r="DC77" s="340"/>
      <c r="DD77" s="341"/>
      <c r="DE77" s="365">
        <f>SUM(DE78:DQ81)</f>
        <v>20209387.059999999</v>
      </c>
      <c r="DF77" s="366"/>
      <c r="DG77" s="366"/>
      <c r="DH77" s="366"/>
      <c r="DI77" s="366"/>
      <c r="DJ77" s="366"/>
      <c r="DK77" s="366"/>
      <c r="DL77" s="366"/>
      <c r="DM77" s="366"/>
      <c r="DN77" s="366"/>
      <c r="DO77" s="366"/>
      <c r="DP77" s="366"/>
      <c r="DQ77" s="367"/>
      <c r="DR77" s="365">
        <f>SUM(DR78:ED81)</f>
        <v>20486901.050000001</v>
      </c>
      <c r="DS77" s="366"/>
      <c r="DT77" s="366"/>
      <c r="DU77" s="366"/>
      <c r="DV77" s="366"/>
      <c r="DW77" s="366"/>
      <c r="DX77" s="366"/>
      <c r="DY77" s="366"/>
      <c r="DZ77" s="366"/>
      <c r="EA77" s="366"/>
      <c r="EB77" s="366"/>
      <c r="EC77" s="366"/>
      <c r="ED77" s="367"/>
      <c r="EE77" s="365"/>
      <c r="EF77" s="366"/>
      <c r="EG77" s="366"/>
      <c r="EH77" s="366"/>
      <c r="EI77" s="366"/>
      <c r="EJ77" s="366"/>
      <c r="EK77" s="366"/>
      <c r="EL77" s="366"/>
      <c r="EM77" s="366"/>
      <c r="EN77" s="366"/>
      <c r="EO77" s="366"/>
      <c r="EP77" s="366"/>
      <c r="EQ77" s="367"/>
      <c r="ER77" s="349"/>
      <c r="ES77" s="350"/>
      <c r="ET77" s="350"/>
      <c r="EU77" s="350"/>
      <c r="EV77" s="350"/>
      <c r="EW77" s="350"/>
      <c r="EX77" s="350"/>
      <c r="EY77" s="350"/>
      <c r="EZ77" s="350"/>
      <c r="FA77" s="350"/>
      <c r="FB77" s="351"/>
      <c r="FC77" s="352"/>
      <c r="FD77" s="353"/>
      <c r="FE77" s="353"/>
      <c r="FF77" s="353"/>
      <c r="FG77" s="353"/>
      <c r="FH77" s="353"/>
      <c r="FI77" s="353"/>
      <c r="FJ77" s="353"/>
      <c r="FK77" s="353"/>
      <c r="FL77" s="353"/>
      <c r="FO77" s="275"/>
      <c r="FP77" s="275"/>
      <c r="FQ77" s="275">
        <f t="shared" si="3"/>
        <v>20486901.050000001</v>
      </c>
    </row>
    <row r="78" spans="1:173" ht="12" customHeight="1">
      <c r="A78" s="386" t="s">
        <v>284</v>
      </c>
      <c r="B78" s="555"/>
      <c r="C78" s="555"/>
      <c r="D78" s="555"/>
      <c r="E78" s="555"/>
      <c r="F78" s="555"/>
      <c r="G78" s="555"/>
      <c r="H78" s="555"/>
      <c r="I78" s="555"/>
      <c r="J78" s="555"/>
      <c r="K78" s="555"/>
      <c r="L78" s="555"/>
      <c r="M78" s="555"/>
      <c r="N78" s="555"/>
      <c r="O78" s="555"/>
      <c r="P78" s="555"/>
      <c r="Q78" s="555"/>
      <c r="R78" s="555"/>
      <c r="S78" s="555"/>
      <c r="T78" s="555"/>
      <c r="U78" s="555"/>
      <c r="V78" s="555"/>
      <c r="W78" s="555"/>
      <c r="X78" s="555"/>
      <c r="Y78" s="555"/>
      <c r="Z78" s="555"/>
      <c r="AA78" s="555"/>
      <c r="AB78" s="555"/>
      <c r="AC78" s="555"/>
      <c r="AD78" s="555"/>
      <c r="AE78" s="555"/>
      <c r="AF78" s="555"/>
      <c r="AG78" s="555"/>
      <c r="AH78" s="555"/>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6"/>
      <c r="BL78" s="339"/>
      <c r="BM78" s="340"/>
      <c r="BN78" s="340"/>
      <c r="BO78" s="340"/>
      <c r="BP78" s="340"/>
      <c r="BQ78" s="340"/>
      <c r="BR78" s="340"/>
      <c r="BS78" s="341"/>
      <c r="BT78" s="345"/>
      <c r="BU78" s="340"/>
      <c r="BV78" s="340"/>
      <c r="BW78" s="340"/>
      <c r="BX78" s="340"/>
      <c r="BY78" s="340"/>
      <c r="BZ78" s="340"/>
      <c r="CA78" s="340"/>
      <c r="CB78" s="340"/>
      <c r="CC78" s="340"/>
      <c r="CD78" s="340"/>
      <c r="CE78" s="340"/>
      <c r="CF78" s="341"/>
      <c r="CG78" s="345"/>
      <c r="CH78" s="340"/>
      <c r="CI78" s="340"/>
      <c r="CJ78" s="340"/>
      <c r="CK78" s="340"/>
      <c r="CL78" s="340"/>
      <c r="CM78" s="340"/>
      <c r="CN78" s="340"/>
      <c r="CO78" s="340"/>
      <c r="CP78" s="340"/>
      <c r="CQ78" s="341"/>
      <c r="CR78" s="345"/>
      <c r="CS78" s="340"/>
      <c r="CT78" s="340"/>
      <c r="CU78" s="340"/>
      <c r="CV78" s="340"/>
      <c r="CW78" s="340"/>
      <c r="CX78" s="340"/>
      <c r="CY78" s="340"/>
      <c r="CZ78" s="340"/>
      <c r="DA78" s="340"/>
      <c r="DB78" s="340"/>
      <c r="DC78" s="340"/>
      <c r="DD78" s="341"/>
      <c r="DE78" s="499">
        <f>DE83+DE95+DE113+DE121+DE133</f>
        <v>8603000</v>
      </c>
      <c r="DF78" s="500"/>
      <c r="DG78" s="500"/>
      <c r="DH78" s="500"/>
      <c r="DI78" s="500"/>
      <c r="DJ78" s="500"/>
      <c r="DK78" s="500"/>
      <c r="DL78" s="500"/>
      <c r="DM78" s="500"/>
      <c r="DN78" s="500"/>
      <c r="DO78" s="500"/>
      <c r="DP78" s="500"/>
      <c r="DQ78" s="501"/>
      <c r="DR78" s="499">
        <f>DR83+DR95+DR113+DR121+DR133</f>
        <v>9945000</v>
      </c>
      <c r="DS78" s="500"/>
      <c r="DT78" s="500"/>
      <c r="DU78" s="500"/>
      <c r="DV78" s="500"/>
      <c r="DW78" s="500"/>
      <c r="DX78" s="500"/>
      <c r="DY78" s="500"/>
      <c r="DZ78" s="500"/>
      <c r="EA78" s="500"/>
      <c r="EB78" s="500"/>
      <c r="EC78" s="500"/>
      <c r="ED78" s="501"/>
      <c r="EE78" s="499"/>
      <c r="EF78" s="500"/>
      <c r="EG78" s="500"/>
      <c r="EH78" s="500"/>
      <c r="EI78" s="500"/>
      <c r="EJ78" s="500"/>
      <c r="EK78" s="500"/>
      <c r="EL78" s="500"/>
      <c r="EM78" s="500"/>
      <c r="EN78" s="500"/>
      <c r="EO78" s="500"/>
      <c r="EP78" s="500"/>
      <c r="EQ78" s="501"/>
      <c r="ER78" s="349"/>
      <c r="ES78" s="350"/>
      <c r="ET78" s="350"/>
      <c r="EU78" s="350"/>
      <c r="EV78" s="350"/>
      <c r="EW78" s="350"/>
      <c r="EX78" s="350"/>
      <c r="EY78" s="350"/>
      <c r="EZ78" s="350"/>
      <c r="FA78" s="350"/>
      <c r="FB78" s="351"/>
      <c r="FC78" s="349"/>
      <c r="FD78" s="350"/>
      <c r="FE78" s="350"/>
      <c r="FF78" s="350"/>
      <c r="FG78" s="350"/>
      <c r="FH78" s="350"/>
      <c r="FI78" s="350"/>
      <c r="FJ78" s="350"/>
      <c r="FK78" s="350"/>
      <c r="FL78" s="350"/>
      <c r="FM78" s="350"/>
      <c r="FN78" s="350"/>
      <c r="FO78" s="275"/>
      <c r="FP78" s="275"/>
      <c r="FQ78" s="275">
        <f t="shared" si="3"/>
        <v>9945000</v>
      </c>
    </row>
    <row r="79" spans="1:173" ht="12" customHeight="1">
      <c r="A79" s="469" t="s">
        <v>282</v>
      </c>
      <c r="B79" s="337"/>
      <c r="C79" s="337"/>
      <c r="D79" s="337"/>
      <c r="E79" s="337"/>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8"/>
      <c r="BL79" s="339"/>
      <c r="BM79" s="340"/>
      <c r="BN79" s="340"/>
      <c r="BO79" s="340"/>
      <c r="BP79" s="340"/>
      <c r="BQ79" s="340"/>
      <c r="BR79" s="340"/>
      <c r="BS79" s="341"/>
      <c r="BT79" s="345"/>
      <c r="BU79" s="340"/>
      <c r="BV79" s="340"/>
      <c r="BW79" s="340"/>
      <c r="BX79" s="340"/>
      <c r="BY79" s="340"/>
      <c r="BZ79" s="340"/>
      <c r="CA79" s="340"/>
      <c r="CB79" s="340"/>
      <c r="CC79" s="340"/>
      <c r="CD79" s="340"/>
      <c r="CE79" s="340"/>
      <c r="CF79" s="341"/>
      <c r="CG79" s="345"/>
      <c r="CH79" s="340"/>
      <c r="CI79" s="340"/>
      <c r="CJ79" s="340"/>
      <c r="CK79" s="340"/>
      <c r="CL79" s="340"/>
      <c r="CM79" s="340"/>
      <c r="CN79" s="340"/>
      <c r="CO79" s="340"/>
      <c r="CP79" s="340"/>
      <c r="CQ79" s="341"/>
      <c r="CR79" s="345"/>
      <c r="CS79" s="340"/>
      <c r="CT79" s="340"/>
      <c r="CU79" s="340"/>
      <c r="CV79" s="340"/>
      <c r="CW79" s="340"/>
      <c r="CX79" s="340"/>
      <c r="CY79" s="340"/>
      <c r="CZ79" s="340"/>
      <c r="DA79" s="340"/>
      <c r="DB79" s="340"/>
      <c r="DC79" s="340"/>
      <c r="DD79" s="341"/>
      <c r="DE79" s="499">
        <f>DE84+DE96+DE114+DE122+DE134</f>
        <v>11606386.999999998</v>
      </c>
      <c r="DF79" s="500"/>
      <c r="DG79" s="500"/>
      <c r="DH79" s="500"/>
      <c r="DI79" s="500"/>
      <c r="DJ79" s="500"/>
      <c r="DK79" s="500"/>
      <c r="DL79" s="500"/>
      <c r="DM79" s="500"/>
      <c r="DN79" s="500"/>
      <c r="DO79" s="500"/>
      <c r="DP79" s="500"/>
      <c r="DQ79" s="501"/>
      <c r="DR79" s="499">
        <f>DR84+DR96+DR114+DR122+DR134</f>
        <v>10541901.050000001</v>
      </c>
      <c r="DS79" s="500"/>
      <c r="DT79" s="500"/>
      <c r="DU79" s="500"/>
      <c r="DV79" s="500"/>
      <c r="DW79" s="500"/>
      <c r="DX79" s="500"/>
      <c r="DY79" s="500"/>
      <c r="DZ79" s="500"/>
      <c r="EA79" s="500"/>
      <c r="EB79" s="500"/>
      <c r="EC79" s="500"/>
      <c r="ED79" s="501"/>
      <c r="EE79" s="499"/>
      <c r="EF79" s="500"/>
      <c r="EG79" s="500"/>
      <c r="EH79" s="500"/>
      <c r="EI79" s="500"/>
      <c r="EJ79" s="500"/>
      <c r="EK79" s="500"/>
      <c r="EL79" s="500"/>
      <c r="EM79" s="500"/>
      <c r="EN79" s="500"/>
      <c r="EO79" s="500"/>
      <c r="EP79" s="500"/>
      <c r="EQ79" s="501"/>
      <c r="ER79" s="349"/>
      <c r="ES79" s="350"/>
      <c r="ET79" s="350"/>
      <c r="EU79" s="350"/>
      <c r="EV79" s="350"/>
      <c r="EW79" s="350"/>
      <c r="EX79" s="350"/>
      <c r="EY79" s="350"/>
      <c r="EZ79" s="350"/>
      <c r="FA79" s="350"/>
      <c r="FB79" s="351"/>
      <c r="FC79" s="349"/>
      <c r="FD79" s="350"/>
      <c r="FE79" s="350"/>
      <c r="FF79" s="350"/>
      <c r="FG79" s="350"/>
      <c r="FH79" s="350"/>
      <c r="FI79" s="350"/>
      <c r="FJ79" s="350"/>
      <c r="FK79" s="350"/>
      <c r="FL79" s="350"/>
      <c r="FM79" s="350"/>
      <c r="FN79" s="350"/>
      <c r="FO79" s="275"/>
      <c r="FP79" s="275"/>
      <c r="FQ79" s="275">
        <f t="shared" si="3"/>
        <v>10541901.050000001</v>
      </c>
    </row>
    <row r="80" spans="1:173" ht="12" customHeight="1">
      <c r="A80" s="383" t="s">
        <v>194</v>
      </c>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84"/>
      <c r="BG80" s="384"/>
      <c r="BH80" s="384"/>
      <c r="BI80" s="384"/>
      <c r="BJ80" s="384"/>
      <c r="BK80" s="385"/>
      <c r="BL80" s="339"/>
      <c r="BM80" s="340"/>
      <c r="BN80" s="340"/>
      <c r="BO80" s="340"/>
      <c r="BP80" s="340"/>
      <c r="BQ80" s="340"/>
      <c r="BR80" s="340"/>
      <c r="BS80" s="341"/>
      <c r="BT80" s="345"/>
      <c r="BU80" s="340"/>
      <c r="BV80" s="340"/>
      <c r="BW80" s="340"/>
      <c r="BX80" s="340"/>
      <c r="BY80" s="340"/>
      <c r="BZ80" s="340"/>
      <c r="CA80" s="340"/>
      <c r="CB80" s="340"/>
      <c r="CC80" s="340"/>
      <c r="CD80" s="340"/>
      <c r="CE80" s="340"/>
      <c r="CF80" s="341"/>
      <c r="CG80" s="345"/>
      <c r="CH80" s="340"/>
      <c r="CI80" s="340"/>
      <c r="CJ80" s="340"/>
      <c r="CK80" s="340"/>
      <c r="CL80" s="340"/>
      <c r="CM80" s="340"/>
      <c r="CN80" s="340"/>
      <c r="CO80" s="340"/>
      <c r="CP80" s="340"/>
      <c r="CQ80" s="341"/>
      <c r="CR80" s="345"/>
      <c r="CS80" s="340"/>
      <c r="CT80" s="340"/>
      <c r="CU80" s="340"/>
      <c r="CV80" s="340"/>
      <c r="CW80" s="340"/>
      <c r="CX80" s="340"/>
      <c r="CY80" s="340"/>
      <c r="CZ80" s="340"/>
      <c r="DA80" s="340"/>
      <c r="DB80" s="340"/>
      <c r="DC80" s="340"/>
      <c r="DD80" s="341"/>
      <c r="DE80" s="499">
        <f>DE85+DE97+DE115+DE123+DE135</f>
        <v>6.0000000001309672E-2</v>
      </c>
      <c r="DF80" s="500"/>
      <c r="DG80" s="500"/>
      <c r="DH80" s="500"/>
      <c r="DI80" s="500"/>
      <c r="DJ80" s="500"/>
      <c r="DK80" s="500"/>
      <c r="DL80" s="500"/>
      <c r="DM80" s="500"/>
      <c r="DN80" s="500"/>
      <c r="DO80" s="500"/>
      <c r="DP80" s="500"/>
      <c r="DQ80" s="501"/>
      <c r="DR80" s="499">
        <f>DR85+DR97+DR115+DR123+DR135</f>
        <v>0</v>
      </c>
      <c r="DS80" s="500"/>
      <c r="DT80" s="500"/>
      <c r="DU80" s="500"/>
      <c r="DV80" s="500"/>
      <c r="DW80" s="500"/>
      <c r="DX80" s="500"/>
      <c r="DY80" s="500"/>
      <c r="DZ80" s="500"/>
      <c r="EA80" s="500"/>
      <c r="EB80" s="500"/>
      <c r="EC80" s="500"/>
      <c r="ED80" s="501"/>
      <c r="EE80" s="499"/>
      <c r="EF80" s="500"/>
      <c r="EG80" s="500"/>
      <c r="EH80" s="500"/>
      <c r="EI80" s="500"/>
      <c r="EJ80" s="500"/>
      <c r="EK80" s="500"/>
      <c r="EL80" s="500"/>
      <c r="EM80" s="500"/>
      <c r="EN80" s="500"/>
      <c r="EO80" s="500"/>
      <c r="EP80" s="500"/>
      <c r="EQ80" s="501"/>
      <c r="ER80" s="349"/>
      <c r="ES80" s="350"/>
      <c r="ET80" s="350"/>
      <c r="EU80" s="350"/>
      <c r="EV80" s="350"/>
      <c r="EW80" s="350"/>
      <c r="EX80" s="350"/>
      <c r="EY80" s="350"/>
      <c r="EZ80" s="350"/>
      <c r="FA80" s="350"/>
      <c r="FB80" s="351"/>
      <c r="FC80" s="349"/>
      <c r="FD80" s="350"/>
      <c r="FE80" s="350"/>
      <c r="FF80" s="350"/>
      <c r="FG80" s="350"/>
      <c r="FH80" s="350"/>
      <c r="FI80" s="350"/>
      <c r="FJ80" s="350"/>
      <c r="FK80" s="350"/>
      <c r="FL80" s="350"/>
      <c r="FM80" s="350"/>
      <c r="FN80" s="350"/>
      <c r="FO80" s="275"/>
      <c r="FP80" s="275"/>
      <c r="FQ80" s="275">
        <f t="shared" si="3"/>
        <v>0</v>
      </c>
    </row>
    <row r="81" spans="1:173" ht="12" customHeight="1">
      <c r="A81" s="354" t="s">
        <v>201</v>
      </c>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4"/>
      <c r="AY81" s="374"/>
      <c r="AZ81" s="374"/>
      <c r="BA81" s="374"/>
      <c r="BB81" s="374"/>
      <c r="BC81" s="374"/>
      <c r="BD81" s="374"/>
      <c r="BE81" s="374"/>
      <c r="BF81" s="374"/>
      <c r="BG81" s="374"/>
      <c r="BH81" s="374"/>
      <c r="BI81" s="374"/>
      <c r="BJ81" s="374"/>
      <c r="BK81" s="375"/>
      <c r="BL81" s="339" t="s">
        <v>272</v>
      </c>
      <c r="BM81" s="340"/>
      <c r="BN81" s="340"/>
      <c r="BO81" s="340"/>
      <c r="BP81" s="340"/>
      <c r="BQ81" s="340"/>
      <c r="BR81" s="340"/>
      <c r="BS81" s="341"/>
      <c r="BT81" s="345" t="s">
        <v>272</v>
      </c>
      <c r="BU81" s="340"/>
      <c r="BV81" s="340"/>
      <c r="BW81" s="340"/>
      <c r="BX81" s="340"/>
      <c r="BY81" s="340"/>
      <c r="BZ81" s="340"/>
      <c r="CA81" s="340"/>
      <c r="CB81" s="340"/>
      <c r="CC81" s="340"/>
      <c r="CD81" s="340"/>
      <c r="CE81" s="340"/>
      <c r="CF81" s="341"/>
      <c r="CG81" s="345"/>
      <c r="CH81" s="340"/>
      <c r="CI81" s="340"/>
      <c r="CJ81" s="340"/>
      <c r="CK81" s="340"/>
      <c r="CL81" s="340"/>
      <c r="CM81" s="340"/>
      <c r="CN81" s="340"/>
      <c r="CO81" s="340"/>
      <c r="CP81" s="340"/>
      <c r="CQ81" s="341"/>
      <c r="CR81" s="345"/>
      <c r="CS81" s="340"/>
      <c r="CT81" s="340"/>
      <c r="CU81" s="340"/>
      <c r="CV81" s="340"/>
      <c r="CW81" s="340"/>
      <c r="CX81" s="340"/>
      <c r="CY81" s="340"/>
      <c r="CZ81" s="340"/>
      <c r="DA81" s="340"/>
      <c r="DB81" s="340"/>
      <c r="DC81" s="340"/>
      <c r="DD81" s="341"/>
      <c r="DE81" s="499">
        <f>SUM(DE86+DE124)</f>
        <v>0</v>
      </c>
      <c r="DF81" s="500"/>
      <c r="DG81" s="500"/>
      <c r="DH81" s="500"/>
      <c r="DI81" s="500"/>
      <c r="DJ81" s="500"/>
      <c r="DK81" s="500"/>
      <c r="DL81" s="500"/>
      <c r="DM81" s="500"/>
      <c r="DN81" s="500"/>
      <c r="DO81" s="500"/>
      <c r="DP81" s="500"/>
      <c r="DQ81" s="501"/>
      <c r="DR81" s="499">
        <f>SUM(DR86+DR124)</f>
        <v>0</v>
      </c>
      <c r="DS81" s="500"/>
      <c r="DT81" s="500"/>
      <c r="DU81" s="500"/>
      <c r="DV81" s="500"/>
      <c r="DW81" s="500"/>
      <c r="DX81" s="500"/>
      <c r="DY81" s="500"/>
      <c r="DZ81" s="500"/>
      <c r="EA81" s="500"/>
      <c r="EB81" s="500"/>
      <c r="EC81" s="500"/>
      <c r="ED81" s="501"/>
      <c r="EE81" s="499"/>
      <c r="EF81" s="500"/>
      <c r="EG81" s="500"/>
      <c r="EH81" s="500"/>
      <c r="EI81" s="500"/>
      <c r="EJ81" s="500"/>
      <c r="EK81" s="500"/>
      <c r="EL81" s="500"/>
      <c r="EM81" s="500"/>
      <c r="EN81" s="500"/>
      <c r="EO81" s="500"/>
      <c r="EP81" s="500"/>
      <c r="EQ81" s="501"/>
      <c r="ER81" s="349"/>
      <c r="ES81" s="350"/>
      <c r="ET81" s="350"/>
      <c r="EU81" s="350"/>
      <c r="EV81" s="350"/>
      <c r="EW81" s="350"/>
      <c r="EX81" s="350"/>
      <c r="EY81" s="350"/>
      <c r="EZ81" s="350"/>
      <c r="FA81" s="350"/>
      <c r="FB81" s="351"/>
      <c r="FC81" s="349"/>
      <c r="FD81" s="350"/>
      <c r="FE81" s="350"/>
      <c r="FF81" s="350"/>
      <c r="FG81" s="350"/>
      <c r="FH81" s="350"/>
      <c r="FI81" s="350"/>
      <c r="FJ81" s="350"/>
      <c r="FK81" s="350"/>
      <c r="FL81" s="350"/>
      <c r="FM81" s="350"/>
      <c r="FN81" s="350"/>
      <c r="FO81" s="275"/>
      <c r="FP81" s="275"/>
      <c r="FQ81" s="275">
        <f t="shared" si="3"/>
        <v>0</v>
      </c>
    </row>
    <row r="82" spans="1:173" ht="22.5" customHeight="1">
      <c r="A82" s="468" t="s">
        <v>55</v>
      </c>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4"/>
      <c r="AL82" s="644"/>
      <c r="AM82" s="644"/>
      <c r="AN82" s="644"/>
      <c r="AO82" s="644"/>
      <c r="AP82" s="644"/>
      <c r="AQ82" s="644"/>
      <c r="AR82" s="644"/>
      <c r="AS82" s="644"/>
      <c r="AT82" s="644"/>
      <c r="AU82" s="644"/>
      <c r="AV82" s="644"/>
      <c r="AW82" s="644"/>
      <c r="AX82" s="644"/>
      <c r="AY82" s="644"/>
      <c r="AZ82" s="644"/>
      <c r="BA82" s="644"/>
      <c r="BB82" s="644"/>
      <c r="BC82" s="644"/>
      <c r="BD82" s="644"/>
      <c r="BE82" s="644"/>
      <c r="BF82" s="644"/>
      <c r="BG82" s="644"/>
      <c r="BH82" s="644"/>
      <c r="BI82" s="644"/>
      <c r="BJ82" s="644"/>
      <c r="BK82" s="645"/>
      <c r="BL82" s="460" t="s">
        <v>56</v>
      </c>
      <c r="BM82" s="363"/>
      <c r="BN82" s="363"/>
      <c r="BO82" s="363"/>
      <c r="BP82" s="363"/>
      <c r="BQ82" s="363"/>
      <c r="BR82" s="363"/>
      <c r="BS82" s="364"/>
      <c r="BT82" s="362" t="s">
        <v>57</v>
      </c>
      <c r="BU82" s="363"/>
      <c r="BV82" s="363"/>
      <c r="BW82" s="363"/>
      <c r="BX82" s="363"/>
      <c r="BY82" s="363"/>
      <c r="BZ82" s="363"/>
      <c r="CA82" s="363"/>
      <c r="CB82" s="363"/>
      <c r="CC82" s="363"/>
      <c r="CD82" s="363"/>
      <c r="CE82" s="363"/>
      <c r="CF82" s="364"/>
      <c r="CG82" s="362" t="s">
        <v>193</v>
      </c>
      <c r="CH82" s="363"/>
      <c r="CI82" s="363"/>
      <c r="CJ82" s="363"/>
      <c r="CK82" s="363"/>
      <c r="CL82" s="363"/>
      <c r="CM82" s="363"/>
      <c r="CN82" s="363"/>
      <c r="CO82" s="363"/>
      <c r="CP82" s="363"/>
      <c r="CQ82" s="364"/>
      <c r="CR82" s="505"/>
      <c r="CS82" s="506"/>
      <c r="CT82" s="506"/>
      <c r="CU82" s="506"/>
      <c r="CV82" s="506"/>
      <c r="CW82" s="506"/>
      <c r="CX82" s="506"/>
      <c r="CY82" s="506"/>
      <c r="CZ82" s="506"/>
      <c r="DA82" s="506"/>
      <c r="DB82" s="506"/>
      <c r="DC82" s="506"/>
      <c r="DD82" s="507"/>
      <c r="DE82" s="513">
        <f>SUM(DE83:DQ86)</f>
        <v>15545679.709999999</v>
      </c>
      <c r="DF82" s="514"/>
      <c r="DG82" s="514"/>
      <c r="DH82" s="514"/>
      <c r="DI82" s="514"/>
      <c r="DJ82" s="514"/>
      <c r="DK82" s="514"/>
      <c r="DL82" s="514"/>
      <c r="DM82" s="514"/>
      <c r="DN82" s="514"/>
      <c r="DO82" s="514"/>
      <c r="DP82" s="514"/>
      <c r="DQ82" s="515"/>
      <c r="DR82" s="513">
        <f>SUM(DR83:ED86)</f>
        <v>15330539.9</v>
      </c>
      <c r="DS82" s="514"/>
      <c r="DT82" s="514"/>
      <c r="DU82" s="514"/>
      <c r="DV82" s="514"/>
      <c r="DW82" s="514"/>
      <c r="DX82" s="514"/>
      <c r="DY82" s="514"/>
      <c r="DZ82" s="514"/>
      <c r="EA82" s="514"/>
      <c r="EB82" s="514"/>
      <c r="EC82" s="514"/>
      <c r="ED82" s="515"/>
      <c r="EE82" s="513"/>
      <c r="EF82" s="514"/>
      <c r="EG82" s="514"/>
      <c r="EH82" s="514"/>
      <c r="EI82" s="514"/>
      <c r="EJ82" s="514"/>
      <c r="EK82" s="514"/>
      <c r="EL82" s="514"/>
      <c r="EM82" s="514"/>
      <c r="EN82" s="514"/>
      <c r="EO82" s="514"/>
      <c r="EP82" s="514"/>
      <c r="EQ82" s="515"/>
      <c r="ER82" s="349"/>
      <c r="ES82" s="350"/>
      <c r="ET82" s="350"/>
      <c r="EU82" s="350"/>
      <c r="EV82" s="350"/>
      <c r="EW82" s="350"/>
      <c r="EX82" s="350"/>
      <c r="EY82" s="350"/>
      <c r="EZ82" s="350"/>
      <c r="FA82" s="350"/>
      <c r="FB82" s="351"/>
      <c r="FC82" s="352"/>
      <c r="FD82" s="353"/>
      <c r="FE82" s="353"/>
      <c r="FF82" s="353"/>
      <c r="FG82" s="353"/>
      <c r="FH82" s="353"/>
      <c r="FI82" s="353"/>
      <c r="FJ82" s="353"/>
      <c r="FK82" s="353"/>
      <c r="FL82" s="353"/>
      <c r="FO82" s="275"/>
      <c r="FP82" s="275"/>
      <c r="FQ82" s="275">
        <f t="shared" si="3"/>
        <v>15330539.9</v>
      </c>
    </row>
    <row r="83" spans="1:173" ht="12" customHeight="1">
      <c r="A83" s="386" t="s">
        <v>284</v>
      </c>
      <c r="B83" s="555"/>
      <c r="C83" s="555"/>
      <c r="D83" s="555"/>
      <c r="E83" s="555"/>
      <c r="F83" s="555"/>
      <c r="G83" s="555"/>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5"/>
      <c r="AY83" s="555"/>
      <c r="AZ83" s="555"/>
      <c r="BA83" s="555"/>
      <c r="BB83" s="555"/>
      <c r="BC83" s="555"/>
      <c r="BD83" s="555"/>
      <c r="BE83" s="555"/>
      <c r="BF83" s="555"/>
      <c r="BG83" s="555"/>
      <c r="BH83" s="555"/>
      <c r="BI83" s="555"/>
      <c r="BJ83" s="555"/>
      <c r="BK83" s="556"/>
      <c r="BL83" s="339"/>
      <c r="BM83" s="340"/>
      <c r="BN83" s="340"/>
      <c r="BO83" s="340"/>
      <c r="BP83" s="340"/>
      <c r="BQ83" s="340"/>
      <c r="BR83" s="340"/>
      <c r="BS83" s="341"/>
      <c r="BT83" s="345"/>
      <c r="BU83" s="340"/>
      <c r="BV83" s="340"/>
      <c r="BW83" s="340"/>
      <c r="BX83" s="340"/>
      <c r="BY83" s="340"/>
      <c r="BZ83" s="340"/>
      <c r="CA83" s="340"/>
      <c r="CB83" s="340"/>
      <c r="CC83" s="340"/>
      <c r="CD83" s="340"/>
      <c r="CE83" s="340"/>
      <c r="CF83" s="341"/>
      <c r="CG83" s="345"/>
      <c r="CH83" s="340"/>
      <c r="CI83" s="340"/>
      <c r="CJ83" s="340"/>
      <c r="CK83" s="340"/>
      <c r="CL83" s="340"/>
      <c r="CM83" s="340"/>
      <c r="CN83" s="340"/>
      <c r="CO83" s="340"/>
      <c r="CP83" s="340"/>
      <c r="CQ83" s="341"/>
      <c r="CR83" s="482"/>
      <c r="CS83" s="483"/>
      <c r="CT83" s="483"/>
      <c r="CU83" s="483"/>
      <c r="CV83" s="483"/>
      <c r="CW83" s="483"/>
      <c r="CX83" s="483"/>
      <c r="CY83" s="483"/>
      <c r="CZ83" s="483"/>
      <c r="DA83" s="483"/>
      <c r="DB83" s="483"/>
      <c r="DC83" s="483"/>
      <c r="DD83" s="484"/>
      <c r="DE83" s="519">
        <f>SUM(DE88)</f>
        <v>6612500</v>
      </c>
      <c r="DF83" s="520"/>
      <c r="DG83" s="520"/>
      <c r="DH83" s="520"/>
      <c r="DI83" s="520"/>
      <c r="DJ83" s="520"/>
      <c r="DK83" s="520"/>
      <c r="DL83" s="520"/>
      <c r="DM83" s="520"/>
      <c r="DN83" s="520"/>
      <c r="DO83" s="520"/>
      <c r="DP83" s="520"/>
      <c r="DQ83" s="521"/>
      <c r="DR83" s="519">
        <f>SUM(DR88)</f>
        <v>7638250</v>
      </c>
      <c r="DS83" s="520"/>
      <c r="DT83" s="520"/>
      <c r="DU83" s="520"/>
      <c r="DV83" s="520"/>
      <c r="DW83" s="520"/>
      <c r="DX83" s="520"/>
      <c r="DY83" s="520"/>
      <c r="DZ83" s="520"/>
      <c r="EA83" s="520"/>
      <c r="EB83" s="520"/>
      <c r="EC83" s="520"/>
      <c r="ED83" s="521"/>
      <c r="EE83" s="519"/>
      <c r="EF83" s="520"/>
      <c r="EG83" s="520"/>
      <c r="EH83" s="520"/>
      <c r="EI83" s="520"/>
      <c r="EJ83" s="520"/>
      <c r="EK83" s="520"/>
      <c r="EL83" s="520"/>
      <c r="EM83" s="520"/>
      <c r="EN83" s="520"/>
      <c r="EO83" s="520"/>
      <c r="EP83" s="520"/>
      <c r="EQ83" s="521"/>
      <c r="ER83" s="349"/>
      <c r="ES83" s="350"/>
      <c r="ET83" s="350"/>
      <c r="EU83" s="350"/>
      <c r="EV83" s="350"/>
      <c r="EW83" s="350"/>
      <c r="EX83" s="350"/>
      <c r="EY83" s="350"/>
      <c r="EZ83" s="350"/>
      <c r="FA83" s="350"/>
      <c r="FB83" s="351"/>
      <c r="FC83" s="349"/>
      <c r="FD83" s="350"/>
      <c r="FE83" s="350"/>
      <c r="FF83" s="350"/>
      <c r="FG83" s="350"/>
      <c r="FH83" s="350"/>
      <c r="FI83" s="350"/>
      <c r="FJ83" s="350"/>
      <c r="FK83" s="350"/>
      <c r="FL83" s="350"/>
      <c r="FM83" s="350"/>
      <c r="FN83" s="350"/>
      <c r="FO83" s="275"/>
      <c r="FP83" s="275"/>
      <c r="FQ83" s="275">
        <f t="shared" si="3"/>
        <v>7638250</v>
      </c>
    </row>
    <row r="84" spans="1:173" ht="12" customHeight="1">
      <c r="A84" s="469" t="s">
        <v>282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8"/>
      <c r="BL84" s="339"/>
      <c r="BM84" s="340"/>
      <c r="BN84" s="340"/>
      <c r="BO84" s="340"/>
      <c r="BP84" s="340"/>
      <c r="BQ84" s="340"/>
      <c r="BR84" s="340"/>
      <c r="BS84" s="341"/>
      <c r="BT84" s="345"/>
      <c r="BU84" s="340"/>
      <c r="BV84" s="340"/>
      <c r="BW84" s="340"/>
      <c r="BX84" s="340"/>
      <c r="BY84" s="340"/>
      <c r="BZ84" s="340"/>
      <c r="CA84" s="340"/>
      <c r="CB84" s="340"/>
      <c r="CC84" s="340"/>
      <c r="CD84" s="340"/>
      <c r="CE84" s="340"/>
      <c r="CF84" s="341"/>
      <c r="CG84" s="345"/>
      <c r="CH84" s="340"/>
      <c r="CI84" s="340"/>
      <c r="CJ84" s="340"/>
      <c r="CK84" s="340"/>
      <c r="CL84" s="340"/>
      <c r="CM84" s="340"/>
      <c r="CN84" s="340"/>
      <c r="CO84" s="340"/>
      <c r="CP84" s="340"/>
      <c r="CQ84" s="341"/>
      <c r="CR84" s="482"/>
      <c r="CS84" s="483"/>
      <c r="CT84" s="483"/>
      <c r="CU84" s="483"/>
      <c r="CV84" s="483"/>
      <c r="CW84" s="483"/>
      <c r="CX84" s="483"/>
      <c r="CY84" s="483"/>
      <c r="CZ84" s="483"/>
      <c r="DA84" s="483"/>
      <c r="DB84" s="483"/>
      <c r="DC84" s="483"/>
      <c r="DD84" s="484"/>
      <c r="DE84" s="519">
        <f>SUM(DE89+DE90)</f>
        <v>8933179.709999999</v>
      </c>
      <c r="DF84" s="520"/>
      <c r="DG84" s="520"/>
      <c r="DH84" s="520"/>
      <c r="DI84" s="520"/>
      <c r="DJ84" s="520"/>
      <c r="DK84" s="520"/>
      <c r="DL84" s="520"/>
      <c r="DM84" s="520"/>
      <c r="DN84" s="520"/>
      <c r="DO84" s="520"/>
      <c r="DP84" s="520"/>
      <c r="DQ84" s="521"/>
      <c r="DR84" s="519">
        <f>SUM(DR89+DR90)</f>
        <v>7692289.9000000004</v>
      </c>
      <c r="DS84" s="520"/>
      <c r="DT84" s="520"/>
      <c r="DU84" s="520"/>
      <c r="DV84" s="520"/>
      <c r="DW84" s="520"/>
      <c r="DX84" s="520"/>
      <c r="DY84" s="520"/>
      <c r="DZ84" s="520"/>
      <c r="EA84" s="520"/>
      <c r="EB84" s="520"/>
      <c r="EC84" s="520"/>
      <c r="ED84" s="521"/>
      <c r="EE84" s="519"/>
      <c r="EF84" s="520"/>
      <c r="EG84" s="520"/>
      <c r="EH84" s="520"/>
      <c r="EI84" s="520"/>
      <c r="EJ84" s="520"/>
      <c r="EK84" s="520"/>
      <c r="EL84" s="520"/>
      <c r="EM84" s="520"/>
      <c r="EN84" s="520"/>
      <c r="EO84" s="520"/>
      <c r="EP84" s="520"/>
      <c r="EQ84" s="521"/>
      <c r="ER84" s="349"/>
      <c r="ES84" s="350"/>
      <c r="ET84" s="350"/>
      <c r="EU84" s="350"/>
      <c r="EV84" s="350"/>
      <c r="EW84" s="350"/>
      <c r="EX84" s="350"/>
      <c r="EY84" s="350"/>
      <c r="EZ84" s="350"/>
      <c r="FA84" s="350"/>
      <c r="FB84" s="351"/>
      <c r="FC84" s="349"/>
      <c r="FD84" s="350"/>
      <c r="FE84" s="350"/>
      <c r="FF84" s="350"/>
      <c r="FG84" s="350"/>
      <c r="FH84" s="350"/>
      <c r="FI84" s="350"/>
      <c r="FJ84" s="350"/>
      <c r="FK84" s="350"/>
      <c r="FL84" s="350"/>
      <c r="FM84" s="350"/>
      <c r="FN84" s="350"/>
      <c r="FO84" s="275"/>
      <c r="FP84" s="275"/>
      <c r="FQ84" s="275">
        <f t="shared" si="3"/>
        <v>7692289.9000000004</v>
      </c>
    </row>
    <row r="85" spans="1:173" ht="12" customHeight="1">
      <c r="A85" s="383" t="s">
        <v>194</v>
      </c>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4"/>
      <c r="AZ85" s="384"/>
      <c r="BA85" s="384"/>
      <c r="BB85" s="384"/>
      <c r="BC85" s="384"/>
      <c r="BD85" s="384"/>
      <c r="BE85" s="384"/>
      <c r="BF85" s="384"/>
      <c r="BG85" s="384"/>
      <c r="BH85" s="384"/>
      <c r="BI85" s="384"/>
      <c r="BJ85" s="384"/>
      <c r="BK85" s="385"/>
      <c r="BL85" s="339"/>
      <c r="BM85" s="340"/>
      <c r="BN85" s="340"/>
      <c r="BO85" s="340"/>
      <c r="BP85" s="340"/>
      <c r="BQ85" s="340"/>
      <c r="BR85" s="340"/>
      <c r="BS85" s="341"/>
      <c r="BT85" s="345"/>
      <c r="BU85" s="340"/>
      <c r="BV85" s="340"/>
      <c r="BW85" s="340"/>
      <c r="BX85" s="340"/>
      <c r="BY85" s="340"/>
      <c r="BZ85" s="340"/>
      <c r="CA85" s="340"/>
      <c r="CB85" s="340"/>
      <c r="CC85" s="340"/>
      <c r="CD85" s="340"/>
      <c r="CE85" s="340"/>
      <c r="CF85" s="341"/>
      <c r="CG85" s="345"/>
      <c r="CH85" s="340"/>
      <c r="CI85" s="340"/>
      <c r="CJ85" s="340"/>
      <c r="CK85" s="340"/>
      <c r="CL85" s="340"/>
      <c r="CM85" s="340"/>
      <c r="CN85" s="340"/>
      <c r="CO85" s="340"/>
      <c r="CP85" s="340"/>
      <c r="CQ85" s="341"/>
      <c r="CR85" s="482"/>
      <c r="CS85" s="483"/>
      <c r="CT85" s="483"/>
      <c r="CU85" s="483"/>
      <c r="CV85" s="483"/>
      <c r="CW85" s="483"/>
      <c r="CX85" s="483"/>
      <c r="CY85" s="483"/>
      <c r="CZ85" s="483"/>
      <c r="DA85" s="483"/>
      <c r="DB85" s="483"/>
      <c r="DC85" s="483"/>
      <c r="DD85" s="484"/>
      <c r="DE85" s="519">
        <f>DE91</f>
        <v>0</v>
      </c>
      <c r="DF85" s="520"/>
      <c r="DG85" s="520"/>
      <c r="DH85" s="520"/>
      <c r="DI85" s="520"/>
      <c r="DJ85" s="520"/>
      <c r="DK85" s="520"/>
      <c r="DL85" s="520"/>
      <c r="DM85" s="520"/>
      <c r="DN85" s="520"/>
      <c r="DO85" s="520"/>
      <c r="DP85" s="520"/>
      <c r="DQ85" s="521"/>
      <c r="DR85" s="519">
        <f>DR91</f>
        <v>0</v>
      </c>
      <c r="DS85" s="520"/>
      <c r="DT85" s="520"/>
      <c r="DU85" s="520"/>
      <c r="DV85" s="520"/>
      <c r="DW85" s="520"/>
      <c r="DX85" s="520"/>
      <c r="DY85" s="520"/>
      <c r="DZ85" s="520"/>
      <c r="EA85" s="520"/>
      <c r="EB85" s="520"/>
      <c r="EC85" s="520"/>
      <c r="ED85" s="521"/>
      <c r="EE85" s="519"/>
      <c r="EF85" s="520"/>
      <c r="EG85" s="520"/>
      <c r="EH85" s="520"/>
      <c r="EI85" s="520"/>
      <c r="EJ85" s="520"/>
      <c r="EK85" s="520"/>
      <c r="EL85" s="520"/>
      <c r="EM85" s="520"/>
      <c r="EN85" s="520"/>
      <c r="EO85" s="520"/>
      <c r="EP85" s="520"/>
      <c r="EQ85" s="521"/>
      <c r="ER85" s="349"/>
      <c r="ES85" s="350"/>
      <c r="ET85" s="350"/>
      <c r="EU85" s="350"/>
      <c r="EV85" s="350"/>
      <c r="EW85" s="350"/>
      <c r="EX85" s="350"/>
      <c r="EY85" s="350"/>
      <c r="EZ85" s="350"/>
      <c r="FA85" s="350"/>
      <c r="FB85" s="351"/>
      <c r="FC85" s="349"/>
      <c r="FD85" s="350"/>
      <c r="FE85" s="350"/>
      <c r="FF85" s="350"/>
      <c r="FG85" s="350"/>
      <c r="FH85" s="350"/>
      <c r="FI85" s="350"/>
      <c r="FJ85" s="350"/>
      <c r="FK85" s="350"/>
      <c r="FL85" s="350"/>
      <c r="FM85" s="350"/>
      <c r="FN85" s="350"/>
      <c r="FO85" s="275"/>
      <c r="FP85" s="275"/>
      <c r="FQ85" s="275">
        <f t="shared" si="3"/>
        <v>0</v>
      </c>
    </row>
    <row r="86" spans="1:173" ht="12" customHeight="1">
      <c r="A86" s="354" t="s">
        <v>201</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5"/>
      <c r="BL86" s="339" t="s">
        <v>272</v>
      </c>
      <c r="BM86" s="340"/>
      <c r="BN86" s="340"/>
      <c r="BO86" s="340"/>
      <c r="BP86" s="340"/>
      <c r="BQ86" s="340"/>
      <c r="BR86" s="340"/>
      <c r="BS86" s="341"/>
      <c r="BT86" s="345" t="s">
        <v>272</v>
      </c>
      <c r="BU86" s="340"/>
      <c r="BV86" s="340"/>
      <c r="BW86" s="340"/>
      <c r="BX86" s="340"/>
      <c r="BY86" s="340"/>
      <c r="BZ86" s="340"/>
      <c r="CA86" s="340"/>
      <c r="CB86" s="340"/>
      <c r="CC86" s="340"/>
      <c r="CD86" s="340"/>
      <c r="CE86" s="340"/>
      <c r="CF86" s="341"/>
      <c r="CG86" s="345"/>
      <c r="CH86" s="340"/>
      <c r="CI86" s="340"/>
      <c r="CJ86" s="340"/>
      <c r="CK86" s="340"/>
      <c r="CL86" s="340"/>
      <c r="CM86" s="340"/>
      <c r="CN86" s="340"/>
      <c r="CO86" s="340"/>
      <c r="CP86" s="340"/>
      <c r="CQ86" s="341"/>
      <c r="CR86" s="482"/>
      <c r="CS86" s="483"/>
      <c r="CT86" s="483"/>
      <c r="CU86" s="483"/>
      <c r="CV86" s="483"/>
      <c r="CW86" s="483"/>
      <c r="CX86" s="483"/>
      <c r="CY86" s="483"/>
      <c r="CZ86" s="483"/>
      <c r="DA86" s="483"/>
      <c r="DB86" s="483"/>
      <c r="DC86" s="483"/>
      <c r="DD86" s="484"/>
      <c r="DE86" s="482">
        <v>0</v>
      </c>
      <c r="DF86" s="483"/>
      <c r="DG86" s="483"/>
      <c r="DH86" s="483"/>
      <c r="DI86" s="483"/>
      <c r="DJ86" s="483"/>
      <c r="DK86" s="483"/>
      <c r="DL86" s="483"/>
      <c r="DM86" s="483"/>
      <c r="DN86" s="483"/>
      <c r="DO86" s="483"/>
      <c r="DP86" s="483"/>
      <c r="DQ86" s="484"/>
      <c r="DR86" s="482">
        <v>0</v>
      </c>
      <c r="DS86" s="483"/>
      <c r="DT86" s="483"/>
      <c r="DU86" s="483"/>
      <c r="DV86" s="483"/>
      <c r="DW86" s="483"/>
      <c r="DX86" s="483"/>
      <c r="DY86" s="483"/>
      <c r="DZ86" s="483"/>
      <c r="EA86" s="483"/>
      <c r="EB86" s="483"/>
      <c r="EC86" s="483"/>
      <c r="ED86" s="484"/>
      <c r="EE86" s="482"/>
      <c r="EF86" s="483"/>
      <c r="EG86" s="483"/>
      <c r="EH86" s="483"/>
      <c r="EI86" s="483"/>
      <c r="EJ86" s="483"/>
      <c r="EK86" s="483"/>
      <c r="EL86" s="483"/>
      <c r="EM86" s="483"/>
      <c r="EN86" s="483"/>
      <c r="EO86" s="483"/>
      <c r="EP86" s="483"/>
      <c r="EQ86" s="484"/>
      <c r="ER86" s="349"/>
      <c r="ES86" s="350"/>
      <c r="ET86" s="350"/>
      <c r="EU86" s="350"/>
      <c r="EV86" s="350"/>
      <c r="EW86" s="350"/>
      <c r="EX86" s="350"/>
      <c r="EY86" s="350"/>
      <c r="EZ86" s="350"/>
      <c r="FA86" s="350"/>
      <c r="FB86" s="351"/>
      <c r="FC86" s="349"/>
      <c r="FD86" s="350"/>
      <c r="FE86" s="350"/>
      <c r="FF86" s="350"/>
      <c r="FG86" s="350"/>
      <c r="FH86" s="350"/>
      <c r="FI86" s="350"/>
      <c r="FJ86" s="350"/>
      <c r="FK86" s="350"/>
      <c r="FL86" s="350"/>
      <c r="FM86" s="350"/>
      <c r="FN86" s="350"/>
      <c r="FO86" s="275"/>
      <c r="FP86" s="275"/>
      <c r="FQ86" s="275">
        <f t="shared" si="3"/>
        <v>0</v>
      </c>
    </row>
    <row r="87" spans="1:173" ht="12" customHeight="1">
      <c r="A87" s="380" t="s">
        <v>27</v>
      </c>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1"/>
      <c r="AZ87" s="381"/>
      <c r="BA87" s="381"/>
      <c r="BB87" s="381"/>
      <c r="BC87" s="381"/>
      <c r="BD87" s="381"/>
      <c r="BE87" s="381"/>
      <c r="BF87" s="381"/>
      <c r="BG87" s="381"/>
      <c r="BH87" s="381"/>
      <c r="BI87" s="381"/>
      <c r="BJ87" s="381"/>
      <c r="BK87" s="382"/>
      <c r="BL87" s="339" t="s">
        <v>272</v>
      </c>
      <c r="BM87" s="340"/>
      <c r="BN87" s="340"/>
      <c r="BO87" s="340"/>
      <c r="BP87" s="340"/>
      <c r="BQ87" s="340"/>
      <c r="BR87" s="340"/>
      <c r="BS87" s="341"/>
      <c r="BT87" s="345" t="s">
        <v>272</v>
      </c>
      <c r="BU87" s="340"/>
      <c r="BV87" s="340"/>
      <c r="BW87" s="340"/>
      <c r="BX87" s="340"/>
      <c r="BY87" s="340"/>
      <c r="BZ87" s="340"/>
      <c r="CA87" s="340"/>
      <c r="CB87" s="340"/>
      <c r="CC87" s="340"/>
      <c r="CD87" s="340"/>
      <c r="CE87" s="340"/>
      <c r="CF87" s="341"/>
      <c r="CG87" s="345"/>
      <c r="CH87" s="340"/>
      <c r="CI87" s="340"/>
      <c r="CJ87" s="340"/>
      <c r="CK87" s="340"/>
      <c r="CL87" s="340"/>
      <c r="CM87" s="340"/>
      <c r="CN87" s="340"/>
      <c r="CO87" s="340"/>
      <c r="CP87" s="340"/>
      <c r="CQ87" s="341"/>
      <c r="CR87" s="345"/>
      <c r="CS87" s="340"/>
      <c r="CT87" s="340"/>
      <c r="CU87" s="340"/>
      <c r="CV87" s="340"/>
      <c r="CW87" s="340"/>
      <c r="CX87" s="340"/>
      <c r="CY87" s="340"/>
      <c r="CZ87" s="340"/>
      <c r="DA87" s="340"/>
      <c r="DB87" s="340"/>
      <c r="DC87" s="340"/>
      <c r="DD87" s="341"/>
      <c r="DE87" s="345"/>
      <c r="DF87" s="340"/>
      <c r="DG87" s="340"/>
      <c r="DH87" s="340"/>
      <c r="DI87" s="340"/>
      <c r="DJ87" s="340"/>
      <c r="DK87" s="340"/>
      <c r="DL87" s="340"/>
      <c r="DM87" s="340"/>
      <c r="DN87" s="340"/>
      <c r="DO87" s="340"/>
      <c r="DP87" s="340"/>
      <c r="DQ87" s="341"/>
      <c r="DR87" s="345"/>
      <c r="DS87" s="340"/>
      <c r="DT87" s="340"/>
      <c r="DU87" s="340"/>
      <c r="DV87" s="340"/>
      <c r="DW87" s="340"/>
      <c r="DX87" s="340"/>
      <c r="DY87" s="340"/>
      <c r="DZ87" s="340"/>
      <c r="EA87" s="340"/>
      <c r="EB87" s="340"/>
      <c r="EC87" s="340"/>
      <c r="ED87" s="341"/>
      <c r="EE87" s="345"/>
      <c r="EF87" s="340"/>
      <c r="EG87" s="340"/>
      <c r="EH87" s="340"/>
      <c r="EI87" s="340"/>
      <c r="EJ87" s="340"/>
      <c r="EK87" s="340"/>
      <c r="EL87" s="340"/>
      <c r="EM87" s="340"/>
      <c r="EN87" s="340"/>
      <c r="EO87" s="340"/>
      <c r="EP87" s="340"/>
      <c r="EQ87" s="341"/>
      <c r="ER87" s="349"/>
      <c r="ES87" s="350"/>
      <c r="ET87" s="350"/>
      <c r="EU87" s="350"/>
      <c r="EV87" s="350"/>
      <c r="EW87" s="350"/>
      <c r="EX87" s="350"/>
      <c r="EY87" s="350"/>
      <c r="EZ87" s="350"/>
      <c r="FA87" s="350"/>
      <c r="FB87" s="351"/>
      <c r="FC87" s="349"/>
      <c r="FD87" s="350"/>
      <c r="FE87" s="350"/>
      <c r="FF87" s="350"/>
      <c r="FG87" s="350"/>
      <c r="FH87" s="350"/>
      <c r="FI87" s="350"/>
      <c r="FJ87" s="350"/>
      <c r="FK87" s="350"/>
      <c r="FL87" s="350"/>
      <c r="FM87" s="350"/>
      <c r="FN87" s="350"/>
      <c r="FO87" s="275"/>
      <c r="FP87" s="275"/>
      <c r="FQ87" s="275">
        <f t="shared" si="3"/>
        <v>0</v>
      </c>
    </row>
    <row r="88" spans="1:173" ht="12" customHeight="1">
      <c r="A88" s="441" t="s">
        <v>360</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8"/>
      <c r="BL88" s="339"/>
      <c r="BM88" s="340"/>
      <c r="BN88" s="340"/>
      <c r="BO88" s="340"/>
      <c r="BP88" s="340"/>
      <c r="BQ88" s="340"/>
      <c r="BR88" s="340"/>
      <c r="BS88" s="341"/>
      <c r="BT88" s="342" t="s">
        <v>754</v>
      </c>
      <c r="BU88" s="343"/>
      <c r="BV88" s="343"/>
      <c r="BW88" s="343"/>
      <c r="BX88" s="343"/>
      <c r="BY88" s="343"/>
      <c r="BZ88" s="343"/>
      <c r="CA88" s="343"/>
      <c r="CB88" s="343"/>
      <c r="CC88" s="343"/>
      <c r="CD88" s="343"/>
      <c r="CE88" s="343"/>
      <c r="CF88" s="344"/>
      <c r="CG88" s="345" t="s">
        <v>766</v>
      </c>
      <c r="CH88" s="340"/>
      <c r="CI88" s="340"/>
      <c r="CJ88" s="340"/>
      <c r="CK88" s="340"/>
      <c r="CL88" s="340"/>
      <c r="CM88" s="340"/>
      <c r="CN88" s="340"/>
      <c r="CO88" s="340"/>
      <c r="CP88" s="340"/>
      <c r="CQ88" s="341"/>
      <c r="CR88" s="482"/>
      <c r="CS88" s="483"/>
      <c r="CT88" s="483"/>
      <c r="CU88" s="483"/>
      <c r="CV88" s="483"/>
      <c r="CW88" s="483"/>
      <c r="CX88" s="483"/>
      <c r="CY88" s="483"/>
      <c r="CZ88" s="483"/>
      <c r="DA88" s="483"/>
      <c r="DB88" s="483"/>
      <c r="DC88" s="483"/>
      <c r="DD88" s="484"/>
      <c r="DE88" s="482">
        <v>6612500</v>
      </c>
      <c r="DF88" s="483"/>
      <c r="DG88" s="483"/>
      <c r="DH88" s="483"/>
      <c r="DI88" s="483"/>
      <c r="DJ88" s="483"/>
      <c r="DK88" s="483"/>
      <c r="DL88" s="483"/>
      <c r="DM88" s="483"/>
      <c r="DN88" s="483"/>
      <c r="DO88" s="483"/>
      <c r="DP88" s="483"/>
      <c r="DQ88" s="484"/>
      <c r="DR88" s="482">
        <f>7638250</f>
        <v>7638250</v>
      </c>
      <c r="DS88" s="483"/>
      <c r="DT88" s="483"/>
      <c r="DU88" s="483"/>
      <c r="DV88" s="483"/>
      <c r="DW88" s="483"/>
      <c r="DX88" s="483"/>
      <c r="DY88" s="483"/>
      <c r="DZ88" s="483"/>
      <c r="EA88" s="483"/>
      <c r="EB88" s="483"/>
      <c r="EC88" s="483"/>
      <c r="ED88" s="484"/>
      <c r="EE88" s="482"/>
      <c r="EF88" s="483"/>
      <c r="EG88" s="483"/>
      <c r="EH88" s="483"/>
      <c r="EI88" s="483"/>
      <c r="EJ88" s="483"/>
      <c r="EK88" s="483"/>
      <c r="EL88" s="483"/>
      <c r="EM88" s="483"/>
      <c r="EN88" s="483"/>
      <c r="EO88" s="483"/>
      <c r="EP88" s="483"/>
      <c r="EQ88" s="484"/>
      <c r="ER88" s="349"/>
      <c r="ES88" s="350"/>
      <c r="ET88" s="350"/>
      <c r="EU88" s="350"/>
      <c r="EV88" s="350"/>
      <c r="EW88" s="350"/>
      <c r="EX88" s="350"/>
      <c r="EY88" s="350"/>
      <c r="EZ88" s="350"/>
      <c r="FA88" s="350"/>
      <c r="FB88" s="351"/>
      <c r="FC88" s="352"/>
      <c r="FD88" s="353"/>
      <c r="FE88" s="353"/>
      <c r="FF88" s="353"/>
      <c r="FG88" s="353"/>
      <c r="FH88" s="353"/>
      <c r="FI88" s="353"/>
      <c r="FJ88" s="353"/>
      <c r="FK88" s="353"/>
      <c r="FL88" s="353"/>
      <c r="FM88" s="181"/>
      <c r="FN88" s="181"/>
      <c r="FO88" s="275"/>
      <c r="FP88" s="275"/>
      <c r="FQ88" s="275">
        <f t="shared" si="3"/>
        <v>7638250</v>
      </c>
    </row>
    <row r="89" spans="1:173" ht="12" customHeight="1">
      <c r="A89" s="441" t="s">
        <v>361</v>
      </c>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447"/>
      <c r="BA89" s="447"/>
      <c r="BB89" s="447"/>
      <c r="BC89" s="447"/>
      <c r="BD89" s="447"/>
      <c r="BE89" s="447"/>
      <c r="BF89" s="447"/>
      <c r="BG89" s="447"/>
      <c r="BH89" s="447"/>
      <c r="BI89" s="447"/>
      <c r="BJ89" s="447"/>
      <c r="BK89" s="448"/>
      <c r="BL89" s="339"/>
      <c r="BM89" s="340"/>
      <c r="BN89" s="340"/>
      <c r="BO89" s="340"/>
      <c r="BP89" s="340"/>
      <c r="BQ89" s="340"/>
      <c r="BR89" s="340"/>
      <c r="BS89" s="341"/>
      <c r="BT89" s="342" t="s">
        <v>755</v>
      </c>
      <c r="BU89" s="343"/>
      <c r="BV89" s="343"/>
      <c r="BW89" s="343"/>
      <c r="BX89" s="343"/>
      <c r="BY89" s="343"/>
      <c r="BZ89" s="343"/>
      <c r="CA89" s="343"/>
      <c r="CB89" s="343"/>
      <c r="CC89" s="343"/>
      <c r="CD89" s="343"/>
      <c r="CE89" s="343"/>
      <c r="CF89" s="344"/>
      <c r="CG89" s="345" t="s">
        <v>766</v>
      </c>
      <c r="CH89" s="340"/>
      <c r="CI89" s="340"/>
      <c r="CJ89" s="340"/>
      <c r="CK89" s="340"/>
      <c r="CL89" s="340"/>
      <c r="CM89" s="340"/>
      <c r="CN89" s="340"/>
      <c r="CO89" s="340"/>
      <c r="CP89" s="340"/>
      <c r="CQ89" s="341"/>
      <c r="CR89" s="482"/>
      <c r="CS89" s="483"/>
      <c r="CT89" s="483"/>
      <c r="CU89" s="483"/>
      <c r="CV89" s="483"/>
      <c r="CW89" s="483"/>
      <c r="CX89" s="483"/>
      <c r="CY89" s="483"/>
      <c r="CZ89" s="483"/>
      <c r="DA89" s="483"/>
      <c r="DB89" s="483"/>
      <c r="DC89" s="483"/>
      <c r="DD89" s="484"/>
      <c r="DE89" s="482">
        <v>347800</v>
      </c>
      <c r="DF89" s="483"/>
      <c r="DG89" s="483"/>
      <c r="DH89" s="483"/>
      <c r="DI89" s="483"/>
      <c r="DJ89" s="483"/>
      <c r="DK89" s="483"/>
      <c r="DL89" s="483"/>
      <c r="DM89" s="483"/>
      <c r="DN89" s="483"/>
      <c r="DO89" s="483"/>
      <c r="DP89" s="483"/>
      <c r="DQ89" s="484"/>
      <c r="DR89" s="482">
        <v>402050</v>
      </c>
      <c r="DS89" s="483"/>
      <c r="DT89" s="483"/>
      <c r="DU89" s="483"/>
      <c r="DV89" s="483"/>
      <c r="DW89" s="483"/>
      <c r="DX89" s="483"/>
      <c r="DY89" s="483"/>
      <c r="DZ89" s="483"/>
      <c r="EA89" s="483"/>
      <c r="EB89" s="483"/>
      <c r="EC89" s="483"/>
      <c r="ED89" s="484"/>
      <c r="EE89" s="482"/>
      <c r="EF89" s="483"/>
      <c r="EG89" s="483"/>
      <c r="EH89" s="483"/>
      <c r="EI89" s="483"/>
      <c r="EJ89" s="483"/>
      <c r="EK89" s="483"/>
      <c r="EL89" s="483"/>
      <c r="EM89" s="483"/>
      <c r="EN89" s="483"/>
      <c r="EO89" s="483"/>
      <c r="EP89" s="483"/>
      <c r="EQ89" s="484"/>
      <c r="ER89" s="349"/>
      <c r="ES89" s="350"/>
      <c r="ET89" s="350"/>
      <c r="EU89" s="350"/>
      <c r="EV89" s="350"/>
      <c r="EW89" s="350"/>
      <c r="EX89" s="350"/>
      <c r="EY89" s="350"/>
      <c r="EZ89" s="350"/>
      <c r="FA89" s="350"/>
      <c r="FB89" s="351"/>
      <c r="FC89" s="352"/>
      <c r="FD89" s="353"/>
      <c r="FE89" s="353"/>
      <c r="FF89" s="353"/>
      <c r="FG89" s="353"/>
      <c r="FH89" s="353"/>
      <c r="FI89" s="353"/>
      <c r="FJ89" s="353"/>
      <c r="FK89" s="353"/>
      <c r="FL89" s="353"/>
      <c r="FM89" s="181"/>
      <c r="FN89" s="181"/>
      <c r="FO89" s="275"/>
      <c r="FP89" s="275"/>
      <c r="FQ89" s="275">
        <f t="shared" si="3"/>
        <v>402050</v>
      </c>
    </row>
    <row r="90" spans="1:173" ht="12" customHeight="1">
      <c r="A90" s="441" t="s">
        <v>361</v>
      </c>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447"/>
      <c r="BA90" s="447"/>
      <c r="BB90" s="447"/>
      <c r="BC90" s="447"/>
      <c r="BD90" s="447"/>
      <c r="BE90" s="447"/>
      <c r="BF90" s="447"/>
      <c r="BG90" s="447"/>
      <c r="BH90" s="447"/>
      <c r="BI90" s="447"/>
      <c r="BJ90" s="447"/>
      <c r="BK90" s="448"/>
      <c r="BL90" s="339"/>
      <c r="BM90" s="340"/>
      <c r="BN90" s="340"/>
      <c r="BO90" s="340"/>
      <c r="BP90" s="340"/>
      <c r="BQ90" s="340"/>
      <c r="BR90" s="340"/>
      <c r="BS90" s="341"/>
      <c r="BT90" s="342" t="s">
        <v>756</v>
      </c>
      <c r="BU90" s="343"/>
      <c r="BV90" s="343"/>
      <c r="BW90" s="343"/>
      <c r="BX90" s="343"/>
      <c r="BY90" s="343"/>
      <c r="BZ90" s="343"/>
      <c r="CA90" s="343"/>
      <c r="CB90" s="343"/>
      <c r="CC90" s="343"/>
      <c r="CD90" s="343"/>
      <c r="CE90" s="343"/>
      <c r="CF90" s="344"/>
      <c r="CG90" s="345" t="s">
        <v>766</v>
      </c>
      <c r="CH90" s="340"/>
      <c r="CI90" s="340"/>
      <c r="CJ90" s="340"/>
      <c r="CK90" s="340"/>
      <c r="CL90" s="340"/>
      <c r="CM90" s="340"/>
      <c r="CN90" s="340"/>
      <c r="CO90" s="340"/>
      <c r="CP90" s="340"/>
      <c r="CQ90" s="341"/>
      <c r="CR90" s="482"/>
      <c r="CS90" s="483"/>
      <c r="CT90" s="483"/>
      <c r="CU90" s="483"/>
      <c r="CV90" s="483"/>
      <c r="CW90" s="483"/>
      <c r="CX90" s="483"/>
      <c r="CY90" s="483"/>
      <c r="CZ90" s="483"/>
      <c r="DA90" s="483"/>
      <c r="DB90" s="483"/>
      <c r="DC90" s="483"/>
      <c r="DD90" s="484"/>
      <c r="DE90" s="583">
        <f>(9054600+113868.46)+51335.54+6724.84-684000+42850.87</f>
        <v>8585379.709999999</v>
      </c>
      <c r="DF90" s="584"/>
      <c r="DG90" s="584"/>
      <c r="DH90" s="584"/>
      <c r="DI90" s="584"/>
      <c r="DJ90" s="584"/>
      <c r="DK90" s="584"/>
      <c r="DL90" s="584"/>
      <c r="DM90" s="584"/>
      <c r="DN90" s="584"/>
      <c r="DO90" s="584"/>
      <c r="DP90" s="584"/>
      <c r="DQ90" s="585"/>
      <c r="DR90" s="516">
        <f>600700+6689539.9</f>
        <v>7290239.9000000004</v>
      </c>
      <c r="DS90" s="517"/>
      <c r="DT90" s="517"/>
      <c r="DU90" s="517"/>
      <c r="DV90" s="517"/>
      <c r="DW90" s="517"/>
      <c r="DX90" s="517"/>
      <c r="DY90" s="517"/>
      <c r="DZ90" s="517"/>
      <c r="EA90" s="517"/>
      <c r="EB90" s="517"/>
      <c r="EC90" s="517"/>
      <c r="ED90" s="518"/>
      <c r="EE90" s="583"/>
      <c r="EF90" s="584"/>
      <c r="EG90" s="584"/>
      <c r="EH90" s="584"/>
      <c r="EI90" s="584"/>
      <c r="EJ90" s="584"/>
      <c r="EK90" s="584"/>
      <c r="EL90" s="584"/>
      <c r="EM90" s="584"/>
      <c r="EN90" s="584"/>
      <c r="EO90" s="584"/>
      <c r="EP90" s="584"/>
      <c r="EQ90" s="585"/>
      <c r="ER90" s="349"/>
      <c r="ES90" s="350"/>
      <c r="ET90" s="350"/>
      <c r="EU90" s="350"/>
      <c r="EV90" s="350"/>
      <c r="EW90" s="350"/>
      <c r="EX90" s="350"/>
      <c r="EY90" s="350"/>
      <c r="EZ90" s="350"/>
      <c r="FA90" s="350"/>
      <c r="FB90" s="351"/>
      <c r="FC90" s="677"/>
      <c r="FD90" s="678"/>
      <c r="FE90" s="678"/>
      <c r="FF90" s="678"/>
      <c r="FG90" s="678"/>
      <c r="FH90" s="678"/>
      <c r="FI90" s="678"/>
      <c r="FJ90" s="678"/>
      <c r="FK90" s="678"/>
      <c r="FL90" s="678"/>
      <c r="FM90" s="181"/>
      <c r="FN90" s="181"/>
      <c r="FO90" s="275"/>
      <c r="FP90" s="275"/>
      <c r="FQ90" s="275">
        <f t="shared" si="3"/>
        <v>7290239.9000000004</v>
      </c>
    </row>
    <row r="91" spans="1:173" ht="12.6" customHeight="1">
      <c r="A91" s="441" t="s">
        <v>760</v>
      </c>
      <c r="B91" s="447"/>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447"/>
      <c r="BA91" s="447"/>
      <c r="BB91" s="447"/>
      <c r="BC91" s="447"/>
      <c r="BD91" s="447"/>
      <c r="BE91" s="447"/>
      <c r="BF91" s="447"/>
      <c r="BG91" s="447"/>
      <c r="BH91" s="447"/>
      <c r="BI91" s="447"/>
      <c r="BJ91" s="447"/>
      <c r="BK91" s="448"/>
      <c r="BL91" s="339"/>
      <c r="BM91" s="340"/>
      <c r="BN91" s="340"/>
      <c r="BO91" s="340"/>
      <c r="BP91" s="340"/>
      <c r="BQ91" s="340"/>
      <c r="BR91" s="340"/>
      <c r="BS91" s="341"/>
      <c r="BT91" s="342" t="s">
        <v>761</v>
      </c>
      <c r="BU91" s="343"/>
      <c r="BV91" s="343"/>
      <c r="BW91" s="343"/>
      <c r="BX91" s="343"/>
      <c r="BY91" s="343"/>
      <c r="BZ91" s="343"/>
      <c r="CA91" s="343"/>
      <c r="CB91" s="343"/>
      <c r="CC91" s="343"/>
      <c r="CD91" s="343"/>
      <c r="CE91" s="343"/>
      <c r="CF91" s="344"/>
      <c r="CG91" s="345" t="s">
        <v>766</v>
      </c>
      <c r="CH91" s="340"/>
      <c r="CI91" s="340"/>
      <c r="CJ91" s="340"/>
      <c r="CK91" s="340"/>
      <c r="CL91" s="340"/>
      <c r="CM91" s="340"/>
      <c r="CN91" s="340"/>
      <c r="CO91" s="340"/>
      <c r="CP91" s="340"/>
      <c r="CQ91" s="341"/>
      <c r="CR91" s="482"/>
      <c r="CS91" s="483"/>
      <c r="CT91" s="483"/>
      <c r="CU91" s="483"/>
      <c r="CV91" s="483"/>
      <c r="CW91" s="483"/>
      <c r="CX91" s="483"/>
      <c r="CY91" s="483"/>
      <c r="CZ91" s="483"/>
      <c r="DA91" s="483"/>
      <c r="DB91" s="483"/>
      <c r="DC91" s="483"/>
      <c r="DD91" s="484"/>
      <c r="DE91" s="346">
        <f>60000-60000</f>
        <v>0</v>
      </c>
      <c r="DF91" s="347"/>
      <c r="DG91" s="347"/>
      <c r="DH91" s="347"/>
      <c r="DI91" s="347"/>
      <c r="DJ91" s="347"/>
      <c r="DK91" s="347"/>
      <c r="DL91" s="347"/>
      <c r="DM91" s="347"/>
      <c r="DN91" s="347"/>
      <c r="DO91" s="347"/>
      <c r="DP91" s="347"/>
      <c r="DQ91" s="348"/>
      <c r="DR91" s="346">
        <f>60000-60000</f>
        <v>0</v>
      </c>
      <c r="DS91" s="347"/>
      <c r="DT91" s="347"/>
      <c r="DU91" s="347"/>
      <c r="DV91" s="347"/>
      <c r="DW91" s="347"/>
      <c r="DX91" s="347"/>
      <c r="DY91" s="347"/>
      <c r="DZ91" s="347"/>
      <c r="EA91" s="347"/>
      <c r="EB91" s="347"/>
      <c r="EC91" s="347"/>
      <c r="ED91" s="348"/>
      <c r="EE91" s="346"/>
      <c r="EF91" s="347"/>
      <c r="EG91" s="347"/>
      <c r="EH91" s="347"/>
      <c r="EI91" s="347"/>
      <c r="EJ91" s="347"/>
      <c r="EK91" s="347"/>
      <c r="EL91" s="347"/>
      <c r="EM91" s="347"/>
      <c r="EN91" s="347"/>
      <c r="EO91" s="347"/>
      <c r="EP91" s="347"/>
      <c r="EQ91" s="348"/>
      <c r="ER91" s="349"/>
      <c r="ES91" s="350"/>
      <c r="ET91" s="350"/>
      <c r="EU91" s="350"/>
      <c r="EV91" s="350"/>
      <c r="EW91" s="350"/>
      <c r="EX91" s="350"/>
      <c r="EY91" s="350"/>
      <c r="EZ91" s="350"/>
      <c r="FA91" s="350"/>
      <c r="FB91" s="351"/>
      <c r="FC91" s="352"/>
      <c r="FD91" s="353"/>
      <c r="FE91" s="353"/>
      <c r="FF91" s="353"/>
      <c r="FG91" s="353"/>
      <c r="FH91" s="353"/>
      <c r="FI91" s="353"/>
      <c r="FJ91" s="353"/>
      <c r="FK91" s="353"/>
      <c r="FL91" s="353"/>
      <c r="FM91" s="181"/>
      <c r="FN91" s="181"/>
      <c r="FO91" s="275"/>
      <c r="FP91" s="275"/>
      <c r="FQ91" s="275">
        <f t="shared" si="3"/>
        <v>0</v>
      </c>
    </row>
    <row r="92" spans="1:173" ht="12" customHeight="1">
      <c r="A92" s="336"/>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8"/>
      <c r="BL92" s="339"/>
      <c r="BM92" s="340"/>
      <c r="BN92" s="340"/>
      <c r="BO92" s="340"/>
      <c r="BP92" s="340"/>
      <c r="BQ92" s="340"/>
      <c r="BR92" s="340"/>
      <c r="BS92" s="341"/>
      <c r="BT92" s="345"/>
      <c r="BU92" s="340"/>
      <c r="BV92" s="340"/>
      <c r="BW92" s="340"/>
      <c r="BX92" s="340"/>
      <c r="BY92" s="340"/>
      <c r="BZ92" s="340"/>
      <c r="CA92" s="340"/>
      <c r="CB92" s="340"/>
      <c r="CC92" s="340"/>
      <c r="CD92" s="340"/>
      <c r="CE92" s="340"/>
      <c r="CF92" s="341"/>
      <c r="CG92" s="345"/>
      <c r="CH92" s="340"/>
      <c r="CI92" s="340"/>
      <c r="CJ92" s="340"/>
      <c r="CK92" s="340"/>
      <c r="CL92" s="340"/>
      <c r="CM92" s="340"/>
      <c r="CN92" s="340"/>
      <c r="CO92" s="340"/>
      <c r="CP92" s="340"/>
      <c r="CQ92" s="341"/>
      <c r="CR92" s="482"/>
      <c r="CS92" s="483"/>
      <c r="CT92" s="483"/>
      <c r="CU92" s="483"/>
      <c r="CV92" s="483"/>
      <c r="CW92" s="483"/>
      <c r="CX92" s="483"/>
      <c r="CY92" s="483"/>
      <c r="CZ92" s="483"/>
      <c r="DA92" s="483"/>
      <c r="DB92" s="483"/>
      <c r="DC92" s="483"/>
      <c r="DD92" s="484"/>
      <c r="DE92" s="349"/>
      <c r="DF92" s="350"/>
      <c r="DG92" s="350"/>
      <c r="DH92" s="350"/>
      <c r="DI92" s="350"/>
      <c r="DJ92" s="350"/>
      <c r="DK92" s="350"/>
      <c r="DL92" s="350"/>
      <c r="DM92" s="350"/>
      <c r="DN92" s="350"/>
      <c r="DO92" s="350"/>
      <c r="DP92" s="350"/>
      <c r="DQ92" s="351"/>
      <c r="DR92" s="349"/>
      <c r="DS92" s="350"/>
      <c r="DT92" s="350"/>
      <c r="DU92" s="350"/>
      <c r="DV92" s="350"/>
      <c r="DW92" s="350"/>
      <c r="DX92" s="350"/>
      <c r="DY92" s="350"/>
      <c r="DZ92" s="350"/>
      <c r="EA92" s="350"/>
      <c r="EB92" s="350"/>
      <c r="EC92" s="350"/>
      <c r="ED92" s="351"/>
      <c r="EE92" s="349"/>
      <c r="EF92" s="350"/>
      <c r="EG92" s="350"/>
      <c r="EH92" s="350"/>
      <c r="EI92" s="350"/>
      <c r="EJ92" s="350"/>
      <c r="EK92" s="350"/>
      <c r="EL92" s="350"/>
      <c r="EM92" s="350"/>
      <c r="EN92" s="350"/>
      <c r="EO92" s="350"/>
      <c r="EP92" s="350"/>
      <c r="EQ92" s="351"/>
      <c r="ER92" s="349"/>
      <c r="ES92" s="350"/>
      <c r="ET92" s="350"/>
      <c r="EU92" s="350"/>
      <c r="EV92" s="350"/>
      <c r="EW92" s="350"/>
      <c r="EX92" s="350"/>
      <c r="EY92" s="350"/>
      <c r="EZ92" s="350"/>
      <c r="FA92" s="350"/>
      <c r="FB92" s="351"/>
      <c r="FC92" s="352"/>
      <c r="FD92" s="353"/>
      <c r="FE92" s="353"/>
      <c r="FF92" s="353"/>
      <c r="FG92" s="353"/>
      <c r="FH92" s="353"/>
      <c r="FI92" s="353"/>
      <c r="FJ92" s="353"/>
      <c r="FK92" s="353"/>
      <c r="FL92" s="353"/>
      <c r="FM92" s="181"/>
      <c r="FN92" s="181"/>
      <c r="FO92" s="275"/>
      <c r="FP92" s="275"/>
      <c r="FQ92" s="275">
        <f t="shared" si="3"/>
        <v>0</v>
      </c>
    </row>
    <row r="93" spans="1:173" ht="14.1" customHeight="1">
      <c r="A93" s="552" t="s">
        <v>288</v>
      </c>
      <c r="B93" s="553"/>
      <c r="C93" s="553"/>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3"/>
      <c r="AZ93" s="553"/>
      <c r="BA93" s="553"/>
      <c r="BB93" s="553"/>
      <c r="BC93" s="553"/>
      <c r="BD93" s="553"/>
      <c r="BE93" s="553"/>
      <c r="BF93" s="553"/>
      <c r="BG93" s="553"/>
      <c r="BH93" s="553"/>
      <c r="BI93" s="553"/>
      <c r="BJ93" s="553"/>
      <c r="BK93" s="554"/>
      <c r="BL93" s="460" t="s">
        <v>58</v>
      </c>
      <c r="BM93" s="363"/>
      <c r="BN93" s="363"/>
      <c r="BO93" s="363"/>
      <c r="BP93" s="363"/>
      <c r="BQ93" s="363"/>
      <c r="BR93" s="363"/>
      <c r="BS93" s="364"/>
      <c r="BT93" s="362" t="s">
        <v>59</v>
      </c>
      <c r="BU93" s="363"/>
      <c r="BV93" s="363"/>
      <c r="BW93" s="363"/>
      <c r="BX93" s="363"/>
      <c r="BY93" s="363"/>
      <c r="BZ93" s="363"/>
      <c r="CA93" s="363"/>
      <c r="CB93" s="363"/>
      <c r="CC93" s="363"/>
      <c r="CD93" s="363"/>
      <c r="CE93" s="363"/>
      <c r="CF93" s="364"/>
      <c r="CG93" s="362"/>
      <c r="CH93" s="363"/>
      <c r="CI93" s="363"/>
      <c r="CJ93" s="363"/>
      <c r="CK93" s="363"/>
      <c r="CL93" s="363"/>
      <c r="CM93" s="363"/>
      <c r="CN93" s="363"/>
      <c r="CO93" s="363"/>
      <c r="CP93" s="363"/>
      <c r="CQ93" s="364"/>
      <c r="CR93" s="505"/>
      <c r="CS93" s="506"/>
      <c r="CT93" s="506"/>
      <c r="CU93" s="506"/>
      <c r="CV93" s="506"/>
      <c r="CW93" s="506"/>
      <c r="CX93" s="506"/>
      <c r="CY93" s="506"/>
      <c r="CZ93" s="506"/>
      <c r="DA93" s="506"/>
      <c r="DB93" s="506"/>
      <c r="DC93" s="506"/>
      <c r="DD93" s="507"/>
      <c r="DE93" s="513">
        <f>SUM(DE95:DQ98)</f>
        <v>33208.919999999984</v>
      </c>
      <c r="DF93" s="514"/>
      <c r="DG93" s="514"/>
      <c r="DH93" s="514"/>
      <c r="DI93" s="514"/>
      <c r="DJ93" s="514"/>
      <c r="DK93" s="514"/>
      <c r="DL93" s="514"/>
      <c r="DM93" s="514"/>
      <c r="DN93" s="514"/>
      <c r="DO93" s="514"/>
      <c r="DP93" s="514"/>
      <c r="DQ93" s="515"/>
      <c r="DR93" s="513">
        <f>SUM(DR95:ED98)</f>
        <v>526600</v>
      </c>
      <c r="DS93" s="514"/>
      <c r="DT93" s="514"/>
      <c r="DU93" s="514"/>
      <c r="DV93" s="514"/>
      <c r="DW93" s="514"/>
      <c r="DX93" s="514"/>
      <c r="DY93" s="514"/>
      <c r="DZ93" s="514"/>
      <c r="EA93" s="514"/>
      <c r="EB93" s="514"/>
      <c r="EC93" s="514"/>
      <c r="ED93" s="515"/>
      <c r="EE93" s="513"/>
      <c r="EF93" s="514"/>
      <c r="EG93" s="514"/>
      <c r="EH93" s="514"/>
      <c r="EI93" s="514"/>
      <c r="EJ93" s="514"/>
      <c r="EK93" s="514"/>
      <c r="EL93" s="514"/>
      <c r="EM93" s="514"/>
      <c r="EN93" s="514"/>
      <c r="EO93" s="514"/>
      <c r="EP93" s="514"/>
      <c r="EQ93" s="515"/>
      <c r="ER93" s="349"/>
      <c r="ES93" s="350"/>
      <c r="ET93" s="350"/>
      <c r="EU93" s="350"/>
      <c r="EV93" s="350"/>
      <c r="EW93" s="350"/>
      <c r="EX93" s="350"/>
      <c r="EY93" s="350"/>
      <c r="EZ93" s="350"/>
      <c r="FA93" s="350"/>
      <c r="FB93" s="351"/>
      <c r="FC93" s="352"/>
      <c r="FD93" s="353"/>
      <c r="FE93" s="353"/>
      <c r="FF93" s="353"/>
      <c r="FG93" s="353"/>
      <c r="FH93" s="353"/>
      <c r="FI93" s="353"/>
      <c r="FJ93" s="353"/>
      <c r="FK93" s="353"/>
      <c r="FL93" s="353"/>
      <c r="FO93" s="275"/>
      <c r="FP93" s="275"/>
      <c r="FQ93" s="275">
        <f t="shared" si="3"/>
        <v>526600</v>
      </c>
    </row>
    <row r="94" spans="1:173" ht="12" customHeight="1">
      <c r="A94" s="354" t="s">
        <v>110</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5"/>
      <c r="BL94" s="339" t="s">
        <v>272</v>
      </c>
      <c r="BM94" s="340"/>
      <c r="BN94" s="340"/>
      <c r="BO94" s="340"/>
      <c r="BP94" s="340"/>
      <c r="BQ94" s="340"/>
      <c r="BR94" s="340"/>
      <c r="BS94" s="341"/>
      <c r="BT94" s="345" t="s">
        <v>272</v>
      </c>
      <c r="BU94" s="340"/>
      <c r="BV94" s="340"/>
      <c r="BW94" s="340"/>
      <c r="BX94" s="340"/>
      <c r="BY94" s="340"/>
      <c r="BZ94" s="340"/>
      <c r="CA94" s="340"/>
      <c r="CB94" s="340"/>
      <c r="CC94" s="340"/>
      <c r="CD94" s="340"/>
      <c r="CE94" s="340"/>
      <c r="CF94" s="341"/>
      <c r="CG94" s="345"/>
      <c r="CH94" s="340"/>
      <c r="CI94" s="340"/>
      <c r="CJ94" s="340"/>
      <c r="CK94" s="340"/>
      <c r="CL94" s="340"/>
      <c r="CM94" s="340"/>
      <c r="CN94" s="340"/>
      <c r="CO94" s="340"/>
      <c r="CP94" s="340"/>
      <c r="CQ94" s="341"/>
      <c r="CR94" s="345"/>
      <c r="CS94" s="340"/>
      <c r="CT94" s="340"/>
      <c r="CU94" s="340"/>
      <c r="CV94" s="340"/>
      <c r="CW94" s="340"/>
      <c r="CX94" s="340"/>
      <c r="CY94" s="340"/>
      <c r="CZ94" s="340"/>
      <c r="DA94" s="340"/>
      <c r="DB94" s="340"/>
      <c r="DC94" s="340"/>
      <c r="DD94" s="341"/>
      <c r="DE94" s="345"/>
      <c r="DF94" s="340"/>
      <c r="DG94" s="340"/>
      <c r="DH94" s="340"/>
      <c r="DI94" s="340"/>
      <c r="DJ94" s="340"/>
      <c r="DK94" s="340"/>
      <c r="DL94" s="340"/>
      <c r="DM94" s="340"/>
      <c r="DN94" s="340"/>
      <c r="DO94" s="340"/>
      <c r="DP94" s="340"/>
      <c r="DQ94" s="341"/>
      <c r="DR94" s="345"/>
      <c r="DS94" s="340"/>
      <c r="DT94" s="340"/>
      <c r="DU94" s="340"/>
      <c r="DV94" s="340"/>
      <c r="DW94" s="340"/>
      <c r="DX94" s="340"/>
      <c r="DY94" s="340"/>
      <c r="DZ94" s="340"/>
      <c r="EA94" s="340"/>
      <c r="EB94" s="340"/>
      <c r="EC94" s="340"/>
      <c r="ED94" s="341"/>
      <c r="EE94" s="345"/>
      <c r="EF94" s="340"/>
      <c r="EG94" s="340"/>
      <c r="EH94" s="340"/>
      <c r="EI94" s="340"/>
      <c r="EJ94" s="340"/>
      <c r="EK94" s="340"/>
      <c r="EL94" s="340"/>
      <c r="EM94" s="340"/>
      <c r="EN94" s="340"/>
      <c r="EO94" s="340"/>
      <c r="EP94" s="340"/>
      <c r="EQ94" s="341"/>
      <c r="ER94" s="349"/>
      <c r="ES94" s="350"/>
      <c r="ET94" s="350"/>
      <c r="EU94" s="350"/>
      <c r="EV94" s="350"/>
      <c r="EW94" s="350"/>
      <c r="EX94" s="350"/>
      <c r="EY94" s="350"/>
      <c r="EZ94" s="350"/>
      <c r="FA94" s="350"/>
      <c r="FB94" s="351"/>
      <c r="FC94" s="349"/>
      <c r="FD94" s="350"/>
      <c r="FE94" s="350"/>
      <c r="FF94" s="350"/>
      <c r="FG94" s="350"/>
      <c r="FH94" s="350"/>
      <c r="FI94" s="350"/>
      <c r="FJ94" s="350"/>
      <c r="FK94" s="350"/>
      <c r="FL94" s="350"/>
      <c r="FM94" s="350"/>
      <c r="FN94" s="350"/>
      <c r="FO94" s="275"/>
      <c r="FP94" s="275"/>
      <c r="FQ94" s="275">
        <f t="shared" si="3"/>
        <v>0</v>
      </c>
    </row>
    <row r="95" spans="1:173" ht="12" customHeight="1">
      <c r="A95" s="386" t="s">
        <v>284</v>
      </c>
      <c r="B95" s="555"/>
      <c r="C95" s="555"/>
      <c r="D95" s="555"/>
      <c r="E95" s="555"/>
      <c r="F95" s="555"/>
      <c r="G95" s="555"/>
      <c r="H95" s="555"/>
      <c r="I95" s="555"/>
      <c r="J95" s="555"/>
      <c r="K95" s="555"/>
      <c r="L95" s="555"/>
      <c r="M95" s="555"/>
      <c r="N95" s="555"/>
      <c r="O95" s="555"/>
      <c r="P95" s="555"/>
      <c r="Q95" s="555"/>
      <c r="R95" s="555"/>
      <c r="S95" s="555"/>
      <c r="T95" s="555"/>
      <c r="U95" s="555"/>
      <c r="V95" s="555"/>
      <c r="W95" s="555"/>
      <c r="X95" s="555"/>
      <c r="Y95" s="555"/>
      <c r="Z95" s="555"/>
      <c r="AA95" s="555"/>
      <c r="AB95" s="555"/>
      <c r="AC95" s="555"/>
      <c r="AD95" s="555"/>
      <c r="AE95" s="555"/>
      <c r="AF95" s="555"/>
      <c r="AG95" s="555"/>
      <c r="AH95" s="555"/>
      <c r="AI95" s="555"/>
      <c r="AJ95" s="555"/>
      <c r="AK95" s="555"/>
      <c r="AL95" s="555"/>
      <c r="AM95" s="555"/>
      <c r="AN95" s="555"/>
      <c r="AO95" s="555"/>
      <c r="AP95" s="555"/>
      <c r="AQ95" s="555"/>
      <c r="AR95" s="555"/>
      <c r="AS95" s="555"/>
      <c r="AT95" s="555"/>
      <c r="AU95" s="555"/>
      <c r="AV95" s="555"/>
      <c r="AW95" s="555"/>
      <c r="AX95" s="555"/>
      <c r="AY95" s="555"/>
      <c r="AZ95" s="555"/>
      <c r="BA95" s="555"/>
      <c r="BB95" s="555"/>
      <c r="BC95" s="555"/>
      <c r="BD95" s="555"/>
      <c r="BE95" s="555"/>
      <c r="BF95" s="555"/>
      <c r="BG95" s="555"/>
      <c r="BH95" s="555"/>
      <c r="BI95" s="555"/>
      <c r="BJ95" s="555"/>
      <c r="BK95" s="556"/>
      <c r="BL95" s="339"/>
      <c r="BM95" s="340"/>
      <c r="BN95" s="340"/>
      <c r="BO95" s="340"/>
      <c r="BP95" s="340"/>
      <c r="BQ95" s="340"/>
      <c r="BR95" s="340"/>
      <c r="BS95" s="341"/>
      <c r="BT95" s="345"/>
      <c r="BU95" s="340"/>
      <c r="BV95" s="340"/>
      <c r="BW95" s="340"/>
      <c r="BX95" s="340"/>
      <c r="BY95" s="340"/>
      <c r="BZ95" s="340"/>
      <c r="CA95" s="340"/>
      <c r="CB95" s="340"/>
      <c r="CC95" s="340"/>
      <c r="CD95" s="340"/>
      <c r="CE95" s="340"/>
      <c r="CF95" s="341"/>
      <c r="CG95" s="345"/>
      <c r="CH95" s="340"/>
      <c r="CI95" s="340"/>
      <c r="CJ95" s="340"/>
      <c r="CK95" s="340"/>
      <c r="CL95" s="340"/>
      <c r="CM95" s="340"/>
      <c r="CN95" s="340"/>
      <c r="CO95" s="340"/>
      <c r="CP95" s="340"/>
      <c r="CQ95" s="341"/>
      <c r="CR95" s="482"/>
      <c r="CS95" s="483"/>
      <c r="CT95" s="483"/>
      <c r="CU95" s="483"/>
      <c r="CV95" s="483"/>
      <c r="CW95" s="483"/>
      <c r="CX95" s="483"/>
      <c r="CY95" s="483"/>
      <c r="CZ95" s="483"/>
      <c r="DA95" s="483"/>
      <c r="DB95" s="483"/>
      <c r="DC95" s="483"/>
      <c r="DD95" s="484"/>
      <c r="DE95" s="526">
        <f>SUM(DE109)</f>
        <v>0</v>
      </c>
      <c r="DF95" s="527"/>
      <c r="DG95" s="527"/>
      <c r="DH95" s="527"/>
      <c r="DI95" s="527"/>
      <c r="DJ95" s="527"/>
      <c r="DK95" s="527"/>
      <c r="DL95" s="527"/>
      <c r="DM95" s="527"/>
      <c r="DN95" s="527"/>
      <c r="DO95" s="527"/>
      <c r="DP95" s="527"/>
      <c r="DQ95" s="528"/>
      <c r="DR95" s="526">
        <f>SUM(DR109)</f>
        <v>0</v>
      </c>
      <c r="DS95" s="527"/>
      <c r="DT95" s="527"/>
      <c r="DU95" s="527"/>
      <c r="DV95" s="527"/>
      <c r="DW95" s="527"/>
      <c r="DX95" s="527"/>
      <c r="DY95" s="527"/>
      <c r="DZ95" s="527"/>
      <c r="EA95" s="527"/>
      <c r="EB95" s="527"/>
      <c r="EC95" s="527"/>
      <c r="ED95" s="528"/>
      <c r="EE95" s="526"/>
      <c r="EF95" s="527"/>
      <c r="EG95" s="527"/>
      <c r="EH95" s="527"/>
      <c r="EI95" s="527"/>
      <c r="EJ95" s="527"/>
      <c r="EK95" s="527"/>
      <c r="EL95" s="527"/>
      <c r="EM95" s="527"/>
      <c r="EN95" s="527"/>
      <c r="EO95" s="527"/>
      <c r="EP95" s="527"/>
      <c r="EQ95" s="528"/>
      <c r="ER95" s="349"/>
      <c r="ES95" s="350"/>
      <c r="ET95" s="350"/>
      <c r="EU95" s="350"/>
      <c r="EV95" s="350"/>
      <c r="EW95" s="350"/>
      <c r="EX95" s="350"/>
      <c r="EY95" s="350"/>
      <c r="EZ95" s="350"/>
      <c r="FA95" s="350"/>
      <c r="FB95" s="351"/>
      <c r="FC95" s="349"/>
      <c r="FD95" s="350"/>
      <c r="FE95" s="350"/>
      <c r="FF95" s="350"/>
      <c r="FG95" s="350"/>
      <c r="FH95" s="350"/>
      <c r="FI95" s="350"/>
      <c r="FJ95" s="350"/>
      <c r="FK95" s="350"/>
      <c r="FL95" s="350"/>
      <c r="FM95" s="350"/>
      <c r="FN95" s="350"/>
      <c r="FO95" s="275"/>
      <c r="FP95" s="275"/>
      <c r="FQ95" s="275">
        <f t="shared" si="3"/>
        <v>0</v>
      </c>
    </row>
    <row r="96" spans="1:173" ht="12" customHeight="1">
      <c r="A96" s="469" t="s">
        <v>282</v>
      </c>
      <c r="B96" s="337"/>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337"/>
      <c r="BE96" s="337"/>
      <c r="BF96" s="337"/>
      <c r="BG96" s="337"/>
      <c r="BH96" s="337"/>
      <c r="BI96" s="337"/>
      <c r="BJ96" s="337"/>
      <c r="BK96" s="338"/>
      <c r="BL96" s="339"/>
      <c r="BM96" s="340"/>
      <c r="BN96" s="340"/>
      <c r="BO96" s="340"/>
      <c r="BP96" s="340"/>
      <c r="BQ96" s="340"/>
      <c r="BR96" s="340"/>
      <c r="BS96" s="341"/>
      <c r="BT96" s="345"/>
      <c r="BU96" s="340"/>
      <c r="BV96" s="340"/>
      <c r="BW96" s="340"/>
      <c r="BX96" s="340"/>
      <c r="BY96" s="340"/>
      <c r="BZ96" s="340"/>
      <c r="CA96" s="340"/>
      <c r="CB96" s="340"/>
      <c r="CC96" s="340"/>
      <c r="CD96" s="340"/>
      <c r="CE96" s="340"/>
      <c r="CF96" s="341"/>
      <c r="CG96" s="345"/>
      <c r="CH96" s="340"/>
      <c r="CI96" s="340"/>
      <c r="CJ96" s="340"/>
      <c r="CK96" s="340"/>
      <c r="CL96" s="340"/>
      <c r="CM96" s="340"/>
      <c r="CN96" s="340"/>
      <c r="CO96" s="340"/>
      <c r="CP96" s="340"/>
      <c r="CQ96" s="341"/>
      <c r="CR96" s="482"/>
      <c r="CS96" s="483"/>
      <c r="CT96" s="483"/>
      <c r="CU96" s="483"/>
      <c r="CV96" s="483"/>
      <c r="CW96" s="483"/>
      <c r="CX96" s="483"/>
      <c r="CY96" s="483"/>
      <c r="CZ96" s="483"/>
      <c r="DA96" s="483"/>
      <c r="DB96" s="483"/>
      <c r="DC96" s="483"/>
      <c r="DD96" s="484"/>
      <c r="DE96" s="526">
        <f>DE108+DE100+DE106</f>
        <v>33208.919999999984</v>
      </c>
      <c r="DF96" s="527"/>
      <c r="DG96" s="527"/>
      <c r="DH96" s="527"/>
      <c r="DI96" s="527"/>
      <c r="DJ96" s="527"/>
      <c r="DK96" s="527"/>
      <c r="DL96" s="527"/>
      <c r="DM96" s="527"/>
      <c r="DN96" s="527"/>
      <c r="DO96" s="527"/>
      <c r="DP96" s="527"/>
      <c r="DQ96" s="528"/>
      <c r="DR96" s="526">
        <f>DR108+DR100+DR106</f>
        <v>526600</v>
      </c>
      <c r="DS96" s="527"/>
      <c r="DT96" s="527"/>
      <c r="DU96" s="527"/>
      <c r="DV96" s="527"/>
      <c r="DW96" s="527"/>
      <c r="DX96" s="527"/>
      <c r="DY96" s="527"/>
      <c r="DZ96" s="527"/>
      <c r="EA96" s="527"/>
      <c r="EB96" s="527"/>
      <c r="EC96" s="527"/>
      <c r="ED96" s="528"/>
      <c r="EE96" s="526"/>
      <c r="EF96" s="527"/>
      <c r="EG96" s="527"/>
      <c r="EH96" s="527"/>
      <c r="EI96" s="527"/>
      <c r="EJ96" s="527"/>
      <c r="EK96" s="527"/>
      <c r="EL96" s="527"/>
      <c r="EM96" s="527"/>
      <c r="EN96" s="527"/>
      <c r="EO96" s="527"/>
      <c r="EP96" s="527"/>
      <c r="EQ96" s="528"/>
      <c r="ER96" s="349"/>
      <c r="ES96" s="350"/>
      <c r="ET96" s="350"/>
      <c r="EU96" s="350"/>
      <c r="EV96" s="350"/>
      <c r="EW96" s="350"/>
      <c r="EX96" s="350"/>
      <c r="EY96" s="350"/>
      <c r="EZ96" s="350"/>
      <c r="FA96" s="350"/>
      <c r="FB96" s="351"/>
      <c r="FC96" s="349"/>
      <c r="FD96" s="350"/>
      <c r="FE96" s="350"/>
      <c r="FF96" s="350"/>
      <c r="FG96" s="350"/>
      <c r="FH96" s="350"/>
      <c r="FI96" s="350"/>
      <c r="FJ96" s="350"/>
      <c r="FK96" s="350"/>
      <c r="FL96" s="350"/>
      <c r="FM96" s="350"/>
      <c r="FN96" s="350"/>
      <c r="FO96" s="275"/>
      <c r="FP96" s="275"/>
      <c r="FQ96" s="275">
        <f t="shared" si="3"/>
        <v>526600</v>
      </c>
    </row>
    <row r="97" spans="1:173" ht="12" customHeight="1">
      <c r="A97" s="383" t="s">
        <v>194</v>
      </c>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384"/>
      <c r="AY97" s="384"/>
      <c r="AZ97" s="384"/>
      <c r="BA97" s="384"/>
      <c r="BB97" s="384"/>
      <c r="BC97" s="384"/>
      <c r="BD97" s="384"/>
      <c r="BE97" s="384"/>
      <c r="BF97" s="384"/>
      <c r="BG97" s="384"/>
      <c r="BH97" s="384"/>
      <c r="BI97" s="384"/>
      <c r="BJ97" s="384"/>
      <c r="BK97" s="385"/>
      <c r="BL97" s="339"/>
      <c r="BM97" s="340"/>
      <c r="BN97" s="340"/>
      <c r="BO97" s="340"/>
      <c r="BP97" s="340"/>
      <c r="BQ97" s="340"/>
      <c r="BR97" s="340"/>
      <c r="BS97" s="341"/>
      <c r="BT97" s="345"/>
      <c r="BU97" s="340"/>
      <c r="BV97" s="340"/>
      <c r="BW97" s="340"/>
      <c r="BX97" s="340"/>
      <c r="BY97" s="340"/>
      <c r="BZ97" s="340"/>
      <c r="CA97" s="340"/>
      <c r="CB97" s="340"/>
      <c r="CC97" s="340"/>
      <c r="CD97" s="340"/>
      <c r="CE97" s="340"/>
      <c r="CF97" s="341"/>
      <c r="CG97" s="345"/>
      <c r="CH97" s="340"/>
      <c r="CI97" s="340"/>
      <c r="CJ97" s="340"/>
      <c r="CK97" s="340"/>
      <c r="CL97" s="340"/>
      <c r="CM97" s="340"/>
      <c r="CN97" s="340"/>
      <c r="CO97" s="340"/>
      <c r="CP97" s="340"/>
      <c r="CQ97" s="341"/>
      <c r="CR97" s="482"/>
      <c r="CS97" s="483"/>
      <c r="CT97" s="483"/>
      <c r="CU97" s="483"/>
      <c r="CV97" s="483"/>
      <c r="CW97" s="483"/>
      <c r="CX97" s="483"/>
      <c r="CY97" s="483"/>
      <c r="CZ97" s="483"/>
      <c r="DA97" s="483"/>
      <c r="DB97" s="483"/>
      <c r="DC97" s="483"/>
      <c r="DD97" s="484"/>
      <c r="DE97" s="526">
        <f>DE103</f>
        <v>0</v>
      </c>
      <c r="DF97" s="527"/>
      <c r="DG97" s="527"/>
      <c r="DH97" s="527"/>
      <c r="DI97" s="527"/>
      <c r="DJ97" s="527"/>
      <c r="DK97" s="527"/>
      <c r="DL97" s="527"/>
      <c r="DM97" s="527"/>
      <c r="DN97" s="527"/>
      <c r="DO97" s="527"/>
      <c r="DP97" s="527"/>
      <c r="DQ97" s="528"/>
      <c r="DR97" s="526">
        <f>DR103</f>
        <v>0</v>
      </c>
      <c r="DS97" s="527"/>
      <c r="DT97" s="527"/>
      <c r="DU97" s="527"/>
      <c r="DV97" s="527"/>
      <c r="DW97" s="527"/>
      <c r="DX97" s="527"/>
      <c r="DY97" s="527"/>
      <c r="DZ97" s="527"/>
      <c r="EA97" s="527"/>
      <c r="EB97" s="527"/>
      <c r="EC97" s="527"/>
      <c r="ED97" s="528"/>
      <c r="EE97" s="526"/>
      <c r="EF97" s="527"/>
      <c r="EG97" s="527"/>
      <c r="EH97" s="527"/>
      <c r="EI97" s="527"/>
      <c r="EJ97" s="527"/>
      <c r="EK97" s="527"/>
      <c r="EL97" s="527"/>
      <c r="EM97" s="527"/>
      <c r="EN97" s="527"/>
      <c r="EO97" s="527"/>
      <c r="EP97" s="527"/>
      <c r="EQ97" s="528"/>
      <c r="ER97" s="349"/>
      <c r="ES97" s="350"/>
      <c r="ET97" s="350"/>
      <c r="EU97" s="350"/>
      <c r="EV97" s="350"/>
      <c r="EW97" s="350"/>
      <c r="EX97" s="350"/>
      <c r="EY97" s="350"/>
      <c r="EZ97" s="350"/>
      <c r="FA97" s="350"/>
      <c r="FB97" s="351"/>
      <c r="FC97" s="349"/>
      <c r="FD97" s="350"/>
      <c r="FE97" s="350"/>
      <c r="FF97" s="350"/>
      <c r="FG97" s="350"/>
      <c r="FH97" s="350"/>
      <c r="FI97" s="350"/>
      <c r="FJ97" s="350"/>
      <c r="FK97" s="350"/>
      <c r="FL97" s="350"/>
      <c r="FM97" s="350"/>
      <c r="FN97" s="350"/>
      <c r="FO97" s="275"/>
      <c r="FP97" s="275"/>
      <c r="FQ97" s="275">
        <f t="shared" si="3"/>
        <v>0</v>
      </c>
    </row>
    <row r="98" spans="1:173" ht="12" customHeight="1">
      <c r="A98" s="354" t="s">
        <v>201</v>
      </c>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5"/>
      <c r="BL98" s="339" t="s">
        <v>272</v>
      </c>
      <c r="BM98" s="340"/>
      <c r="BN98" s="340"/>
      <c r="BO98" s="340"/>
      <c r="BP98" s="340"/>
      <c r="BQ98" s="340"/>
      <c r="BR98" s="340"/>
      <c r="BS98" s="341"/>
      <c r="BT98" s="345" t="s">
        <v>272</v>
      </c>
      <c r="BU98" s="340"/>
      <c r="BV98" s="340"/>
      <c r="BW98" s="340"/>
      <c r="BX98" s="340"/>
      <c r="BY98" s="340"/>
      <c r="BZ98" s="340"/>
      <c r="CA98" s="340"/>
      <c r="CB98" s="340"/>
      <c r="CC98" s="340"/>
      <c r="CD98" s="340"/>
      <c r="CE98" s="340"/>
      <c r="CF98" s="341"/>
      <c r="CG98" s="345"/>
      <c r="CH98" s="340"/>
      <c r="CI98" s="340"/>
      <c r="CJ98" s="340"/>
      <c r="CK98" s="340"/>
      <c r="CL98" s="340"/>
      <c r="CM98" s="340"/>
      <c r="CN98" s="340"/>
      <c r="CO98" s="340"/>
      <c r="CP98" s="340"/>
      <c r="CQ98" s="341"/>
      <c r="CR98" s="482"/>
      <c r="CS98" s="483"/>
      <c r="CT98" s="483"/>
      <c r="CU98" s="483"/>
      <c r="CV98" s="483"/>
      <c r="CW98" s="483"/>
      <c r="CX98" s="483"/>
      <c r="CY98" s="483"/>
      <c r="CZ98" s="483"/>
      <c r="DA98" s="483"/>
      <c r="DB98" s="483"/>
      <c r="DC98" s="483"/>
      <c r="DD98" s="484"/>
      <c r="DE98" s="482">
        <v>0</v>
      </c>
      <c r="DF98" s="483"/>
      <c r="DG98" s="483"/>
      <c r="DH98" s="483"/>
      <c r="DI98" s="483"/>
      <c r="DJ98" s="483"/>
      <c r="DK98" s="483"/>
      <c r="DL98" s="483"/>
      <c r="DM98" s="483"/>
      <c r="DN98" s="483"/>
      <c r="DO98" s="483"/>
      <c r="DP98" s="483"/>
      <c r="DQ98" s="484"/>
      <c r="DR98" s="482">
        <v>0</v>
      </c>
      <c r="DS98" s="483"/>
      <c r="DT98" s="483"/>
      <c r="DU98" s="483"/>
      <c r="DV98" s="483"/>
      <c r="DW98" s="483"/>
      <c r="DX98" s="483"/>
      <c r="DY98" s="483"/>
      <c r="DZ98" s="483"/>
      <c r="EA98" s="483"/>
      <c r="EB98" s="483"/>
      <c r="EC98" s="483"/>
      <c r="ED98" s="484"/>
      <c r="EE98" s="482"/>
      <c r="EF98" s="483"/>
      <c r="EG98" s="483"/>
      <c r="EH98" s="483"/>
      <c r="EI98" s="483"/>
      <c r="EJ98" s="483"/>
      <c r="EK98" s="483"/>
      <c r="EL98" s="483"/>
      <c r="EM98" s="483"/>
      <c r="EN98" s="483"/>
      <c r="EO98" s="483"/>
      <c r="EP98" s="483"/>
      <c r="EQ98" s="484"/>
      <c r="ER98" s="349"/>
      <c r="ES98" s="350"/>
      <c r="ET98" s="350"/>
      <c r="EU98" s="350"/>
      <c r="EV98" s="350"/>
      <c r="EW98" s="350"/>
      <c r="EX98" s="350"/>
      <c r="EY98" s="350"/>
      <c r="EZ98" s="350"/>
      <c r="FA98" s="350"/>
      <c r="FB98" s="351"/>
      <c r="FC98" s="349"/>
      <c r="FD98" s="350"/>
      <c r="FE98" s="350"/>
      <c r="FF98" s="350"/>
      <c r="FG98" s="350"/>
      <c r="FH98" s="350"/>
      <c r="FI98" s="350"/>
      <c r="FJ98" s="350"/>
      <c r="FK98" s="350"/>
      <c r="FL98" s="350"/>
      <c r="FM98" s="350"/>
      <c r="FN98" s="350"/>
      <c r="FO98" s="275"/>
      <c r="FP98" s="275"/>
      <c r="FQ98" s="275">
        <f t="shared" si="3"/>
        <v>0</v>
      </c>
    </row>
    <row r="99" spans="1:173" ht="12" customHeight="1">
      <c r="A99" s="380" t="s">
        <v>27</v>
      </c>
      <c r="B99" s="381"/>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1"/>
      <c r="AY99" s="381"/>
      <c r="AZ99" s="381"/>
      <c r="BA99" s="381"/>
      <c r="BB99" s="381"/>
      <c r="BC99" s="381"/>
      <c r="BD99" s="381"/>
      <c r="BE99" s="381"/>
      <c r="BF99" s="381"/>
      <c r="BG99" s="381"/>
      <c r="BH99" s="381"/>
      <c r="BI99" s="381"/>
      <c r="BJ99" s="381"/>
      <c r="BK99" s="382"/>
      <c r="BL99" s="339" t="s">
        <v>272</v>
      </c>
      <c r="BM99" s="340"/>
      <c r="BN99" s="340"/>
      <c r="BO99" s="340"/>
      <c r="BP99" s="340"/>
      <c r="BQ99" s="340"/>
      <c r="BR99" s="340"/>
      <c r="BS99" s="341"/>
      <c r="BT99" s="345" t="s">
        <v>272</v>
      </c>
      <c r="BU99" s="340"/>
      <c r="BV99" s="340"/>
      <c r="BW99" s="340"/>
      <c r="BX99" s="340"/>
      <c r="BY99" s="340"/>
      <c r="BZ99" s="340"/>
      <c r="CA99" s="340"/>
      <c r="CB99" s="340"/>
      <c r="CC99" s="340"/>
      <c r="CD99" s="340"/>
      <c r="CE99" s="340"/>
      <c r="CF99" s="341"/>
      <c r="CG99" s="345"/>
      <c r="CH99" s="340"/>
      <c r="CI99" s="340"/>
      <c r="CJ99" s="340"/>
      <c r="CK99" s="340"/>
      <c r="CL99" s="340"/>
      <c r="CM99" s="340"/>
      <c r="CN99" s="340"/>
      <c r="CO99" s="340"/>
      <c r="CP99" s="340"/>
      <c r="CQ99" s="341"/>
      <c r="CR99" s="345"/>
      <c r="CS99" s="340"/>
      <c r="CT99" s="340"/>
      <c r="CU99" s="340"/>
      <c r="CV99" s="340"/>
      <c r="CW99" s="340"/>
      <c r="CX99" s="340"/>
      <c r="CY99" s="340"/>
      <c r="CZ99" s="340"/>
      <c r="DA99" s="340"/>
      <c r="DB99" s="340"/>
      <c r="DC99" s="340"/>
      <c r="DD99" s="341"/>
      <c r="DE99" s="345"/>
      <c r="DF99" s="340"/>
      <c r="DG99" s="340"/>
      <c r="DH99" s="340"/>
      <c r="DI99" s="340"/>
      <c r="DJ99" s="340"/>
      <c r="DK99" s="340"/>
      <c r="DL99" s="340"/>
      <c r="DM99" s="340"/>
      <c r="DN99" s="340"/>
      <c r="DO99" s="340"/>
      <c r="DP99" s="340"/>
      <c r="DQ99" s="341"/>
      <c r="DR99" s="345"/>
      <c r="DS99" s="340"/>
      <c r="DT99" s="340"/>
      <c r="DU99" s="340"/>
      <c r="DV99" s="340"/>
      <c r="DW99" s="340"/>
      <c r="DX99" s="340"/>
      <c r="DY99" s="340"/>
      <c r="DZ99" s="340"/>
      <c r="EA99" s="340"/>
      <c r="EB99" s="340"/>
      <c r="EC99" s="340"/>
      <c r="ED99" s="341"/>
      <c r="EE99" s="345"/>
      <c r="EF99" s="340"/>
      <c r="EG99" s="340"/>
      <c r="EH99" s="340"/>
      <c r="EI99" s="340"/>
      <c r="EJ99" s="340"/>
      <c r="EK99" s="340"/>
      <c r="EL99" s="340"/>
      <c r="EM99" s="340"/>
      <c r="EN99" s="340"/>
      <c r="EO99" s="340"/>
      <c r="EP99" s="340"/>
      <c r="EQ99" s="341"/>
      <c r="ER99" s="349"/>
      <c r="ES99" s="350"/>
      <c r="ET99" s="350"/>
      <c r="EU99" s="350"/>
      <c r="EV99" s="350"/>
      <c r="EW99" s="350"/>
      <c r="EX99" s="350"/>
      <c r="EY99" s="350"/>
      <c r="EZ99" s="350"/>
      <c r="FA99" s="350"/>
      <c r="FB99" s="351"/>
      <c r="FC99" s="349"/>
      <c r="FD99" s="350"/>
      <c r="FE99" s="350"/>
      <c r="FF99" s="350"/>
      <c r="FG99" s="350"/>
      <c r="FH99" s="350"/>
      <c r="FI99" s="350"/>
      <c r="FJ99" s="350"/>
      <c r="FK99" s="350"/>
      <c r="FL99" s="350"/>
      <c r="FM99" s="350"/>
      <c r="FN99" s="350"/>
      <c r="FO99" s="275"/>
      <c r="FP99" s="275"/>
      <c r="FQ99" s="275">
        <f t="shared" si="3"/>
        <v>0</v>
      </c>
    </row>
    <row r="100" spans="1:173" ht="12" customHeight="1">
      <c r="A100" s="441" t="s">
        <v>762</v>
      </c>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3"/>
      <c r="BL100" s="339"/>
      <c r="BM100" s="340"/>
      <c r="BN100" s="340"/>
      <c r="BO100" s="340"/>
      <c r="BP100" s="340"/>
      <c r="BQ100" s="340"/>
      <c r="BR100" s="340"/>
      <c r="BS100" s="341"/>
      <c r="BT100" s="342" t="s">
        <v>765</v>
      </c>
      <c r="BU100" s="343"/>
      <c r="BV100" s="343"/>
      <c r="BW100" s="343"/>
      <c r="BX100" s="343"/>
      <c r="BY100" s="343"/>
      <c r="BZ100" s="343"/>
      <c r="CA100" s="343"/>
      <c r="CB100" s="343"/>
      <c r="CC100" s="343"/>
      <c r="CD100" s="343"/>
      <c r="CE100" s="343"/>
      <c r="CF100" s="344"/>
      <c r="CG100" s="345"/>
      <c r="CH100" s="340"/>
      <c r="CI100" s="340"/>
      <c r="CJ100" s="340"/>
      <c r="CK100" s="340"/>
      <c r="CL100" s="340"/>
      <c r="CM100" s="340"/>
      <c r="CN100" s="340"/>
      <c r="CO100" s="340"/>
      <c r="CP100" s="340"/>
      <c r="CQ100" s="341"/>
      <c r="CR100" s="482"/>
      <c r="CS100" s="483"/>
      <c r="CT100" s="483"/>
      <c r="CU100" s="483"/>
      <c r="CV100" s="483"/>
      <c r="CW100" s="483"/>
      <c r="CX100" s="483"/>
      <c r="CY100" s="483"/>
      <c r="CZ100" s="483"/>
      <c r="DA100" s="483"/>
      <c r="DB100" s="483"/>
      <c r="DC100" s="483"/>
      <c r="DD100" s="484"/>
      <c r="DE100" s="376">
        <f>DE101+DE102</f>
        <v>4709</v>
      </c>
      <c r="DF100" s="377"/>
      <c r="DG100" s="377"/>
      <c r="DH100" s="377"/>
      <c r="DI100" s="377"/>
      <c r="DJ100" s="377"/>
      <c r="DK100" s="377"/>
      <c r="DL100" s="377"/>
      <c r="DM100" s="377"/>
      <c r="DN100" s="377"/>
      <c r="DO100" s="377"/>
      <c r="DP100" s="377"/>
      <c r="DQ100" s="378"/>
      <c r="DR100" s="376">
        <f>DR101+DR102</f>
        <v>26600</v>
      </c>
      <c r="DS100" s="377"/>
      <c r="DT100" s="377"/>
      <c r="DU100" s="377"/>
      <c r="DV100" s="377"/>
      <c r="DW100" s="377"/>
      <c r="DX100" s="377"/>
      <c r="DY100" s="377"/>
      <c r="DZ100" s="377"/>
      <c r="EA100" s="377"/>
      <c r="EB100" s="377"/>
      <c r="EC100" s="377"/>
      <c r="ED100" s="378"/>
      <c r="EE100" s="376"/>
      <c r="EF100" s="377"/>
      <c r="EG100" s="377"/>
      <c r="EH100" s="377"/>
      <c r="EI100" s="377"/>
      <c r="EJ100" s="377"/>
      <c r="EK100" s="377"/>
      <c r="EL100" s="377"/>
      <c r="EM100" s="377"/>
      <c r="EN100" s="377"/>
      <c r="EO100" s="377"/>
      <c r="EP100" s="377"/>
      <c r="EQ100" s="378"/>
      <c r="ER100" s="349"/>
      <c r="ES100" s="350"/>
      <c r="ET100" s="350"/>
      <c r="EU100" s="350"/>
      <c r="EV100" s="350"/>
      <c r="EW100" s="350"/>
      <c r="EX100" s="350"/>
      <c r="EY100" s="350"/>
      <c r="EZ100" s="350"/>
      <c r="FA100" s="350"/>
      <c r="FB100" s="351"/>
      <c r="FC100" s="352"/>
      <c r="FD100" s="353"/>
      <c r="FE100" s="353"/>
      <c r="FF100" s="353"/>
      <c r="FG100" s="353"/>
      <c r="FH100" s="353"/>
      <c r="FI100" s="353"/>
      <c r="FJ100" s="353"/>
      <c r="FK100" s="353"/>
      <c r="FL100" s="353"/>
      <c r="FM100" s="181"/>
      <c r="FN100" s="181"/>
      <c r="FO100" s="275"/>
      <c r="FP100" s="275"/>
      <c r="FQ100" s="275">
        <f t="shared" si="3"/>
        <v>26600</v>
      </c>
    </row>
    <row r="101" spans="1:173" ht="12" customHeight="1">
      <c r="A101" s="441" t="s">
        <v>429</v>
      </c>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2"/>
      <c r="AY101" s="442"/>
      <c r="AZ101" s="442"/>
      <c r="BA101" s="442"/>
      <c r="BB101" s="442"/>
      <c r="BC101" s="442"/>
      <c r="BD101" s="442"/>
      <c r="BE101" s="442"/>
      <c r="BF101" s="442"/>
      <c r="BG101" s="442"/>
      <c r="BH101" s="442"/>
      <c r="BI101" s="442"/>
      <c r="BJ101" s="442"/>
      <c r="BK101" s="443"/>
      <c r="BL101" s="339"/>
      <c r="BM101" s="340"/>
      <c r="BN101" s="340"/>
      <c r="BO101" s="340"/>
      <c r="BP101" s="340"/>
      <c r="BQ101" s="340"/>
      <c r="BR101" s="340"/>
      <c r="BS101" s="341"/>
      <c r="BT101" s="342" t="s">
        <v>765</v>
      </c>
      <c r="BU101" s="343"/>
      <c r="BV101" s="343"/>
      <c r="BW101" s="343"/>
      <c r="BX101" s="343"/>
      <c r="BY101" s="343"/>
      <c r="BZ101" s="343"/>
      <c r="CA101" s="343"/>
      <c r="CB101" s="343"/>
      <c r="CC101" s="343"/>
      <c r="CD101" s="343"/>
      <c r="CE101" s="343"/>
      <c r="CF101" s="344"/>
      <c r="CG101" s="345" t="s">
        <v>770</v>
      </c>
      <c r="CH101" s="340"/>
      <c r="CI101" s="340"/>
      <c r="CJ101" s="340"/>
      <c r="CK101" s="340"/>
      <c r="CL101" s="340"/>
      <c r="CM101" s="340"/>
      <c r="CN101" s="340"/>
      <c r="CO101" s="340"/>
      <c r="CP101" s="340"/>
      <c r="CQ101" s="341"/>
      <c r="CR101" s="482"/>
      <c r="CS101" s="483"/>
      <c r="CT101" s="483"/>
      <c r="CU101" s="483"/>
      <c r="CV101" s="483"/>
      <c r="CW101" s="483"/>
      <c r="CX101" s="483"/>
      <c r="CY101" s="483"/>
      <c r="CZ101" s="483"/>
      <c r="DA101" s="483"/>
      <c r="DB101" s="483"/>
      <c r="DC101" s="483"/>
      <c r="DD101" s="484"/>
      <c r="DE101" s="349">
        <v>1500</v>
      </c>
      <c r="DF101" s="350"/>
      <c r="DG101" s="350"/>
      <c r="DH101" s="350"/>
      <c r="DI101" s="350"/>
      <c r="DJ101" s="350"/>
      <c r="DK101" s="350"/>
      <c r="DL101" s="350"/>
      <c r="DM101" s="350"/>
      <c r="DN101" s="350"/>
      <c r="DO101" s="350"/>
      <c r="DP101" s="350"/>
      <c r="DQ101" s="351"/>
      <c r="DR101" s="349">
        <f>3000</f>
        <v>3000</v>
      </c>
      <c r="DS101" s="350"/>
      <c r="DT101" s="350"/>
      <c r="DU101" s="350"/>
      <c r="DV101" s="350"/>
      <c r="DW101" s="350"/>
      <c r="DX101" s="350"/>
      <c r="DY101" s="350"/>
      <c r="DZ101" s="350"/>
      <c r="EA101" s="350"/>
      <c r="EB101" s="350"/>
      <c r="EC101" s="350"/>
      <c r="ED101" s="351"/>
      <c r="EE101" s="349"/>
      <c r="EF101" s="350"/>
      <c r="EG101" s="350"/>
      <c r="EH101" s="350"/>
      <c r="EI101" s="350"/>
      <c r="EJ101" s="350"/>
      <c r="EK101" s="350"/>
      <c r="EL101" s="350"/>
      <c r="EM101" s="350"/>
      <c r="EN101" s="350"/>
      <c r="EO101" s="350"/>
      <c r="EP101" s="350"/>
      <c r="EQ101" s="351"/>
      <c r="ER101" s="349"/>
      <c r="ES101" s="350"/>
      <c r="ET101" s="350"/>
      <c r="EU101" s="350"/>
      <c r="EV101" s="350"/>
      <c r="EW101" s="350"/>
      <c r="EX101" s="350"/>
      <c r="EY101" s="350"/>
      <c r="EZ101" s="350"/>
      <c r="FA101" s="350"/>
      <c r="FB101" s="351"/>
      <c r="FC101" s="352"/>
      <c r="FD101" s="353"/>
      <c r="FE101" s="353"/>
      <c r="FF101" s="353"/>
      <c r="FG101" s="353"/>
      <c r="FH101" s="353"/>
      <c r="FI101" s="353"/>
      <c r="FJ101" s="353"/>
      <c r="FK101" s="353"/>
      <c r="FL101" s="353"/>
      <c r="FM101" s="181"/>
      <c r="FN101" s="181"/>
      <c r="FO101" s="275"/>
      <c r="FP101" s="275"/>
      <c r="FQ101" s="275">
        <f t="shared" si="3"/>
        <v>3000</v>
      </c>
    </row>
    <row r="102" spans="1:173" ht="12" customHeight="1">
      <c r="A102" s="441" t="s">
        <v>763</v>
      </c>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c r="AY102" s="442"/>
      <c r="AZ102" s="442"/>
      <c r="BA102" s="442"/>
      <c r="BB102" s="442"/>
      <c r="BC102" s="442"/>
      <c r="BD102" s="442"/>
      <c r="BE102" s="442"/>
      <c r="BF102" s="442"/>
      <c r="BG102" s="442"/>
      <c r="BH102" s="442"/>
      <c r="BI102" s="442"/>
      <c r="BJ102" s="442"/>
      <c r="BK102" s="443"/>
      <c r="BL102" s="339"/>
      <c r="BM102" s="340"/>
      <c r="BN102" s="340"/>
      <c r="BO102" s="340"/>
      <c r="BP102" s="340"/>
      <c r="BQ102" s="340"/>
      <c r="BR102" s="340"/>
      <c r="BS102" s="341"/>
      <c r="BT102" s="342" t="s">
        <v>765</v>
      </c>
      <c r="BU102" s="343"/>
      <c r="BV102" s="343"/>
      <c r="BW102" s="343"/>
      <c r="BX102" s="343"/>
      <c r="BY102" s="343"/>
      <c r="BZ102" s="343"/>
      <c r="CA102" s="343"/>
      <c r="CB102" s="343"/>
      <c r="CC102" s="343"/>
      <c r="CD102" s="343"/>
      <c r="CE102" s="343"/>
      <c r="CF102" s="344"/>
      <c r="CG102" s="345" t="s">
        <v>771</v>
      </c>
      <c r="CH102" s="340"/>
      <c r="CI102" s="340"/>
      <c r="CJ102" s="340"/>
      <c r="CK102" s="340"/>
      <c r="CL102" s="340"/>
      <c r="CM102" s="340"/>
      <c r="CN102" s="340"/>
      <c r="CO102" s="340"/>
      <c r="CP102" s="340"/>
      <c r="CQ102" s="341"/>
      <c r="CR102" s="482"/>
      <c r="CS102" s="483"/>
      <c r="CT102" s="483"/>
      <c r="CU102" s="483"/>
      <c r="CV102" s="483"/>
      <c r="CW102" s="483"/>
      <c r="CX102" s="483"/>
      <c r="CY102" s="483"/>
      <c r="CZ102" s="483"/>
      <c r="DA102" s="483"/>
      <c r="DB102" s="483"/>
      <c r="DC102" s="483"/>
      <c r="DD102" s="484"/>
      <c r="DE102" s="346">
        <f>6900-4993+1302</f>
        <v>3209</v>
      </c>
      <c r="DF102" s="347"/>
      <c r="DG102" s="347"/>
      <c r="DH102" s="347"/>
      <c r="DI102" s="347"/>
      <c r="DJ102" s="347"/>
      <c r="DK102" s="347"/>
      <c r="DL102" s="347"/>
      <c r="DM102" s="347"/>
      <c r="DN102" s="347"/>
      <c r="DO102" s="347"/>
      <c r="DP102" s="347"/>
      <c r="DQ102" s="348"/>
      <c r="DR102" s="346">
        <f>23600</f>
        <v>23600</v>
      </c>
      <c r="DS102" s="347"/>
      <c r="DT102" s="347"/>
      <c r="DU102" s="347"/>
      <c r="DV102" s="347"/>
      <c r="DW102" s="347"/>
      <c r="DX102" s="347"/>
      <c r="DY102" s="347"/>
      <c r="DZ102" s="347"/>
      <c r="EA102" s="347"/>
      <c r="EB102" s="347"/>
      <c r="EC102" s="347"/>
      <c r="ED102" s="348"/>
      <c r="EE102" s="346"/>
      <c r="EF102" s="347"/>
      <c r="EG102" s="347"/>
      <c r="EH102" s="347"/>
      <c r="EI102" s="347"/>
      <c r="EJ102" s="347"/>
      <c r="EK102" s="347"/>
      <c r="EL102" s="347"/>
      <c r="EM102" s="347"/>
      <c r="EN102" s="347"/>
      <c r="EO102" s="347"/>
      <c r="EP102" s="347"/>
      <c r="EQ102" s="348"/>
      <c r="ER102" s="349"/>
      <c r="ES102" s="350"/>
      <c r="ET102" s="350"/>
      <c r="EU102" s="350"/>
      <c r="EV102" s="350"/>
      <c r="EW102" s="350"/>
      <c r="EX102" s="350"/>
      <c r="EY102" s="350"/>
      <c r="EZ102" s="350"/>
      <c r="FA102" s="350"/>
      <c r="FB102" s="351"/>
      <c r="FC102" s="352"/>
      <c r="FD102" s="353"/>
      <c r="FE102" s="353"/>
      <c r="FF102" s="353"/>
      <c r="FG102" s="353"/>
      <c r="FH102" s="353"/>
      <c r="FI102" s="353"/>
      <c r="FJ102" s="353"/>
      <c r="FK102" s="353"/>
      <c r="FL102" s="353"/>
      <c r="FM102" s="181"/>
      <c r="FN102" s="181"/>
      <c r="FO102" s="275"/>
      <c r="FP102" s="275"/>
      <c r="FQ102" s="275">
        <f t="shared" si="3"/>
        <v>23600</v>
      </c>
    </row>
    <row r="103" spans="1:173" ht="12" customHeight="1">
      <c r="A103" s="441" t="s">
        <v>782</v>
      </c>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2"/>
      <c r="AY103" s="442"/>
      <c r="AZ103" s="442"/>
      <c r="BA103" s="442"/>
      <c r="BB103" s="442"/>
      <c r="BC103" s="442"/>
      <c r="BD103" s="442"/>
      <c r="BE103" s="442"/>
      <c r="BF103" s="442"/>
      <c r="BG103" s="442"/>
      <c r="BH103" s="442"/>
      <c r="BI103" s="442"/>
      <c r="BJ103" s="442"/>
      <c r="BK103" s="443"/>
      <c r="BL103" s="339"/>
      <c r="BM103" s="340"/>
      <c r="BN103" s="340"/>
      <c r="BO103" s="340"/>
      <c r="BP103" s="340"/>
      <c r="BQ103" s="340"/>
      <c r="BR103" s="340"/>
      <c r="BS103" s="341"/>
      <c r="BT103" s="342" t="s">
        <v>769</v>
      </c>
      <c r="BU103" s="343"/>
      <c r="BV103" s="343"/>
      <c r="BW103" s="343"/>
      <c r="BX103" s="343"/>
      <c r="BY103" s="343"/>
      <c r="BZ103" s="343"/>
      <c r="CA103" s="343"/>
      <c r="CB103" s="343"/>
      <c r="CC103" s="343"/>
      <c r="CD103" s="343"/>
      <c r="CE103" s="343"/>
      <c r="CF103" s="344"/>
      <c r="CG103" s="345"/>
      <c r="CH103" s="340"/>
      <c r="CI103" s="340"/>
      <c r="CJ103" s="340"/>
      <c r="CK103" s="340"/>
      <c r="CL103" s="340"/>
      <c r="CM103" s="340"/>
      <c r="CN103" s="340"/>
      <c r="CO103" s="340"/>
      <c r="CP103" s="340"/>
      <c r="CQ103" s="341"/>
      <c r="CR103" s="482"/>
      <c r="CS103" s="483"/>
      <c r="CT103" s="483"/>
      <c r="CU103" s="483"/>
      <c r="CV103" s="483"/>
      <c r="CW103" s="483"/>
      <c r="CX103" s="483"/>
      <c r="CY103" s="483"/>
      <c r="CZ103" s="483"/>
      <c r="DA103" s="483"/>
      <c r="DB103" s="483"/>
      <c r="DC103" s="483"/>
      <c r="DD103" s="484"/>
      <c r="DE103" s="376">
        <f>DE104+DE105</f>
        <v>0</v>
      </c>
      <c r="DF103" s="377"/>
      <c r="DG103" s="377"/>
      <c r="DH103" s="377"/>
      <c r="DI103" s="377"/>
      <c r="DJ103" s="377"/>
      <c r="DK103" s="377"/>
      <c r="DL103" s="377"/>
      <c r="DM103" s="377"/>
      <c r="DN103" s="377"/>
      <c r="DO103" s="377"/>
      <c r="DP103" s="377"/>
      <c r="DQ103" s="378"/>
      <c r="DR103" s="376">
        <f>DR104+DR105</f>
        <v>0</v>
      </c>
      <c r="DS103" s="377"/>
      <c r="DT103" s="377"/>
      <c r="DU103" s="377"/>
      <c r="DV103" s="377"/>
      <c r="DW103" s="377"/>
      <c r="DX103" s="377"/>
      <c r="DY103" s="377"/>
      <c r="DZ103" s="377"/>
      <c r="EA103" s="377"/>
      <c r="EB103" s="377"/>
      <c r="EC103" s="377"/>
      <c r="ED103" s="378"/>
      <c r="EE103" s="376"/>
      <c r="EF103" s="377"/>
      <c r="EG103" s="377"/>
      <c r="EH103" s="377"/>
      <c r="EI103" s="377"/>
      <c r="EJ103" s="377"/>
      <c r="EK103" s="377"/>
      <c r="EL103" s="377"/>
      <c r="EM103" s="377"/>
      <c r="EN103" s="377"/>
      <c r="EO103" s="377"/>
      <c r="EP103" s="377"/>
      <c r="EQ103" s="378"/>
      <c r="ER103" s="349"/>
      <c r="ES103" s="350"/>
      <c r="ET103" s="350"/>
      <c r="EU103" s="350"/>
      <c r="EV103" s="350"/>
      <c r="EW103" s="350"/>
      <c r="EX103" s="350"/>
      <c r="EY103" s="350"/>
      <c r="EZ103" s="350"/>
      <c r="FA103" s="350"/>
      <c r="FB103" s="351"/>
      <c r="FC103" s="352"/>
      <c r="FD103" s="353"/>
      <c r="FE103" s="353"/>
      <c r="FF103" s="353"/>
      <c r="FG103" s="353"/>
      <c r="FH103" s="353"/>
      <c r="FI103" s="353"/>
      <c r="FJ103" s="353"/>
      <c r="FK103" s="353"/>
      <c r="FL103" s="353"/>
      <c r="FM103" s="181"/>
      <c r="FN103" s="181"/>
      <c r="FO103" s="275"/>
      <c r="FP103" s="275"/>
      <c r="FQ103" s="275">
        <f t="shared" si="3"/>
        <v>0</v>
      </c>
    </row>
    <row r="104" spans="1:173" ht="12" customHeight="1">
      <c r="A104" s="441" t="s">
        <v>429</v>
      </c>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2"/>
      <c r="AY104" s="442"/>
      <c r="AZ104" s="442"/>
      <c r="BA104" s="442"/>
      <c r="BB104" s="442"/>
      <c r="BC104" s="442"/>
      <c r="BD104" s="442"/>
      <c r="BE104" s="442"/>
      <c r="BF104" s="442"/>
      <c r="BG104" s="442"/>
      <c r="BH104" s="442"/>
      <c r="BI104" s="442"/>
      <c r="BJ104" s="442"/>
      <c r="BK104" s="443"/>
      <c r="BL104" s="339"/>
      <c r="BM104" s="340"/>
      <c r="BN104" s="340"/>
      <c r="BO104" s="340"/>
      <c r="BP104" s="340"/>
      <c r="BQ104" s="340"/>
      <c r="BR104" s="340"/>
      <c r="BS104" s="341"/>
      <c r="BT104" s="342" t="s">
        <v>769</v>
      </c>
      <c r="BU104" s="343"/>
      <c r="BV104" s="343"/>
      <c r="BW104" s="343"/>
      <c r="BX104" s="343"/>
      <c r="BY104" s="343"/>
      <c r="BZ104" s="343"/>
      <c r="CA104" s="343"/>
      <c r="CB104" s="343"/>
      <c r="CC104" s="343"/>
      <c r="CD104" s="343"/>
      <c r="CE104" s="343"/>
      <c r="CF104" s="344"/>
      <c r="CG104" s="345" t="s">
        <v>770</v>
      </c>
      <c r="CH104" s="340"/>
      <c r="CI104" s="340"/>
      <c r="CJ104" s="340"/>
      <c r="CK104" s="340"/>
      <c r="CL104" s="340"/>
      <c r="CM104" s="340"/>
      <c r="CN104" s="340"/>
      <c r="CO104" s="340"/>
      <c r="CP104" s="340"/>
      <c r="CQ104" s="341"/>
      <c r="CR104" s="482"/>
      <c r="CS104" s="483"/>
      <c r="CT104" s="483"/>
      <c r="CU104" s="483"/>
      <c r="CV104" s="483"/>
      <c r="CW104" s="483"/>
      <c r="CX104" s="483"/>
      <c r="CY104" s="483"/>
      <c r="CZ104" s="483"/>
      <c r="DA104" s="483"/>
      <c r="DB104" s="483"/>
      <c r="DC104" s="483"/>
      <c r="DD104" s="484"/>
      <c r="DE104" s="346">
        <f>1500-1500</f>
        <v>0</v>
      </c>
      <c r="DF104" s="347"/>
      <c r="DG104" s="347"/>
      <c r="DH104" s="347"/>
      <c r="DI104" s="347"/>
      <c r="DJ104" s="347"/>
      <c r="DK104" s="347"/>
      <c r="DL104" s="347"/>
      <c r="DM104" s="347"/>
      <c r="DN104" s="347"/>
      <c r="DO104" s="347"/>
      <c r="DP104" s="347"/>
      <c r="DQ104" s="348"/>
      <c r="DR104" s="346">
        <v>0</v>
      </c>
      <c r="DS104" s="347"/>
      <c r="DT104" s="347"/>
      <c r="DU104" s="347"/>
      <c r="DV104" s="347"/>
      <c r="DW104" s="347"/>
      <c r="DX104" s="347"/>
      <c r="DY104" s="347"/>
      <c r="DZ104" s="347"/>
      <c r="EA104" s="347"/>
      <c r="EB104" s="347"/>
      <c r="EC104" s="347"/>
      <c r="ED104" s="348"/>
      <c r="EE104" s="346"/>
      <c r="EF104" s="347"/>
      <c r="EG104" s="347"/>
      <c r="EH104" s="347"/>
      <c r="EI104" s="347"/>
      <c r="EJ104" s="347"/>
      <c r="EK104" s="347"/>
      <c r="EL104" s="347"/>
      <c r="EM104" s="347"/>
      <c r="EN104" s="347"/>
      <c r="EO104" s="347"/>
      <c r="EP104" s="347"/>
      <c r="EQ104" s="348"/>
      <c r="ER104" s="349"/>
      <c r="ES104" s="350"/>
      <c r="ET104" s="350"/>
      <c r="EU104" s="350"/>
      <c r="EV104" s="350"/>
      <c r="EW104" s="350"/>
      <c r="EX104" s="350"/>
      <c r="EY104" s="350"/>
      <c r="EZ104" s="350"/>
      <c r="FA104" s="350"/>
      <c r="FB104" s="351"/>
      <c r="FC104" s="352"/>
      <c r="FD104" s="353"/>
      <c r="FE104" s="353"/>
      <c r="FF104" s="353"/>
      <c r="FG104" s="353"/>
      <c r="FH104" s="353"/>
      <c r="FI104" s="353"/>
      <c r="FJ104" s="353"/>
      <c r="FK104" s="353"/>
      <c r="FL104" s="353"/>
      <c r="FM104" s="181"/>
      <c r="FN104" s="181"/>
      <c r="FO104" s="275"/>
      <c r="FP104" s="275"/>
      <c r="FQ104" s="275">
        <f t="shared" si="3"/>
        <v>0</v>
      </c>
    </row>
    <row r="105" spans="1:173" ht="12" customHeight="1">
      <c r="A105" s="441" t="s">
        <v>763</v>
      </c>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2"/>
      <c r="AY105" s="442"/>
      <c r="AZ105" s="442"/>
      <c r="BA105" s="442"/>
      <c r="BB105" s="442"/>
      <c r="BC105" s="442"/>
      <c r="BD105" s="442"/>
      <c r="BE105" s="442"/>
      <c r="BF105" s="442"/>
      <c r="BG105" s="442"/>
      <c r="BH105" s="442"/>
      <c r="BI105" s="442"/>
      <c r="BJ105" s="442"/>
      <c r="BK105" s="443"/>
      <c r="BL105" s="339"/>
      <c r="BM105" s="340"/>
      <c r="BN105" s="340"/>
      <c r="BO105" s="340"/>
      <c r="BP105" s="340"/>
      <c r="BQ105" s="340"/>
      <c r="BR105" s="340"/>
      <c r="BS105" s="341"/>
      <c r="BT105" s="342" t="s">
        <v>769</v>
      </c>
      <c r="BU105" s="343"/>
      <c r="BV105" s="343"/>
      <c r="BW105" s="343"/>
      <c r="BX105" s="343"/>
      <c r="BY105" s="343"/>
      <c r="BZ105" s="343"/>
      <c r="CA105" s="343"/>
      <c r="CB105" s="343"/>
      <c r="CC105" s="343"/>
      <c r="CD105" s="343"/>
      <c r="CE105" s="343"/>
      <c r="CF105" s="344"/>
      <c r="CG105" s="345" t="s">
        <v>771</v>
      </c>
      <c r="CH105" s="340"/>
      <c r="CI105" s="340"/>
      <c r="CJ105" s="340"/>
      <c r="CK105" s="340"/>
      <c r="CL105" s="340"/>
      <c r="CM105" s="340"/>
      <c r="CN105" s="340"/>
      <c r="CO105" s="340"/>
      <c r="CP105" s="340"/>
      <c r="CQ105" s="341"/>
      <c r="CR105" s="482"/>
      <c r="CS105" s="483"/>
      <c r="CT105" s="483"/>
      <c r="CU105" s="483"/>
      <c r="CV105" s="483"/>
      <c r="CW105" s="483"/>
      <c r="CX105" s="483"/>
      <c r="CY105" s="483"/>
      <c r="CZ105" s="483"/>
      <c r="DA105" s="483"/>
      <c r="DB105" s="483"/>
      <c r="DC105" s="483"/>
      <c r="DD105" s="484"/>
      <c r="DE105" s="346">
        <f>6000-6000</f>
        <v>0</v>
      </c>
      <c r="DF105" s="347"/>
      <c r="DG105" s="347"/>
      <c r="DH105" s="347"/>
      <c r="DI105" s="347"/>
      <c r="DJ105" s="347"/>
      <c r="DK105" s="347"/>
      <c r="DL105" s="347"/>
      <c r="DM105" s="347"/>
      <c r="DN105" s="347"/>
      <c r="DO105" s="347"/>
      <c r="DP105" s="347"/>
      <c r="DQ105" s="348"/>
      <c r="DR105" s="346">
        <v>0</v>
      </c>
      <c r="DS105" s="347"/>
      <c r="DT105" s="347"/>
      <c r="DU105" s="347"/>
      <c r="DV105" s="347"/>
      <c r="DW105" s="347"/>
      <c r="DX105" s="347"/>
      <c r="DY105" s="347"/>
      <c r="DZ105" s="347"/>
      <c r="EA105" s="347"/>
      <c r="EB105" s="347"/>
      <c r="EC105" s="347"/>
      <c r="ED105" s="348"/>
      <c r="EE105" s="346"/>
      <c r="EF105" s="347"/>
      <c r="EG105" s="347"/>
      <c r="EH105" s="347"/>
      <c r="EI105" s="347"/>
      <c r="EJ105" s="347"/>
      <c r="EK105" s="347"/>
      <c r="EL105" s="347"/>
      <c r="EM105" s="347"/>
      <c r="EN105" s="347"/>
      <c r="EO105" s="347"/>
      <c r="EP105" s="347"/>
      <c r="EQ105" s="348"/>
      <c r="ER105" s="349"/>
      <c r="ES105" s="350"/>
      <c r="ET105" s="350"/>
      <c r="EU105" s="350"/>
      <c r="EV105" s="350"/>
      <c r="EW105" s="350"/>
      <c r="EX105" s="350"/>
      <c r="EY105" s="350"/>
      <c r="EZ105" s="350"/>
      <c r="FA105" s="350"/>
      <c r="FB105" s="351"/>
      <c r="FC105" s="352"/>
      <c r="FD105" s="353"/>
      <c r="FE105" s="353"/>
      <c r="FF105" s="353"/>
      <c r="FG105" s="353"/>
      <c r="FH105" s="353"/>
      <c r="FI105" s="353"/>
      <c r="FJ105" s="353"/>
      <c r="FK105" s="353"/>
      <c r="FL105" s="353"/>
      <c r="FM105" s="181"/>
      <c r="FN105" s="181"/>
      <c r="FO105" s="275"/>
      <c r="FP105" s="275"/>
      <c r="FQ105" s="275">
        <f t="shared" si="3"/>
        <v>0</v>
      </c>
    </row>
    <row r="106" spans="1:173" ht="12" customHeight="1">
      <c r="A106" s="441" t="s">
        <v>764</v>
      </c>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2"/>
      <c r="AY106" s="442"/>
      <c r="AZ106" s="442"/>
      <c r="BA106" s="442"/>
      <c r="BB106" s="442"/>
      <c r="BC106" s="442"/>
      <c r="BD106" s="442"/>
      <c r="BE106" s="442"/>
      <c r="BF106" s="442"/>
      <c r="BG106" s="442"/>
      <c r="BH106" s="442"/>
      <c r="BI106" s="442"/>
      <c r="BJ106" s="442"/>
      <c r="BK106" s="443"/>
      <c r="BL106" s="339"/>
      <c r="BM106" s="340"/>
      <c r="BN106" s="340"/>
      <c r="BO106" s="340"/>
      <c r="BP106" s="340"/>
      <c r="BQ106" s="340"/>
      <c r="BR106" s="340"/>
      <c r="BS106" s="341"/>
      <c r="BT106" s="342" t="s">
        <v>765</v>
      </c>
      <c r="BU106" s="343"/>
      <c r="BV106" s="343"/>
      <c r="BW106" s="343"/>
      <c r="BX106" s="343"/>
      <c r="BY106" s="343"/>
      <c r="BZ106" s="343"/>
      <c r="CA106" s="343"/>
      <c r="CB106" s="343"/>
      <c r="CC106" s="343"/>
      <c r="CD106" s="343"/>
      <c r="CE106" s="343"/>
      <c r="CF106" s="344"/>
      <c r="CG106" s="345" t="s">
        <v>772</v>
      </c>
      <c r="CH106" s="340"/>
      <c r="CI106" s="340"/>
      <c r="CJ106" s="340"/>
      <c r="CK106" s="340"/>
      <c r="CL106" s="340"/>
      <c r="CM106" s="340"/>
      <c r="CN106" s="340"/>
      <c r="CO106" s="340"/>
      <c r="CP106" s="340"/>
      <c r="CQ106" s="341"/>
      <c r="CR106" s="482"/>
      <c r="CS106" s="483"/>
      <c r="CT106" s="483"/>
      <c r="CU106" s="483"/>
      <c r="CV106" s="483"/>
      <c r="CW106" s="483"/>
      <c r="CX106" s="483"/>
      <c r="CY106" s="483"/>
      <c r="CZ106" s="483"/>
      <c r="DA106" s="483"/>
      <c r="DB106" s="483"/>
      <c r="DC106" s="483"/>
      <c r="DD106" s="484"/>
      <c r="DE106" s="346">
        <f>4993+4993-1302</f>
        <v>8684</v>
      </c>
      <c r="DF106" s="347"/>
      <c r="DG106" s="347"/>
      <c r="DH106" s="347"/>
      <c r="DI106" s="347"/>
      <c r="DJ106" s="347"/>
      <c r="DK106" s="347"/>
      <c r="DL106" s="347"/>
      <c r="DM106" s="347"/>
      <c r="DN106" s="347"/>
      <c r="DO106" s="347"/>
      <c r="DP106" s="347"/>
      <c r="DQ106" s="348"/>
      <c r="DR106" s="346">
        <v>0</v>
      </c>
      <c r="DS106" s="347"/>
      <c r="DT106" s="347"/>
      <c r="DU106" s="347"/>
      <c r="DV106" s="347"/>
      <c r="DW106" s="347"/>
      <c r="DX106" s="347"/>
      <c r="DY106" s="347"/>
      <c r="DZ106" s="347"/>
      <c r="EA106" s="347"/>
      <c r="EB106" s="347"/>
      <c r="EC106" s="347"/>
      <c r="ED106" s="348"/>
      <c r="EE106" s="346"/>
      <c r="EF106" s="347"/>
      <c r="EG106" s="347"/>
      <c r="EH106" s="347"/>
      <c r="EI106" s="347"/>
      <c r="EJ106" s="347"/>
      <c r="EK106" s="347"/>
      <c r="EL106" s="347"/>
      <c r="EM106" s="347"/>
      <c r="EN106" s="347"/>
      <c r="EO106" s="347"/>
      <c r="EP106" s="347"/>
      <c r="EQ106" s="348"/>
      <c r="ER106" s="349"/>
      <c r="ES106" s="350"/>
      <c r="ET106" s="350"/>
      <c r="EU106" s="350"/>
      <c r="EV106" s="350"/>
      <c r="EW106" s="350"/>
      <c r="EX106" s="350"/>
      <c r="EY106" s="350"/>
      <c r="EZ106" s="350"/>
      <c r="FA106" s="350"/>
      <c r="FB106" s="351"/>
      <c r="FC106" s="352"/>
      <c r="FD106" s="353"/>
      <c r="FE106" s="353"/>
      <c r="FF106" s="353"/>
      <c r="FG106" s="353"/>
      <c r="FH106" s="353"/>
      <c r="FI106" s="353"/>
      <c r="FJ106" s="353"/>
      <c r="FK106" s="353"/>
      <c r="FL106" s="353"/>
      <c r="FM106" s="181"/>
      <c r="FN106" s="181"/>
      <c r="FO106" s="275"/>
      <c r="FP106" s="275"/>
      <c r="FQ106" s="275">
        <f t="shared" si="3"/>
        <v>0</v>
      </c>
    </row>
    <row r="107" spans="1:173" ht="12" customHeight="1">
      <c r="A107" s="441"/>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2"/>
      <c r="AY107" s="442"/>
      <c r="AZ107" s="442"/>
      <c r="BA107" s="442"/>
      <c r="BB107" s="442"/>
      <c r="BC107" s="442"/>
      <c r="BD107" s="442"/>
      <c r="BE107" s="442"/>
      <c r="BF107" s="442"/>
      <c r="BG107" s="442"/>
      <c r="BH107" s="442"/>
      <c r="BI107" s="442"/>
      <c r="BJ107" s="442"/>
      <c r="BK107" s="443"/>
      <c r="BL107" s="339"/>
      <c r="BM107" s="340"/>
      <c r="BN107" s="340"/>
      <c r="BO107" s="340"/>
      <c r="BP107" s="340"/>
      <c r="BQ107" s="340"/>
      <c r="BR107" s="340"/>
      <c r="BS107" s="341"/>
      <c r="BT107" s="342"/>
      <c r="BU107" s="343"/>
      <c r="BV107" s="343"/>
      <c r="BW107" s="343"/>
      <c r="BX107" s="343"/>
      <c r="BY107" s="343"/>
      <c r="BZ107" s="343"/>
      <c r="CA107" s="343"/>
      <c r="CB107" s="343"/>
      <c r="CC107" s="343"/>
      <c r="CD107" s="343"/>
      <c r="CE107" s="343"/>
      <c r="CF107" s="344"/>
      <c r="CG107" s="345"/>
      <c r="CH107" s="340"/>
      <c r="CI107" s="340"/>
      <c r="CJ107" s="340"/>
      <c r="CK107" s="340"/>
      <c r="CL107" s="340"/>
      <c r="CM107" s="340"/>
      <c r="CN107" s="340"/>
      <c r="CO107" s="340"/>
      <c r="CP107" s="340"/>
      <c r="CQ107" s="341"/>
      <c r="CR107" s="482"/>
      <c r="CS107" s="483"/>
      <c r="CT107" s="483"/>
      <c r="CU107" s="483"/>
      <c r="CV107" s="483"/>
      <c r="CW107" s="483"/>
      <c r="CX107" s="483"/>
      <c r="CY107" s="483"/>
      <c r="CZ107" s="483"/>
      <c r="DA107" s="483"/>
      <c r="DB107" s="483"/>
      <c r="DC107" s="483"/>
      <c r="DD107" s="484"/>
      <c r="DE107" s="349"/>
      <c r="DF107" s="350"/>
      <c r="DG107" s="350"/>
      <c r="DH107" s="350"/>
      <c r="DI107" s="350"/>
      <c r="DJ107" s="350"/>
      <c r="DK107" s="350"/>
      <c r="DL107" s="350"/>
      <c r="DM107" s="350"/>
      <c r="DN107" s="350"/>
      <c r="DO107" s="350"/>
      <c r="DP107" s="350"/>
      <c r="DQ107" s="351"/>
      <c r="DR107" s="349"/>
      <c r="DS107" s="350"/>
      <c r="DT107" s="350"/>
      <c r="DU107" s="350"/>
      <c r="DV107" s="350"/>
      <c r="DW107" s="350"/>
      <c r="DX107" s="350"/>
      <c r="DY107" s="350"/>
      <c r="DZ107" s="350"/>
      <c r="EA107" s="350"/>
      <c r="EB107" s="350"/>
      <c r="EC107" s="350"/>
      <c r="ED107" s="351"/>
      <c r="EE107" s="349"/>
      <c r="EF107" s="350"/>
      <c r="EG107" s="350"/>
      <c r="EH107" s="350"/>
      <c r="EI107" s="350"/>
      <c r="EJ107" s="350"/>
      <c r="EK107" s="350"/>
      <c r="EL107" s="350"/>
      <c r="EM107" s="350"/>
      <c r="EN107" s="350"/>
      <c r="EO107" s="350"/>
      <c r="EP107" s="350"/>
      <c r="EQ107" s="351"/>
      <c r="ER107" s="349"/>
      <c r="ES107" s="350"/>
      <c r="ET107" s="350"/>
      <c r="EU107" s="350"/>
      <c r="EV107" s="350"/>
      <c r="EW107" s="350"/>
      <c r="EX107" s="350"/>
      <c r="EY107" s="350"/>
      <c r="EZ107" s="350"/>
      <c r="FA107" s="350"/>
      <c r="FB107" s="351"/>
      <c r="FC107" s="352"/>
      <c r="FD107" s="353"/>
      <c r="FE107" s="353"/>
      <c r="FF107" s="353"/>
      <c r="FG107" s="353"/>
      <c r="FH107" s="353"/>
      <c r="FI107" s="353"/>
      <c r="FJ107" s="353"/>
      <c r="FK107" s="353"/>
      <c r="FL107" s="353"/>
      <c r="FM107" s="181"/>
      <c r="FN107" s="181"/>
      <c r="FO107" s="275"/>
      <c r="FP107" s="275"/>
      <c r="FQ107" s="275">
        <f t="shared" si="3"/>
        <v>0</v>
      </c>
    </row>
    <row r="108" spans="1:173" ht="12" customHeight="1">
      <c r="A108" s="441" t="s">
        <v>363</v>
      </c>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2"/>
      <c r="AY108" s="442"/>
      <c r="AZ108" s="442"/>
      <c r="BA108" s="442"/>
      <c r="BB108" s="442"/>
      <c r="BC108" s="442"/>
      <c r="BD108" s="442"/>
      <c r="BE108" s="442"/>
      <c r="BF108" s="442"/>
      <c r="BG108" s="442"/>
      <c r="BH108" s="442"/>
      <c r="BI108" s="442"/>
      <c r="BJ108" s="442"/>
      <c r="BK108" s="443"/>
      <c r="BL108" s="339"/>
      <c r="BM108" s="340"/>
      <c r="BN108" s="340"/>
      <c r="BO108" s="340"/>
      <c r="BP108" s="340"/>
      <c r="BQ108" s="340"/>
      <c r="BR108" s="340"/>
      <c r="BS108" s="341"/>
      <c r="BT108" s="395" t="s">
        <v>822</v>
      </c>
      <c r="BU108" s="396"/>
      <c r="BV108" s="396"/>
      <c r="BW108" s="396"/>
      <c r="BX108" s="396"/>
      <c r="BY108" s="396"/>
      <c r="BZ108" s="396"/>
      <c r="CA108" s="396"/>
      <c r="CB108" s="396"/>
      <c r="CC108" s="396"/>
      <c r="CD108" s="396"/>
      <c r="CE108" s="396"/>
      <c r="CF108" s="397"/>
      <c r="CG108" s="398" t="s">
        <v>773</v>
      </c>
      <c r="CH108" s="393"/>
      <c r="CI108" s="393"/>
      <c r="CJ108" s="393"/>
      <c r="CK108" s="393"/>
      <c r="CL108" s="393"/>
      <c r="CM108" s="393"/>
      <c r="CN108" s="393"/>
      <c r="CO108" s="393"/>
      <c r="CP108" s="393"/>
      <c r="CQ108" s="394"/>
      <c r="CR108" s="646"/>
      <c r="CS108" s="647"/>
      <c r="CT108" s="647"/>
      <c r="CU108" s="647"/>
      <c r="CV108" s="647"/>
      <c r="CW108" s="647"/>
      <c r="CX108" s="647"/>
      <c r="CY108" s="647"/>
      <c r="CZ108" s="647"/>
      <c r="DA108" s="647"/>
      <c r="DB108" s="647"/>
      <c r="DC108" s="647"/>
      <c r="DD108" s="648"/>
      <c r="DE108" s="641">
        <f>500000-480184.08</f>
        <v>19815.919999999984</v>
      </c>
      <c r="DF108" s="642"/>
      <c r="DG108" s="642"/>
      <c r="DH108" s="642"/>
      <c r="DI108" s="642"/>
      <c r="DJ108" s="642"/>
      <c r="DK108" s="642"/>
      <c r="DL108" s="642"/>
      <c r="DM108" s="642"/>
      <c r="DN108" s="642"/>
      <c r="DO108" s="642"/>
      <c r="DP108" s="642"/>
      <c r="DQ108" s="643"/>
      <c r="DR108" s="641">
        <v>500000</v>
      </c>
      <c r="DS108" s="642"/>
      <c r="DT108" s="642"/>
      <c r="DU108" s="642"/>
      <c r="DV108" s="642"/>
      <c r="DW108" s="642"/>
      <c r="DX108" s="642"/>
      <c r="DY108" s="642"/>
      <c r="DZ108" s="642"/>
      <c r="EA108" s="642"/>
      <c r="EB108" s="642"/>
      <c r="EC108" s="642"/>
      <c r="ED108" s="643"/>
      <c r="EE108" s="641"/>
      <c r="EF108" s="642"/>
      <c r="EG108" s="642"/>
      <c r="EH108" s="642"/>
      <c r="EI108" s="642"/>
      <c r="EJ108" s="642"/>
      <c r="EK108" s="642"/>
      <c r="EL108" s="642"/>
      <c r="EM108" s="642"/>
      <c r="EN108" s="642"/>
      <c r="EO108" s="642"/>
      <c r="EP108" s="642"/>
      <c r="EQ108" s="643"/>
      <c r="ER108" s="349"/>
      <c r="ES108" s="350"/>
      <c r="ET108" s="350"/>
      <c r="EU108" s="350"/>
      <c r="EV108" s="350"/>
      <c r="EW108" s="350"/>
      <c r="EX108" s="350"/>
      <c r="EY108" s="350"/>
      <c r="EZ108" s="350"/>
      <c r="FA108" s="350"/>
      <c r="FB108" s="351"/>
      <c r="FC108" s="352"/>
      <c r="FD108" s="353"/>
      <c r="FE108" s="353"/>
      <c r="FF108" s="353"/>
      <c r="FG108" s="353"/>
      <c r="FH108" s="353"/>
      <c r="FI108" s="353"/>
      <c r="FJ108" s="353"/>
      <c r="FK108" s="353"/>
      <c r="FL108" s="353"/>
      <c r="FM108" s="181"/>
      <c r="FN108" s="181"/>
      <c r="FO108" s="275"/>
      <c r="FP108" s="275"/>
      <c r="FQ108" s="275">
        <f t="shared" si="3"/>
        <v>500000</v>
      </c>
    </row>
    <row r="109" spans="1:173" ht="12" customHeight="1">
      <c r="A109" s="441" t="s">
        <v>364</v>
      </c>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2"/>
      <c r="AY109" s="442"/>
      <c r="AZ109" s="442"/>
      <c r="BA109" s="442"/>
      <c r="BB109" s="442"/>
      <c r="BC109" s="442"/>
      <c r="BD109" s="442"/>
      <c r="BE109" s="442"/>
      <c r="BF109" s="442"/>
      <c r="BG109" s="442"/>
      <c r="BH109" s="442"/>
      <c r="BI109" s="442"/>
      <c r="BJ109" s="442"/>
      <c r="BK109" s="443"/>
      <c r="BL109" s="339"/>
      <c r="BM109" s="340"/>
      <c r="BN109" s="340"/>
      <c r="BO109" s="340"/>
      <c r="BP109" s="340"/>
      <c r="BQ109" s="340"/>
      <c r="BR109" s="340"/>
      <c r="BS109" s="341"/>
      <c r="BT109" s="342"/>
      <c r="BU109" s="343"/>
      <c r="BV109" s="343"/>
      <c r="BW109" s="343"/>
      <c r="BX109" s="343"/>
      <c r="BY109" s="343"/>
      <c r="BZ109" s="343"/>
      <c r="CA109" s="343"/>
      <c r="CB109" s="343"/>
      <c r="CC109" s="343"/>
      <c r="CD109" s="343"/>
      <c r="CE109" s="343"/>
      <c r="CF109" s="344"/>
      <c r="CG109" s="345"/>
      <c r="CH109" s="340"/>
      <c r="CI109" s="340"/>
      <c r="CJ109" s="340"/>
      <c r="CK109" s="340"/>
      <c r="CL109" s="340"/>
      <c r="CM109" s="340"/>
      <c r="CN109" s="340"/>
      <c r="CO109" s="340"/>
      <c r="CP109" s="340"/>
      <c r="CQ109" s="341"/>
      <c r="CR109" s="482"/>
      <c r="CS109" s="483"/>
      <c r="CT109" s="483"/>
      <c r="CU109" s="483"/>
      <c r="CV109" s="483"/>
      <c r="CW109" s="483"/>
      <c r="CX109" s="483"/>
      <c r="CY109" s="483"/>
      <c r="CZ109" s="483"/>
      <c r="DA109" s="483"/>
      <c r="DB109" s="483"/>
      <c r="DC109" s="483"/>
      <c r="DD109" s="484"/>
      <c r="DE109" s="482"/>
      <c r="DF109" s="483"/>
      <c r="DG109" s="483"/>
      <c r="DH109" s="483"/>
      <c r="DI109" s="483"/>
      <c r="DJ109" s="483"/>
      <c r="DK109" s="483"/>
      <c r="DL109" s="483"/>
      <c r="DM109" s="483"/>
      <c r="DN109" s="483"/>
      <c r="DO109" s="483"/>
      <c r="DP109" s="483"/>
      <c r="DQ109" s="484"/>
      <c r="DR109" s="482"/>
      <c r="DS109" s="483"/>
      <c r="DT109" s="483"/>
      <c r="DU109" s="483"/>
      <c r="DV109" s="483"/>
      <c r="DW109" s="483"/>
      <c r="DX109" s="483"/>
      <c r="DY109" s="483"/>
      <c r="DZ109" s="483"/>
      <c r="EA109" s="483"/>
      <c r="EB109" s="483"/>
      <c r="EC109" s="483"/>
      <c r="ED109" s="484"/>
      <c r="EE109" s="482"/>
      <c r="EF109" s="483"/>
      <c r="EG109" s="483"/>
      <c r="EH109" s="483"/>
      <c r="EI109" s="483"/>
      <c r="EJ109" s="483"/>
      <c r="EK109" s="483"/>
      <c r="EL109" s="483"/>
      <c r="EM109" s="483"/>
      <c r="EN109" s="483"/>
      <c r="EO109" s="483"/>
      <c r="EP109" s="483"/>
      <c r="EQ109" s="484"/>
      <c r="ER109" s="349"/>
      <c r="ES109" s="350"/>
      <c r="ET109" s="350"/>
      <c r="EU109" s="350"/>
      <c r="EV109" s="350"/>
      <c r="EW109" s="350"/>
      <c r="EX109" s="350"/>
      <c r="EY109" s="350"/>
      <c r="EZ109" s="350"/>
      <c r="FA109" s="350"/>
      <c r="FB109" s="351"/>
      <c r="FC109" s="352"/>
      <c r="FD109" s="353"/>
      <c r="FE109" s="353"/>
      <c r="FF109" s="353"/>
      <c r="FG109" s="353"/>
      <c r="FH109" s="353"/>
      <c r="FI109" s="353"/>
      <c r="FJ109" s="353"/>
      <c r="FK109" s="353"/>
      <c r="FL109" s="353"/>
      <c r="FM109" s="181"/>
      <c r="FN109" s="181"/>
      <c r="FO109" s="275"/>
      <c r="FP109" s="275"/>
      <c r="FQ109" s="275">
        <f t="shared" si="3"/>
        <v>0</v>
      </c>
    </row>
    <row r="110" spans="1:173" ht="12" customHeight="1">
      <c r="A110" s="336"/>
      <c r="B110" s="337"/>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7"/>
      <c r="AZ110" s="337"/>
      <c r="BA110" s="337"/>
      <c r="BB110" s="337"/>
      <c r="BC110" s="337"/>
      <c r="BD110" s="337"/>
      <c r="BE110" s="337"/>
      <c r="BF110" s="337"/>
      <c r="BG110" s="337"/>
      <c r="BH110" s="337"/>
      <c r="BI110" s="337"/>
      <c r="BJ110" s="337"/>
      <c r="BK110" s="338"/>
      <c r="BL110" s="339"/>
      <c r="BM110" s="340"/>
      <c r="BN110" s="340"/>
      <c r="BO110" s="340"/>
      <c r="BP110" s="340"/>
      <c r="BQ110" s="340"/>
      <c r="BR110" s="340"/>
      <c r="BS110" s="341"/>
      <c r="BT110" s="345"/>
      <c r="BU110" s="340"/>
      <c r="BV110" s="340"/>
      <c r="BW110" s="340"/>
      <c r="BX110" s="340"/>
      <c r="BY110" s="340"/>
      <c r="BZ110" s="340"/>
      <c r="CA110" s="340"/>
      <c r="CB110" s="340"/>
      <c r="CC110" s="340"/>
      <c r="CD110" s="340"/>
      <c r="CE110" s="340"/>
      <c r="CF110" s="341"/>
      <c r="CG110" s="345"/>
      <c r="CH110" s="340"/>
      <c r="CI110" s="340"/>
      <c r="CJ110" s="340"/>
      <c r="CK110" s="340"/>
      <c r="CL110" s="340"/>
      <c r="CM110" s="340"/>
      <c r="CN110" s="340"/>
      <c r="CO110" s="340"/>
      <c r="CP110" s="340"/>
      <c r="CQ110" s="341"/>
      <c r="CR110" s="482"/>
      <c r="CS110" s="483"/>
      <c r="CT110" s="483"/>
      <c r="CU110" s="483"/>
      <c r="CV110" s="483"/>
      <c r="CW110" s="483"/>
      <c r="CX110" s="483"/>
      <c r="CY110" s="483"/>
      <c r="CZ110" s="483"/>
      <c r="DA110" s="483"/>
      <c r="DB110" s="483"/>
      <c r="DC110" s="483"/>
      <c r="DD110" s="484"/>
      <c r="DE110" s="349"/>
      <c r="DF110" s="350"/>
      <c r="DG110" s="350"/>
      <c r="DH110" s="350"/>
      <c r="DI110" s="350"/>
      <c r="DJ110" s="350"/>
      <c r="DK110" s="350"/>
      <c r="DL110" s="350"/>
      <c r="DM110" s="350"/>
      <c r="DN110" s="350"/>
      <c r="DO110" s="350"/>
      <c r="DP110" s="350"/>
      <c r="DQ110" s="351"/>
      <c r="DR110" s="349"/>
      <c r="DS110" s="350"/>
      <c r="DT110" s="350"/>
      <c r="DU110" s="350"/>
      <c r="DV110" s="350"/>
      <c r="DW110" s="350"/>
      <c r="DX110" s="350"/>
      <c r="DY110" s="350"/>
      <c r="DZ110" s="350"/>
      <c r="EA110" s="350"/>
      <c r="EB110" s="350"/>
      <c r="EC110" s="350"/>
      <c r="ED110" s="351"/>
      <c r="EE110" s="349"/>
      <c r="EF110" s="350"/>
      <c r="EG110" s="350"/>
      <c r="EH110" s="350"/>
      <c r="EI110" s="350"/>
      <c r="EJ110" s="350"/>
      <c r="EK110" s="350"/>
      <c r="EL110" s="350"/>
      <c r="EM110" s="350"/>
      <c r="EN110" s="350"/>
      <c r="EO110" s="350"/>
      <c r="EP110" s="350"/>
      <c r="EQ110" s="351"/>
      <c r="ER110" s="349"/>
      <c r="ES110" s="350"/>
      <c r="ET110" s="350"/>
      <c r="EU110" s="350"/>
      <c r="EV110" s="350"/>
      <c r="EW110" s="350"/>
      <c r="EX110" s="350"/>
      <c r="EY110" s="350"/>
      <c r="EZ110" s="350"/>
      <c r="FA110" s="350"/>
      <c r="FB110" s="351"/>
      <c r="FC110" s="352"/>
      <c r="FD110" s="353"/>
      <c r="FE110" s="353"/>
      <c r="FF110" s="353"/>
      <c r="FG110" s="353"/>
      <c r="FH110" s="353"/>
      <c r="FI110" s="353"/>
      <c r="FJ110" s="353"/>
      <c r="FK110" s="353"/>
      <c r="FL110" s="353"/>
      <c r="FM110" s="181"/>
      <c r="FN110" s="181"/>
      <c r="FO110" s="275"/>
      <c r="FP110" s="275"/>
      <c r="FQ110" s="275">
        <f t="shared" si="3"/>
        <v>0</v>
      </c>
    </row>
    <row r="111" spans="1:173" ht="30" customHeight="1">
      <c r="A111" s="552" t="s">
        <v>289</v>
      </c>
      <c r="B111" s="553"/>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3"/>
      <c r="AS111" s="553"/>
      <c r="AT111" s="553"/>
      <c r="AU111" s="553"/>
      <c r="AV111" s="553"/>
      <c r="AW111" s="553"/>
      <c r="AX111" s="553"/>
      <c r="AY111" s="553"/>
      <c r="AZ111" s="553"/>
      <c r="BA111" s="553"/>
      <c r="BB111" s="553"/>
      <c r="BC111" s="553"/>
      <c r="BD111" s="553"/>
      <c r="BE111" s="553"/>
      <c r="BF111" s="553"/>
      <c r="BG111" s="553"/>
      <c r="BH111" s="553"/>
      <c r="BI111" s="553"/>
      <c r="BJ111" s="553"/>
      <c r="BK111" s="554"/>
      <c r="BL111" s="460" t="s">
        <v>60</v>
      </c>
      <c r="BM111" s="363"/>
      <c r="BN111" s="363"/>
      <c r="BO111" s="363"/>
      <c r="BP111" s="363"/>
      <c r="BQ111" s="363"/>
      <c r="BR111" s="363"/>
      <c r="BS111" s="364"/>
      <c r="BT111" s="362" t="s">
        <v>61</v>
      </c>
      <c r="BU111" s="363"/>
      <c r="BV111" s="363"/>
      <c r="BW111" s="363"/>
      <c r="BX111" s="363"/>
      <c r="BY111" s="363"/>
      <c r="BZ111" s="363"/>
      <c r="CA111" s="363"/>
      <c r="CB111" s="363"/>
      <c r="CC111" s="363"/>
      <c r="CD111" s="363"/>
      <c r="CE111" s="363"/>
      <c r="CF111" s="364"/>
      <c r="CG111" s="362"/>
      <c r="CH111" s="363"/>
      <c r="CI111" s="363"/>
      <c r="CJ111" s="363"/>
      <c r="CK111" s="363"/>
      <c r="CL111" s="363"/>
      <c r="CM111" s="363"/>
      <c r="CN111" s="363"/>
      <c r="CO111" s="363"/>
      <c r="CP111" s="363"/>
      <c r="CQ111" s="364"/>
      <c r="CR111" s="505"/>
      <c r="CS111" s="506"/>
      <c r="CT111" s="506"/>
      <c r="CU111" s="506"/>
      <c r="CV111" s="506"/>
      <c r="CW111" s="506"/>
      <c r="CX111" s="506"/>
      <c r="CY111" s="506"/>
      <c r="CZ111" s="506"/>
      <c r="DA111" s="506"/>
      <c r="DB111" s="506"/>
      <c r="DC111" s="506"/>
      <c r="DD111" s="507"/>
      <c r="DE111" s="513">
        <f>SUM(DE113:DQ114)</f>
        <v>0</v>
      </c>
      <c r="DF111" s="514"/>
      <c r="DG111" s="514"/>
      <c r="DH111" s="514"/>
      <c r="DI111" s="514"/>
      <c r="DJ111" s="514"/>
      <c r="DK111" s="514"/>
      <c r="DL111" s="514"/>
      <c r="DM111" s="514"/>
      <c r="DN111" s="514"/>
      <c r="DO111" s="514"/>
      <c r="DP111" s="514"/>
      <c r="DQ111" s="515"/>
      <c r="DR111" s="513">
        <f>SUM(DR113:ED114)</f>
        <v>0</v>
      </c>
      <c r="DS111" s="514"/>
      <c r="DT111" s="514"/>
      <c r="DU111" s="514"/>
      <c r="DV111" s="514"/>
      <c r="DW111" s="514"/>
      <c r="DX111" s="514"/>
      <c r="DY111" s="514"/>
      <c r="DZ111" s="514"/>
      <c r="EA111" s="514"/>
      <c r="EB111" s="514"/>
      <c r="EC111" s="514"/>
      <c r="ED111" s="515"/>
      <c r="EE111" s="513"/>
      <c r="EF111" s="514"/>
      <c r="EG111" s="514"/>
      <c r="EH111" s="514"/>
      <c r="EI111" s="514"/>
      <c r="EJ111" s="514"/>
      <c r="EK111" s="514"/>
      <c r="EL111" s="514"/>
      <c r="EM111" s="514"/>
      <c r="EN111" s="514"/>
      <c r="EO111" s="514"/>
      <c r="EP111" s="514"/>
      <c r="EQ111" s="515"/>
      <c r="ER111" s="349"/>
      <c r="ES111" s="350"/>
      <c r="ET111" s="350"/>
      <c r="EU111" s="350"/>
      <c r="EV111" s="350"/>
      <c r="EW111" s="350"/>
      <c r="EX111" s="350"/>
      <c r="EY111" s="350"/>
      <c r="EZ111" s="350"/>
      <c r="FA111" s="350"/>
      <c r="FB111" s="351"/>
      <c r="FC111" s="352"/>
      <c r="FD111" s="353"/>
      <c r="FE111" s="353"/>
      <c r="FF111" s="353"/>
      <c r="FG111" s="353"/>
      <c r="FH111" s="353"/>
      <c r="FI111" s="353"/>
      <c r="FJ111" s="353"/>
      <c r="FK111" s="353"/>
      <c r="FL111" s="353"/>
      <c r="FO111" s="275"/>
      <c r="FP111" s="275"/>
      <c r="FQ111" s="275">
        <f t="shared" si="3"/>
        <v>0</v>
      </c>
    </row>
    <row r="112" spans="1:173" ht="12" customHeight="1">
      <c r="A112" s="354" t="s">
        <v>110</v>
      </c>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5"/>
      <c r="BL112" s="339" t="s">
        <v>272</v>
      </c>
      <c r="BM112" s="340"/>
      <c r="BN112" s="340"/>
      <c r="BO112" s="340"/>
      <c r="BP112" s="340"/>
      <c r="BQ112" s="340"/>
      <c r="BR112" s="340"/>
      <c r="BS112" s="341"/>
      <c r="BT112" s="345" t="s">
        <v>272</v>
      </c>
      <c r="BU112" s="340"/>
      <c r="BV112" s="340"/>
      <c r="BW112" s="340"/>
      <c r="BX112" s="340"/>
      <c r="BY112" s="340"/>
      <c r="BZ112" s="340"/>
      <c r="CA112" s="340"/>
      <c r="CB112" s="340"/>
      <c r="CC112" s="340"/>
      <c r="CD112" s="340"/>
      <c r="CE112" s="340"/>
      <c r="CF112" s="341"/>
      <c r="CG112" s="345"/>
      <c r="CH112" s="340"/>
      <c r="CI112" s="340"/>
      <c r="CJ112" s="340"/>
      <c r="CK112" s="340"/>
      <c r="CL112" s="340"/>
      <c r="CM112" s="340"/>
      <c r="CN112" s="340"/>
      <c r="CO112" s="340"/>
      <c r="CP112" s="340"/>
      <c r="CQ112" s="341"/>
      <c r="CR112" s="345"/>
      <c r="CS112" s="340"/>
      <c r="CT112" s="340"/>
      <c r="CU112" s="340"/>
      <c r="CV112" s="340"/>
      <c r="CW112" s="340"/>
      <c r="CX112" s="340"/>
      <c r="CY112" s="340"/>
      <c r="CZ112" s="340"/>
      <c r="DA112" s="340"/>
      <c r="DB112" s="340"/>
      <c r="DC112" s="340"/>
      <c r="DD112" s="341"/>
      <c r="DE112" s="345"/>
      <c r="DF112" s="340"/>
      <c r="DG112" s="340"/>
      <c r="DH112" s="340"/>
      <c r="DI112" s="340"/>
      <c r="DJ112" s="340"/>
      <c r="DK112" s="340"/>
      <c r="DL112" s="340"/>
      <c r="DM112" s="340"/>
      <c r="DN112" s="340"/>
      <c r="DO112" s="340"/>
      <c r="DP112" s="340"/>
      <c r="DQ112" s="341"/>
      <c r="DR112" s="345"/>
      <c r="DS112" s="340"/>
      <c r="DT112" s="340"/>
      <c r="DU112" s="340"/>
      <c r="DV112" s="340"/>
      <c r="DW112" s="340"/>
      <c r="DX112" s="340"/>
      <c r="DY112" s="340"/>
      <c r="DZ112" s="340"/>
      <c r="EA112" s="340"/>
      <c r="EB112" s="340"/>
      <c r="EC112" s="340"/>
      <c r="ED112" s="341"/>
      <c r="EE112" s="345"/>
      <c r="EF112" s="340"/>
      <c r="EG112" s="340"/>
      <c r="EH112" s="340"/>
      <c r="EI112" s="340"/>
      <c r="EJ112" s="340"/>
      <c r="EK112" s="340"/>
      <c r="EL112" s="340"/>
      <c r="EM112" s="340"/>
      <c r="EN112" s="340"/>
      <c r="EO112" s="340"/>
      <c r="EP112" s="340"/>
      <c r="EQ112" s="341"/>
      <c r="ER112" s="349"/>
      <c r="ES112" s="350"/>
      <c r="ET112" s="350"/>
      <c r="EU112" s="350"/>
      <c r="EV112" s="350"/>
      <c r="EW112" s="350"/>
      <c r="EX112" s="350"/>
      <c r="EY112" s="350"/>
      <c r="EZ112" s="350"/>
      <c r="FA112" s="350"/>
      <c r="FB112" s="351"/>
      <c r="FC112" s="349"/>
      <c r="FD112" s="350"/>
      <c r="FE112" s="350"/>
      <c r="FF112" s="350"/>
      <c r="FG112" s="350"/>
      <c r="FH112" s="350"/>
      <c r="FI112" s="350"/>
      <c r="FJ112" s="350"/>
      <c r="FK112" s="350"/>
      <c r="FL112" s="350"/>
      <c r="FM112" s="350"/>
      <c r="FN112" s="350"/>
      <c r="FO112" s="275"/>
      <c r="FP112" s="275"/>
      <c r="FQ112" s="275">
        <f t="shared" si="3"/>
        <v>0</v>
      </c>
    </row>
    <row r="113" spans="1:173" ht="12" customHeight="1">
      <c r="A113" s="386" t="s">
        <v>284</v>
      </c>
      <c r="B113" s="555"/>
      <c r="C113" s="555"/>
      <c r="D113" s="555"/>
      <c r="E113" s="555"/>
      <c r="F113" s="555"/>
      <c r="G113" s="555"/>
      <c r="H113" s="555"/>
      <c r="I113" s="555"/>
      <c r="J113" s="555"/>
      <c r="K113" s="555"/>
      <c r="L113" s="555"/>
      <c r="M113" s="555"/>
      <c r="N113" s="555"/>
      <c r="O113" s="555"/>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6"/>
      <c r="BL113" s="339"/>
      <c r="BM113" s="340"/>
      <c r="BN113" s="340"/>
      <c r="BO113" s="340"/>
      <c r="BP113" s="340"/>
      <c r="BQ113" s="340"/>
      <c r="BR113" s="340"/>
      <c r="BS113" s="341"/>
      <c r="BT113" s="345"/>
      <c r="BU113" s="340"/>
      <c r="BV113" s="340"/>
      <c r="BW113" s="340"/>
      <c r="BX113" s="340"/>
      <c r="BY113" s="340"/>
      <c r="BZ113" s="340"/>
      <c r="CA113" s="340"/>
      <c r="CB113" s="340"/>
      <c r="CC113" s="340"/>
      <c r="CD113" s="340"/>
      <c r="CE113" s="340"/>
      <c r="CF113" s="341"/>
      <c r="CG113" s="345"/>
      <c r="CH113" s="340"/>
      <c r="CI113" s="340"/>
      <c r="CJ113" s="340"/>
      <c r="CK113" s="340"/>
      <c r="CL113" s="340"/>
      <c r="CM113" s="340"/>
      <c r="CN113" s="340"/>
      <c r="CO113" s="340"/>
      <c r="CP113" s="340"/>
      <c r="CQ113" s="341"/>
      <c r="CR113" s="482"/>
      <c r="CS113" s="483"/>
      <c r="CT113" s="483"/>
      <c r="CU113" s="483"/>
      <c r="CV113" s="483"/>
      <c r="CW113" s="483"/>
      <c r="CX113" s="483"/>
      <c r="CY113" s="483"/>
      <c r="CZ113" s="483"/>
      <c r="DA113" s="483"/>
      <c r="DB113" s="483"/>
      <c r="DC113" s="483"/>
      <c r="DD113" s="484"/>
      <c r="DE113" s="482">
        <v>0</v>
      </c>
      <c r="DF113" s="483"/>
      <c r="DG113" s="483"/>
      <c r="DH113" s="483"/>
      <c r="DI113" s="483"/>
      <c r="DJ113" s="483"/>
      <c r="DK113" s="483"/>
      <c r="DL113" s="483"/>
      <c r="DM113" s="483"/>
      <c r="DN113" s="483"/>
      <c r="DO113" s="483"/>
      <c r="DP113" s="483"/>
      <c r="DQ113" s="484"/>
      <c r="DR113" s="482">
        <v>0</v>
      </c>
      <c r="DS113" s="483"/>
      <c r="DT113" s="483"/>
      <c r="DU113" s="483"/>
      <c r="DV113" s="483"/>
      <c r="DW113" s="483"/>
      <c r="DX113" s="483"/>
      <c r="DY113" s="483"/>
      <c r="DZ113" s="483"/>
      <c r="EA113" s="483"/>
      <c r="EB113" s="483"/>
      <c r="EC113" s="483"/>
      <c r="ED113" s="484"/>
      <c r="EE113" s="482"/>
      <c r="EF113" s="483"/>
      <c r="EG113" s="483"/>
      <c r="EH113" s="483"/>
      <c r="EI113" s="483"/>
      <c r="EJ113" s="483"/>
      <c r="EK113" s="483"/>
      <c r="EL113" s="483"/>
      <c r="EM113" s="483"/>
      <c r="EN113" s="483"/>
      <c r="EO113" s="483"/>
      <c r="EP113" s="483"/>
      <c r="EQ113" s="484"/>
      <c r="ER113" s="349"/>
      <c r="ES113" s="350"/>
      <c r="ET113" s="350"/>
      <c r="EU113" s="350"/>
      <c r="EV113" s="350"/>
      <c r="EW113" s="350"/>
      <c r="EX113" s="350"/>
      <c r="EY113" s="350"/>
      <c r="EZ113" s="350"/>
      <c r="FA113" s="350"/>
      <c r="FB113" s="351"/>
      <c r="FC113" s="349"/>
      <c r="FD113" s="350"/>
      <c r="FE113" s="350"/>
      <c r="FF113" s="350"/>
      <c r="FG113" s="350"/>
      <c r="FH113" s="350"/>
      <c r="FI113" s="350"/>
      <c r="FJ113" s="350"/>
      <c r="FK113" s="350"/>
      <c r="FL113" s="350"/>
      <c r="FM113" s="350"/>
      <c r="FN113" s="350"/>
      <c r="FO113" s="275"/>
      <c r="FP113" s="275"/>
      <c r="FQ113" s="275">
        <f t="shared" si="3"/>
        <v>0</v>
      </c>
    </row>
    <row r="114" spans="1:173" ht="12" customHeight="1">
      <c r="A114" s="469" t="s">
        <v>282</v>
      </c>
      <c r="B114" s="337"/>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8"/>
      <c r="BL114" s="339"/>
      <c r="BM114" s="340"/>
      <c r="BN114" s="340"/>
      <c r="BO114" s="340"/>
      <c r="BP114" s="340"/>
      <c r="BQ114" s="340"/>
      <c r="BR114" s="340"/>
      <c r="BS114" s="341"/>
      <c r="BT114" s="345"/>
      <c r="BU114" s="340"/>
      <c r="BV114" s="340"/>
      <c r="BW114" s="340"/>
      <c r="BX114" s="340"/>
      <c r="BY114" s="340"/>
      <c r="BZ114" s="340"/>
      <c r="CA114" s="340"/>
      <c r="CB114" s="340"/>
      <c r="CC114" s="340"/>
      <c r="CD114" s="340"/>
      <c r="CE114" s="340"/>
      <c r="CF114" s="341"/>
      <c r="CG114" s="345"/>
      <c r="CH114" s="340"/>
      <c r="CI114" s="340"/>
      <c r="CJ114" s="340"/>
      <c r="CK114" s="340"/>
      <c r="CL114" s="340"/>
      <c r="CM114" s="340"/>
      <c r="CN114" s="340"/>
      <c r="CO114" s="340"/>
      <c r="CP114" s="340"/>
      <c r="CQ114" s="341"/>
      <c r="CR114" s="482"/>
      <c r="CS114" s="483"/>
      <c r="CT114" s="483"/>
      <c r="CU114" s="483"/>
      <c r="CV114" s="483"/>
      <c r="CW114" s="483"/>
      <c r="CX114" s="483"/>
      <c r="CY114" s="483"/>
      <c r="CZ114" s="483"/>
      <c r="DA114" s="483"/>
      <c r="DB114" s="483"/>
      <c r="DC114" s="483"/>
      <c r="DD114" s="484"/>
      <c r="DE114" s="482">
        <v>0</v>
      </c>
      <c r="DF114" s="483"/>
      <c r="DG114" s="483"/>
      <c r="DH114" s="483"/>
      <c r="DI114" s="483"/>
      <c r="DJ114" s="483"/>
      <c r="DK114" s="483"/>
      <c r="DL114" s="483"/>
      <c r="DM114" s="483"/>
      <c r="DN114" s="483"/>
      <c r="DO114" s="483"/>
      <c r="DP114" s="483"/>
      <c r="DQ114" s="484"/>
      <c r="DR114" s="482">
        <v>0</v>
      </c>
      <c r="DS114" s="483"/>
      <c r="DT114" s="483"/>
      <c r="DU114" s="483"/>
      <c r="DV114" s="483"/>
      <c r="DW114" s="483"/>
      <c r="DX114" s="483"/>
      <c r="DY114" s="483"/>
      <c r="DZ114" s="483"/>
      <c r="EA114" s="483"/>
      <c r="EB114" s="483"/>
      <c r="EC114" s="483"/>
      <c r="ED114" s="484"/>
      <c r="EE114" s="482"/>
      <c r="EF114" s="483"/>
      <c r="EG114" s="483"/>
      <c r="EH114" s="483"/>
      <c r="EI114" s="483"/>
      <c r="EJ114" s="483"/>
      <c r="EK114" s="483"/>
      <c r="EL114" s="483"/>
      <c r="EM114" s="483"/>
      <c r="EN114" s="483"/>
      <c r="EO114" s="483"/>
      <c r="EP114" s="483"/>
      <c r="EQ114" s="484"/>
      <c r="ER114" s="349"/>
      <c r="ES114" s="350"/>
      <c r="ET114" s="350"/>
      <c r="EU114" s="350"/>
      <c r="EV114" s="350"/>
      <c r="EW114" s="350"/>
      <c r="EX114" s="350"/>
      <c r="EY114" s="350"/>
      <c r="EZ114" s="350"/>
      <c r="FA114" s="350"/>
      <c r="FB114" s="351"/>
      <c r="FC114" s="349"/>
      <c r="FD114" s="350"/>
      <c r="FE114" s="350"/>
      <c r="FF114" s="350"/>
      <c r="FG114" s="350"/>
      <c r="FH114" s="350"/>
      <c r="FI114" s="350"/>
      <c r="FJ114" s="350"/>
      <c r="FK114" s="350"/>
      <c r="FL114" s="350"/>
      <c r="FM114" s="350"/>
      <c r="FN114" s="350"/>
      <c r="FO114" s="275"/>
      <c r="FP114" s="275"/>
      <c r="FQ114" s="275">
        <f t="shared" si="3"/>
        <v>0</v>
      </c>
    </row>
    <row r="115" spans="1:173" ht="12" customHeight="1">
      <c r="A115" s="383" t="s">
        <v>194</v>
      </c>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4"/>
      <c r="AV115" s="384"/>
      <c r="AW115" s="384"/>
      <c r="AX115" s="384"/>
      <c r="AY115" s="384"/>
      <c r="AZ115" s="384"/>
      <c r="BA115" s="384"/>
      <c r="BB115" s="384"/>
      <c r="BC115" s="384"/>
      <c r="BD115" s="384"/>
      <c r="BE115" s="384"/>
      <c r="BF115" s="384"/>
      <c r="BG115" s="384"/>
      <c r="BH115" s="384"/>
      <c r="BI115" s="384"/>
      <c r="BJ115" s="384"/>
      <c r="BK115" s="385"/>
      <c r="BL115" s="339"/>
      <c r="BM115" s="340"/>
      <c r="BN115" s="340"/>
      <c r="BO115" s="340"/>
      <c r="BP115" s="340"/>
      <c r="BQ115" s="340"/>
      <c r="BR115" s="340"/>
      <c r="BS115" s="341"/>
      <c r="BT115" s="345"/>
      <c r="BU115" s="340"/>
      <c r="BV115" s="340"/>
      <c r="BW115" s="340"/>
      <c r="BX115" s="340"/>
      <c r="BY115" s="340"/>
      <c r="BZ115" s="340"/>
      <c r="CA115" s="340"/>
      <c r="CB115" s="340"/>
      <c r="CC115" s="340"/>
      <c r="CD115" s="340"/>
      <c r="CE115" s="340"/>
      <c r="CF115" s="341"/>
      <c r="CG115" s="345"/>
      <c r="CH115" s="340"/>
      <c r="CI115" s="340"/>
      <c r="CJ115" s="340"/>
      <c r="CK115" s="340"/>
      <c r="CL115" s="340"/>
      <c r="CM115" s="340"/>
      <c r="CN115" s="340"/>
      <c r="CO115" s="340"/>
      <c r="CP115" s="340"/>
      <c r="CQ115" s="341"/>
      <c r="CR115" s="345"/>
      <c r="CS115" s="340"/>
      <c r="CT115" s="340"/>
      <c r="CU115" s="340"/>
      <c r="CV115" s="340"/>
      <c r="CW115" s="340"/>
      <c r="CX115" s="340"/>
      <c r="CY115" s="340"/>
      <c r="CZ115" s="340"/>
      <c r="DA115" s="340"/>
      <c r="DB115" s="340"/>
      <c r="DC115" s="340"/>
      <c r="DD115" s="341"/>
      <c r="DE115" s="482">
        <v>0</v>
      </c>
      <c r="DF115" s="483"/>
      <c r="DG115" s="483"/>
      <c r="DH115" s="483"/>
      <c r="DI115" s="483"/>
      <c r="DJ115" s="483"/>
      <c r="DK115" s="483"/>
      <c r="DL115" s="483"/>
      <c r="DM115" s="483"/>
      <c r="DN115" s="483"/>
      <c r="DO115" s="483"/>
      <c r="DP115" s="483"/>
      <c r="DQ115" s="484"/>
      <c r="DR115" s="482">
        <v>0</v>
      </c>
      <c r="DS115" s="483"/>
      <c r="DT115" s="483"/>
      <c r="DU115" s="483"/>
      <c r="DV115" s="483"/>
      <c r="DW115" s="483"/>
      <c r="DX115" s="483"/>
      <c r="DY115" s="483"/>
      <c r="DZ115" s="483"/>
      <c r="EA115" s="483"/>
      <c r="EB115" s="483"/>
      <c r="EC115" s="483"/>
      <c r="ED115" s="484"/>
      <c r="EE115" s="482"/>
      <c r="EF115" s="483"/>
      <c r="EG115" s="483"/>
      <c r="EH115" s="483"/>
      <c r="EI115" s="483"/>
      <c r="EJ115" s="483"/>
      <c r="EK115" s="483"/>
      <c r="EL115" s="483"/>
      <c r="EM115" s="483"/>
      <c r="EN115" s="483"/>
      <c r="EO115" s="483"/>
      <c r="EP115" s="483"/>
      <c r="EQ115" s="484"/>
      <c r="ER115" s="349"/>
      <c r="ES115" s="350"/>
      <c r="ET115" s="350"/>
      <c r="EU115" s="350"/>
      <c r="EV115" s="350"/>
      <c r="EW115" s="350"/>
      <c r="EX115" s="350"/>
      <c r="EY115" s="350"/>
      <c r="EZ115" s="350"/>
      <c r="FA115" s="350"/>
      <c r="FB115" s="351"/>
      <c r="FC115" s="349"/>
      <c r="FD115" s="350"/>
      <c r="FE115" s="350"/>
      <c r="FF115" s="350"/>
      <c r="FG115" s="350"/>
      <c r="FH115" s="350"/>
      <c r="FI115" s="350"/>
      <c r="FJ115" s="350"/>
      <c r="FK115" s="350"/>
      <c r="FL115" s="350"/>
      <c r="FM115" s="350"/>
      <c r="FN115" s="350"/>
      <c r="FO115" s="275"/>
      <c r="FP115" s="275"/>
      <c r="FQ115" s="275">
        <f t="shared" si="3"/>
        <v>0</v>
      </c>
    </row>
    <row r="116" spans="1:173" ht="12" customHeight="1">
      <c r="A116" s="354" t="s">
        <v>201</v>
      </c>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4"/>
      <c r="AZ116" s="374"/>
      <c r="BA116" s="374"/>
      <c r="BB116" s="374"/>
      <c r="BC116" s="374"/>
      <c r="BD116" s="374"/>
      <c r="BE116" s="374"/>
      <c r="BF116" s="374"/>
      <c r="BG116" s="374"/>
      <c r="BH116" s="374"/>
      <c r="BI116" s="374"/>
      <c r="BJ116" s="374"/>
      <c r="BK116" s="375"/>
      <c r="BL116" s="339" t="s">
        <v>272</v>
      </c>
      <c r="BM116" s="340"/>
      <c r="BN116" s="340"/>
      <c r="BO116" s="340"/>
      <c r="BP116" s="340"/>
      <c r="BQ116" s="340"/>
      <c r="BR116" s="340"/>
      <c r="BS116" s="341"/>
      <c r="BT116" s="345" t="s">
        <v>272</v>
      </c>
      <c r="BU116" s="340"/>
      <c r="BV116" s="340"/>
      <c r="BW116" s="340"/>
      <c r="BX116" s="340"/>
      <c r="BY116" s="340"/>
      <c r="BZ116" s="340"/>
      <c r="CA116" s="340"/>
      <c r="CB116" s="340"/>
      <c r="CC116" s="340"/>
      <c r="CD116" s="340"/>
      <c r="CE116" s="340"/>
      <c r="CF116" s="341"/>
      <c r="CG116" s="345"/>
      <c r="CH116" s="340"/>
      <c r="CI116" s="340"/>
      <c r="CJ116" s="340"/>
      <c r="CK116" s="340"/>
      <c r="CL116" s="340"/>
      <c r="CM116" s="340"/>
      <c r="CN116" s="340"/>
      <c r="CO116" s="340"/>
      <c r="CP116" s="340"/>
      <c r="CQ116" s="341"/>
      <c r="CR116" s="345"/>
      <c r="CS116" s="340"/>
      <c r="CT116" s="340"/>
      <c r="CU116" s="340"/>
      <c r="CV116" s="340"/>
      <c r="CW116" s="340"/>
      <c r="CX116" s="340"/>
      <c r="CY116" s="340"/>
      <c r="CZ116" s="340"/>
      <c r="DA116" s="340"/>
      <c r="DB116" s="340"/>
      <c r="DC116" s="340"/>
      <c r="DD116" s="341"/>
      <c r="DE116" s="482">
        <v>0</v>
      </c>
      <c r="DF116" s="483"/>
      <c r="DG116" s="483"/>
      <c r="DH116" s="483"/>
      <c r="DI116" s="483"/>
      <c r="DJ116" s="483"/>
      <c r="DK116" s="483"/>
      <c r="DL116" s="483"/>
      <c r="DM116" s="483"/>
      <c r="DN116" s="483"/>
      <c r="DO116" s="483"/>
      <c r="DP116" s="483"/>
      <c r="DQ116" s="484"/>
      <c r="DR116" s="482">
        <v>0</v>
      </c>
      <c r="DS116" s="483"/>
      <c r="DT116" s="483"/>
      <c r="DU116" s="483"/>
      <c r="DV116" s="483"/>
      <c r="DW116" s="483"/>
      <c r="DX116" s="483"/>
      <c r="DY116" s="483"/>
      <c r="DZ116" s="483"/>
      <c r="EA116" s="483"/>
      <c r="EB116" s="483"/>
      <c r="EC116" s="483"/>
      <c r="ED116" s="484"/>
      <c r="EE116" s="482"/>
      <c r="EF116" s="483"/>
      <c r="EG116" s="483"/>
      <c r="EH116" s="483"/>
      <c r="EI116" s="483"/>
      <c r="EJ116" s="483"/>
      <c r="EK116" s="483"/>
      <c r="EL116" s="483"/>
      <c r="EM116" s="483"/>
      <c r="EN116" s="483"/>
      <c r="EO116" s="483"/>
      <c r="EP116" s="483"/>
      <c r="EQ116" s="484"/>
      <c r="ER116" s="349"/>
      <c r="ES116" s="350"/>
      <c r="ET116" s="350"/>
      <c r="EU116" s="350"/>
      <c r="EV116" s="350"/>
      <c r="EW116" s="350"/>
      <c r="EX116" s="350"/>
      <c r="EY116" s="350"/>
      <c r="EZ116" s="350"/>
      <c r="FA116" s="350"/>
      <c r="FB116" s="351"/>
      <c r="FC116" s="349"/>
      <c r="FD116" s="350"/>
      <c r="FE116" s="350"/>
      <c r="FF116" s="350"/>
      <c r="FG116" s="350"/>
      <c r="FH116" s="350"/>
      <c r="FI116" s="350"/>
      <c r="FJ116" s="350"/>
      <c r="FK116" s="350"/>
      <c r="FL116" s="350"/>
      <c r="FM116" s="350"/>
      <c r="FN116" s="350"/>
      <c r="FO116" s="275"/>
      <c r="FP116" s="275"/>
      <c r="FQ116" s="275">
        <f t="shared" si="3"/>
        <v>0</v>
      </c>
    </row>
    <row r="117" spans="1:173" ht="12" customHeight="1">
      <c r="A117" s="380" t="s">
        <v>27</v>
      </c>
      <c r="B117" s="381"/>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1"/>
      <c r="AQ117" s="381"/>
      <c r="AR117" s="381"/>
      <c r="AS117" s="381"/>
      <c r="AT117" s="381"/>
      <c r="AU117" s="381"/>
      <c r="AV117" s="381"/>
      <c r="AW117" s="381"/>
      <c r="AX117" s="381"/>
      <c r="AY117" s="381"/>
      <c r="AZ117" s="381"/>
      <c r="BA117" s="381"/>
      <c r="BB117" s="381"/>
      <c r="BC117" s="381"/>
      <c r="BD117" s="381"/>
      <c r="BE117" s="381"/>
      <c r="BF117" s="381"/>
      <c r="BG117" s="381"/>
      <c r="BH117" s="381"/>
      <c r="BI117" s="381"/>
      <c r="BJ117" s="381"/>
      <c r="BK117" s="382"/>
      <c r="BL117" s="339" t="s">
        <v>272</v>
      </c>
      <c r="BM117" s="340"/>
      <c r="BN117" s="340"/>
      <c r="BO117" s="340"/>
      <c r="BP117" s="340"/>
      <c r="BQ117" s="340"/>
      <c r="BR117" s="340"/>
      <c r="BS117" s="341"/>
      <c r="BT117" s="345" t="s">
        <v>272</v>
      </c>
      <c r="BU117" s="340"/>
      <c r="BV117" s="340"/>
      <c r="BW117" s="340"/>
      <c r="BX117" s="340"/>
      <c r="BY117" s="340"/>
      <c r="BZ117" s="340"/>
      <c r="CA117" s="340"/>
      <c r="CB117" s="340"/>
      <c r="CC117" s="340"/>
      <c r="CD117" s="340"/>
      <c r="CE117" s="340"/>
      <c r="CF117" s="341"/>
      <c r="CG117" s="345"/>
      <c r="CH117" s="340"/>
      <c r="CI117" s="340"/>
      <c r="CJ117" s="340"/>
      <c r="CK117" s="340"/>
      <c r="CL117" s="340"/>
      <c r="CM117" s="340"/>
      <c r="CN117" s="340"/>
      <c r="CO117" s="340"/>
      <c r="CP117" s="340"/>
      <c r="CQ117" s="341"/>
      <c r="CR117" s="345"/>
      <c r="CS117" s="340"/>
      <c r="CT117" s="340"/>
      <c r="CU117" s="340"/>
      <c r="CV117" s="340"/>
      <c r="CW117" s="340"/>
      <c r="CX117" s="340"/>
      <c r="CY117" s="340"/>
      <c r="CZ117" s="340"/>
      <c r="DA117" s="340"/>
      <c r="DB117" s="340"/>
      <c r="DC117" s="340"/>
      <c r="DD117" s="341"/>
      <c r="DE117" s="345"/>
      <c r="DF117" s="340"/>
      <c r="DG117" s="340"/>
      <c r="DH117" s="340"/>
      <c r="DI117" s="340"/>
      <c r="DJ117" s="340"/>
      <c r="DK117" s="340"/>
      <c r="DL117" s="340"/>
      <c r="DM117" s="340"/>
      <c r="DN117" s="340"/>
      <c r="DO117" s="340"/>
      <c r="DP117" s="340"/>
      <c r="DQ117" s="341"/>
      <c r="DR117" s="345"/>
      <c r="DS117" s="340"/>
      <c r="DT117" s="340"/>
      <c r="DU117" s="340"/>
      <c r="DV117" s="340"/>
      <c r="DW117" s="340"/>
      <c r="DX117" s="340"/>
      <c r="DY117" s="340"/>
      <c r="DZ117" s="340"/>
      <c r="EA117" s="340"/>
      <c r="EB117" s="340"/>
      <c r="EC117" s="340"/>
      <c r="ED117" s="341"/>
      <c r="EE117" s="345"/>
      <c r="EF117" s="340"/>
      <c r="EG117" s="340"/>
      <c r="EH117" s="340"/>
      <c r="EI117" s="340"/>
      <c r="EJ117" s="340"/>
      <c r="EK117" s="340"/>
      <c r="EL117" s="340"/>
      <c r="EM117" s="340"/>
      <c r="EN117" s="340"/>
      <c r="EO117" s="340"/>
      <c r="EP117" s="340"/>
      <c r="EQ117" s="341"/>
      <c r="ER117" s="349"/>
      <c r="ES117" s="350"/>
      <c r="ET117" s="350"/>
      <c r="EU117" s="350"/>
      <c r="EV117" s="350"/>
      <c r="EW117" s="350"/>
      <c r="EX117" s="350"/>
      <c r="EY117" s="350"/>
      <c r="EZ117" s="350"/>
      <c r="FA117" s="350"/>
      <c r="FB117" s="351"/>
      <c r="FC117" s="349"/>
      <c r="FD117" s="350"/>
      <c r="FE117" s="350"/>
      <c r="FF117" s="350"/>
      <c r="FG117" s="350"/>
      <c r="FH117" s="350"/>
      <c r="FI117" s="350"/>
      <c r="FJ117" s="350"/>
      <c r="FK117" s="350"/>
      <c r="FL117" s="350"/>
      <c r="FM117" s="350"/>
      <c r="FN117" s="350"/>
      <c r="FO117" s="275"/>
      <c r="FP117" s="275"/>
      <c r="FQ117" s="275">
        <f t="shared" si="3"/>
        <v>0</v>
      </c>
    </row>
    <row r="118" spans="1:173" ht="14.1" customHeight="1">
      <c r="A118" s="336"/>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BF118" s="337"/>
      <c r="BG118" s="337"/>
      <c r="BH118" s="337"/>
      <c r="BI118" s="337"/>
      <c r="BJ118" s="337"/>
      <c r="BK118" s="338"/>
      <c r="BL118" s="339"/>
      <c r="BM118" s="340"/>
      <c r="BN118" s="340"/>
      <c r="BO118" s="340"/>
      <c r="BP118" s="340"/>
      <c r="BQ118" s="340"/>
      <c r="BR118" s="340"/>
      <c r="BS118" s="341"/>
      <c r="BT118" s="345"/>
      <c r="BU118" s="340"/>
      <c r="BV118" s="340"/>
      <c r="BW118" s="340"/>
      <c r="BX118" s="340"/>
      <c r="BY118" s="340"/>
      <c r="BZ118" s="340"/>
      <c r="CA118" s="340"/>
      <c r="CB118" s="340"/>
      <c r="CC118" s="340"/>
      <c r="CD118" s="340"/>
      <c r="CE118" s="340"/>
      <c r="CF118" s="341"/>
      <c r="CG118" s="345"/>
      <c r="CH118" s="340"/>
      <c r="CI118" s="340"/>
      <c r="CJ118" s="340"/>
      <c r="CK118" s="340"/>
      <c r="CL118" s="340"/>
      <c r="CM118" s="340"/>
      <c r="CN118" s="340"/>
      <c r="CO118" s="340"/>
      <c r="CP118" s="340"/>
      <c r="CQ118" s="341"/>
      <c r="CR118" s="345"/>
      <c r="CS118" s="340"/>
      <c r="CT118" s="340"/>
      <c r="CU118" s="340"/>
      <c r="CV118" s="340"/>
      <c r="CW118" s="340"/>
      <c r="CX118" s="340"/>
      <c r="CY118" s="340"/>
      <c r="CZ118" s="340"/>
      <c r="DA118" s="340"/>
      <c r="DB118" s="340"/>
      <c r="DC118" s="340"/>
      <c r="DD118" s="341"/>
      <c r="DE118" s="345"/>
      <c r="DF118" s="340"/>
      <c r="DG118" s="340"/>
      <c r="DH118" s="340"/>
      <c r="DI118" s="340"/>
      <c r="DJ118" s="340"/>
      <c r="DK118" s="340"/>
      <c r="DL118" s="340"/>
      <c r="DM118" s="340"/>
      <c r="DN118" s="340"/>
      <c r="DO118" s="340"/>
      <c r="DP118" s="340"/>
      <c r="DQ118" s="341"/>
      <c r="DR118" s="345"/>
      <c r="DS118" s="340"/>
      <c r="DT118" s="340"/>
      <c r="DU118" s="340"/>
      <c r="DV118" s="340"/>
      <c r="DW118" s="340"/>
      <c r="DX118" s="340"/>
      <c r="DY118" s="340"/>
      <c r="DZ118" s="340"/>
      <c r="EA118" s="340"/>
      <c r="EB118" s="340"/>
      <c r="EC118" s="340"/>
      <c r="ED118" s="341"/>
      <c r="EE118" s="345"/>
      <c r="EF118" s="340"/>
      <c r="EG118" s="340"/>
      <c r="EH118" s="340"/>
      <c r="EI118" s="340"/>
      <c r="EJ118" s="340"/>
      <c r="EK118" s="340"/>
      <c r="EL118" s="340"/>
      <c r="EM118" s="340"/>
      <c r="EN118" s="340"/>
      <c r="EO118" s="340"/>
      <c r="EP118" s="340"/>
      <c r="EQ118" s="341"/>
      <c r="ER118" s="349"/>
      <c r="ES118" s="350"/>
      <c r="ET118" s="350"/>
      <c r="EU118" s="350"/>
      <c r="EV118" s="350"/>
      <c r="EW118" s="350"/>
      <c r="EX118" s="350"/>
      <c r="EY118" s="350"/>
      <c r="EZ118" s="350"/>
      <c r="FA118" s="350"/>
      <c r="FB118" s="351"/>
      <c r="FC118" s="352"/>
      <c r="FD118" s="353"/>
      <c r="FE118" s="353"/>
      <c r="FF118" s="353"/>
      <c r="FG118" s="353"/>
      <c r="FH118" s="353"/>
      <c r="FI118" s="353"/>
      <c r="FJ118" s="353"/>
      <c r="FK118" s="353"/>
      <c r="FL118" s="353"/>
      <c r="FM118" s="181"/>
      <c r="FN118" s="181"/>
      <c r="FO118" s="275"/>
      <c r="FP118" s="275"/>
      <c r="FQ118" s="275">
        <f t="shared" si="3"/>
        <v>0</v>
      </c>
    </row>
    <row r="119" spans="1:173" ht="27" customHeight="1">
      <c r="A119" s="552" t="s">
        <v>290</v>
      </c>
      <c r="B119" s="553"/>
      <c r="C119" s="553"/>
      <c r="D119" s="553"/>
      <c r="E119" s="553"/>
      <c r="F119" s="553"/>
      <c r="G119" s="553"/>
      <c r="H119" s="553"/>
      <c r="I119" s="553"/>
      <c r="J119" s="553"/>
      <c r="K119" s="553"/>
      <c r="L119" s="553"/>
      <c r="M119" s="553"/>
      <c r="N119" s="553"/>
      <c r="O119" s="553"/>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3"/>
      <c r="AZ119" s="553"/>
      <c r="BA119" s="553"/>
      <c r="BB119" s="553"/>
      <c r="BC119" s="553"/>
      <c r="BD119" s="553"/>
      <c r="BE119" s="553"/>
      <c r="BF119" s="553"/>
      <c r="BG119" s="553"/>
      <c r="BH119" s="553"/>
      <c r="BI119" s="553"/>
      <c r="BJ119" s="553"/>
      <c r="BK119" s="554"/>
      <c r="BL119" s="460" t="s">
        <v>62</v>
      </c>
      <c r="BM119" s="363"/>
      <c r="BN119" s="363"/>
      <c r="BO119" s="363"/>
      <c r="BP119" s="363"/>
      <c r="BQ119" s="363"/>
      <c r="BR119" s="363"/>
      <c r="BS119" s="364"/>
      <c r="BT119" s="362" t="s">
        <v>63</v>
      </c>
      <c r="BU119" s="363"/>
      <c r="BV119" s="363"/>
      <c r="BW119" s="363"/>
      <c r="BX119" s="363"/>
      <c r="BY119" s="363"/>
      <c r="BZ119" s="363"/>
      <c r="CA119" s="363"/>
      <c r="CB119" s="363"/>
      <c r="CC119" s="363"/>
      <c r="CD119" s="363"/>
      <c r="CE119" s="363"/>
      <c r="CF119" s="364"/>
      <c r="CG119" s="362" t="s">
        <v>197</v>
      </c>
      <c r="CH119" s="363"/>
      <c r="CI119" s="363"/>
      <c r="CJ119" s="363"/>
      <c r="CK119" s="363"/>
      <c r="CL119" s="363"/>
      <c r="CM119" s="363"/>
      <c r="CN119" s="363"/>
      <c r="CO119" s="363"/>
      <c r="CP119" s="363"/>
      <c r="CQ119" s="364"/>
      <c r="CR119" s="505"/>
      <c r="CS119" s="506"/>
      <c r="CT119" s="506"/>
      <c r="CU119" s="506"/>
      <c r="CV119" s="506"/>
      <c r="CW119" s="506"/>
      <c r="CX119" s="506"/>
      <c r="CY119" s="506"/>
      <c r="CZ119" s="506"/>
      <c r="DA119" s="506"/>
      <c r="DB119" s="506"/>
      <c r="DC119" s="506"/>
      <c r="DD119" s="507"/>
      <c r="DE119" s="513">
        <f>SUM(DE121:DQ124)</f>
        <v>4630498.4299999988</v>
      </c>
      <c r="DF119" s="514"/>
      <c r="DG119" s="514"/>
      <c r="DH119" s="514"/>
      <c r="DI119" s="514"/>
      <c r="DJ119" s="514"/>
      <c r="DK119" s="514"/>
      <c r="DL119" s="514"/>
      <c r="DM119" s="514"/>
      <c r="DN119" s="514"/>
      <c r="DO119" s="514"/>
      <c r="DP119" s="514"/>
      <c r="DQ119" s="515"/>
      <c r="DR119" s="513">
        <f>SUM(DR121:ED124)</f>
        <v>4629761.1500000004</v>
      </c>
      <c r="DS119" s="514"/>
      <c r="DT119" s="514"/>
      <c r="DU119" s="514"/>
      <c r="DV119" s="514"/>
      <c r="DW119" s="514"/>
      <c r="DX119" s="514"/>
      <c r="DY119" s="514"/>
      <c r="DZ119" s="514"/>
      <c r="EA119" s="514"/>
      <c r="EB119" s="514"/>
      <c r="EC119" s="514"/>
      <c r="ED119" s="515"/>
      <c r="EE119" s="513"/>
      <c r="EF119" s="514"/>
      <c r="EG119" s="514"/>
      <c r="EH119" s="514"/>
      <c r="EI119" s="514"/>
      <c r="EJ119" s="514"/>
      <c r="EK119" s="514"/>
      <c r="EL119" s="514"/>
      <c r="EM119" s="514"/>
      <c r="EN119" s="514"/>
      <c r="EO119" s="514"/>
      <c r="EP119" s="514"/>
      <c r="EQ119" s="515"/>
      <c r="ER119" s="349"/>
      <c r="ES119" s="350"/>
      <c r="ET119" s="350"/>
      <c r="EU119" s="350"/>
      <c r="EV119" s="350"/>
      <c r="EW119" s="350"/>
      <c r="EX119" s="350"/>
      <c r="EY119" s="350"/>
      <c r="EZ119" s="350"/>
      <c r="FA119" s="350"/>
      <c r="FB119" s="351"/>
      <c r="FC119" s="352"/>
      <c r="FD119" s="353"/>
      <c r="FE119" s="353"/>
      <c r="FF119" s="353"/>
      <c r="FG119" s="353"/>
      <c r="FH119" s="353"/>
      <c r="FI119" s="353"/>
      <c r="FJ119" s="353"/>
      <c r="FK119" s="353"/>
      <c r="FL119" s="353"/>
      <c r="FM119" s="181"/>
      <c r="FN119" s="181"/>
      <c r="FO119" s="275"/>
      <c r="FP119" s="275"/>
      <c r="FQ119" s="275">
        <f t="shared" si="3"/>
        <v>4629761.1500000004</v>
      </c>
    </row>
    <row r="120" spans="1:173" ht="12" customHeight="1">
      <c r="A120" s="354" t="s">
        <v>110</v>
      </c>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5"/>
      <c r="BL120" s="339" t="s">
        <v>272</v>
      </c>
      <c r="BM120" s="340"/>
      <c r="BN120" s="340"/>
      <c r="BO120" s="340"/>
      <c r="BP120" s="340"/>
      <c r="BQ120" s="340"/>
      <c r="BR120" s="340"/>
      <c r="BS120" s="341"/>
      <c r="BT120" s="345" t="s">
        <v>272</v>
      </c>
      <c r="BU120" s="340"/>
      <c r="BV120" s="340"/>
      <c r="BW120" s="340"/>
      <c r="BX120" s="340"/>
      <c r="BY120" s="340"/>
      <c r="BZ120" s="340"/>
      <c r="CA120" s="340"/>
      <c r="CB120" s="340"/>
      <c r="CC120" s="340"/>
      <c r="CD120" s="340"/>
      <c r="CE120" s="340"/>
      <c r="CF120" s="341"/>
      <c r="CG120" s="345"/>
      <c r="CH120" s="340"/>
      <c r="CI120" s="340"/>
      <c r="CJ120" s="340"/>
      <c r="CK120" s="340"/>
      <c r="CL120" s="340"/>
      <c r="CM120" s="340"/>
      <c r="CN120" s="340"/>
      <c r="CO120" s="340"/>
      <c r="CP120" s="340"/>
      <c r="CQ120" s="341"/>
      <c r="CR120" s="345"/>
      <c r="CS120" s="340"/>
      <c r="CT120" s="340"/>
      <c r="CU120" s="340"/>
      <c r="CV120" s="340"/>
      <c r="CW120" s="340"/>
      <c r="CX120" s="340"/>
      <c r="CY120" s="340"/>
      <c r="CZ120" s="340"/>
      <c r="DA120" s="340"/>
      <c r="DB120" s="340"/>
      <c r="DC120" s="340"/>
      <c r="DD120" s="341"/>
      <c r="DE120" s="345"/>
      <c r="DF120" s="340"/>
      <c r="DG120" s="340"/>
      <c r="DH120" s="340"/>
      <c r="DI120" s="340"/>
      <c r="DJ120" s="340"/>
      <c r="DK120" s="340"/>
      <c r="DL120" s="340"/>
      <c r="DM120" s="340"/>
      <c r="DN120" s="340"/>
      <c r="DO120" s="340"/>
      <c r="DP120" s="340"/>
      <c r="DQ120" s="341"/>
      <c r="DR120" s="345"/>
      <c r="DS120" s="340"/>
      <c r="DT120" s="340"/>
      <c r="DU120" s="340"/>
      <c r="DV120" s="340"/>
      <c r="DW120" s="340"/>
      <c r="DX120" s="340"/>
      <c r="DY120" s="340"/>
      <c r="DZ120" s="340"/>
      <c r="EA120" s="340"/>
      <c r="EB120" s="340"/>
      <c r="EC120" s="340"/>
      <c r="ED120" s="341"/>
      <c r="EE120" s="345"/>
      <c r="EF120" s="340"/>
      <c r="EG120" s="340"/>
      <c r="EH120" s="340"/>
      <c r="EI120" s="340"/>
      <c r="EJ120" s="340"/>
      <c r="EK120" s="340"/>
      <c r="EL120" s="340"/>
      <c r="EM120" s="340"/>
      <c r="EN120" s="340"/>
      <c r="EO120" s="340"/>
      <c r="EP120" s="340"/>
      <c r="EQ120" s="341"/>
      <c r="ER120" s="349"/>
      <c r="ES120" s="350"/>
      <c r="ET120" s="350"/>
      <c r="EU120" s="350"/>
      <c r="EV120" s="350"/>
      <c r="EW120" s="350"/>
      <c r="EX120" s="350"/>
      <c r="EY120" s="350"/>
      <c r="EZ120" s="350"/>
      <c r="FA120" s="350"/>
      <c r="FB120" s="351"/>
      <c r="FC120" s="349"/>
      <c r="FD120" s="350"/>
      <c r="FE120" s="350"/>
      <c r="FF120" s="350"/>
      <c r="FG120" s="350"/>
      <c r="FH120" s="350"/>
      <c r="FI120" s="350"/>
      <c r="FJ120" s="350"/>
      <c r="FK120" s="350"/>
      <c r="FL120" s="350"/>
      <c r="FM120" s="350"/>
      <c r="FN120" s="350"/>
      <c r="FO120" s="275"/>
      <c r="FP120" s="275"/>
      <c r="FQ120" s="275">
        <f t="shared" si="3"/>
        <v>0</v>
      </c>
    </row>
    <row r="121" spans="1:173" ht="12" customHeight="1">
      <c r="A121" s="386" t="s">
        <v>284</v>
      </c>
      <c r="B121" s="555"/>
      <c r="C121" s="555"/>
      <c r="D121" s="555"/>
      <c r="E121" s="555"/>
      <c r="F121" s="555"/>
      <c r="G121" s="555"/>
      <c r="H121" s="555"/>
      <c r="I121" s="555"/>
      <c r="J121" s="555"/>
      <c r="K121" s="555"/>
      <c r="L121" s="555"/>
      <c r="M121" s="555"/>
      <c r="N121" s="555"/>
      <c r="O121" s="555"/>
      <c r="P121" s="555"/>
      <c r="Q121" s="555"/>
      <c r="R121" s="555"/>
      <c r="S121" s="555"/>
      <c r="T121" s="555"/>
      <c r="U121" s="555"/>
      <c r="V121" s="555"/>
      <c r="W121" s="555"/>
      <c r="X121" s="555"/>
      <c r="Y121" s="555"/>
      <c r="Z121" s="555"/>
      <c r="AA121" s="555"/>
      <c r="AB121" s="555"/>
      <c r="AC121" s="555"/>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5"/>
      <c r="AY121" s="555"/>
      <c r="AZ121" s="555"/>
      <c r="BA121" s="555"/>
      <c r="BB121" s="555"/>
      <c r="BC121" s="555"/>
      <c r="BD121" s="555"/>
      <c r="BE121" s="555"/>
      <c r="BF121" s="555"/>
      <c r="BG121" s="555"/>
      <c r="BH121" s="555"/>
      <c r="BI121" s="555"/>
      <c r="BJ121" s="555"/>
      <c r="BK121" s="556"/>
      <c r="BL121" s="339"/>
      <c r="BM121" s="340"/>
      <c r="BN121" s="340"/>
      <c r="BO121" s="340"/>
      <c r="BP121" s="340"/>
      <c r="BQ121" s="340"/>
      <c r="BR121" s="340"/>
      <c r="BS121" s="341"/>
      <c r="BT121" s="345"/>
      <c r="BU121" s="340"/>
      <c r="BV121" s="340"/>
      <c r="BW121" s="340"/>
      <c r="BX121" s="340"/>
      <c r="BY121" s="340"/>
      <c r="BZ121" s="340"/>
      <c r="CA121" s="340"/>
      <c r="CB121" s="340"/>
      <c r="CC121" s="340"/>
      <c r="CD121" s="340"/>
      <c r="CE121" s="340"/>
      <c r="CF121" s="341"/>
      <c r="CG121" s="345"/>
      <c r="CH121" s="340"/>
      <c r="CI121" s="340"/>
      <c r="CJ121" s="340"/>
      <c r="CK121" s="340"/>
      <c r="CL121" s="340"/>
      <c r="CM121" s="340"/>
      <c r="CN121" s="340"/>
      <c r="CO121" s="340"/>
      <c r="CP121" s="340"/>
      <c r="CQ121" s="341"/>
      <c r="CR121" s="482"/>
      <c r="CS121" s="483"/>
      <c r="CT121" s="483"/>
      <c r="CU121" s="483"/>
      <c r="CV121" s="483"/>
      <c r="CW121" s="483"/>
      <c r="CX121" s="483"/>
      <c r="CY121" s="483"/>
      <c r="CZ121" s="483"/>
      <c r="DA121" s="483"/>
      <c r="DB121" s="483"/>
      <c r="DC121" s="483"/>
      <c r="DD121" s="484"/>
      <c r="DE121" s="526">
        <f>SUM(DE126)</f>
        <v>1990500</v>
      </c>
      <c r="DF121" s="527"/>
      <c r="DG121" s="527"/>
      <c r="DH121" s="527"/>
      <c r="DI121" s="527"/>
      <c r="DJ121" s="527"/>
      <c r="DK121" s="527"/>
      <c r="DL121" s="527"/>
      <c r="DM121" s="527"/>
      <c r="DN121" s="527"/>
      <c r="DO121" s="527"/>
      <c r="DP121" s="527"/>
      <c r="DQ121" s="528"/>
      <c r="DR121" s="526">
        <f>SUM(DR126)</f>
        <v>2306750</v>
      </c>
      <c r="DS121" s="527"/>
      <c r="DT121" s="527"/>
      <c r="DU121" s="527"/>
      <c r="DV121" s="527"/>
      <c r="DW121" s="527"/>
      <c r="DX121" s="527"/>
      <c r="DY121" s="527"/>
      <c r="DZ121" s="527"/>
      <c r="EA121" s="527"/>
      <c r="EB121" s="527"/>
      <c r="EC121" s="527"/>
      <c r="ED121" s="528"/>
      <c r="EE121" s="526"/>
      <c r="EF121" s="527"/>
      <c r="EG121" s="527"/>
      <c r="EH121" s="527"/>
      <c r="EI121" s="527"/>
      <c r="EJ121" s="527"/>
      <c r="EK121" s="527"/>
      <c r="EL121" s="527"/>
      <c r="EM121" s="527"/>
      <c r="EN121" s="527"/>
      <c r="EO121" s="527"/>
      <c r="EP121" s="527"/>
      <c r="EQ121" s="528"/>
      <c r="ER121" s="349"/>
      <c r="ES121" s="350"/>
      <c r="ET121" s="350"/>
      <c r="EU121" s="350"/>
      <c r="EV121" s="350"/>
      <c r="EW121" s="350"/>
      <c r="EX121" s="350"/>
      <c r="EY121" s="350"/>
      <c r="EZ121" s="350"/>
      <c r="FA121" s="350"/>
      <c r="FB121" s="351"/>
      <c r="FC121" s="349"/>
      <c r="FD121" s="350"/>
      <c r="FE121" s="350"/>
      <c r="FF121" s="350"/>
      <c r="FG121" s="350"/>
      <c r="FH121" s="350"/>
      <c r="FI121" s="350"/>
      <c r="FJ121" s="350"/>
      <c r="FK121" s="350"/>
      <c r="FL121" s="350"/>
      <c r="FM121" s="350"/>
      <c r="FN121" s="350"/>
      <c r="FO121" s="275"/>
      <c r="FP121" s="275"/>
      <c r="FQ121" s="275">
        <f t="shared" si="3"/>
        <v>2306750</v>
      </c>
    </row>
    <row r="122" spans="1:173" ht="12" customHeight="1">
      <c r="A122" s="469" t="s">
        <v>282</v>
      </c>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8"/>
      <c r="BL122" s="339"/>
      <c r="BM122" s="340"/>
      <c r="BN122" s="340"/>
      <c r="BO122" s="340"/>
      <c r="BP122" s="340"/>
      <c r="BQ122" s="340"/>
      <c r="BR122" s="340"/>
      <c r="BS122" s="341"/>
      <c r="BT122" s="345"/>
      <c r="BU122" s="340"/>
      <c r="BV122" s="340"/>
      <c r="BW122" s="340"/>
      <c r="BX122" s="340"/>
      <c r="BY122" s="340"/>
      <c r="BZ122" s="340"/>
      <c r="CA122" s="340"/>
      <c r="CB122" s="340"/>
      <c r="CC122" s="340"/>
      <c r="CD122" s="340"/>
      <c r="CE122" s="340"/>
      <c r="CF122" s="341"/>
      <c r="CG122" s="345"/>
      <c r="CH122" s="340"/>
      <c r="CI122" s="340"/>
      <c r="CJ122" s="340"/>
      <c r="CK122" s="340"/>
      <c r="CL122" s="340"/>
      <c r="CM122" s="340"/>
      <c r="CN122" s="340"/>
      <c r="CO122" s="340"/>
      <c r="CP122" s="340"/>
      <c r="CQ122" s="341"/>
      <c r="CR122" s="482"/>
      <c r="CS122" s="483"/>
      <c r="CT122" s="483"/>
      <c r="CU122" s="483"/>
      <c r="CV122" s="483"/>
      <c r="CW122" s="483"/>
      <c r="CX122" s="483"/>
      <c r="CY122" s="483"/>
      <c r="CZ122" s="483"/>
      <c r="DA122" s="483"/>
      <c r="DB122" s="483"/>
      <c r="DC122" s="483"/>
      <c r="DD122" s="484"/>
      <c r="DE122" s="526">
        <f>SUM(DE127+DE128)</f>
        <v>2639998.3699999992</v>
      </c>
      <c r="DF122" s="527"/>
      <c r="DG122" s="527"/>
      <c r="DH122" s="527"/>
      <c r="DI122" s="527"/>
      <c r="DJ122" s="527"/>
      <c r="DK122" s="527"/>
      <c r="DL122" s="527"/>
      <c r="DM122" s="527"/>
      <c r="DN122" s="527"/>
      <c r="DO122" s="527"/>
      <c r="DP122" s="527"/>
      <c r="DQ122" s="528"/>
      <c r="DR122" s="526">
        <f>SUM(DR127+DR128)</f>
        <v>2323011.15</v>
      </c>
      <c r="DS122" s="527"/>
      <c r="DT122" s="527"/>
      <c r="DU122" s="527"/>
      <c r="DV122" s="527"/>
      <c r="DW122" s="527"/>
      <c r="DX122" s="527"/>
      <c r="DY122" s="527"/>
      <c r="DZ122" s="527"/>
      <c r="EA122" s="527"/>
      <c r="EB122" s="527"/>
      <c r="EC122" s="527"/>
      <c r="ED122" s="528"/>
      <c r="EE122" s="526"/>
      <c r="EF122" s="527"/>
      <c r="EG122" s="527"/>
      <c r="EH122" s="527"/>
      <c r="EI122" s="527"/>
      <c r="EJ122" s="527"/>
      <c r="EK122" s="527"/>
      <c r="EL122" s="527"/>
      <c r="EM122" s="527"/>
      <c r="EN122" s="527"/>
      <c r="EO122" s="527"/>
      <c r="EP122" s="527"/>
      <c r="EQ122" s="528"/>
      <c r="ER122" s="349"/>
      <c r="ES122" s="350"/>
      <c r="ET122" s="350"/>
      <c r="EU122" s="350"/>
      <c r="EV122" s="350"/>
      <c r="EW122" s="350"/>
      <c r="EX122" s="350"/>
      <c r="EY122" s="350"/>
      <c r="EZ122" s="350"/>
      <c r="FA122" s="350"/>
      <c r="FB122" s="351"/>
      <c r="FC122" s="349"/>
      <c r="FD122" s="350"/>
      <c r="FE122" s="350"/>
      <c r="FF122" s="350"/>
      <c r="FG122" s="350"/>
      <c r="FH122" s="350"/>
      <c r="FI122" s="350"/>
      <c r="FJ122" s="350"/>
      <c r="FK122" s="350"/>
      <c r="FL122" s="350"/>
      <c r="FM122" s="350"/>
      <c r="FN122" s="350"/>
      <c r="FO122" s="275"/>
      <c r="FP122" s="275"/>
      <c r="FQ122" s="275">
        <f t="shared" si="3"/>
        <v>2323011.15</v>
      </c>
    </row>
    <row r="123" spans="1:173" ht="12" customHeight="1">
      <c r="A123" s="383" t="s">
        <v>194</v>
      </c>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c r="AK123" s="384"/>
      <c r="AL123" s="384"/>
      <c r="AM123" s="384"/>
      <c r="AN123" s="384"/>
      <c r="AO123" s="384"/>
      <c r="AP123" s="384"/>
      <c r="AQ123" s="384"/>
      <c r="AR123" s="384"/>
      <c r="AS123" s="384"/>
      <c r="AT123" s="384"/>
      <c r="AU123" s="384"/>
      <c r="AV123" s="384"/>
      <c r="AW123" s="384"/>
      <c r="AX123" s="384"/>
      <c r="AY123" s="384"/>
      <c r="AZ123" s="384"/>
      <c r="BA123" s="384"/>
      <c r="BB123" s="384"/>
      <c r="BC123" s="384"/>
      <c r="BD123" s="384"/>
      <c r="BE123" s="384"/>
      <c r="BF123" s="384"/>
      <c r="BG123" s="384"/>
      <c r="BH123" s="384"/>
      <c r="BI123" s="384"/>
      <c r="BJ123" s="384"/>
      <c r="BK123" s="385"/>
      <c r="BL123" s="339"/>
      <c r="BM123" s="340"/>
      <c r="BN123" s="340"/>
      <c r="BO123" s="340"/>
      <c r="BP123" s="340"/>
      <c r="BQ123" s="340"/>
      <c r="BR123" s="340"/>
      <c r="BS123" s="341"/>
      <c r="BT123" s="345"/>
      <c r="BU123" s="340"/>
      <c r="BV123" s="340"/>
      <c r="BW123" s="340"/>
      <c r="BX123" s="340"/>
      <c r="BY123" s="340"/>
      <c r="BZ123" s="340"/>
      <c r="CA123" s="340"/>
      <c r="CB123" s="340"/>
      <c r="CC123" s="340"/>
      <c r="CD123" s="340"/>
      <c r="CE123" s="340"/>
      <c r="CF123" s="341"/>
      <c r="CG123" s="345"/>
      <c r="CH123" s="340"/>
      <c r="CI123" s="340"/>
      <c r="CJ123" s="340"/>
      <c r="CK123" s="340"/>
      <c r="CL123" s="340"/>
      <c r="CM123" s="340"/>
      <c r="CN123" s="340"/>
      <c r="CO123" s="340"/>
      <c r="CP123" s="340"/>
      <c r="CQ123" s="341"/>
      <c r="CR123" s="345"/>
      <c r="CS123" s="340"/>
      <c r="CT123" s="340"/>
      <c r="CU123" s="340"/>
      <c r="CV123" s="340"/>
      <c r="CW123" s="340"/>
      <c r="CX123" s="340"/>
      <c r="CY123" s="340"/>
      <c r="CZ123" s="340"/>
      <c r="DA123" s="340"/>
      <c r="DB123" s="340"/>
      <c r="DC123" s="340"/>
      <c r="DD123" s="341"/>
      <c r="DE123" s="526">
        <f>DE129</f>
        <v>6.0000000001309672E-2</v>
      </c>
      <c r="DF123" s="527"/>
      <c r="DG123" s="527"/>
      <c r="DH123" s="527"/>
      <c r="DI123" s="527"/>
      <c r="DJ123" s="527"/>
      <c r="DK123" s="527"/>
      <c r="DL123" s="527"/>
      <c r="DM123" s="527"/>
      <c r="DN123" s="527"/>
      <c r="DO123" s="527"/>
      <c r="DP123" s="527"/>
      <c r="DQ123" s="528"/>
      <c r="DR123" s="526">
        <f>DR129</f>
        <v>0</v>
      </c>
      <c r="DS123" s="527"/>
      <c r="DT123" s="527"/>
      <c r="DU123" s="527"/>
      <c r="DV123" s="527"/>
      <c r="DW123" s="527"/>
      <c r="DX123" s="527"/>
      <c r="DY123" s="527"/>
      <c r="DZ123" s="527"/>
      <c r="EA123" s="527"/>
      <c r="EB123" s="527"/>
      <c r="EC123" s="527"/>
      <c r="ED123" s="528"/>
      <c r="EE123" s="526"/>
      <c r="EF123" s="527"/>
      <c r="EG123" s="527"/>
      <c r="EH123" s="527"/>
      <c r="EI123" s="527"/>
      <c r="EJ123" s="527"/>
      <c r="EK123" s="527"/>
      <c r="EL123" s="527"/>
      <c r="EM123" s="527"/>
      <c r="EN123" s="527"/>
      <c r="EO123" s="527"/>
      <c r="EP123" s="527"/>
      <c r="EQ123" s="528"/>
      <c r="ER123" s="349"/>
      <c r="ES123" s="350"/>
      <c r="ET123" s="350"/>
      <c r="EU123" s="350"/>
      <c r="EV123" s="350"/>
      <c r="EW123" s="350"/>
      <c r="EX123" s="350"/>
      <c r="EY123" s="350"/>
      <c r="EZ123" s="350"/>
      <c r="FA123" s="350"/>
      <c r="FB123" s="351"/>
      <c r="FC123" s="349"/>
      <c r="FD123" s="350"/>
      <c r="FE123" s="350"/>
      <c r="FF123" s="350"/>
      <c r="FG123" s="350"/>
      <c r="FH123" s="350"/>
      <c r="FI123" s="350"/>
      <c r="FJ123" s="350"/>
      <c r="FK123" s="350"/>
      <c r="FL123" s="350"/>
      <c r="FM123" s="350"/>
      <c r="FN123" s="350"/>
      <c r="FO123" s="275"/>
      <c r="FP123" s="275"/>
      <c r="FQ123" s="275">
        <f t="shared" si="3"/>
        <v>0</v>
      </c>
    </row>
    <row r="124" spans="1:173" ht="12" customHeight="1">
      <c r="A124" s="354" t="s">
        <v>201</v>
      </c>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4"/>
      <c r="BA124" s="374"/>
      <c r="BB124" s="374"/>
      <c r="BC124" s="374"/>
      <c r="BD124" s="374"/>
      <c r="BE124" s="374"/>
      <c r="BF124" s="374"/>
      <c r="BG124" s="374"/>
      <c r="BH124" s="374"/>
      <c r="BI124" s="374"/>
      <c r="BJ124" s="374"/>
      <c r="BK124" s="375"/>
      <c r="BL124" s="339" t="s">
        <v>272</v>
      </c>
      <c r="BM124" s="340"/>
      <c r="BN124" s="340"/>
      <c r="BO124" s="340"/>
      <c r="BP124" s="340"/>
      <c r="BQ124" s="340"/>
      <c r="BR124" s="340"/>
      <c r="BS124" s="341"/>
      <c r="BT124" s="345" t="s">
        <v>272</v>
      </c>
      <c r="BU124" s="340"/>
      <c r="BV124" s="340"/>
      <c r="BW124" s="340"/>
      <c r="BX124" s="340"/>
      <c r="BY124" s="340"/>
      <c r="BZ124" s="340"/>
      <c r="CA124" s="340"/>
      <c r="CB124" s="340"/>
      <c r="CC124" s="340"/>
      <c r="CD124" s="340"/>
      <c r="CE124" s="340"/>
      <c r="CF124" s="341"/>
      <c r="CG124" s="345"/>
      <c r="CH124" s="340"/>
      <c r="CI124" s="340"/>
      <c r="CJ124" s="340"/>
      <c r="CK124" s="340"/>
      <c r="CL124" s="340"/>
      <c r="CM124" s="340"/>
      <c r="CN124" s="340"/>
      <c r="CO124" s="340"/>
      <c r="CP124" s="340"/>
      <c r="CQ124" s="341"/>
      <c r="CR124" s="345"/>
      <c r="CS124" s="340"/>
      <c r="CT124" s="340"/>
      <c r="CU124" s="340"/>
      <c r="CV124" s="340"/>
      <c r="CW124" s="340"/>
      <c r="CX124" s="340"/>
      <c r="CY124" s="340"/>
      <c r="CZ124" s="340"/>
      <c r="DA124" s="340"/>
      <c r="DB124" s="340"/>
      <c r="DC124" s="340"/>
      <c r="DD124" s="341"/>
      <c r="DE124" s="482">
        <v>0</v>
      </c>
      <c r="DF124" s="483"/>
      <c r="DG124" s="483"/>
      <c r="DH124" s="483"/>
      <c r="DI124" s="483"/>
      <c r="DJ124" s="483"/>
      <c r="DK124" s="483"/>
      <c r="DL124" s="483"/>
      <c r="DM124" s="483"/>
      <c r="DN124" s="483"/>
      <c r="DO124" s="483"/>
      <c r="DP124" s="483"/>
      <c r="DQ124" s="484"/>
      <c r="DR124" s="482">
        <v>0</v>
      </c>
      <c r="DS124" s="483"/>
      <c r="DT124" s="483"/>
      <c r="DU124" s="483"/>
      <c r="DV124" s="483"/>
      <c r="DW124" s="483"/>
      <c r="DX124" s="483"/>
      <c r="DY124" s="483"/>
      <c r="DZ124" s="483"/>
      <c r="EA124" s="483"/>
      <c r="EB124" s="483"/>
      <c r="EC124" s="483"/>
      <c r="ED124" s="484"/>
      <c r="EE124" s="482"/>
      <c r="EF124" s="483"/>
      <c r="EG124" s="483"/>
      <c r="EH124" s="483"/>
      <c r="EI124" s="483"/>
      <c r="EJ124" s="483"/>
      <c r="EK124" s="483"/>
      <c r="EL124" s="483"/>
      <c r="EM124" s="483"/>
      <c r="EN124" s="483"/>
      <c r="EO124" s="483"/>
      <c r="EP124" s="483"/>
      <c r="EQ124" s="484"/>
      <c r="ER124" s="349"/>
      <c r="ES124" s="350"/>
      <c r="ET124" s="350"/>
      <c r="EU124" s="350"/>
      <c r="EV124" s="350"/>
      <c r="EW124" s="350"/>
      <c r="EX124" s="350"/>
      <c r="EY124" s="350"/>
      <c r="EZ124" s="350"/>
      <c r="FA124" s="350"/>
      <c r="FB124" s="351"/>
      <c r="FC124" s="349"/>
      <c r="FD124" s="350"/>
      <c r="FE124" s="350"/>
      <c r="FF124" s="350"/>
      <c r="FG124" s="350"/>
      <c r="FH124" s="350"/>
      <c r="FI124" s="350"/>
      <c r="FJ124" s="350"/>
      <c r="FK124" s="350"/>
      <c r="FL124" s="350"/>
      <c r="FM124" s="350"/>
      <c r="FN124" s="350"/>
      <c r="FO124" s="275"/>
      <c r="FP124" s="275"/>
      <c r="FQ124" s="275">
        <f t="shared" si="3"/>
        <v>0</v>
      </c>
    </row>
    <row r="125" spans="1:173" ht="24" customHeight="1">
      <c r="A125" s="508" t="s">
        <v>64</v>
      </c>
      <c r="B125" s="509"/>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09"/>
      <c r="BA125" s="509"/>
      <c r="BB125" s="509"/>
      <c r="BC125" s="509"/>
      <c r="BD125" s="509"/>
      <c r="BE125" s="509"/>
      <c r="BF125" s="509"/>
      <c r="BG125" s="509"/>
      <c r="BH125" s="509"/>
      <c r="BI125" s="509"/>
      <c r="BJ125" s="509"/>
      <c r="BK125" s="510"/>
      <c r="BL125" s="339" t="s">
        <v>65</v>
      </c>
      <c r="BM125" s="340"/>
      <c r="BN125" s="340"/>
      <c r="BO125" s="340"/>
      <c r="BP125" s="340"/>
      <c r="BQ125" s="340"/>
      <c r="BR125" s="340"/>
      <c r="BS125" s="341"/>
      <c r="BT125" s="345" t="s">
        <v>63</v>
      </c>
      <c r="BU125" s="340"/>
      <c r="BV125" s="340"/>
      <c r="BW125" s="340"/>
      <c r="BX125" s="340"/>
      <c r="BY125" s="340"/>
      <c r="BZ125" s="340"/>
      <c r="CA125" s="340"/>
      <c r="CB125" s="340"/>
      <c r="CC125" s="340"/>
      <c r="CD125" s="340"/>
      <c r="CE125" s="340"/>
      <c r="CF125" s="341"/>
      <c r="CG125" s="345" t="s">
        <v>272</v>
      </c>
      <c r="CH125" s="340"/>
      <c r="CI125" s="340"/>
      <c r="CJ125" s="340"/>
      <c r="CK125" s="340"/>
      <c r="CL125" s="340"/>
      <c r="CM125" s="340"/>
      <c r="CN125" s="340"/>
      <c r="CO125" s="340"/>
      <c r="CP125" s="340"/>
      <c r="CQ125" s="341"/>
      <c r="CR125" s="345"/>
      <c r="CS125" s="340"/>
      <c r="CT125" s="340"/>
      <c r="CU125" s="340"/>
      <c r="CV125" s="340"/>
      <c r="CW125" s="340"/>
      <c r="CX125" s="340"/>
      <c r="CY125" s="340"/>
      <c r="CZ125" s="340"/>
      <c r="DA125" s="340"/>
      <c r="DB125" s="340"/>
      <c r="DC125" s="340"/>
      <c r="DD125" s="341"/>
      <c r="DE125" s="526">
        <f>SUM(DE126:DQ129)</f>
        <v>4630498.4299999988</v>
      </c>
      <c r="DF125" s="527"/>
      <c r="DG125" s="527"/>
      <c r="DH125" s="527"/>
      <c r="DI125" s="527"/>
      <c r="DJ125" s="527"/>
      <c r="DK125" s="527"/>
      <c r="DL125" s="527"/>
      <c r="DM125" s="527"/>
      <c r="DN125" s="527"/>
      <c r="DO125" s="527"/>
      <c r="DP125" s="527"/>
      <c r="DQ125" s="528"/>
      <c r="DR125" s="526">
        <f>SUM(DR126:ED129)</f>
        <v>4629761.1500000004</v>
      </c>
      <c r="DS125" s="527"/>
      <c r="DT125" s="527"/>
      <c r="DU125" s="527"/>
      <c r="DV125" s="527"/>
      <c r="DW125" s="527"/>
      <c r="DX125" s="527"/>
      <c r="DY125" s="527"/>
      <c r="DZ125" s="527"/>
      <c r="EA125" s="527"/>
      <c r="EB125" s="527"/>
      <c r="EC125" s="527"/>
      <c r="ED125" s="528"/>
      <c r="EE125" s="526"/>
      <c r="EF125" s="527"/>
      <c r="EG125" s="527"/>
      <c r="EH125" s="527"/>
      <c r="EI125" s="527"/>
      <c r="EJ125" s="527"/>
      <c r="EK125" s="527"/>
      <c r="EL125" s="527"/>
      <c r="EM125" s="527"/>
      <c r="EN125" s="527"/>
      <c r="EO125" s="527"/>
      <c r="EP125" s="527"/>
      <c r="EQ125" s="528"/>
      <c r="ER125" s="349"/>
      <c r="ES125" s="350"/>
      <c r="ET125" s="350"/>
      <c r="EU125" s="350"/>
      <c r="EV125" s="350"/>
      <c r="EW125" s="350"/>
      <c r="EX125" s="350"/>
      <c r="EY125" s="350"/>
      <c r="EZ125" s="350"/>
      <c r="FA125" s="350"/>
      <c r="FB125" s="351"/>
      <c r="FC125" s="352"/>
      <c r="FD125" s="353"/>
      <c r="FE125" s="353"/>
      <c r="FF125" s="353"/>
      <c r="FG125" s="353"/>
      <c r="FH125" s="353"/>
      <c r="FI125" s="353"/>
      <c r="FJ125" s="353"/>
      <c r="FK125" s="353"/>
      <c r="FL125" s="353"/>
      <c r="FO125" s="275"/>
      <c r="FP125" s="275"/>
      <c r="FQ125" s="275">
        <f t="shared" si="3"/>
        <v>4629761.1500000004</v>
      </c>
    </row>
    <row r="126" spans="1:173" ht="12" customHeight="1">
      <c r="A126" s="441" t="s">
        <v>358</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c r="BB126" s="447"/>
      <c r="BC126" s="447"/>
      <c r="BD126" s="447"/>
      <c r="BE126" s="447"/>
      <c r="BF126" s="447"/>
      <c r="BG126" s="447"/>
      <c r="BH126" s="447"/>
      <c r="BI126" s="447"/>
      <c r="BJ126" s="447"/>
      <c r="BK126" s="448"/>
      <c r="BL126" s="339"/>
      <c r="BM126" s="340"/>
      <c r="BN126" s="340"/>
      <c r="BO126" s="340"/>
      <c r="BP126" s="340"/>
      <c r="BQ126" s="340"/>
      <c r="BR126" s="340"/>
      <c r="BS126" s="341"/>
      <c r="BT126" s="342" t="s">
        <v>757</v>
      </c>
      <c r="BU126" s="343"/>
      <c r="BV126" s="343"/>
      <c r="BW126" s="343"/>
      <c r="BX126" s="343"/>
      <c r="BY126" s="343"/>
      <c r="BZ126" s="343"/>
      <c r="CA126" s="343"/>
      <c r="CB126" s="343"/>
      <c r="CC126" s="343"/>
      <c r="CD126" s="343"/>
      <c r="CE126" s="343"/>
      <c r="CF126" s="344"/>
      <c r="CG126" s="345" t="s">
        <v>883</v>
      </c>
      <c r="CH126" s="340"/>
      <c r="CI126" s="340"/>
      <c r="CJ126" s="340"/>
      <c r="CK126" s="340"/>
      <c r="CL126" s="340"/>
      <c r="CM126" s="340"/>
      <c r="CN126" s="340"/>
      <c r="CO126" s="340"/>
      <c r="CP126" s="340"/>
      <c r="CQ126" s="341"/>
      <c r="CR126" s="482"/>
      <c r="CS126" s="483"/>
      <c r="CT126" s="483"/>
      <c r="CU126" s="483"/>
      <c r="CV126" s="483"/>
      <c r="CW126" s="483"/>
      <c r="CX126" s="483"/>
      <c r="CY126" s="483"/>
      <c r="CZ126" s="483"/>
      <c r="DA126" s="483"/>
      <c r="DB126" s="483"/>
      <c r="DC126" s="483"/>
      <c r="DD126" s="484"/>
      <c r="DE126" s="482">
        <v>1990500</v>
      </c>
      <c r="DF126" s="483"/>
      <c r="DG126" s="483"/>
      <c r="DH126" s="483"/>
      <c r="DI126" s="483"/>
      <c r="DJ126" s="483"/>
      <c r="DK126" s="483"/>
      <c r="DL126" s="483"/>
      <c r="DM126" s="483"/>
      <c r="DN126" s="483"/>
      <c r="DO126" s="483"/>
      <c r="DP126" s="483"/>
      <c r="DQ126" s="484"/>
      <c r="DR126" s="482">
        <v>2306750</v>
      </c>
      <c r="DS126" s="483"/>
      <c r="DT126" s="483"/>
      <c r="DU126" s="483"/>
      <c r="DV126" s="483"/>
      <c r="DW126" s="483"/>
      <c r="DX126" s="483"/>
      <c r="DY126" s="483"/>
      <c r="DZ126" s="483"/>
      <c r="EA126" s="483"/>
      <c r="EB126" s="483"/>
      <c r="EC126" s="483"/>
      <c r="ED126" s="484"/>
      <c r="EE126" s="482"/>
      <c r="EF126" s="483"/>
      <c r="EG126" s="483"/>
      <c r="EH126" s="483"/>
      <c r="EI126" s="483"/>
      <c r="EJ126" s="483"/>
      <c r="EK126" s="483"/>
      <c r="EL126" s="483"/>
      <c r="EM126" s="483"/>
      <c r="EN126" s="483"/>
      <c r="EO126" s="483"/>
      <c r="EP126" s="483"/>
      <c r="EQ126" s="484"/>
      <c r="ER126" s="349"/>
      <c r="ES126" s="350"/>
      <c r="ET126" s="350"/>
      <c r="EU126" s="350"/>
      <c r="EV126" s="350"/>
      <c r="EW126" s="350"/>
      <c r="EX126" s="350"/>
      <c r="EY126" s="350"/>
      <c r="EZ126" s="350"/>
      <c r="FA126" s="350"/>
      <c r="FB126" s="351"/>
      <c r="FC126" s="352"/>
      <c r="FD126" s="353"/>
      <c r="FE126" s="353"/>
      <c r="FF126" s="353"/>
      <c r="FG126" s="353"/>
      <c r="FH126" s="353"/>
      <c r="FI126" s="353"/>
      <c r="FJ126" s="353"/>
      <c r="FK126" s="353"/>
      <c r="FL126" s="353"/>
      <c r="FO126" s="275"/>
      <c r="FP126" s="275"/>
      <c r="FQ126" s="275">
        <f t="shared" si="3"/>
        <v>2306750</v>
      </c>
    </row>
    <row r="127" spans="1:173" ht="12" customHeight="1">
      <c r="A127" s="441" t="s">
        <v>359</v>
      </c>
      <c r="B127" s="447"/>
      <c r="C127" s="447"/>
      <c r="D127" s="447"/>
      <c r="E127" s="447"/>
      <c r="F127" s="447"/>
      <c r="G127" s="447"/>
      <c r="H127" s="447"/>
      <c r="I127" s="447"/>
      <c r="J127" s="447"/>
      <c r="K127" s="447"/>
      <c r="L127" s="447"/>
      <c r="M127" s="447"/>
      <c r="N127" s="447"/>
      <c r="O127" s="447"/>
      <c r="P127" s="447"/>
      <c r="Q127" s="447"/>
      <c r="R127" s="447"/>
      <c r="S127" s="447"/>
      <c r="T127" s="447"/>
      <c r="U127" s="447"/>
      <c r="V127" s="447"/>
      <c r="W127" s="447"/>
      <c r="X127" s="447"/>
      <c r="Y127" s="447"/>
      <c r="Z127" s="447"/>
      <c r="AA127" s="447"/>
      <c r="AB127" s="447"/>
      <c r="AC127" s="447"/>
      <c r="AD127" s="447"/>
      <c r="AE127" s="447"/>
      <c r="AF127" s="447"/>
      <c r="AG127" s="447"/>
      <c r="AH127" s="447"/>
      <c r="AI127" s="447"/>
      <c r="AJ127" s="447"/>
      <c r="AK127" s="447"/>
      <c r="AL127" s="447"/>
      <c r="AM127" s="447"/>
      <c r="AN127" s="447"/>
      <c r="AO127" s="447"/>
      <c r="AP127" s="447"/>
      <c r="AQ127" s="447"/>
      <c r="AR127" s="447"/>
      <c r="AS127" s="447"/>
      <c r="AT127" s="447"/>
      <c r="AU127" s="447"/>
      <c r="AV127" s="447"/>
      <c r="AW127" s="447"/>
      <c r="AX127" s="447"/>
      <c r="AY127" s="447"/>
      <c r="AZ127" s="447"/>
      <c r="BA127" s="447"/>
      <c r="BB127" s="447"/>
      <c r="BC127" s="447"/>
      <c r="BD127" s="447"/>
      <c r="BE127" s="447"/>
      <c r="BF127" s="447"/>
      <c r="BG127" s="447"/>
      <c r="BH127" s="447"/>
      <c r="BI127" s="447"/>
      <c r="BJ127" s="447"/>
      <c r="BK127" s="448"/>
      <c r="BL127" s="339"/>
      <c r="BM127" s="340"/>
      <c r="BN127" s="340"/>
      <c r="BO127" s="340"/>
      <c r="BP127" s="340"/>
      <c r="BQ127" s="340"/>
      <c r="BR127" s="340"/>
      <c r="BS127" s="341"/>
      <c r="BT127" s="342" t="s">
        <v>758</v>
      </c>
      <c r="BU127" s="343"/>
      <c r="BV127" s="343"/>
      <c r="BW127" s="343"/>
      <c r="BX127" s="343"/>
      <c r="BY127" s="343"/>
      <c r="BZ127" s="343"/>
      <c r="CA127" s="343"/>
      <c r="CB127" s="343"/>
      <c r="CC127" s="343"/>
      <c r="CD127" s="343"/>
      <c r="CE127" s="343"/>
      <c r="CF127" s="344"/>
      <c r="CG127" s="345" t="s">
        <v>883</v>
      </c>
      <c r="CH127" s="340"/>
      <c r="CI127" s="340"/>
      <c r="CJ127" s="340"/>
      <c r="CK127" s="340"/>
      <c r="CL127" s="340"/>
      <c r="CM127" s="340"/>
      <c r="CN127" s="340"/>
      <c r="CO127" s="340"/>
      <c r="CP127" s="340"/>
      <c r="CQ127" s="341"/>
      <c r="CR127" s="482"/>
      <c r="CS127" s="483"/>
      <c r="CT127" s="483"/>
      <c r="CU127" s="483"/>
      <c r="CV127" s="483"/>
      <c r="CW127" s="483"/>
      <c r="CX127" s="483"/>
      <c r="CY127" s="483"/>
      <c r="CZ127" s="483"/>
      <c r="DA127" s="483"/>
      <c r="DB127" s="483"/>
      <c r="DC127" s="483"/>
      <c r="DD127" s="484"/>
      <c r="DE127" s="482">
        <f>452789.47-347800</f>
        <v>104989.46999999997</v>
      </c>
      <c r="DF127" s="483"/>
      <c r="DG127" s="483"/>
      <c r="DH127" s="483"/>
      <c r="DI127" s="483"/>
      <c r="DJ127" s="483"/>
      <c r="DK127" s="483"/>
      <c r="DL127" s="483"/>
      <c r="DM127" s="483"/>
      <c r="DN127" s="483"/>
      <c r="DO127" s="483"/>
      <c r="DP127" s="483"/>
      <c r="DQ127" s="484"/>
      <c r="DR127" s="482">
        <v>121372</v>
      </c>
      <c r="DS127" s="483"/>
      <c r="DT127" s="483"/>
      <c r="DU127" s="483"/>
      <c r="DV127" s="483"/>
      <c r="DW127" s="483"/>
      <c r="DX127" s="483"/>
      <c r="DY127" s="483"/>
      <c r="DZ127" s="483"/>
      <c r="EA127" s="483"/>
      <c r="EB127" s="483"/>
      <c r="EC127" s="483"/>
      <c r="ED127" s="484"/>
      <c r="EE127" s="482"/>
      <c r="EF127" s="483"/>
      <c r="EG127" s="483"/>
      <c r="EH127" s="483"/>
      <c r="EI127" s="483"/>
      <c r="EJ127" s="483"/>
      <c r="EK127" s="483"/>
      <c r="EL127" s="483"/>
      <c r="EM127" s="483"/>
      <c r="EN127" s="483"/>
      <c r="EO127" s="483"/>
      <c r="EP127" s="483"/>
      <c r="EQ127" s="484"/>
      <c r="ER127" s="349"/>
      <c r="ES127" s="350"/>
      <c r="ET127" s="350"/>
      <c r="EU127" s="350"/>
      <c r="EV127" s="350"/>
      <c r="EW127" s="350"/>
      <c r="EX127" s="350"/>
      <c r="EY127" s="350"/>
      <c r="EZ127" s="350"/>
      <c r="FA127" s="350"/>
      <c r="FB127" s="351"/>
      <c r="FC127" s="352"/>
      <c r="FD127" s="353"/>
      <c r="FE127" s="353"/>
      <c r="FF127" s="353"/>
      <c r="FG127" s="353"/>
      <c r="FH127" s="353"/>
      <c r="FI127" s="353"/>
      <c r="FJ127" s="353"/>
      <c r="FK127" s="353"/>
      <c r="FL127" s="353"/>
      <c r="FO127" s="275"/>
      <c r="FP127" s="275"/>
      <c r="FQ127" s="275">
        <f t="shared" si="3"/>
        <v>121372</v>
      </c>
    </row>
    <row r="128" spans="1:173" ht="12" customHeight="1">
      <c r="A128" s="441" t="s">
        <v>359</v>
      </c>
      <c r="B128" s="447"/>
      <c r="C128" s="447"/>
      <c r="D128" s="447"/>
      <c r="E128" s="447"/>
      <c r="F128" s="447"/>
      <c r="G128" s="447"/>
      <c r="H128" s="447"/>
      <c r="I128" s="447"/>
      <c r="J128" s="447"/>
      <c r="K128" s="447"/>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7"/>
      <c r="AM128" s="447"/>
      <c r="AN128" s="447"/>
      <c r="AO128" s="447"/>
      <c r="AP128" s="447"/>
      <c r="AQ128" s="447"/>
      <c r="AR128" s="447"/>
      <c r="AS128" s="447"/>
      <c r="AT128" s="447"/>
      <c r="AU128" s="447"/>
      <c r="AV128" s="447"/>
      <c r="AW128" s="447"/>
      <c r="AX128" s="447"/>
      <c r="AY128" s="447"/>
      <c r="AZ128" s="447"/>
      <c r="BA128" s="447"/>
      <c r="BB128" s="447"/>
      <c r="BC128" s="447"/>
      <c r="BD128" s="447"/>
      <c r="BE128" s="447"/>
      <c r="BF128" s="447"/>
      <c r="BG128" s="447"/>
      <c r="BH128" s="447"/>
      <c r="BI128" s="447"/>
      <c r="BJ128" s="447"/>
      <c r="BK128" s="448"/>
      <c r="BL128" s="339"/>
      <c r="BM128" s="340"/>
      <c r="BN128" s="340"/>
      <c r="BO128" s="340"/>
      <c r="BP128" s="340"/>
      <c r="BQ128" s="340"/>
      <c r="BR128" s="340"/>
      <c r="BS128" s="341"/>
      <c r="BT128" s="342" t="s">
        <v>759</v>
      </c>
      <c r="BU128" s="343"/>
      <c r="BV128" s="343"/>
      <c r="BW128" s="343"/>
      <c r="BX128" s="343"/>
      <c r="BY128" s="343"/>
      <c r="BZ128" s="343"/>
      <c r="CA128" s="343"/>
      <c r="CB128" s="343"/>
      <c r="CC128" s="343"/>
      <c r="CD128" s="343"/>
      <c r="CE128" s="343"/>
      <c r="CF128" s="344"/>
      <c r="CG128" s="345" t="s">
        <v>883</v>
      </c>
      <c r="CH128" s="340"/>
      <c r="CI128" s="340"/>
      <c r="CJ128" s="340"/>
      <c r="CK128" s="340"/>
      <c r="CL128" s="340"/>
      <c r="CM128" s="340"/>
      <c r="CN128" s="340"/>
      <c r="CO128" s="340"/>
      <c r="CP128" s="340"/>
      <c r="CQ128" s="341"/>
      <c r="CR128" s="482"/>
      <c r="CS128" s="483"/>
      <c r="CT128" s="483"/>
      <c r="CU128" s="483"/>
      <c r="CV128" s="483"/>
      <c r="CW128" s="483"/>
      <c r="CX128" s="483"/>
      <c r="CY128" s="483"/>
      <c r="CZ128" s="483"/>
      <c r="DA128" s="483"/>
      <c r="DB128" s="483"/>
      <c r="DC128" s="483"/>
      <c r="DD128" s="484"/>
      <c r="DE128" s="583">
        <f>(11779910.53-9054600+110450.81)-51335.54-206566.03-42850.87</f>
        <v>2535008.8999999994</v>
      </c>
      <c r="DF128" s="584"/>
      <c r="DG128" s="584"/>
      <c r="DH128" s="584"/>
      <c r="DI128" s="584"/>
      <c r="DJ128" s="584"/>
      <c r="DK128" s="584"/>
      <c r="DL128" s="584"/>
      <c r="DM128" s="584"/>
      <c r="DN128" s="584"/>
      <c r="DO128" s="584"/>
      <c r="DP128" s="584"/>
      <c r="DQ128" s="585"/>
      <c r="DR128" s="516">
        <f>2020241.05+181398.1</f>
        <v>2201639.15</v>
      </c>
      <c r="DS128" s="517"/>
      <c r="DT128" s="517"/>
      <c r="DU128" s="517"/>
      <c r="DV128" s="517"/>
      <c r="DW128" s="517"/>
      <c r="DX128" s="517"/>
      <c r="DY128" s="517"/>
      <c r="DZ128" s="517"/>
      <c r="EA128" s="517"/>
      <c r="EB128" s="517"/>
      <c r="EC128" s="517"/>
      <c r="ED128" s="518"/>
      <c r="EE128" s="516"/>
      <c r="EF128" s="517"/>
      <c r="EG128" s="517"/>
      <c r="EH128" s="517"/>
      <c r="EI128" s="517"/>
      <c r="EJ128" s="517"/>
      <c r="EK128" s="517"/>
      <c r="EL128" s="517"/>
      <c r="EM128" s="517"/>
      <c r="EN128" s="517"/>
      <c r="EO128" s="517"/>
      <c r="EP128" s="517"/>
      <c r="EQ128" s="518"/>
      <c r="ER128" s="349"/>
      <c r="ES128" s="350"/>
      <c r="ET128" s="350"/>
      <c r="EU128" s="350"/>
      <c r="EV128" s="350"/>
      <c r="EW128" s="350"/>
      <c r="EX128" s="350"/>
      <c r="EY128" s="350"/>
      <c r="EZ128" s="350"/>
      <c r="FA128" s="350"/>
      <c r="FB128" s="351"/>
      <c r="FC128" s="352"/>
      <c r="FD128" s="353"/>
      <c r="FE128" s="353"/>
      <c r="FF128" s="353"/>
      <c r="FG128" s="353"/>
      <c r="FH128" s="353"/>
      <c r="FI128" s="353"/>
      <c r="FJ128" s="353"/>
      <c r="FK128" s="353"/>
      <c r="FL128" s="353"/>
      <c r="FO128" s="275"/>
      <c r="FP128" s="275"/>
      <c r="FQ128" s="275">
        <f t="shared" si="3"/>
        <v>2201639.15</v>
      </c>
    </row>
    <row r="129" spans="1:173" ht="12" customHeight="1">
      <c r="A129" s="441" t="s">
        <v>573</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7"/>
      <c r="AY129" s="447"/>
      <c r="AZ129" s="447"/>
      <c r="BA129" s="447"/>
      <c r="BB129" s="447"/>
      <c r="BC129" s="447"/>
      <c r="BD129" s="447"/>
      <c r="BE129" s="447"/>
      <c r="BF129" s="447"/>
      <c r="BG129" s="447"/>
      <c r="BH129" s="447"/>
      <c r="BI129" s="447"/>
      <c r="BJ129" s="447"/>
      <c r="BK129" s="448"/>
      <c r="BL129" s="339"/>
      <c r="BM129" s="340"/>
      <c r="BN129" s="340"/>
      <c r="BO129" s="340"/>
      <c r="BP129" s="340"/>
      <c r="BQ129" s="340"/>
      <c r="BR129" s="340"/>
      <c r="BS129" s="341"/>
      <c r="BT129" s="342" t="s">
        <v>753</v>
      </c>
      <c r="BU129" s="343"/>
      <c r="BV129" s="343"/>
      <c r="BW129" s="343"/>
      <c r="BX129" s="343"/>
      <c r="BY129" s="343"/>
      <c r="BZ129" s="343"/>
      <c r="CA129" s="343"/>
      <c r="CB129" s="343"/>
      <c r="CC129" s="343"/>
      <c r="CD129" s="343"/>
      <c r="CE129" s="343"/>
      <c r="CF129" s="344"/>
      <c r="CG129" s="345" t="s">
        <v>883</v>
      </c>
      <c r="CH129" s="340"/>
      <c r="CI129" s="340"/>
      <c r="CJ129" s="340"/>
      <c r="CK129" s="340"/>
      <c r="CL129" s="340"/>
      <c r="CM129" s="340"/>
      <c r="CN129" s="340"/>
      <c r="CO129" s="340"/>
      <c r="CP129" s="340"/>
      <c r="CQ129" s="341"/>
      <c r="CR129" s="482"/>
      <c r="CS129" s="483"/>
      <c r="CT129" s="483"/>
      <c r="CU129" s="483"/>
      <c r="CV129" s="483"/>
      <c r="CW129" s="483"/>
      <c r="CX129" s="483"/>
      <c r="CY129" s="483"/>
      <c r="CZ129" s="483"/>
      <c r="DA129" s="483"/>
      <c r="DB129" s="483"/>
      <c r="DC129" s="483"/>
      <c r="DD129" s="484"/>
      <c r="DE129" s="346">
        <f>18100-18099.94</f>
        <v>6.0000000001309672E-2</v>
      </c>
      <c r="DF129" s="347"/>
      <c r="DG129" s="347"/>
      <c r="DH129" s="347"/>
      <c r="DI129" s="347"/>
      <c r="DJ129" s="347"/>
      <c r="DK129" s="347"/>
      <c r="DL129" s="347"/>
      <c r="DM129" s="347"/>
      <c r="DN129" s="347"/>
      <c r="DO129" s="347"/>
      <c r="DP129" s="347"/>
      <c r="DQ129" s="348"/>
      <c r="DR129" s="346"/>
      <c r="DS129" s="347"/>
      <c r="DT129" s="347"/>
      <c r="DU129" s="347"/>
      <c r="DV129" s="347"/>
      <c r="DW129" s="347"/>
      <c r="DX129" s="347"/>
      <c r="DY129" s="347"/>
      <c r="DZ129" s="347"/>
      <c r="EA129" s="347"/>
      <c r="EB129" s="347"/>
      <c r="EC129" s="347"/>
      <c r="ED129" s="348"/>
      <c r="EE129" s="346"/>
      <c r="EF129" s="347"/>
      <c r="EG129" s="347"/>
      <c r="EH129" s="347"/>
      <c r="EI129" s="347"/>
      <c r="EJ129" s="347"/>
      <c r="EK129" s="347"/>
      <c r="EL129" s="347"/>
      <c r="EM129" s="347"/>
      <c r="EN129" s="347"/>
      <c r="EO129" s="347"/>
      <c r="EP129" s="347"/>
      <c r="EQ129" s="348"/>
      <c r="ER129" s="349"/>
      <c r="ES129" s="350"/>
      <c r="ET129" s="350"/>
      <c r="EU129" s="350"/>
      <c r="EV129" s="350"/>
      <c r="EW129" s="350"/>
      <c r="EX129" s="350"/>
      <c r="EY129" s="350"/>
      <c r="EZ129" s="350"/>
      <c r="FA129" s="350"/>
      <c r="FB129" s="351"/>
      <c r="FC129" s="352"/>
      <c r="FD129" s="353"/>
      <c r="FE129" s="353"/>
      <c r="FF129" s="353"/>
      <c r="FG129" s="353"/>
      <c r="FH129" s="353"/>
      <c r="FI129" s="353"/>
      <c r="FJ129" s="353"/>
      <c r="FK129" s="353"/>
      <c r="FL129" s="353"/>
      <c r="FO129" s="275"/>
      <c r="FP129" s="275"/>
      <c r="FQ129" s="275">
        <f t="shared" si="3"/>
        <v>0</v>
      </c>
    </row>
    <row r="130" spans="1:173" ht="12" customHeight="1">
      <c r="A130" s="511" t="s">
        <v>1085</v>
      </c>
      <c r="B130" s="512"/>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2"/>
      <c r="AY130" s="512"/>
      <c r="AZ130" s="512"/>
      <c r="BA130" s="512"/>
      <c r="BB130" s="512"/>
      <c r="BC130" s="512"/>
      <c r="BD130" s="512"/>
      <c r="BE130" s="512"/>
      <c r="BF130" s="512"/>
      <c r="BG130" s="512"/>
      <c r="BH130" s="512"/>
      <c r="BI130" s="512"/>
      <c r="BJ130" s="512"/>
      <c r="BK130" s="512"/>
      <c r="BL130" s="370" t="s">
        <v>1086</v>
      </c>
      <c r="BM130" s="371"/>
      <c r="BN130" s="371"/>
      <c r="BO130" s="371"/>
      <c r="BP130" s="371"/>
      <c r="BQ130" s="371"/>
      <c r="BR130" s="371"/>
      <c r="BS130" s="372"/>
      <c r="BT130" s="373" t="s">
        <v>63</v>
      </c>
      <c r="BU130" s="371"/>
      <c r="BV130" s="371"/>
      <c r="BW130" s="371"/>
      <c r="BX130" s="371"/>
      <c r="BY130" s="371"/>
      <c r="BZ130" s="371"/>
      <c r="CA130" s="371"/>
      <c r="CB130" s="371"/>
      <c r="CC130" s="371"/>
      <c r="CD130" s="371"/>
      <c r="CE130" s="371"/>
      <c r="CF130" s="372"/>
      <c r="CG130" s="345"/>
      <c r="CH130" s="340"/>
      <c r="CI130" s="340"/>
      <c r="CJ130" s="340"/>
      <c r="CK130" s="340"/>
      <c r="CL130" s="340"/>
      <c r="CM130" s="340"/>
      <c r="CN130" s="340"/>
      <c r="CO130" s="340"/>
      <c r="CP130" s="340"/>
      <c r="CQ130" s="341"/>
      <c r="CR130" s="482"/>
      <c r="CS130" s="483"/>
      <c r="CT130" s="483"/>
      <c r="CU130" s="483"/>
      <c r="CV130" s="483"/>
      <c r="CW130" s="483"/>
      <c r="CX130" s="483"/>
      <c r="CY130" s="483"/>
      <c r="CZ130" s="483"/>
      <c r="DA130" s="483"/>
      <c r="DB130" s="483"/>
      <c r="DC130" s="483"/>
      <c r="DD130" s="484"/>
      <c r="DE130" s="349"/>
      <c r="DF130" s="350"/>
      <c r="DG130" s="350"/>
      <c r="DH130" s="350"/>
      <c r="DI130" s="350"/>
      <c r="DJ130" s="350"/>
      <c r="DK130" s="350"/>
      <c r="DL130" s="350"/>
      <c r="DM130" s="350"/>
      <c r="DN130" s="350"/>
      <c r="DO130" s="350"/>
      <c r="DP130" s="350"/>
      <c r="DQ130" s="351"/>
      <c r="DR130" s="349"/>
      <c r="DS130" s="350"/>
      <c r="DT130" s="350"/>
      <c r="DU130" s="350"/>
      <c r="DV130" s="350"/>
      <c r="DW130" s="350"/>
      <c r="DX130" s="350"/>
      <c r="DY130" s="350"/>
      <c r="DZ130" s="350"/>
      <c r="EA130" s="350"/>
      <c r="EB130" s="350"/>
      <c r="EC130" s="350"/>
      <c r="ED130" s="351"/>
      <c r="EE130" s="349"/>
      <c r="EF130" s="350"/>
      <c r="EG130" s="350"/>
      <c r="EH130" s="350"/>
      <c r="EI130" s="350"/>
      <c r="EJ130" s="350"/>
      <c r="EK130" s="350"/>
      <c r="EL130" s="350"/>
      <c r="EM130" s="350"/>
      <c r="EN130" s="350"/>
      <c r="EO130" s="350"/>
      <c r="EP130" s="350"/>
      <c r="EQ130" s="351"/>
      <c r="ER130" s="349"/>
      <c r="ES130" s="350"/>
      <c r="ET130" s="350"/>
      <c r="EU130" s="350"/>
      <c r="EV130" s="350"/>
      <c r="EW130" s="350"/>
      <c r="EX130" s="350"/>
      <c r="EY130" s="350"/>
      <c r="EZ130" s="350"/>
      <c r="FA130" s="350"/>
      <c r="FB130" s="351"/>
      <c r="FC130" s="352"/>
      <c r="FD130" s="353"/>
      <c r="FE130" s="353"/>
      <c r="FF130" s="353"/>
      <c r="FG130" s="353"/>
      <c r="FH130" s="353"/>
      <c r="FI130" s="353"/>
      <c r="FJ130" s="353"/>
      <c r="FK130" s="353"/>
      <c r="FL130" s="353"/>
      <c r="FO130" s="275"/>
      <c r="FP130" s="275"/>
      <c r="FQ130" s="275">
        <f t="shared" si="3"/>
        <v>0</v>
      </c>
    </row>
    <row r="131" spans="1:173" ht="12" customHeight="1">
      <c r="A131" s="487" t="s">
        <v>291</v>
      </c>
      <c r="B131" s="488"/>
      <c r="C131" s="488"/>
      <c r="D131" s="488"/>
      <c r="E131" s="488"/>
      <c r="F131" s="488"/>
      <c r="G131" s="488"/>
      <c r="H131" s="488"/>
      <c r="I131" s="488"/>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8"/>
      <c r="AI131" s="488"/>
      <c r="AJ131" s="488"/>
      <c r="AK131" s="488"/>
      <c r="AL131" s="488"/>
      <c r="AM131" s="488"/>
      <c r="AN131" s="488"/>
      <c r="AO131" s="488"/>
      <c r="AP131" s="488"/>
      <c r="AQ131" s="488"/>
      <c r="AR131" s="488"/>
      <c r="AS131" s="488"/>
      <c r="AT131" s="488"/>
      <c r="AU131" s="488"/>
      <c r="AV131" s="488"/>
      <c r="AW131" s="488"/>
      <c r="AX131" s="488"/>
      <c r="AY131" s="488"/>
      <c r="AZ131" s="488"/>
      <c r="BA131" s="488"/>
      <c r="BB131" s="488"/>
      <c r="BC131" s="488"/>
      <c r="BD131" s="488"/>
      <c r="BE131" s="488"/>
      <c r="BF131" s="488"/>
      <c r="BG131" s="488"/>
      <c r="BH131" s="488"/>
      <c r="BI131" s="488"/>
      <c r="BJ131" s="488"/>
      <c r="BK131" s="489"/>
      <c r="BL131" s="460" t="s">
        <v>67</v>
      </c>
      <c r="BM131" s="363"/>
      <c r="BN131" s="363"/>
      <c r="BO131" s="363"/>
      <c r="BP131" s="363"/>
      <c r="BQ131" s="363"/>
      <c r="BR131" s="363"/>
      <c r="BS131" s="364"/>
      <c r="BT131" s="362" t="s">
        <v>68</v>
      </c>
      <c r="BU131" s="363"/>
      <c r="BV131" s="363"/>
      <c r="BW131" s="363"/>
      <c r="BX131" s="363"/>
      <c r="BY131" s="363"/>
      <c r="BZ131" s="363"/>
      <c r="CA131" s="363"/>
      <c r="CB131" s="363"/>
      <c r="CC131" s="363"/>
      <c r="CD131" s="363"/>
      <c r="CE131" s="363"/>
      <c r="CF131" s="364"/>
      <c r="CG131" s="362" t="s">
        <v>267</v>
      </c>
      <c r="CH131" s="363"/>
      <c r="CI131" s="363"/>
      <c r="CJ131" s="363"/>
      <c r="CK131" s="363"/>
      <c r="CL131" s="363"/>
      <c r="CM131" s="363"/>
      <c r="CN131" s="363"/>
      <c r="CO131" s="363"/>
      <c r="CP131" s="363"/>
      <c r="CQ131" s="364"/>
      <c r="CR131" s="505"/>
      <c r="CS131" s="506"/>
      <c r="CT131" s="506"/>
      <c r="CU131" s="506"/>
      <c r="CV131" s="506"/>
      <c r="CW131" s="506"/>
      <c r="CX131" s="506"/>
      <c r="CY131" s="506"/>
      <c r="CZ131" s="506"/>
      <c r="DA131" s="506"/>
      <c r="DB131" s="506"/>
      <c r="DC131" s="506"/>
      <c r="DD131" s="507"/>
      <c r="DE131" s="513">
        <f>SUM(DE133:DQ135)</f>
        <v>0</v>
      </c>
      <c r="DF131" s="514"/>
      <c r="DG131" s="514"/>
      <c r="DH131" s="514"/>
      <c r="DI131" s="514"/>
      <c r="DJ131" s="514"/>
      <c r="DK131" s="514"/>
      <c r="DL131" s="514"/>
      <c r="DM131" s="514"/>
      <c r="DN131" s="514"/>
      <c r="DO131" s="514"/>
      <c r="DP131" s="514"/>
      <c r="DQ131" s="515"/>
      <c r="DR131" s="513">
        <f>SUM(DR133:ED135)</f>
        <v>0</v>
      </c>
      <c r="DS131" s="514"/>
      <c r="DT131" s="514"/>
      <c r="DU131" s="514"/>
      <c r="DV131" s="514"/>
      <c r="DW131" s="514"/>
      <c r="DX131" s="514"/>
      <c r="DY131" s="514"/>
      <c r="DZ131" s="514"/>
      <c r="EA131" s="514"/>
      <c r="EB131" s="514"/>
      <c r="EC131" s="514"/>
      <c r="ED131" s="515"/>
      <c r="EE131" s="513"/>
      <c r="EF131" s="514"/>
      <c r="EG131" s="514"/>
      <c r="EH131" s="514"/>
      <c r="EI131" s="514"/>
      <c r="EJ131" s="514"/>
      <c r="EK131" s="514"/>
      <c r="EL131" s="514"/>
      <c r="EM131" s="514"/>
      <c r="EN131" s="514"/>
      <c r="EO131" s="514"/>
      <c r="EP131" s="514"/>
      <c r="EQ131" s="515"/>
      <c r="ER131" s="349"/>
      <c r="ES131" s="350"/>
      <c r="ET131" s="350"/>
      <c r="EU131" s="350"/>
      <c r="EV131" s="350"/>
      <c r="EW131" s="350"/>
      <c r="EX131" s="350"/>
      <c r="EY131" s="350"/>
      <c r="EZ131" s="350"/>
      <c r="FA131" s="350"/>
      <c r="FB131" s="351"/>
      <c r="FC131" s="352"/>
      <c r="FD131" s="353"/>
      <c r="FE131" s="353"/>
      <c r="FF131" s="353"/>
      <c r="FG131" s="353"/>
      <c r="FH131" s="353"/>
      <c r="FI131" s="353"/>
      <c r="FJ131" s="353"/>
      <c r="FK131" s="353"/>
      <c r="FL131" s="353"/>
      <c r="FO131" s="275"/>
      <c r="FP131" s="275"/>
      <c r="FQ131" s="275">
        <f t="shared" si="3"/>
        <v>0</v>
      </c>
    </row>
    <row r="132" spans="1:173" ht="12" customHeight="1">
      <c r="A132" s="354" t="s">
        <v>110</v>
      </c>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4"/>
      <c r="AF132" s="374"/>
      <c r="AG132" s="374"/>
      <c r="AH132" s="374"/>
      <c r="AI132" s="374"/>
      <c r="AJ132" s="374"/>
      <c r="AK132" s="374"/>
      <c r="AL132" s="374"/>
      <c r="AM132" s="374"/>
      <c r="AN132" s="374"/>
      <c r="AO132" s="374"/>
      <c r="AP132" s="374"/>
      <c r="AQ132" s="374"/>
      <c r="AR132" s="374"/>
      <c r="AS132" s="374"/>
      <c r="AT132" s="374"/>
      <c r="AU132" s="374"/>
      <c r="AV132" s="374"/>
      <c r="AW132" s="374"/>
      <c r="AX132" s="374"/>
      <c r="AY132" s="374"/>
      <c r="AZ132" s="374"/>
      <c r="BA132" s="374"/>
      <c r="BB132" s="374"/>
      <c r="BC132" s="374"/>
      <c r="BD132" s="374"/>
      <c r="BE132" s="374"/>
      <c r="BF132" s="374"/>
      <c r="BG132" s="374"/>
      <c r="BH132" s="374"/>
      <c r="BI132" s="374"/>
      <c r="BJ132" s="374"/>
      <c r="BK132" s="375"/>
      <c r="BL132" s="339" t="s">
        <v>272</v>
      </c>
      <c r="BM132" s="340"/>
      <c r="BN132" s="340"/>
      <c r="BO132" s="340"/>
      <c r="BP132" s="340"/>
      <c r="BQ132" s="340"/>
      <c r="BR132" s="340"/>
      <c r="BS132" s="341"/>
      <c r="BT132" s="345" t="s">
        <v>272</v>
      </c>
      <c r="BU132" s="340"/>
      <c r="BV132" s="340"/>
      <c r="BW132" s="340"/>
      <c r="BX132" s="340"/>
      <c r="BY132" s="340"/>
      <c r="BZ132" s="340"/>
      <c r="CA132" s="340"/>
      <c r="CB132" s="340"/>
      <c r="CC132" s="340"/>
      <c r="CD132" s="340"/>
      <c r="CE132" s="340"/>
      <c r="CF132" s="341"/>
      <c r="CG132" s="345"/>
      <c r="CH132" s="340"/>
      <c r="CI132" s="340"/>
      <c r="CJ132" s="340"/>
      <c r="CK132" s="340"/>
      <c r="CL132" s="340"/>
      <c r="CM132" s="340"/>
      <c r="CN132" s="340"/>
      <c r="CO132" s="340"/>
      <c r="CP132" s="340"/>
      <c r="CQ132" s="341"/>
      <c r="CR132" s="345"/>
      <c r="CS132" s="340"/>
      <c r="CT132" s="340"/>
      <c r="CU132" s="340"/>
      <c r="CV132" s="340"/>
      <c r="CW132" s="340"/>
      <c r="CX132" s="340"/>
      <c r="CY132" s="340"/>
      <c r="CZ132" s="340"/>
      <c r="DA132" s="340"/>
      <c r="DB132" s="340"/>
      <c r="DC132" s="340"/>
      <c r="DD132" s="341"/>
      <c r="DE132" s="345"/>
      <c r="DF132" s="340"/>
      <c r="DG132" s="340"/>
      <c r="DH132" s="340"/>
      <c r="DI132" s="340"/>
      <c r="DJ132" s="340"/>
      <c r="DK132" s="340"/>
      <c r="DL132" s="340"/>
      <c r="DM132" s="340"/>
      <c r="DN132" s="340"/>
      <c r="DO132" s="340"/>
      <c r="DP132" s="340"/>
      <c r="DQ132" s="341"/>
      <c r="DR132" s="345"/>
      <c r="DS132" s="340"/>
      <c r="DT132" s="340"/>
      <c r="DU132" s="340"/>
      <c r="DV132" s="340"/>
      <c r="DW132" s="340"/>
      <c r="DX132" s="340"/>
      <c r="DY132" s="340"/>
      <c r="DZ132" s="340"/>
      <c r="EA132" s="340"/>
      <c r="EB132" s="340"/>
      <c r="EC132" s="340"/>
      <c r="ED132" s="341"/>
      <c r="EE132" s="345"/>
      <c r="EF132" s="340"/>
      <c r="EG132" s="340"/>
      <c r="EH132" s="340"/>
      <c r="EI132" s="340"/>
      <c r="EJ132" s="340"/>
      <c r="EK132" s="340"/>
      <c r="EL132" s="340"/>
      <c r="EM132" s="340"/>
      <c r="EN132" s="340"/>
      <c r="EO132" s="340"/>
      <c r="EP132" s="340"/>
      <c r="EQ132" s="341"/>
      <c r="ER132" s="349"/>
      <c r="ES132" s="350"/>
      <c r="ET132" s="350"/>
      <c r="EU132" s="350"/>
      <c r="EV132" s="350"/>
      <c r="EW132" s="350"/>
      <c r="EX132" s="350"/>
      <c r="EY132" s="350"/>
      <c r="EZ132" s="350"/>
      <c r="FA132" s="350"/>
      <c r="FB132" s="351"/>
      <c r="FC132" s="349"/>
      <c r="FD132" s="350"/>
      <c r="FE132" s="350"/>
      <c r="FF132" s="350"/>
      <c r="FG132" s="350"/>
      <c r="FH132" s="350"/>
      <c r="FI132" s="350"/>
      <c r="FJ132" s="350"/>
      <c r="FK132" s="350"/>
      <c r="FL132" s="350"/>
      <c r="FM132" s="350"/>
      <c r="FN132" s="350"/>
      <c r="FO132" s="275"/>
      <c r="FP132" s="275"/>
      <c r="FQ132" s="275">
        <f t="shared" si="3"/>
        <v>0</v>
      </c>
    </row>
    <row r="133" spans="1:173" ht="12" customHeight="1">
      <c r="A133" s="386" t="s">
        <v>284</v>
      </c>
      <c r="B133" s="555"/>
      <c r="C133" s="555"/>
      <c r="D133" s="555"/>
      <c r="E133" s="555"/>
      <c r="F133" s="555"/>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5"/>
      <c r="AY133" s="555"/>
      <c r="AZ133" s="555"/>
      <c r="BA133" s="555"/>
      <c r="BB133" s="555"/>
      <c r="BC133" s="555"/>
      <c r="BD133" s="555"/>
      <c r="BE133" s="555"/>
      <c r="BF133" s="555"/>
      <c r="BG133" s="555"/>
      <c r="BH133" s="555"/>
      <c r="BI133" s="555"/>
      <c r="BJ133" s="555"/>
      <c r="BK133" s="556"/>
      <c r="BL133" s="339"/>
      <c r="BM133" s="340"/>
      <c r="BN133" s="340"/>
      <c r="BO133" s="340"/>
      <c r="BP133" s="340"/>
      <c r="BQ133" s="340"/>
      <c r="BR133" s="340"/>
      <c r="BS133" s="341"/>
      <c r="BT133" s="345"/>
      <c r="BU133" s="340"/>
      <c r="BV133" s="340"/>
      <c r="BW133" s="340"/>
      <c r="BX133" s="340"/>
      <c r="BY133" s="340"/>
      <c r="BZ133" s="340"/>
      <c r="CA133" s="340"/>
      <c r="CB133" s="340"/>
      <c r="CC133" s="340"/>
      <c r="CD133" s="340"/>
      <c r="CE133" s="340"/>
      <c r="CF133" s="341"/>
      <c r="CG133" s="345"/>
      <c r="CH133" s="340"/>
      <c r="CI133" s="340"/>
      <c r="CJ133" s="340"/>
      <c r="CK133" s="340"/>
      <c r="CL133" s="340"/>
      <c r="CM133" s="340"/>
      <c r="CN133" s="340"/>
      <c r="CO133" s="340"/>
      <c r="CP133" s="340"/>
      <c r="CQ133" s="341"/>
      <c r="CR133" s="482"/>
      <c r="CS133" s="483"/>
      <c r="CT133" s="483"/>
      <c r="CU133" s="483"/>
      <c r="CV133" s="483"/>
      <c r="CW133" s="483"/>
      <c r="CX133" s="483"/>
      <c r="CY133" s="483"/>
      <c r="CZ133" s="483"/>
      <c r="DA133" s="483"/>
      <c r="DB133" s="483"/>
      <c r="DC133" s="483"/>
      <c r="DD133" s="484"/>
      <c r="DE133" s="482">
        <f>SUM(DE139)</f>
        <v>0</v>
      </c>
      <c r="DF133" s="483"/>
      <c r="DG133" s="483"/>
      <c r="DH133" s="483"/>
      <c r="DI133" s="483"/>
      <c r="DJ133" s="483"/>
      <c r="DK133" s="483"/>
      <c r="DL133" s="483"/>
      <c r="DM133" s="483"/>
      <c r="DN133" s="483"/>
      <c r="DO133" s="483"/>
      <c r="DP133" s="483"/>
      <c r="DQ133" s="484"/>
      <c r="DR133" s="482">
        <f>SUM(DR139)</f>
        <v>0</v>
      </c>
      <c r="DS133" s="483"/>
      <c r="DT133" s="483"/>
      <c r="DU133" s="483"/>
      <c r="DV133" s="483"/>
      <c r="DW133" s="483"/>
      <c r="DX133" s="483"/>
      <c r="DY133" s="483"/>
      <c r="DZ133" s="483"/>
      <c r="EA133" s="483"/>
      <c r="EB133" s="483"/>
      <c r="EC133" s="483"/>
      <c r="ED133" s="484"/>
      <c r="EE133" s="482"/>
      <c r="EF133" s="483"/>
      <c r="EG133" s="483"/>
      <c r="EH133" s="483"/>
      <c r="EI133" s="483"/>
      <c r="EJ133" s="483"/>
      <c r="EK133" s="483"/>
      <c r="EL133" s="483"/>
      <c r="EM133" s="483"/>
      <c r="EN133" s="483"/>
      <c r="EO133" s="483"/>
      <c r="EP133" s="483"/>
      <c r="EQ133" s="484"/>
      <c r="ER133" s="349"/>
      <c r="ES133" s="350"/>
      <c r="ET133" s="350"/>
      <c r="EU133" s="350"/>
      <c r="EV133" s="350"/>
      <c r="EW133" s="350"/>
      <c r="EX133" s="350"/>
      <c r="EY133" s="350"/>
      <c r="EZ133" s="350"/>
      <c r="FA133" s="350"/>
      <c r="FB133" s="351"/>
      <c r="FC133" s="349"/>
      <c r="FD133" s="350"/>
      <c r="FE133" s="350"/>
      <c r="FF133" s="350"/>
      <c r="FG133" s="350"/>
      <c r="FH133" s="350"/>
      <c r="FI133" s="350"/>
      <c r="FJ133" s="350"/>
      <c r="FK133" s="350"/>
      <c r="FL133" s="350"/>
      <c r="FM133" s="350"/>
      <c r="FN133" s="350"/>
      <c r="FO133" s="275"/>
      <c r="FP133" s="275"/>
      <c r="FQ133" s="275">
        <f t="shared" si="3"/>
        <v>0</v>
      </c>
    </row>
    <row r="134" spans="1:173" ht="12" customHeight="1">
      <c r="A134" s="469" t="s">
        <v>282</v>
      </c>
      <c r="B134" s="337"/>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8"/>
      <c r="BL134" s="339"/>
      <c r="BM134" s="340"/>
      <c r="BN134" s="340"/>
      <c r="BO134" s="340"/>
      <c r="BP134" s="340"/>
      <c r="BQ134" s="340"/>
      <c r="BR134" s="340"/>
      <c r="BS134" s="341"/>
      <c r="BT134" s="345"/>
      <c r="BU134" s="340"/>
      <c r="BV134" s="340"/>
      <c r="BW134" s="340"/>
      <c r="BX134" s="340"/>
      <c r="BY134" s="340"/>
      <c r="BZ134" s="340"/>
      <c r="CA134" s="340"/>
      <c r="CB134" s="340"/>
      <c r="CC134" s="340"/>
      <c r="CD134" s="340"/>
      <c r="CE134" s="340"/>
      <c r="CF134" s="341"/>
      <c r="CG134" s="345"/>
      <c r="CH134" s="340"/>
      <c r="CI134" s="340"/>
      <c r="CJ134" s="340"/>
      <c r="CK134" s="340"/>
      <c r="CL134" s="340"/>
      <c r="CM134" s="340"/>
      <c r="CN134" s="340"/>
      <c r="CO134" s="340"/>
      <c r="CP134" s="340"/>
      <c r="CQ134" s="341"/>
      <c r="CR134" s="482"/>
      <c r="CS134" s="483"/>
      <c r="CT134" s="483"/>
      <c r="CU134" s="483"/>
      <c r="CV134" s="483"/>
      <c r="CW134" s="483"/>
      <c r="CX134" s="483"/>
      <c r="CY134" s="483"/>
      <c r="CZ134" s="483"/>
      <c r="DA134" s="483"/>
      <c r="DB134" s="483"/>
      <c r="DC134" s="483"/>
      <c r="DD134" s="484"/>
      <c r="DE134" s="482">
        <f>SUM(DE138)</f>
        <v>0</v>
      </c>
      <c r="DF134" s="483"/>
      <c r="DG134" s="483"/>
      <c r="DH134" s="483"/>
      <c r="DI134" s="483"/>
      <c r="DJ134" s="483"/>
      <c r="DK134" s="483"/>
      <c r="DL134" s="483"/>
      <c r="DM134" s="483"/>
      <c r="DN134" s="483"/>
      <c r="DO134" s="483"/>
      <c r="DP134" s="483"/>
      <c r="DQ134" s="484"/>
      <c r="DR134" s="482">
        <f>SUM(DR138)</f>
        <v>0</v>
      </c>
      <c r="DS134" s="483"/>
      <c r="DT134" s="483"/>
      <c r="DU134" s="483"/>
      <c r="DV134" s="483"/>
      <c r="DW134" s="483"/>
      <c r="DX134" s="483"/>
      <c r="DY134" s="483"/>
      <c r="DZ134" s="483"/>
      <c r="EA134" s="483"/>
      <c r="EB134" s="483"/>
      <c r="EC134" s="483"/>
      <c r="ED134" s="484"/>
      <c r="EE134" s="482"/>
      <c r="EF134" s="483"/>
      <c r="EG134" s="483"/>
      <c r="EH134" s="483"/>
      <c r="EI134" s="483"/>
      <c r="EJ134" s="483"/>
      <c r="EK134" s="483"/>
      <c r="EL134" s="483"/>
      <c r="EM134" s="483"/>
      <c r="EN134" s="483"/>
      <c r="EO134" s="483"/>
      <c r="EP134" s="483"/>
      <c r="EQ134" s="484"/>
      <c r="ER134" s="349"/>
      <c r="ES134" s="350"/>
      <c r="ET134" s="350"/>
      <c r="EU134" s="350"/>
      <c r="EV134" s="350"/>
      <c r="EW134" s="350"/>
      <c r="EX134" s="350"/>
      <c r="EY134" s="350"/>
      <c r="EZ134" s="350"/>
      <c r="FA134" s="350"/>
      <c r="FB134" s="351"/>
      <c r="FC134" s="349"/>
      <c r="FD134" s="350"/>
      <c r="FE134" s="350"/>
      <c r="FF134" s="350"/>
      <c r="FG134" s="350"/>
      <c r="FH134" s="350"/>
      <c r="FI134" s="350"/>
      <c r="FJ134" s="350"/>
      <c r="FK134" s="350"/>
      <c r="FL134" s="350"/>
      <c r="FM134" s="350"/>
      <c r="FN134" s="350"/>
      <c r="FO134" s="275"/>
      <c r="FP134" s="275"/>
      <c r="FQ134" s="275">
        <f t="shared" si="3"/>
        <v>0</v>
      </c>
    </row>
    <row r="135" spans="1:173" ht="12" customHeight="1">
      <c r="A135" s="383" t="s">
        <v>194</v>
      </c>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5"/>
      <c r="BL135" s="339"/>
      <c r="BM135" s="340"/>
      <c r="BN135" s="340"/>
      <c r="BO135" s="340"/>
      <c r="BP135" s="340"/>
      <c r="BQ135" s="340"/>
      <c r="BR135" s="340"/>
      <c r="BS135" s="341"/>
      <c r="BT135" s="345"/>
      <c r="BU135" s="340"/>
      <c r="BV135" s="340"/>
      <c r="BW135" s="340"/>
      <c r="BX135" s="340"/>
      <c r="BY135" s="340"/>
      <c r="BZ135" s="340"/>
      <c r="CA135" s="340"/>
      <c r="CB135" s="340"/>
      <c r="CC135" s="340"/>
      <c r="CD135" s="340"/>
      <c r="CE135" s="340"/>
      <c r="CF135" s="341"/>
      <c r="CG135" s="345"/>
      <c r="CH135" s="340"/>
      <c r="CI135" s="340"/>
      <c r="CJ135" s="340"/>
      <c r="CK135" s="340"/>
      <c r="CL135" s="340"/>
      <c r="CM135" s="340"/>
      <c r="CN135" s="340"/>
      <c r="CO135" s="340"/>
      <c r="CP135" s="340"/>
      <c r="CQ135" s="341"/>
      <c r="CR135" s="345"/>
      <c r="CS135" s="340"/>
      <c r="CT135" s="340"/>
      <c r="CU135" s="340"/>
      <c r="CV135" s="340"/>
      <c r="CW135" s="340"/>
      <c r="CX135" s="340"/>
      <c r="CY135" s="340"/>
      <c r="CZ135" s="340"/>
      <c r="DA135" s="340"/>
      <c r="DB135" s="340"/>
      <c r="DC135" s="340"/>
      <c r="DD135" s="341"/>
      <c r="DE135" s="345"/>
      <c r="DF135" s="340"/>
      <c r="DG135" s="340"/>
      <c r="DH135" s="340"/>
      <c r="DI135" s="340"/>
      <c r="DJ135" s="340"/>
      <c r="DK135" s="340"/>
      <c r="DL135" s="340"/>
      <c r="DM135" s="340"/>
      <c r="DN135" s="340"/>
      <c r="DO135" s="340"/>
      <c r="DP135" s="340"/>
      <c r="DQ135" s="341"/>
      <c r="DR135" s="345"/>
      <c r="DS135" s="340"/>
      <c r="DT135" s="340"/>
      <c r="DU135" s="340"/>
      <c r="DV135" s="340"/>
      <c r="DW135" s="340"/>
      <c r="DX135" s="340"/>
      <c r="DY135" s="340"/>
      <c r="DZ135" s="340"/>
      <c r="EA135" s="340"/>
      <c r="EB135" s="340"/>
      <c r="EC135" s="340"/>
      <c r="ED135" s="341"/>
      <c r="EE135" s="345"/>
      <c r="EF135" s="340"/>
      <c r="EG135" s="340"/>
      <c r="EH135" s="340"/>
      <c r="EI135" s="340"/>
      <c r="EJ135" s="340"/>
      <c r="EK135" s="340"/>
      <c r="EL135" s="340"/>
      <c r="EM135" s="340"/>
      <c r="EN135" s="340"/>
      <c r="EO135" s="340"/>
      <c r="EP135" s="340"/>
      <c r="EQ135" s="341"/>
      <c r="ER135" s="349"/>
      <c r="ES135" s="350"/>
      <c r="ET135" s="350"/>
      <c r="EU135" s="350"/>
      <c r="EV135" s="350"/>
      <c r="EW135" s="350"/>
      <c r="EX135" s="350"/>
      <c r="EY135" s="350"/>
      <c r="EZ135" s="350"/>
      <c r="FA135" s="350"/>
      <c r="FB135" s="351"/>
      <c r="FC135" s="349"/>
      <c r="FD135" s="350"/>
      <c r="FE135" s="350"/>
      <c r="FF135" s="350"/>
      <c r="FG135" s="350"/>
      <c r="FH135" s="350"/>
      <c r="FI135" s="350"/>
      <c r="FJ135" s="350"/>
      <c r="FK135" s="350"/>
      <c r="FL135" s="350"/>
      <c r="FM135" s="350"/>
      <c r="FN135" s="350"/>
      <c r="FO135" s="275"/>
      <c r="FP135" s="275"/>
      <c r="FQ135" s="275">
        <f t="shared" si="3"/>
        <v>0</v>
      </c>
    </row>
    <row r="136" spans="1:173" ht="31.95" customHeight="1">
      <c r="A136" s="485" t="s">
        <v>69</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c r="BA136" s="381"/>
      <c r="BB136" s="381"/>
      <c r="BC136" s="381"/>
      <c r="BD136" s="381"/>
      <c r="BE136" s="381"/>
      <c r="BF136" s="381"/>
      <c r="BG136" s="381"/>
      <c r="BH136" s="381"/>
      <c r="BI136" s="381"/>
      <c r="BJ136" s="381"/>
      <c r="BK136" s="382"/>
      <c r="BL136" s="339" t="s">
        <v>70</v>
      </c>
      <c r="BM136" s="340"/>
      <c r="BN136" s="340"/>
      <c r="BO136" s="340"/>
      <c r="BP136" s="340"/>
      <c r="BQ136" s="340"/>
      <c r="BR136" s="340"/>
      <c r="BS136" s="341"/>
      <c r="BT136" s="345" t="s">
        <v>71</v>
      </c>
      <c r="BU136" s="340"/>
      <c r="BV136" s="340"/>
      <c r="BW136" s="340"/>
      <c r="BX136" s="340"/>
      <c r="BY136" s="340"/>
      <c r="BZ136" s="340"/>
      <c r="CA136" s="340"/>
      <c r="CB136" s="340"/>
      <c r="CC136" s="340"/>
      <c r="CD136" s="340"/>
      <c r="CE136" s="340"/>
      <c r="CF136" s="341"/>
      <c r="CG136" s="345"/>
      <c r="CH136" s="340"/>
      <c r="CI136" s="340"/>
      <c r="CJ136" s="340"/>
      <c r="CK136" s="340"/>
      <c r="CL136" s="340"/>
      <c r="CM136" s="340"/>
      <c r="CN136" s="340"/>
      <c r="CO136" s="340"/>
      <c r="CP136" s="340"/>
      <c r="CQ136" s="341"/>
      <c r="CR136" s="482"/>
      <c r="CS136" s="483"/>
      <c r="CT136" s="483"/>
      <c r="CU136" s="483"/>
      <c r="CV136" s="483"/>
      <c r="CW136" s="483"/>
      <c r="CX136" s="483"/>
      <c r="CY136" s="483"/>
      <c r="CZ136" s="483"/>
      <c r="DA136" s="483"/>
      <c r="DB136" s="483"/>
      <c r="DC136" s="483"/>
      <c r="DD136" s="484"/>
      <c r="DE136" s="519">
        <f>DE137</f>
        <v>0</v>
      </c>
      <c r="DF136" s="520"/>
      <c r="DG136" s="520"/>
      <c r="DH136" s="520"/>
      <c r="DI136" s="520"/>
      <c r="DJ136" s="520"/>
      <c r="DK136" s="520"/>
      <c r="DL136" s="520"/>
      <c r="DM136" s="520"/>
      <c r="DN136" s="520"/>
      <c r="DO136" s="520"/>
      <c r="DP136" s="520"/>
      <c r="DQ136" s="521"/>
      <c r="DR136" s="519">
        <f>DR137</f>
        <v>0</v>
      </c>
      <c r="DS136" s="520"/>
      <c r="DT136" s="520"/>
      <c r="DU136" s="520"/>
      <c r="DV136" s="520"/>
      <c r="DW136" s="520"/>
      <c r="DX136" s="520"/>
      <c r="DY136" s="520"/>
      <c r="DZ136" s="520"/>
      <c r="EA136" s="520"/>
      <c r="EB136" s="520"/>
      <c r="EC136" s="520"/>
      <c r="ED136" s="521"/>
      <c r="EE136" s="519"/>
      <c r="EF136" s="520"/>
      <c r="EG136" s="520"/>
      <c r="EH136" s="520"/>
      <c r="EI136" s="520"/>
      <c r="EJ136" s="520"/>
      <c r="EK136" s="520"/>
      <c r="EL136" s="520"/>
      <c r="EM136" s="520"/>
      <c r="EN136" s="520"/>
      <c r="EO136" s="520"/>
      <c r="EP136" s="520"/>
      <c r="EQ136" s="521"/>
      <c r="ER136" s="349"/>
      <c r="ES136" s="350"/>
      <c r="ET136" s="350"/>
      <c r="EU136" s="350"/>
      <c r="EV136" s="350"/>
      <c r="EW136" s="350"/>
      <c r="EX136" s="350"/>
      <c r="EY136" s="350"/>
      <c r="EZ136" s="350"/>
      <c r="FA136" s="350"/>
      <c r="FB136" s="351"/>
      <c r="FC136" s="352"/>
      <c r="FD136" s="353"/>
      <c r="FE136" s="353"/>
      <c r="FF136" s="353"/>
      <c r="FG136" s="353"/>
      <c r="FH136" s="353"/>
      <c r="FI136" s="353"/>
      <c r="FJ136" s="353"/>
      <c r="FK136" s="353"/>
      <c r="FL136" s="353"/>
      <c r="FO136" s="275"/>
      <c r="FP136" s="275"/>
      <c r="FQ136" s="275">
        <f t="shared" si="3"/>
        <v>0</v>
      </c>
    </row>
    <row r="137" spans="1:173" ht="36" customHeight="1">
      <c r="A137" s="508" t="s">
        <v>72</v>
      </c>
      <c r="B137" s="509"/>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09"/>
      <c r="AY137" s="509"/>
      <c r="AZ137" s="509"/>
      <c r="BA137" s="509"/>
      <c r="BB137" s="509"/>
      <c r="BC137" s="509"/>
      <c r="BD137" s="509"/>
      <c r="BE137" s="509"/>
      <c r="BF137" s="509"/>
      <c r="BG137" s="509"/>
      <c r="BH137" s="509"/>
      <c r="BI137" s="509"/>
      <c r="BJ137" s="509"/>
      <c r="BK137" s="510"/>
      <c r="BL137" s="339" t="s">
        <v>73</v>
      </c>
      <c r="BM137" s="340"/>
      <c r="BN137" s="340"/>
      <c r="BO137" s="340"/>
      <c r="BP137" s="340"/>
      <c r="BQ137" s="340"/>
      <c r="BR137" s="340"/>
      <c r="BS137" s="341"/>
      <c r="BT137" s="345" t="s">
        <v>74</v>
      </c>
      <c r="BU137" s="340"/>
      <c r="BV137" s="340"/>
      <c r="BW137" s="340"/>
      <c r="BX137" s="340"/>
      <c r="BY137" s="340"/>
      <c r="BZ137" s="340"/>
      <c r="CA137" s="340"/>
      <c r="CB137" s="340"/>
      <c r="CC137" s="340"/>
      <c r="CD137" s="340"/>
      <c r="CE137" s="340"/>
      <c r="CF137" s="341"/>
      <c r="CG137" s="345" t="s">
        <v>215</v>
      </c>
      <c r="CH137" s="340"/>
      <c r="CI137" s="340"/>
      <c r="CJ137" s="340"/>
      <c r="CK137" s="340"/>
      <c r="CL137" s="340"/>
      <c r="CM137" s="340"/>
      <c r="CN137" s="340"/>
      <c r="CO137" s="340"/>
      <c r="CP137" s="340"/>
      <c r="CQ137" s="341"/>
      <c r="CR137" s="482"/>
      <c r="CS137" s="483"/>
      <c r="CT137" s="483"/>
      <c r="CU137" s="483"/>
      <c r="CV137" s="483"/>
      <c r="CW137" s="483"/>
      <c r="CX137" s="483"/>
      <c r="CY137" s="483"/>
      <c r="CZ137" s="483"/>
      <c r="DA137" s="483"/>
      <c r="DB137" s="483"/>
      <c r="DC137" s="483"/>
      <c r="DD137" s="484"/>
      <c r="DE137" s="519">
        <f>SUM(DE138)</f>
        <v>0</v>
      </c>
      <c r="DF137" s="520"/>
      <c r="DG137" s="520"/>
      <c r="DH137" s="520"/>
      <c r="DI137" s="520"/>
      <c r="DJ137" s="520"/>
      <c r="DK137" s="520"/>
      <c r="DL137" s="520"/>
      <c r="DM137" s="520"/>
      <c r="DN137" s="520"/>
      <c r="DO137" s="520"/>
      <c r="DP137" s="520"/>
      <c r="DQ137" s="521"/>
      <c r="DR137" s="519">
        <f>SUM(DR138)</f>
        <v>0</v>
      </c>
      <c r="DS137" s="520"/>
      <c r="DT137" s="520"/>
      <c r="DU137" s="520"/>
      <c r="DV137" s="520"/>
      <c r="DW137" s="520"/>
      <c r="DX137" s="520"/>
      <c r="DY137" s="520"/>
      <c r="DZ137" s="520"/>
      <c r="EA137" s="520"/>
      <c r="EB137" s="520"/>
      <c r="EC137" s="520"/>
      <c r="ED137" s="521"/>
      <c r="EE137" s="519"/>
      <c r="EF137" s="520"/>
      <c r="EG137" s="520"/>
      <c r="EH137" s="520"/>
      <c r="EI137" s="520"/>
      <c r="EJ137" s="520"/>
      <c r="EK137" s="520"/>
      <c r="EL137" s="520"/>
      <c r="EM137" s="520"/>
      <c r="EN137" s="520"/>
      <c r="EO137" s="520"/>
      <c r="EP137" s="520"/>
      <c r="EQ137" s="521"/>
      <c r="ER137" s="349"/>
      <c r="ES137" s="350"/>
      <c r="ET137" s="350"/>
      <c r="EU137" s="350"/>
      <c r="EV137" s="350"/>
      <c r="EW137" s="350"/>
      <c r="EX137" s="350"/>
      <c r="EY137" s="350"/>
      <c r="EZ137" s="350"/>
      <c r="FA137" s="350"/>
      <c r="FB137" s="351"/>
      <c r="FC137" s="352"/>
      <c r="FD137" s="353"/>
      <c r="FE137" s="353"/>
      <c r="FF137" s="353"/>
      <c r="FG137" s="353"/>
      <c r="FH137" s="353"/>
      <c r="FI137" s="353"/>
      <c r="FJ137" s="353"/>
      <c r="FK137" s="353"/>
      <c r="FL137" s="353"/>
      <c r="FO137" s="275"/>
      <c r="FP137" s="275"/>
      <c r="FQ137" s="275">
        <f t="shared" si="3"/>
        <v>0</v>
      </c>
    </row>
    <row r="138" spans="1:173" ht="11.25" customHeight="1">
      <c r="A138" s="441" t="s">
        <v>613</v>
      </c>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442"/>
      <c r="BA138" s="442"/>
      <c r="BB138" s="442"/>
      <c r="BC138" s="442"/>
      <c r="BD138" s="442"/>
      <c r="BE138" s="442"/>
      <c r="BF138" s="442"/>
      <c r="BG138" s="442"/>
      <c r="BH138" s="442"/>
      <c r="BI138" s="442"/>
      <c r="BJ138" s="442"/>
      <c r="BK138" s="443"/>
      <c r="BL138" s="339"/>
      <c r="BM138" s="340"/>
      <c r="BN138" s="340"/>
      <c r="BO138" s="340"/>
      <c r="BP138" s="340"/>
      <c r="BQ138" s="340"/>
      <c r="BR138" s="340"/>
      <c r="BS138" s="341"/>
      <c r="BT138" s="342" t="s">
        <v>774</v>
      </c>
      <c r="BU138" s="343"/>
      <c r="BV138" s="343"/>
      <c r="BW138" s="343"/>
      <c r="BX138" s="343"/>
      <c r="BY138" s="343"/>
      <c r="BZ138" s="343"/>
      <c r="CA138" s="343"/>
      <c r="CB138" s="343"/>
      <c r="CC138" s="343"/>
      <c r="CD138" s="343"/>
      <c r="CE138" s="343"/>
      <c r="CF138" s="344"/>
      <c r="CG138" s="345" t="s">
        <v>775</v>
      </c>
      <c r="CH138" s="340"/>
      <c r="CI138" s="340"/>
      <c r="CJ138" s="340"/>
      <c r="CK138" s="340"/>
      <c r="CL138" s="340"/>
      <c r="CM138" s="340"/>
      <c r="CN138" s="340"/>
      <c r="CO138" s="340"/>
      <c r="CP138" s="340"/>
      <c r="CQ138" s="341"/>
      <c r="CR138" s="482"/>
      <c r="CS138" s="483"/>
      <c r="CT138" s="483"/>
      <c r="CU138" s="483"/>
      <c r="CV138" s="483"/>
      <c r="CW138" s="483"/>
      <c r="CX138" s="483"/>
      <c r="CY138" s="483"/>
      <c r="CZ138" s="483"/>
      <c r="DA138" s="483"/>
      <c r="DB138" s="483"/>
      <c r="DC138" s="483"/>
      <c r="DD138" s="484"/>
      <c r="DE138" s="482">
        <v>0</v>
      </c>
      <c r="DF138" s="483"/>
      <c r="DG138" s="483"/>
      <c r="DH138" s="483"/>
      <c r="DI138" s="483"/>
      <c r="DJ138" s="483"/>
      <c r="DK138" s="483"/>
      <c r="DL138" s="483"/>
      <c r="DM138" s="483"/>
      <c r="DN138" s="483"/>
      <c r="DO138" s="483"/>
      <c r="DP138" s="483"/>
      <c r="DQ138" s="484"/>
      <c r="DR138" s="482">
        <v>0</v>
      </c>
      <c r="DS138" s="483"/>
      <c r="DT138" s="483"/>
      <c r="DU138" s="483"/>
      <c r="DV138" s="483"/>
      <c r="DW138" s="483"/>
      <c r="DX138" s="483"/>
      <c r="DY138" s="483"/>
      <c r="DZ138" s="483"/>
      <c r="EA138" s="483"/>
      <c r="EB138" s="483"/>
      <c r="EC138" s="483"/>
      <c r="ED138" s="484"/>
      <c r="EE138" s="482"/>
      <c r="EF138" s="483"/>
      <c r="EG138" s="483"/>
      <c r="EH138" s="483"/>
      <c r="EI138" s="483"/>
      <c r="EJ138" s="483"/>
      <c r="EK138" s="483"/>
      <c r="EL138" s="483"/>
      <c r="EM138" s="483"/>
      <c r="EN138" s="483"/>
      <c r="EO138" s="483"/>
      <c r="EP138" s="483"/>
      <c r="EQ138" s="484"/>
      <c r="ER138" s="349"/>
      <c r="ES138" s="350"/>
      <c r="ET138" s="350"/>
      <c r="EU138" s="350"/>
      <c r="EV138" s="350"/>
      <c r="EW138" s="350"/>
      <c r="EX138" s="350"/>
      <c r="EY138" s="350"/>
      <c r="EZ138" s="350"/>
      <c r="FA138" s="350"/>
      <c r="FB138" s="351"/>
      <c r="FC138" s="352"/>
      <c r="FD138" s="353"/>
      <c r="FE138" s="353"/>
      <c r="FF138" s="353"/>
      <c r="FG138" s="353"/>
      <c r="FH138" s="353"/>
      <c r="FI138" s="353"/>
      <c r="FJ138" s="353"/>
      <c r="FK138" s="353"/>
      <c r="FL138" s="353"/>
      <c r="FO138" s="275"/>
      <c r="FP138" s="275"/>
      <c r="FQ138" s="275">
        <f t="shared" si="3"/>
        <v>0</v>
      </c>
    </row>
    <row r="139" spans="1:173" ht="12" customHeight="1">
      <c r="A139" s="441"/>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3"/>
      <c r="BL139" s="339"/>
      <c r="BM139" s="340"/>
      <c r="BN139" s="340"/>
      <c r="BO139" s="340"/>
      <c r="BP139" s="340"/>
      <c r="BQ139" s="340"/>
      <c r="BR139" s="340"/>
      <c r="BS139" s="341"/>
      <c r="BT139" s="342"/>
      <c r="BU139" s="343"/>
      <c r="BV139" s="343"/>
      <c r="BW139" s="343"/>
      <c r="BX139" s="343"/>
      <c r="BY139" s="343"/>
      <c r="BZ139" s="343"/>
      <c r="CA139" s="343"/>
      <c r="CB139" s="343"/>
      <c r="CC139" s="343"/>
      <c r="CD139" s="343"/>
      <c r="CE139" s="343"/>
      <c r="CF139" s="344"/>
      <c r="CG139" s="345"/>
      <c r="CH139" s="340"/>
      <c r="CI139" s="340"/>
      <c r="CJ139" s="340"/>
      <c r="CK139" s="340"/>
      <c r="CL139" s="340"/>
      <c r="CM139" s="340"/>
      <c r="CN139" s="340"/>
      <c r="CO139" s="340"/>
      <c r="CP139" s="340"/>
      <c r="CQ139" s="341"/>
      <c r="CR139" s="482"/>
      <c r="CS139" s="483"/>
      <c r="CT139" s="483"/>
      <c r="CU139" s="483"/>
      <c r="CV139" s="483"/>
      <c r="CW139" s="483"/>
      <c r="CX139" s="483"/>
      <c r="CY139" s="483"/>
      <c r="CZ139" s="483"/>
      <c r="DA139" s="483"/>
      <c r="DB139" s="483"/>
      <c r="DC139" s="483"/>
      <c r="DD139" s="484"/>
      <c r="DE139" s="482"/>
      <c r="DF139" s="483"/>
      <c r="DG139" s="483"/>
      <c r="DH139" s="483"/>
      <c r="DI139" s="483"/>
      <c r="DJ139" s="483"/>
      <c r="DK139" s="483"/>
      <c r="DL139" s="483"/>
      <c r="DM139" s="483"/>
      <c r="DN139" s="483"/>
      <c r="DO139" s="483"/>
      <c r="DP139" s="483"/>
      <c r="DQ139" s="484"/>
      <c r="DR139" s="482"/>
      <c r="DS139" s="483"/>
      <c r="DT139" s="483"/>
      <c r="DU139" s="483"/>
      <c r="DV139" s="483"/>
      <c r="DW139" s="483"/>
      <c r="DX139" s="483"/>
      <c r="DY139" s="483"/>
      <c r="DZ139" s="483"/>
      <c r="EA139" s="483"/>
      <c r="EB139" s="483"/>
      <c r="EC139" s="483"/>
      <c r="ED139" s="484"/>
      <c r="EE139" s="482"/>
      <c r="EF139" s="483"/>
      <c r="EG139" s="483"/>
      <c r="EH139" s="483"/>
      <c r="EI139" s="483"/>
      <c r="EJ139" s="483"/>
      <c r="EK139" s="483"/>
      <c r="EL139" s="483"/>
      <c r="EM139" s="483"/>
      <c r="EN139" s="483"/>
      <c r="EO139" s="483"/>
      <c r="EP139" s="483"/>
      <c r="EQ139" s="484"/>
      <c r="ER139" s="349"/>
      <c r="ES139" s="350"/>
      <c r="ET139" s="350"/>
      <c r="EU139" s="350"/>
      <c r="EV139" s="350"/>
      <c r="EW139" s="350"/>
      <c r="EX139" s="350"/>
      <c r="EY139" s="350"/>
      <c r="EZ139" s="350"/>
      <c r="FA139" s="350"/>
      <c r="FB139" s="351"/>
      <c r="FC139" s="352"/>
      <c r="FD139" s="353"/>
      <c r="FE139" s="353"/>
      <c r="FF139" s="353"/>
      <c r="FG139" s="353"/>
      <c r="FH139" s="353"/>
      <c r="FI139" s="353"/>
      <c r="FJ139" s="353"/>
      <c r="FK139" s="353"/>
      <c r="FL139" s="353"/>
      <c r="FO139" s="275"/>
      <c r="FP139" s="275"/>
      <c r="FQ139" s="275">
        <f t="shared" ref="FQ139:FQ205" si="4">DR139-FO139-FP139</f>
        <v>0</v>
      </c>
    </row>
    <row r="140" spans="1:173" ht="24" customHeight="1">
      <c r="A140" s="485" t="s">
        <v>75</v>
      </c>
      <c r="B140" s="381"/>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2"/>
      <c r="BL140" s="339" t="s">
        <v>76</v>
      </c>
      <c r="BM140" s="340"/>
      <c r="BN140" s="340"/>
      <c r="BO140" s="340"/>
      <c r="BP140" s="340"/>
      <c r="BQ140" s="340"/>
      <c r="BR140" s="340"/>
      <c r="BS140" s="341"/>
      <c r="BT140" s="345" t="s">
        <v>77</v>
      </c>
      <c r="BU140" s="340"/>
      <c r="BV140" s="340"/>
      <c r="BW140" s="340"/>
      <c r="BX140" s="340"/>
      <c r="BY140" s="340"/>
      <c r="BZ140" s="340"/>
      <c r="CA140" s="340"/>
      <c r="CB140" s="340"/>
      <c r="CC140" s="340"/>
      <c r="CD140" s="340"/>
      <c r="CE140" s="340"/>
      <c r="CF140" s="341"/>
      <c r="CG140" s="345"/>
      <c r="CH140" s="340"/>
      <c r="CI140" s="340"/>
      <c r="CJ140" s="340"/>
      <c r="CK140" s="340"/>
      <c r="CL140" s="340"/>
      <c r="CM140" s="340"/>
      <c r="CN140" s="340"/>
      <c r="CO140" s="340"/>
      <c r="CP140" s="340"/>
      <c r="CQ140" s="341"/>
      <c r="CR140" s="345"/>
      <c r="CS140" s="340"/>
      <c r="CT140" s="340"/>
      <c r="CU140" s="340"/>
      <c r="CV140" s="340"/>
      <c r="CW140" s="340"/>
      <c r="CX140" s="340"/>
      <c r="CY140" s="340"/>
      <c r="CZ140" s="340"/>
      <c r="DA140" s="340"/>
      <c r="DB140" s="340"/>
      <c r="DC140" s="340"/>
      <c r="DD140" s="341"/>
      <c r="DE140" s="349">
        <v>0</v>
      </c>
      <c r="DF140" s="350"/>
      <c r="DG140" s="350"/>
      <c r="DH140" s="350"/>
      <c r="DI140" s="350"/>
      <c r="DJ140" s="350"/>
      <c r="DK140" s="350"/>
      <c r="DL140" s="350"/>
      <c r="DM140" s="350"/>
      <c r="DN140" s="350"/>
      <c r="DO140" s="350"/>
      <c r="DP140" s="350"/>
      <c r="DQ140" s="351"/>
      <c r="DR140" s="349">
        <v>0</v>
      </c>
      <c r="DS140" s="350"/>
      <c r="DT140" s="350"/>
      <c r="DU140" s="350"/>
      <c r="DV140" s="350"/>
      <c r="DW140" s="350"/>
      <c r="DX140" s="350"/>
      <c r="DY140" s="350"/>
      <c r="DZ140" s="350"/>
      <c r="EA140" s="350"/>
      <c r="EB140" s="350"/>
      <c r="EC140" s="350"/>
      <c r="ED140" s="351"/>
      <c r="EE140" s="349"/>
      <c r="EF140" s="350"/>
      <c r="EG140" s="350"/>
      <c r="EH140" s="350"/>
      <c r="EI140" s="350"/>
      <c r="EJ140" s="350"/>
      <c r="EK140" s="350"/>
      <c r="EL140" s="350"/>
      <c r="EM140" s="350"/>
      <c r="EN140" s="350"/>
      <c r="EO140" s="350"/>
      <c r="EP140" s="350"/>
      <c r="EQ140" s="351"/>
      <c r="ER140" s="349"/>
      <c r="ES140" s="350"/>
      <c r="ET140" s="350"/>
      <c r="EU140" s="350"/>
      <c r="EV140" s="350"/>
      <c r="EW140" s="350"/>
      <c r="EX140" s="350"/>
      <c r="EY140" s="350"/>
      <c r="EZ140" s="350"/>
      <c r="FA140" s="350"/>
      <c r="FB140" s="351"/>
      <c r="FC140" s="352"/>
      <c r="FD140" s="353"/>
      <c r="FE140" s="353"/>
      <c r="FF140" s="353"/>
      <c r="FG140" s="353"/>
      <c r="FH140" s="353"/>
      <c r="FI140" s="353"/>
      <c r="FJ140" s="353"/>
      <c r="FK140" s="353"/>
      <c r="FL140" s="353"/>
      <c r="FO140" s="275"/>
      <c r="FP140" s="275"/>
      <c r="FQ140" s="275">
        <f t="shared" si="4"/>
        <v>0</v>
      </c>
    </row>
    <row r="141" spans="1:173" ht="12" customHeight="1">
      <c r="A141" s="485" t="s">
        <v>292</v>
      </c>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c r="BA141" s="381"/>
      <c r="BB141" s="381"/>
      <c r="BC141" s="381"/>
      <c r="BD141" s="381"/>
      <c r="BE141" s="381"/>
      <c r="BF141" s="381"/>
      <c r="BG141" s="381"/>
      <c r="BH141" s="381"/>
      <c r="BI141" s="381"/>
      <c r="BJ141" s="381"/>
      <c r="BK141" s="382"/>
      <c r="BL141" s="339" t="s">
        <v>78</v>
      </c>
      <c r="BM141" s="340"/>
      <c r="BN141" s="340"/>
      <c r="BO141" s="340"/>
      <c r="BP141" s="340"/>
      <c r="BQ141" s="340"/>
      <c r="BR141" s="340"/>
      <c r="BS141" s="341"/>
      <c r="BT141" s="345" t="s">
        <v>1121</v>
      </c>
      <c r="BU141" s="340"/>
      <c r="BV141" s="340"/>
      <c r="BW141" s="340"/>
      <c r="BX141" s="340"/>
      <c r="BY141" s="340"/>
      <c r="BZ141" s="340"/>
      <c r="CA141" s="340"/>
      <c r="CB141" s="340"/>
      <c r="CC141" s="340"/>
      <c r="CD141" s="340"/>
      <c r="CE141" s="340"/>
      <c r="CF141" s="341"/>
      <c r="CG141" s="345" t="s">
        <v>1120</v>
      </c>
      <c r="CH141" s="340"/>
      <c r="CI141" s="340"/>
      <c r="CJ141" s="340"/>
      <c r="CK141" s="340"/>
      <c r="CL141" s="340"/>
      <c r="CM141" s="340"/>
      <c r="CN141" s="340"/>
      <c r="CO141" s="340"/>
      <c r="CP141" s="340"/>
      <c r="CQ141" s="341"/>
      <c r="CR141" s="345"/>
      <c r="CS141" s="340"/>
      <c r="CT141" s="340"/>
      <c r="CU141" s="340"/>
      <c r="CV141" s="340"/>
      <c r="CW141" s="340"/>
      <c r="CX141" s="340"/>
      <c r="CY141" s="340"/>
      <c r="CZ141" s="340"/>
      <c r="DA141" s="340"/>
      <c r="DB141" s="340"/>
      <c r="DC141" s="340"/>
      <c r="DD141" s="341"/>
      <c r="DE141" s="349">
        <v>0</v>
      </c>
      <c r="DF141" s="350"/>
      <c r="DG141" s="350"/>
      <c r="DH141" s="350"/>
      <c r="DI141" s="350"/>
      <c r="DJ141" s="350"/>
      <c r="DK141" s="350"/>
      <c r="DL141" s="350"/>
      <c r="DM141" s="350"/>
      <c r="DN141" s="350"/>
      <c r="DO141" s="350"/>
      <c r="DP141" s="350"/>
      <c r="DQ141" s="351"/>
      <c r="DR141" s="425">
        <f>10000</f>
        <v>10000</v>
      </c>
      <c r="DS141" s="426"/>
      <c r="DT141" s="426"/>
      <c r="DU141" s="426"/>
      <c r="DV141" s="426"/>
      <c r="DW141" s="426"/>
      <c r="DX141" s="426"/>
      <c r="DY141" s="426"/>
      <c r="DZ141" s="426"/>
      <c r="EA141" s="426"/>
      <c r="EB141" s="426"/>
      <c r="EC141" s="426"/>
      <c r="ED141" s="427"/>
      <c r="EE141" s="349"/>
      <c r="EF141" s="350"/>
      <c r="EG141" s="350"/>
      <c r="EH141" s="350"/>
      <c r="EI141" s="350"/>
      <c r="EJ141" s="350"/>
      <c r="EK141" s="350"/>
      <c r="EL141" s="350"/>
      <c r="EM141" s="350"/>
      <c r="EN141" s="350"/>
      <c r="EO141" s="350"/>
      <c r="EP141" s="350"/>
      <c r="EQ141" s="351"/>
      <c r="ER141" s="349"/>
      <c r="ES141" s="350"/>
      <c r="ET141" s="350"/>
      <c r="EU141" s="350"/>
      <c r="EV141" s="350"/>
      <c r="EW141" s="350"/>
      <c r="EX141" s="350"/>
      <c r="EY141" s="350"/>
      <c r="EZ141" s="350"/>
      <c r="FA141" s="350"/>
      <c r="FB141" s="351"/>
      <c r="FC141" s="352"/>
      <c r="FD141" s="353"/>
      <c r="FE141" s="353"/>
      <c r="FF141" s="353"/>
      <c r="FG141" s="353"/>
      <c r="FH141" s="353"/>
      <c r="FI141" s="353"/>
      <c r="FJ141" s="353"/>
      <c r="FK141" s="353"/>
      <c r="FL141" s="353"/>
      <c r="FO141" s="275"/>
      <c r="FP141" s="275"/>
      <c r="FQ141" s="275">
        <f t="shared" si="4"/>
        <v>10000</v>
      </c>
    </row>
    <row r="142" spans="1:173" ht="12" customHeight="1">
      <c r="A142" s="485" t="s">
        <v>293</v>
      </c>
      <c r="B142" s="381"/>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2"/>
      <c r="BL142" s="339" t="s">
        <v>79</v>
      </c>
      <c r="BM142" s="340"/>
      <c r="BN142" s="340"/>
      <c r="BO142" s="340"/>
      <c r="BP142" s="340"/>
      <c r="BQ142" s="340"/>
      <c r="BR142" s="340"/>
      <c r="BS142" s="341"/>
      <c r="BT142" s="345" t="s">
        <v>80</v>
      </c>
      <c r="BU142" s="340"/>
      <c r="BV142" s="340"/>
      <c r="BW142" s="340"/>
      <c r="BX142" s="340"/>
      <c r="BY142" s="340"/>
      <c r="BZ142" s="340"/>
      <c r="CA142" s="340"/>
      <c r="CB142" s="340"/>
      <c r="CC142" s="340"/>
      <c r="CD142" s="340"/>
      <c r="CE142" s="340"/>
      <c r="CF142" s="341"/>
      <c r="CG142" s="345"/>
      <c r="CH142" s="340"/>
      <c r="CI142" s="340"/>
      <c r="CJ142" s="340"/>
      <c r="CK142" s="340"/>
      <c r="CL142" s="340"/>
      <c r="CM142" s="340"/>
      <c r="CN142" s="340"/>
      <c r="CO142" s="340"/>
      <c r="CP142" s="340"/>
      <c r="CQ142" s="341"/>
      <c r="CR142" s="345"/>
      <c r="CS142" s="340"/>
      <c r="CT142" s="340"/>
      <c r="CU142" s="340"/>
      <c r="CV142" s="340"/>
      <c r="CW142" s="340"/>
      <c r="CX142" s="340"/>
      <c r="CY142" s="340"/>
      <c r="CZ142" s="340"/>
      <c r="DA142" s="340"/>
      <c r="DB142" s="340"/>
      <c r="DC142" s="340"/>
      <c r="DD142" s="341"/>
      <c r="DE142" s="349">
        <v>0</v>
      </c>
      <c r="DF142" s="350"/>
      <c r="DG142" s="350"/>
      <c r="DH142" s="350"/>
      <c r="DI142" s="350"/>
      <c r="DJ142" s="350"/>
      <c r="DK142" s="350"/>
      <c r="DL142" s="350"/>
      <c r="DM142" s="350"/>
      <c r="DN142" s="350"/>
      <c r="DO142" s="350"/>
      <c r="DP142" s="350"/>
      <c r="DQ142" s="351"/>
      <c r="DR142" s="349">
        <v>0</v>
      </c>
      <c r="DS142" s="350"/>
      <c r="DT142" s="350"/>
      <c r="DU142" s="350"/>
      <c r="DV142" s="350"/>
      <c r="DW142" s="350"/>
      <c r="DX142" s="350"/>
      <c r="DY142" s="350"/>
      <c r="DZ142" s="350"/>
      <c r="EA142" s="350"/>
      <c r="EB142" s="350"/>
      <c r="EC142" s="350"/>
      <c r="ED142" s="351"/>
      <c r="EE142" s="349"/>
      <c r="EF142" s="350"/>
      <c r="EG142" s="350"/>
      <c r="EH142" s="350"/>
      <c r="EI142" s="350"/>
      <c r="EJ142" s="350"/>
      <c r="EK142" s="350"/>
      <c r="EL142" s="350"/>
      <c r="EM142" s="350"/>
      <c r="EN142" s="350"/>
      <c r="EO142" s="350"/>
      <c r="EP142" s="350"/>
      <c r="EQ142" s="351"/>
      <c r="ER142" s="349"/>
      <c r="ES142" s="350"/>
      <c r="ET142" s="350"/>
      <c r="EU142" s="350"/>
      <c r="EV142" s="350"/>
      <c r="EW142" s="350"/>
      <c r="EX142" s="350"/>
      <c r="EY142" s="350"/>
      <c r="EZ142" s="350"/>
      <c r="FA142" s="350"/>
      <c r="FB142" s="351"/>
      <c r="FC142" s="352"/>
      <c r="FD142" s="353"/>
      <c r="FE142" s="353"/>
      <c r="FF142" s="353"/>
      <c r="FG142" s="353"/>
      <c r="FH142" s="353"/>
      <c r="FI142" s="353"/>
      <c r="FJ142" s="353"/>
      <c r="FK142" s="353"/>
      <c r="FL142" s="353"/>
      <c r="FO142" s="275"/>
      <c r="FP142" s="275"/>
      <c r="FQ142" s="275">
        <f t="shared" si="4"/>
        <v>0</v>
      </c>
    </row>
    <row r="143" spans="1:173" ht="12" customHeight="1">
      <c r="A143" s="487" t="s">
        <v>81</v>
      </c>
      <c r="B143" s="488"/>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8"/>
      <c r="AV143" s="488"/>
      <c r="AW143" s="488"/>
      <c r="AX143" s="488"/>
      <c r="AY143" s="488"/>
      <c r="AZ143" s="488"/>
      <c r="BA143" s="488"/>
      <c r="BB143" s="488"/>
      <c r="BC143" s="488"/>
      <c r="BD143" s="488"/>
      <c r="BE143" s="488"/>
      <c r="BF143" s="488"/>
      <c r="BG143" s="488"/>
      <c r="BH143" s="488"/>
      <c r="BI143" s="488"/>
      <c r="BJ143" s="488"/>
      <c r="BK143" s="489"/>
      <c r="BL143" s="460" t="s">
        <v>82</v>
      </c>
      <c r="BM143" s="363"/>
      <c r="BN143" s="363"/>
      <c r="BO143" s="363"/>
      <c r="BP143" s="363"/>
      <c r="BQ143" s="363"/>
      <c r="BR143" s="363"/>
      <c r="BS143" s="364"/>
      <c r="BT143" s="362" t="s">
        <v>83</v>
      </c>
      <c r="BU143" s="363"/>
      <c r="BV143" s="363"/>
      <c r="BW143" s="363"/>
      <c r="BX143" s="363"/>
      <c r="BY143" s="363"/>
      <c r="BZ143" s="363"/>
      <c r="CA143" s="363"/>
      <c r="CB143" s="363"/>
      <c r="CC143" s="363"/>
      <c r="CD143" s="363"/>
      <c r="CE143" s="363"/>
      <c r="CF143" s="364"/>
      <c r="CG143" s="362" t="s">
        <v>268</v>
      </c>
      <c r="CH143" s="363"/>
      <c r="CI143" s="363"/>
      <c r="CJ143" s="363"/>
      <c r="CK143" s="363"/>
      <c r="CL143" s="363"/>
      <c r="CM143" s="363"/>
      <c r="CN143" s="363"/>
      <c r="CO143" s="363"/>
      <c r="CP143" s="363"/>
      <c r="CQ143" s="364"/>
      <c r="CR143" s="362"/>
      <c r="CS143" s="363"/>
      <c r="CT143" s="363"/>
      <c r="CU143" s="363"/>
      <c r="CV143" s="363"/>
      <c r="CW143" s="363"/>
      <c r="CX143" s="363"/>
      <c r="CY143" s="363"/>
      <c r="CZ143" s="363"/>
      <c r="DA143" s="363"/>
      <c r="DB143" s="363"/>
      <c r="DC143" s="363"/>
      <c r="DD143" s="364"/>
      <c r="DE143" s="365">
        <f>SUM(DE145:DQ147)</f>
        <v>545913.19999999995</v>
      </c>
      <c r="DF143" s="366"/>
      <c r="DG143" s="366"/>
      <c r="DH143" s="366"/>
      <c r="DI143" s="366"/>
      <c r="DJ143" s="366"/>
      <c r="DK143" s="366"/>
      <c r="DL143" s="366"/>
      <c r="DM143" s="366"/>
      <c r="DN143" s="366"/>
      <c r="DO143" s="366"/>
      <c r="DP143" s="366"/>
      <c r="DQ143" s="367"/>
      <c r="DR143" s="365">
        <f>SUM(DR145:ED147)</f>
        <v>541669</v>
      </c>
      <c r="DS143" s="366"/>
      <c r="DT143" s="366"/>
      <c r="DU143" s="366"/>
      <c r="DV143" s="366"/>
      <c r="DW143" s="366"/>
      <c r="DX143" s="366"/>
      <c r="DY143" s="366"/>
      <c r="DZ143" s="366"/>
      <c r="EA143" s="366"/>
      <c r="EB143" s="366"/>
      <c r="EC143" s="366"/>
      <c r="ED143" s="367"/>
      <c r="EE143" s="365"/>
      <c r="EF143" s="366"/>
      <c r="EG143" s="366"/>
      <c r="EH143" s="366"/>
      <c r="EI143" s="366"/>
      <c r="EJ143" s="366"/>
      <c r="EK143" s="366"/>
      <c r="EL143" s="366"/>
      <c r="EM143" s="366"/>
      <c r="EN143" s="366"/>
      <c r="EO143" s="366"/>
      <c r="EP143" s="366"/>
      <c r="EQ143" s="367"/>
      <c r="ER143" s="349"/>
      <c r="ES143" s="350"/>
      <c r="ET143" s="350"/>
      <c r="EU143" s="350"/>
      <c r="EV143" s="350"/>
      <c r="EW143" s="350"/>
      <c r="EX143" s="350"/>
      <c r="EY143" s="350"/>
      <c r="EZ143" s="350"/>
      <c r="FA143" s="350"/>
      <c r="FB143" s="351"/>
      <c r="FC143" s="352"/>
      <c r="FD143" s="353"/>
      <c r="FE143" s="353"/>
      <c r="FF143" s="353"/>
      <c r="FG143" s="353"/>
      <c r="FH143" s="353"/>
      <c r="FI143" s="353"/>
      <c r="FJ143" s="353"/>
      <c r="FK143" s="353"/>
      <c r="FL143" s="353"/>
      <c r="FO143" s="275"/>
      <c r="FP143" s="275"/>
      <c r="FQ143" s="275">
        <f t="shared" si="4"/>
        <v>541669</v>
      </c>
    </row>
    <row r="144" spans="1:173" ht="12" customHeight="1">
      <c r="A144" s="354" t="s">
        <v>110</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374"/>
      <c r="BE144" s="374"/>
      <c r="BF144" s="374"/>
      <c r="BG144" s="374"/>
      <c r="BH144" s="374"/>
      <c r="BI144" s="374"/>
      <c r="BJ144" s="374"/>
      <c r="BK144" s="375"/>
      <c r="BL144" s="339" t="s">
        <v>272</v>
      </c>
      <c r="BM144" s="340"/>
      <c r="BN144" s="340"/>
      <c r="BO144" s="340"/>
      <c r="BP144" s="340"/>
      <c r="BQ144" s="340"/>
      <c r="BR144" s="340"/>
      <c r="BS144" s="341"/>
      <c r="BT144" s="345" t="s">
        <v>272</v>
      </c>
      <c r="BU144" s="340"/>
      <c r="BV144" s="340"/>
      <c r="BW144" s="340"/>
      <c r="BX144" s="340"/>
      <c r="BY144" s="340"/>
      <c r="BZ144" s="340"/>
      <c r="CA144" s="340"/>
      <c r="CB144" s="340"/>
      <c r="CC144" s="340"/>
      <c r="CD144" s="340"/>
      <c r="CE144" s="340"/>
      <c r="CF144" s="341"/>
      <c r="CG144" s="345"/>
      <c r="CH144" s="340"/>
      <c r="CI144" s="340"/>
      <c r="CJ144" s="340"/>
      <c r="CK144" s="340"/>
      <c r="CL144" s="340"/>
      <c r="CM144" s="340"/>
      <c r="CN144" s="340"/>
      <c r="CO144" s="340"/>
      <c r="CP144" s="340"/>
      <c r="CQ144" s="341"/>
      <c r="CR144" s="345"/>
      <c r="CS144" s="340"/>
      <c r="CT144" s="340"/>
      <c r="CU144" s="340"/>
      <c r="CV144" s="340"/>
      <c r="CW144" s="340"/>
      <c r="CX144" s="340"/>
      <c r="CY144" s="340"/>
      <c r="CZ144" s="340"/>
      <c r="DA144" s="340"/>
      <c r="DB144" s="340"/>
      <c r="DC144" s="340"/>
      <c r="DD144" s="341"/>
      <c r="DE144" s="346"/>
      <c r="DF144" s="347"/>
      <c r="DG144" s="347"/>
      <c r="DH144" s="347"/>
      <c r="DI144" s="347"/>
      <c r="DJ144" s="347"/>
      <c r="DK144" s="347"/>
      <c r="DL144" s="347"/>
      <c r="DM144" s="347"/>
      <c r="DN144" s="347"/>
      <c r="DO144" s="347"/>
      <c r="DP144" s="347"/>
      <c r="DQ144" s="348"/>
      <c r="DR144" s="346"/>
      <c r="DS144" s="347"/>
      <c r="DT144" s="347"/>
      <c r="DU144" s="347"/>
      <c r="DV144" s="347"/>
      <c r="DW144" s="347"/>
      <c r="DX144" s="347"/>
      <c r="DY144" s="347"/>
      <c r="DZ144" s="347"/>
      <c r="EA144" s="347"/>
      <c r="EB144" s="347"/>
      <c r="EC144" s="347"/>
      <c r="ED144" s="348"/>
      <c r="EE144" s="346"/>
      <c r="EF144" s="347"/>
      <c r="EG144" s="347"/>
      <c r="EH144" s="347"/>
      <c r="EI144" s="347"/>
      <c r="EJ144" s="347"/>
      <c r="EK144" s="347"/>
      <c r="EL144" s="347"/>
      <c r="EM144" s="347"/>
      <c r="EN144" s="347"/>
      <c r="EO144" s="347"/>
      <c r="EP144" s="347"/>
      <c r="EQ144" s="348"/>
      <c r="ER144" s="349"/>
      <c r="ES144" s="350"/>
      <c r="ET144" s="350"/>
      <c r="EU144" s="350"/>
      <c r="EV144" s="350"/>
      <c r="EW144" s="350"/>
      <c r="EX144" s="350"/>
      <c r="EY144" s="350"/>
      <c r="EZ144" s="350"/>
      <c r="FA144" s="350"/>
      <c r="FB144" s="351"/>
      <c r="FC144" s="349"/>
      <c r="FD144" s="350"/>
      <c r="FE144" s="350"/>
      <c r="FF144" s="350"/>
      <c r="FG144" s="350"/>
      <c r="FH144" s="350"/>
      <c r="FI144" s="350"/>
      <c r="FJ144" s="350"/>
      <c r="FK144" s="350"/>
      <c r="FL144" s="350"/>
      <c r="FM144" s="350"/>
      <c r="FN144" s="350"/>
      <c r="FO144" s="275"/>
      <c r="FP144" s="275"/>
      <c r="FQ144" s="275">
        <f t="shared" si="4"/>
        <v>0</v>
      </c>
    </row>
    <row r="145" spans="1:173" ht="12" customHeight="1">
      <c r="A145" s="386" t="s">
        <v>284</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6"/>
      <c r="BL145" s="339"/>
      <c r="BM145" s="340"/>
      <c r="BN145" s="340"/>
      <c r="BO145" s="340"/>
      <c r="BP145" s="340"/>
      <c r="BQ145" s="340"/>
      <c r="BR145" s="340"/>
      <c r="BS145" s="341"/>
      <c r="BT145" s="345"/>
      <c r="BU145" s="340"/>
      <c r="BV145" s="340"/>
      <c r="BW145" s="340"/>
      <c r="BX145" s="340"/>
      <c r="BY145" s="340"/>
      <c r="BZ145" s="340"/>
      <c r="CA145" s="340"/>
      <c r="CB145" s="340"/>
      <c r="CC145" s="340"/>
      <c r="CD145" s="340"/>
      <c r="CE145" s="340"/>
      <c r="CF145" s="341"/>
      <c r="CG145" s="345"/>
      <c r="CH145" s="340"/>
      <c r="CI145" s="340"/>
      <c r="CJ145" s="340"/>
      <c r="CK145" s="340"/>
      <c r="CL145" s="340"/>
      <c r="CM145" s="340"/>
      <c r="CN145" s="340"/>
      <c r="CO145" s="340"/>
      <c r="CP145" s="340"/>
      <c r="CQ145" s="341"/>
      <c r="CR145" s="345"/>
      <c r="CS145" s="340"/>
      <c r="CT145" s="340"/>
      <c r="CU145" s="340"/>
      <c r="CV145" s="340"/>
      <c r="CW145" s="340"/>
      <c r="CX145" s="340"/>
      <c r="CY145" s="340"/>
      <c r="CZ145" s="340"/>
      <c r="DA145" s="340"/>
      <c r="DB145" s="340"/>
      <c r="DC145" s="340"/>
      <c r="DD145" s="341"/>
      <c r="DE145" s="346">
        <v>0</v>
      </c>
      <c r="DF145" s="347"/>
      <c r="DG145" s="347"/>
      <c r="DH145" s="347"/>
      <c r="DI145" s="347"/>
      <c r="DJ145" s="347"/>
      <c r="DK145" s="347"/>
      <c r="DL145" s="347"/>
      <c r="DM145" s="347"/>
      <c r="DN145" s="347"/>
      <c r="DO145" s="347"/>
      <c r="DP145" s="347"/>
      <c r="DQ145" s="348"/>
      <c r="DR145" s="346">
        <v>0</v>
      </c>
      <c r="DS145" s="347"/>
      <c r="DT145" s="347"/>
      <c r="DU145" s="347"/>
      <c r="DV145" s="347"/>
      <c r="DW145" s="347"/>
      <c r="DX145" s="347"/>
      <c r="DY145" s="347"/>
      <c r="DZ145" s="347"/>
      <c r="EA145" s="347"/>
      <c r="EB145" s="347"/>
      <c r="EC145" s="347"/>
      <c r="ED145" s="348"/>
      <c r="EE145" s="346"/>
      <c r="EF145" s="347"/>
      <c r="EG145" s="347"/>
      <c r="EH145" s="347"/>
      <c r="EI145" s="347"/>
      <c r="EJ145" s="347"/>
      <c r="EK145" s="347"/>
      <c r="EL145" s="347"/>
      <c r="EM145" s="347"/>
      <c r="EN145" s="347"/>
      <c r="EO145" s="347"/>
      <c r="EP145" s="347"/>
      <c r="EQ145" s="348"/>
      <c r="ER145" s="349"/>
      <c r="ES145" s="350"/>
      <c r="ET145" s="350"/>
      <c r="EU145" s="350"/>
      <c r="EV145" s="350"/>
      <c r="EW145" s="350"/>
      <c r="EX145" s="350"/>
      <c r="EY145" s="350"/>
      <c r="EZ145" s="350"/>
      <c r="FA145" s="350"/>
      <c r="FB145" s="351"/>
      <c r="FC145" s="349"/>
      <c r="FD145" s="350"/>
      <c r="FE145" s="350"/>
      <c r="FF145" s="350"/>
      <c r="FG145" s="350"/>
      <c r="FH145" s="350"/>
      <c r="FI145" s="350"/>
      <c r="FJ145" s="350"/>
      <c r="FK145" s="350"/>
      <c r="FL145" s="350"/>
      <c r="FM145" s="350"/>
      <c r="FN145" s="350"/>
      <c r="FO145" s="275"/>
      <c r="FP145" s="275"/>
      <c r="FQ145" s="275">
        <f t="shared" si="4"/>
        <v>0</v>
      </c>
    </row>
    <row r="146" spans="1:173" ht="12" customHeight="1">
      <c r="A146" s="469" t="s">
        <v>282</v>
      </c>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8"/>
      <c r="BL146" s="339"/>
      <c r="BM146" s="340"/>
      <c r="BN146" s="340"/>
      <c r="BO146" s="340"/>
      <c r="BP146" s="340"/>
      <c r="BQ146" s="340"/>
      <c r="BR146" s="340"/>
      <c r="BS146" s="341"/>
      <c r="BT146" s="345"/>
      <c r="BU146" s="340"/>
      <c r="BV146" s="340"/>
      <c r="BW146" s="340"/>
      <c r="BX146" s="340"/>
      <c r="BY146" s="340"/>
      <c r="BZ146" s="340"/>
      <c r="CA146" s="340"/>
      <c r="CB146" s="340"/>
      <c r="CC146" s="340"/>
      <c r="CD146" s="340"/>
      <c r="CE146" s="340"/>
      <c r="CF146" s="341"/>
      <c r="CG146" s="345"/>
      <c r="CH146" s="340"/>
      <c r="CI146" s="340"/>
      <c r="CJ146" s="340"/>
      <c r="CK146" s="340"/>
      <c r="CL146" s="340"/>
      <c r="CM146" s="340"/>
      <c r="CN146" s="340"/>
      <c r="CO146" s="340"/>
      <c r="CP146" s="340"/>
      <c r="CQ146" s="341"/>
      <c r="CR146" s="345"/>
      <c r="CS146" s="340"/>
      <c r="CT146" s="340"/>
      <c r="CU146" s="340"/>
      <c r="CV146" s="340"/>
      <c r="CW146" s="340"/>
      <c r="CX146" s="340"/>
      <c r="CY146" s="340"/>
      <c r="CZ146" s="340"/>
      <c r="DA146" s="340"/>
      <c r="DB146" s="340"/>
      <c r="DC146" s="340"/>
      <c r="DD146" s="341"/>
      <c r="DE146" s="499">
        <f>DE149+DE151+DE154</f>
        <v>545348</v>
      </c>
      <c r="DF146" s="500"/>
      <c r="DG146" s="500"/>
      <c r="DH146" s="500"/>
      <c r="DI146" s="500"/>
      <c r="DJ146" s="500"/>
      <c r="DK146" s="500"/>
      <c r="DL146" s="500"/>
      <c r="DM146" s="500"/>
      <c r="DN146" s="500"/>
      <c r="DO146" s="500"/>
      <c r="DP146" s="500"/>
      <c r="DQ146" s="501"/>
      <c r="DR146" s="499">
        <f>DR149+DR151+DR154</f>
        <v>541669</v>
      </c>
      <c r="DS146" s="500"/>
      <c r="DT146" s="500"/>
      <c r="DU146" s="500"/>
      <c r="DV146" s="500"/>
      <c r="DW146" s="500"/>
      <c r="DX146" s="500"/>
      <c r="DY146" s="500"/>
      <c r="DZ146" s="500"/>
      <c r="EA146" s="500"/>
      <c r="EB146" s="500"/>
      <c r="EC146" s="500"/>
      <c r="ED146" s="501"/>
      <c r="EE146" s="499"/>
      <c r="EF146" s="500"/>
      <c r="EG146" s="500"/>
      <c r="EH146" s="500"/>
      <c r="EI146" s="500"/>
      <c r="EJ146" s="500"/>
      <c r="EK146" s="500"/>
      <c r="EL146" s="500"/>
      <c r="EM146" s="500"/>
      <c r="EN146" s="500"/>
      <c r="EO146" s="500"/>
      <c r="EP146" s="500"/>
      <c r="EQ146" s="501"/>
      <c r="ER146" s="349"/>
      <c r="ES146" s="350"/>
      <c r="ET146" s="350"/>
      <c r="EU146" s="350"/>
      <c r="EV146" s="350"/>
      <c r="EW146" s="350"/>
      <c r="EX146" s="350"/>
      <c r="EY146" s="350"/>
      <c r="EZ146" s="350"/>
      <c r="FA146" s="350"/>
      <c r="FB146" s="351"/>
      <c r="FC146" s="349"/>
      <c r="FD146" s="350"/>
      <c r="FE146" s="350"/>
      <c r="FF146" s="350"/>
      <c r="FG146" s="350"/>
      <c r="FH146" s="350"/>
      <c r="FI146" s="350"/>
      <c r="FJ146" s="350"/>
      <c r="FK146" s="350"/>
      <c r="FL146" s="350"/>
      <c r="FM146" s="350"/>
      <c r="FN146" s="350"/>
      <c r="FO146" s="275"/>
      <c r="FP146" s="275"/>
      <c r="FQ146" s="275">
        <f t="shared" si="4"/>
        <v>541669</v>
      </c>
    </row>
    <row r="147" spans="1:173" ht="12" customHeight="1">
      <c r="A147" s="383" t="s">
        <v>194</v>
      </c>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5"/>
      <c r="BL147" s="339"/>
      <c r="BM147" s="340"/>
      <c r="BN147" s="340"/>
      <c r="BO147" s="340"/>
      <c r="BP147" s="340"/>
      <c r="BQ147" s="340"/>
      <c r="BR147" s="340"/>
      <c r="BS147" s="341"/>
      <c r="BT147" s="345"/>
      <c r="BU147" s="340"/>
      <c r="BV147" s="340"/>
      <c r="BW147" s="340"/>
      <c r="BX147" s="340"/>
      <c r="BY147" s="340"/>
      <c r="BZ147" s="340"/>
      <c r="CA147" s="340"/>
      <c r="CB147" s="340"/>
      <c r="CC147" s="340"/>
      <c r="CD147" s="340"/>
      <c r="CE147" s="340"/>
      <c r="CF147" s="341"/>
      <c r="CG147" s="345"/>
      <c r="CH147" s="340"/>
      <c r="CI147" s="340"/>
      <c r="CJ147" s="340"/>
      <c r="CK147" s="340"/>
      <c r="CL147" s="340"/>
      <c r="CM147" s="340"/>
      <c r="CN147" s="340"/>
      <c r="CO147" s="340"/>
      <c r="CP147" s="340"/>
      <c r="CQ147" s="341"/>
      <c r="CR147" s="345"/>
      <c r="CS147" s="340"/>
      <c r="CT147" s="340"/>
      <c r="CU147" s="340"/>
      <c r="CV147" s="340"/>
      <c r="CW147" s="340"/>
      <c r="CX147" s="340"/>
      <c r="CY147" s="340"/>
      <c r="CZ147" s="340"/>
      <c r="DA147" s="340"/>
      <c r="DB147" s="340"/>
      <c r="DC147" s="340"/>
      <c r="DD147" s="341"/>
      <c r="DE147" s="499">
        <f>DE152+DE155</f>
        <v>565.20000000000005</v>
      </c>
      <c r="DF147" s="500"/>
      <c r="DG147" s="500"/>
      <c r="DH147" s="500"/>
      <c r="DI147" s="500"/>
      <c r="DJ147" s="500"/>
      <c r="DK147" s="500"/>
      <c r="DL147" s="500"/>
      <c r="DM147" s="500"/>
      <c r="DN147" s="500"/>
      <c r="DO147" s="500"/>
      <c r="DP147" s="500"/>
      <c r="DQ147" s="501"/>
      <c r="DR147" s="499">
        <f>DR152+DR155</f>
        <v>0</v>
      </c>
      <c r="DS147" s="500"/>
      <c r="DT147" s="500"/>
      <c r="DU147" s="500"/>
      <c r="DV147" s="500"/>
      <c r="DW147" s="500"/>
      <c r="DX147" s="500"/>
      <c r="DY147" s="500"/>
      <c r="DZ147" s="500"/>
      <c r="EA147" s="500"/>
      <c r="EB147" s="500"/>
      <c r="EC147" s="500"/>
      <c r="ED147" s="501"/>
      <c r="EE147" s="499"/>
      <c r="EF147" s="500"/>
      <c r="EG147" s="500"/>
      <c r="EH147" s="500"/>
      <c r="EI147" s="500"/>
      <c r="EJ147" s="500"/>
      <c r="EK147" s="500"/>
      <c r="EL147" s="500"/>
      <c r="EM147" s="500"/>
      <c r="EN147" s="500"/>
      <c r="EO147" s="500"/>
      <c r="EP147" s="500"/>
      <c r="EQ147" s="501"/>
      <c r="ER147" s="349"/>
      <c r="ES147" s="350"/>
      <c r="ET147" s="350"/>
      <c r="EU147" s="350"/>
      <c r="EV147" s="350"/>
      <c r="EW147" s="350"/>
      <c r="EX147" s="350"/>
      <c r="EY147" s="350"/>
      <c r="EZ147" s="350"/>
      <c r="FA147" s="350"/>
      <c r="FB147" s="351"/>
      <c r="FC147" s="349"/>
      <c r="FD147" s="350"/>
      <c r="FE147" s="350"/>
      <c r="FF147" s="350"/>
      <c r="FG147" s="350"/>
      <c r="FH147" s="350"/>
      <c r="FI147" s="350"/>
      <c r="FJ147" s="350"/>
      <c r="FK147" s="350"/>
      <c r="FL147" s="350"/>
      <c r="FM147" s="350"/>
      <c r="FN147" s="350"/>
      <c r="FO147" s="275"/>
      <c r="FP147" s="275"/>
      <c r="FQ147" s="275">
        <f t="shared" si="4"/>
        <v>0</v>
      </c>
    </row>
    <row r="148" spans="1:173" ht="24" customHeight="1">
      <c r="A148" s="485" t="s">
        <v>294</v>
      </c>
      <c r="B148" s="381"/>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1"/>
      <c r="AZ148" s="381"/>
      <c r="BA148" s="381"/>
      <c r="BB148" s="381"/>
      <c r="BC148" s="381"/>
      <c r="BD148" s="381"/>
      <c r="BE148" s="381"/>
      <c r="BF148" s="381"/>
      <c r="BG148" s="381"/>
      <c r="BH148" s="381"/>
      <c r="BI148" s="381"/>
      <c r="BJ148" s="381"/>
      <c r="BK148" s="382"/>
      <c r="BL148" s="339" t="s">
        <v>84</v>
      </c>
      <c r="BM148" s="340"/>
      <c r="BN148" s="340"/>
      <c r="BO148" s="340"/>
      <c r="BP148" s="340"/>
      <c r="BQ148" s="340"/>
      <c r="BR148" s="340"/>
      <c r="BS148" s="341"/>
      <c r="BT148" s="345" t="s">
        <v>85</v>
      </c>
      <c r="BU148" s="340"/>
      <c r="BV148" s="340"/>
      <c r="BW148" s="340"/>
      <c r="BX148" s="340"/>
      <c r="BY148" s="340"/>
      <c r="BZ148" s="340"/>
      <c r="CA148" s="340"/>
      <c r="CB148" s="340"/>
      <c r="CC148" s="340"/>
      <c r="CD148" s="340"/>
      <c r="CE148" s="340"/>
      <c r="CF148" s="341"/>
      <c r="CG148" s="345"/>
      <c r="CH148" s="340"/>
      <c r="CI148" s="340"/>
      <c r="CJ148" s="340"/>
      <c r="CK148" s="340"/>
      <c r="CL148" s="340"/>
      <c r="CM148" s="340"/>
      <c r="CN148" s="340"/>
      <c r="CO148" s="340"/>
      <c r="CP148" s="340"/>
      <c r="CQ148" s="341"/>
      <c r="CR148" s="345"/>
      <c r="CS148" s="340"/>
      <c r="CT148" s="340"/>
      <c r="CU148" s="340"/>
      <c r="CV148" s="340"/>
      <c r="CW148" s="340"/>
      <c r="CX148" s="340"/>
      <c r="CY148" s="340"/>
      <c r="CZ148" s="340"/>
      <c r="DA148" s="340"/>
      <c r="DB148" s="340"/>
      <c r="DC148" s="340"/>
      <c r="DD148" s="341"/>
      <c r="DE148" s="376">
        <f>DE149</f>
        <v>545348</v>
      </c>
      <c r="DF148" s="377"/>
      <c r="DG148" s="377"/>
      <c r="DH148" s="377"/>
      <c r="DI148" s="377"/>
      <c r="DJ148" s="377"/>
      <c r="DK148" s="377"/>
      <c r="DL148" s="377"/>
      <c r="DM148" s="377"/>
      <c r="DN148" s="377"/>
      <c r="DO148" s="377"/>
      <c r="DP148" s="377"/>
      <c r="DQ148" s="378"/>
      <c r="DR148" s="376">
        <f>DR149</f>
        <v>540669</v>
      </c>
      <c r="DS148" s="377"/>
      <c r="DT148" s="377"/>
      <c r="DU148" s="377"/>
      <c r="DV148" s="377"/>
      <c r="DW148" s="377"/>
      <c r="DX148" s="377"/>
      <c r="DY148" s="377"/>
      <c r="DZ148" s="377"/>
      <c r="EA148" s="377"/>
      <c r="EB148" s="377"/>
      <c r="EC148" s="377"/>
      <c r="ED148" s="378"/>
      <c r="EE148" s="376"/>
      <c r="EF148" s="377"/>
      <c r="EG148" s="377"/>
      <c r="EH148" s="377"/>
      <c r="EI148" s="377"/>
      <c r="EJ148" s="377"/>
      <c r="EK148" s="377"/>
      <c r="EL148" s="377"/>
      <c r="EM148" s="377"/>
      <c r="EN148" s="377"/>
      <c r="EO148" s="377"/>
      <c r="EP148" s="377"/>
      <c r="EQ148" s="378"/>
      <c r="ER148" s="349"/>
      <c r="ES148" s="350"/>
      <c r="ET148" s="350"/>
      <c r="EU148" s="350"/>
      <c r="EV148" s="350"/>
      <c r="EW148" s="350"/>
      <c r="EX148" s="350"/>
      <c r="EY148" s="350"/>
      <c r="EZ148" s="350"/>
      <c r="FA148" s="350"/>
      <c r="FB148" s="351"/>
      <c r="FC148" s="352"/>
      <c r="FD148" s="353"/>
      <c r="FE148" s="353"/>
      <c r="FF148" s="353"/>
      <c r="FG148" s="353"/>
      <c r="FH148" s="353"/>
      <c r="FI148" s="353"/>
      <c r="FJ148" s="353"/>
      <c r="FK148" s="353"/>
      <c r="FL148" s="353"/>
      <c r="FO148" s="275"/>
      <c r="FP148" s="275"/>
      <c r="FQ148" s="275">
        <f t="shared" si="4"/>
        <v>540669</v>
      </c>
    </row>
    <row r="149" spans="1:173" ht="14.1" customHeight="1">
      <c r="A149" s="441" t="s">
        <v>365</v>
      </c>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c r="AO149" s="442"/>
      <c r="AP149" s="442"/>
      <c r="AQ149" s="442"/>
      <c r="AR149" s="442"/>
      <c r="AS149" s="442"/>
      <c r="AT149" s="442"/>
      <c r="AU149" s="442"/>
      <c r="AV149" s="442"/>
      <c r="AW149" s="442"/>
      <c r="AX149" s="442"/>
      <c r="AY149" s="442"/>
      <c r="AZ149" s="442"/>
      <c r="BA149" s="442"/>
      <c r="BB149" s="442"/>
      <c r="BC149" s="442"/>
      <c r="BD149" s="442"/>
      <c r="BE149" s="442"/>
      <c r="BF149" s="442"/>
      <c r="BG149" s="442"/>
      <c r="BH149" s="442"/>
      <c r="BI149" s="442"/>
      <c r="BJ149" s="442"/>
      <c r="BK149" s="443"/>
      <c r="BL149" s="339"/>
      <c r="BM149" s="340"/>
      <c r="BN149" s="340"/>
      <c r="BO149" s="340"/>
      <c r="BP149" s="340"/>
      <c r="BQ149" s="340"/>
      <c r="BR149" s="340"/>
      <c r="BS149" s="341"/>
      <c r="BT149" s="342" t="s">
        <v>776</v>
      </c>
      <c r="BU149" s="343"/>
      <c r="BV149" s="343"/>
      <c r="BW149" s="343"/>
      <c r="BX149" s="343"/>
      <c r="BY149" s="343"/>
      <c r="BZ149" s="343"/>
      <c r="CA149" s="343"/>
      <c r="CB149" s="343"/>
      <c r="CC149" s="343"/>
      <c r="CD149" s="343"/>
      <c r="CE149" s="343"/>
      <c r="CF149" s="344"/>
      <c r="CG149" s="345" t="s">
        <v>973</v>
      </c>
      <c r="CH149" s="340"/>
      <c r="CI149" s="340"/>
      <c r="CJ149" s="340"/>
      <c r="CK149" s="340"/>
      <c r="CL149" s="340"/>
      <c r="CM149" s="340"/>
      <c r="CN149" s="340"/>
      <c r="CO149" s="340"/>
      <c r="CP149" s="340"/>
      <c r="CQ149" s="341"/>
      <c r="CR149" s="345"/>
      <c r="CS149" s="340"/>
      <c r="CT149" s="340"/>
      <c r="CU149" s="340"/>
      <c r="CV149" s="340"/>
      <c r="CW149" s="340"/>
      <c r="CX149" s="340"/>
      <c r="CY149" s="340"/>
      <c r="CZ149" s="340"/>
      <c r="DA149" s="340"/>
      <c r="DB149" s="340"/>
      <c r="DC149" s="340"/>
      <c r="DD149" s="341"/>
      <c r="DE149" s="349">
        <f>545348</f>
        <v>545348</v>
      </c>
      <c r="DF149" s="350"/>
      <c r="DG149" s="350"/>
      <c r="DH149" s="350"/>
      <c r="DI149" s="350"/>
      <c r="DJ149" s="350"/>
      <c r="DK149" s="350"/>
      <c r="DL149" s="350"/>
      <c r="DM149" s="350"/>
      <c r="DN149" s="350"/>
      <c r="DO149" s="350"/>
      <c r="DP149" s="350"/>
      <c r="DQ149" s="351"/>
      <c r="DR149" s="349">
        <v>540669</v>
      </c>
      <c r="DS149" s="350"/>
      <c r="DT149" s="350"/>
      <c r="DU149" s="350"/>
      <c r="DV149" s="350"/>
      <c r="DW149" s="350"/>
      <c r="DX149" s="350"/>
      <c r="DY149" s="350"/>
      <c r="DZ149" s="350"/>
      <c r="EA149" s="350"/>
      <c r="EB149" s="350"/>
      <c r="EC149" s="350"/>
      <c r="ED149" s="351"/>
      <c r="EE149" s="349"/>
      <c r="EF149" s="350"/>
      <c r="EG149" s="350"/>
      <c r="EH149" s="350"/>
      <c r="EI149" s="350"/>
      <c r="EJ149" s="350"/>
      <c r="EK149" s="350"/>
      <c r="EL149" s="350"/>
      <c r="EM149" s="350"/>
      <c r="EN149" s="350"/>
      <c r="EO149" s="350"/>
      <c r="EP149" s="350"/>
      <c r="EQ149" s="351"/>
      <c r="ER149" s="349"/>
      <c r="ES149" s="350"/>
      <c r="ET149" s="350"/>
      <c r="EU149" s="350"/>
      <c r="EV149" s="350"/>
      <c r="EW149" s="350"/>
      <c r="EX149" s="350"/>
      <c r="EY149" s="350"/>
      <c r="EZ149" s="350"/>
      <c r="FA149" s="350"/>
      <c r="FB149" s="351"/>
      <c r="FC149" s="352"/>
      <c r="FD149" s="353"/>
      <c r="FE149" s="353"/>
      <c r="FF149" s="353"/>
      <c r="FG149" s="353"/>
      <c r="FH149" s="353"/>
      <c r="FI149" s="353"/>
      <c r="FJ149" s="353"/>
      <c r="FK149" s="353"/>
      <c r="FL149" s="353"/>
      <c r="FO149" s="275"/>
      <c r="FP149" s="275"/>
      <c r="FQ149" s="275">
        <f t="shared" si="4"/>
        <v>540669</v>
      </c>
    </row>
    <row r="150" spans="1:173" ht="12" customHeight="1">
      <c r="A150" s="485" t="s">
        <v>295</v>
      </c>
      <c r="B150" s="38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c r="BA150" s="381"/>
      <c r="BB150" s="381"/>
      <c r="BC150" s="381"/>
      <c r="BD150" s="381"/>
      <c r="BE150" s="381"/>
      <c r="BF150" s="381"/>
      <c r="BG150" s="381"/>
      <c r="BH150" s="381"/>
      <c r="BI150" s="381"/>
      <c r="BJ150" s="381"/>
      <c r="BK150" s="382"/>
      <c r="BL150" s="339" t="s">
        <v>86</v>
      </c>
      <c r="BM150" s="340"/>
      <c r="BN150" s="340"/>
      <c r="BO150" s="340"/>
      <c r="BP150" s="340"/>
      <c r="BQ150" s="340"/>
      <c r="BR150" s="340"/>
      <c r="BS150" s="341"/>
      <c r="BT150" s="345" t="s">
        <v>87</v>
      </c>
      <c r="BU150" s="340"/>
      <c r="BV150" s="340"/>
      <c r="BW150" s="340"/>
      <c r="BX150" s="340"/>
      <c r="BY150" s="340"/>
      <c r="BZ150" s="340"/>
      <c r="CA150" s="340"/>
      <c r="CB150" s="340"/>
      <c r="CC150" s="340"/>
      <c r="CD150" s="340"/>
      <c r="CE150" s="340"/>
      <c r="CF150" s="341"/>
      <c r="CG150" s="345"/>
      <c r="CH150" s="340"/>
      <c r="CI150" s="340"/>
      <c r="CJ150" s="340"/>
      <c r="CK150" s="340"/>
      <c r="CL150" s="340"/>
      <c r="CM150" s="340"/>
      <c r="CN150" s="340"/>
      <c r="CO150" s="340"/>
      <c r="CP150" s="340"/>
      <c r="CQ150" s="341"/>
      <c r="CR150" s="345"/>
      <c r="CS150" s="340"/>
      <c r="CT150" s="340"/>
      <c r="CU150" s="340"/>
      <c r="CV150" s="340"/>
      <c r="CW150" s="340"/>
      <c r="CX150" s="340"/>
      <c r="CY150" s="340"/>
      <c r="CZ150" s="340"/>
      <c r="DA150" s="340"/>
      <c r="DB150" s="340"/>
      <c r="DC150" s="340"/>
      <c r="DD150" s="341"/>
      <c r="DE150" s="376">
        <f>DE152</f>
        <v>0</v>
      </c>
      <c r="DF150" s="377"/>
      <c r="DG150" s="377"/>
      <c r="DH150" s="377"/>
      <c r="DI150" s="377"/>
      <c r="DJ150" s="377"/>
      <c r="DK150" s="377"/>
      <c r="DL150" s="377"/>
      <c r="DM150" s="377"/>
      <c r="DN150" s="377"/>
      <c r="DO150" s="377"/>
      <c r="DP150" s="377"/>
      <c r="DQ150" s="378"/>
      <c r="DR150" s="376">
        <f>DR152</f>
        <v>0</v>
      </c>
      <c r="DS150" s="377"/>
      <c r="DT150" s="377"/>
      <c r="DU150" s="377"/>
      <c r="DV150" s="377"/>
      <c r="DW150" s="377"/>
      <c r="DX150" s="377"/>
      <c r="DY150" s="377"/>
      <c r="DZ150" s="377"/>
      <c r="EA150" s="377"/>
      <c r="EB150" s="377"/>
      <c r="EC150" s="377"/>
      <c r="ED150" s="378"/>
      <c r="EE150" s="376"/>
      <c r="EF150" s="377"/>
      <c r="EG150" s="377"/>
      <c r="EH150" s="377"/>
      <c r="EI150" s="377"/>
      <c r="EJ150" s="377"/>
      <c r="EK150" s="377"/>
      <c r="EL150" s="377"/>
      <c r="EM150" s="377"/>
      <c r="EN150" s="377"/>
      <c r="EO150" s="377"/>
      <c r="EP150" s="377"/>
      <c r="EQ150" s="378"/>
      <c r="ER150" s="349"/>
      <c r="ES150" s="350"/>
      <c r="ET150" s="350"/>
      <c r="EU150" s="350"/>
      <c r="EV150" s="350"/>
      <c r="EW150" s="350"/>
      <c r="EX150" s="350"/>
      <c r="EY150" s="350"/>
      <c r="EZ150" s="350"/>
      <c r="FA150" s="350"/>
      <c r="FB150" s="351"/>
      <c r="FC150" s="352"/>
      <c r="FD150" s="353"/>
      <c r="FE150" s="353"/>
      <c r="FF150" s="353"/>
      <c r="FG150" s="353"/>
      <c r="FH150" s="353"/>
      <c r="FI150" s="353"/>
      <c r="FJ150" s="353"/>
      <c r="FK150" s="353"/>
      <c r="FL150" s="353"/>
      <c r="FO150" s="275"/>
      <c r="FP150" s="275"/>
      <c r="FQ150" s="275">
        <f t="shared" si="4"/>
        <v>0</v>
      </c>
    </row>
    <row r="151" spans="1:173" ht="12" customHeight="1">
      <c r="A151" s="441" t="s">
        <v>366</v>
      </c>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2"/>
      <c r="AY151" s="442"/>
      <c r="AZ151" s="442"/>
      <c r="BA151" s="442"/>
      <c r="BB151" s="442"/>
      <c r="BC151" s="442"/>
      <c r="BD151" s="442"/>
      <c r="BE151" s="442"/>
      <c r="BF151" s="442"/>
      <c r="BG151" s="442"/>
      <c r="BH151" s="442"/>
      <c r="BI151" s="442"/>
      <c r="BJ151" s="442"/>
      <c r="BK151" s="443"/>
      <c r="BL151" s="339"/>
      <c r="BM151" s="340"/>
      <c r="BN151" s="340"/>
      <c r="BO151" s="340"/>
      <c r="BP151" s="340"/>
      <c r="BQ151" s="340"/>
      <c r="BR151" s="340"/>
      <c r="BS151" s="341"/>
      <c r="BT151" s="342" t="s">
        <v>779</v>
      </c>
      <c r="BU151" s="343"/>
      <c r="BV151" s="343"/>
      <c r="BW151" s="343"/>
      <c r="BX151" s="343"/>
      <c r="BY151" s="343"/>
      <c r="BZ151" s="343"/>
      <c r="CA151" s="343"/>
      <c r="CB151" s="343"/>
      <c r="CC151" s="343"/>
      <c r="CD151" s="343"/>
      <c r="CE151" s="343"/>
      <c r="CF151" s="344"/>
      <c r="CG151" s="345"/>
      <c r="CH151" s="340"/>
      <c r="CI151" s="340"/>
      <c r="CJ151" s="340"/>
      <c r="CK151" s="340"/>
      <c r="CL151" s="340"/>
      <c r="CM151" s="340"/>
      <c r="CN151" s="340"/>
      <c r="CO151" s="340"/>
      <c r="CP151" s="340"/>
      <c r="CQ151" s="341"/>
      <c r="CR151" s="345"/>
      <c r="CS151" s="340"/>
      <c r="CT151" s="340"/>
      <c r="CU151" s="340"/>
      <c r="CV151" s="340"/>
      <c r="CW151" s="340"/>
      <c r="CX151" s="340"/>
      <c r="CY151" s="340"/>
      <c r="CZ151" s="340"/>
      <c r="DA151" s="340"/>
      <c r="DB151" s="340"/>
      <c r="DC151" s="340"/>
      <c r="DD151" s="341"/>
      <c r="DE151" s="349">
        <v>0</v>
      </c>
      <c r="DF151" s="350"/>
      <c r="DG151" s="350"/>
      <c r="DH151" s="350"/>
      <c r="DI151" s="350"/>
      <c r="DJ151" s="350"/>
      <c r="DK151" s="350"/>
      <c r="DL151" s="350"/>
      <c r="DM151" s="350"/>
      <c r="DN151" s="350"/>
      <c r="DO151" s="350"/>
      <c r="DP151" s="350"/>
      <c r="DQ151" s="351"/>
      <c r="DR151" s="349">
        <v>0</v>
      </c>
      <c r="DS151" s="350"/>
      <c r="DT151" s="350"/>
      <c r="DU151" s="350"/>
      <c r="DV151" s="350"/>
      <c r="DW151" s="350"/>
      <c r="DX151" s="350"/>
      <c r="DY151" s="350"/>
      <c r="DZ151" s="350"/>
      <c r="EA151" s="350"/>
      <c r="EB151" s="350"/>
      <c r="EC151" s="350"/>
      <c r="ED151" s="351"/>
      <c r="EE151" s="349"/>
      <c r="EF151" s="350"/>
      <c r="EG151" s="350"/>
      <c r="EH151" s="350"/>
      <c r="EI151" s="350"/>
      <c r="EJ151" s="350"/>
      <c r="EK151" s="350"/>
      <c r="EL151" s="350"/>
      <c r="EM151" s="350"/>
      <c r="EN151" s="350"/>
      <c r="EO151" s="350"/>
      <c r="EP151" s="350"/>
      <c r="EQ151" s="351"/>
      <c r="ER151" s="349"/>
      <c r="ES151" s="350"/>
      <c r="ET151" s="350"/>
      <c r="EU151" s="350"/>
      <c r="EV151" s="350"/>
      <c r="EW151" s="350"/>
      <c r="EX151" s="350"/>
      <c r="EY151" s="350"/>
      <c r="EZ151" s="350"/>
      <c r="FA151" s="350"/>
      <c r="FB151" s="351"/>
      <c r="FC151" s="352"/>
      <c r="FD151" s="353"/>
      <c r="FE151" s="353"/>
      <c r="FF151" s="353"/>
      <c r="FG151" s="353"/>
      <c r="FH151" s="353"/>
      <c r="FI151" s="353"/>
      <c r="FJ151" s="353"/>
      <c r="FK151" s="353"/>
      <c r="FL151" s="353"/>
      <c r="FO151" s="275"/>
      <c r="FP151" s="275"/>
      <c r="FQ151" s="275">
        <f t="shared" si="4"/>
        <v>0</v>
      </c>
    </row>
    <row r="152" spans="1:173" ht="12" customHeight="1">
      <c r="A152" s="441" t="s">
        <v>780</v>
      </c>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c r="AO152" s="442"/>
      <c r="AP152" s="442"/>
      <c r="AQ152" s="442"/>
      <c r="AR152" s="442"/>
      <c r="AS152" s="442"/>
      <c r="AT152" s="442"/>
      <c r="AU152" s="442"/>
      <c r="AV152" s="442"/>
      <c r="AW152" s="442"/>
      <c r="AX152" s="442"/>
      <c r="AY152" s="442"/>
      <c r="AZ152" s="442"/>
      <c r="BA152" s="442"/>
      <c r="BB152" s="442"/>
      <c r="BC152" s="442"/>
      <c r="BD152" s="442"/>
      <c r="BE152" s="442"/>
      <c r="BF152" s="442"/>
      <c r="BG152" s="442"/>
      <c r="BH152" s="442"/>
      <c r="BI152" s="442"/>
      <c r="BJ152" s="442"/>
      <c r="BK152" s="443"/>
      <c r="BL152" s="339"/>
      <c r="BM152" s="340"/>
      <c r="BN152" s="340"/>
      <c r="BO152" s="340"/>
      <c r="BP152" s="340"/>
      <c r="BQ152" s="340"/>
      <c r="BR152" s="340"/>
      <c r="BS152" s="341"/>
      <c r="BT152" s="342" t="s">
        <v>778</v>
      </c>
      <c r="BU152" s="343"/>
      <c r="BV152" s="343"/>
      <c r="BW152" s="343"/>
      <c r="BX152" s="343"/>
      <c r="BY152" s="343"/>
      <c r="BZ152" s="343"/>
      <c r="CA152" s="343"/>
      <c r="CB152" s="343"/>
      <c r="CC152" s="343"/>
      <c r="CD152" s="343"/>
      <c r="CE152" s="343"/>
      <c r="CF152" s="344"/>
      <c r="CG152" s="345"/>
      <c r="CH152" s="340"/>
      <c r="CI152" s="340"/>
      <c r="CJ152" s="340"/>
      <c r="CK152" s="340"/>
      <c r="CL152" s="340"/>
      <c r="CM152" s="340"/>
      <c r="CN152" s="340"/>
      <c r="CO152" s="340"/>
      <c r="CP152" s="340"/>
      <c r="CQ152" s="341"/>
      <c r="CR152" s="345"/>
      <c r="CS152" s="340"/>
      <c r="CT152" s="340"/>
      <c r="CU152" s="340"/>
      <c r="CV152" s="340"/>
      <c r="CW152" s="340"/>
      <c r="CX152" s="340"/>
      <c r="CY152" s="340"/>
      <c r="CZ152" s="340"/>
      <c r="DA152" s="340"/>
      <c r="DB152" s="340"/>
      <c r="DC152" s="340"/>
      <c r="DD152" s="341"/>
      <c r="DE152" s="349">
        <v>0</v>
      </c>
      <c r="DF152" s="350"/>
      <c r="DG152" s="350"/>
      <c r="DH152" s="350"/>
      <c r="DI152" s="350"/>
      <c r="DJ152" s="350"/>
      <c r="DK152" s="350"/>
      <c r="DL152" s="350"/>
      <c r="DM152" s="350"/>
      <c r="DN152" s="350"/>
      <c r="DO152" s="350"/>
      <c r="DP152" s="350"/>
      <c r="DQ152" s="351"/>
      <c r="DR152" s="349">
        <v>0</v>
      </c>
      <c r="DS152" s="350"/>
      <c r="DT152" s="350"/>
      <c r="DU152" s="350"/>
      <c r="DV152" s="350"/>
      <c r="DW152" s="350"/>
      <c r="DX152" s="350"/>
      <c r="DY152" s="350"/>
      <c r="DZ152" s="350"/>
      <c r="EA152" s="350"/>
      <c r="EB152" s="350"/>
      <c r="EC152" s="350"/>
      <c r="ED152" s="351"/>
      <c r="EE152" s="349"/>
      <c r="EF152" s="350"/>
      <c r="EG152" s="350"/>
      <c r="EH152" s="350"/>
      <c r="EI152" s="350"/>
      <c r="EJ152" s="350"/>
      <c r="EK152" s="350"/>
      <c r="EL152" s="350"/>
      <c r="EM152" s="350"/>
      <c r="EN152" s="350"/>
      <c r="EO152" s="350"/>
      <c r="EP152" s="350"/>
      <c r="EQ152" s="351"/>
      <c r="ER152" s="349"/>
      <c r="ES152" s="350"/>
      <c r="ET152" s="350"/>
      <c r="EU152" s="350"/>
      <c r="EV152" s="350"/>
      <c r="EW152" s="350"/>
      <c r="EX152" s="350"/>
      <c r="EY152" s="350"/>
      <c r="EZ152" s="350"/>
      <c r="FA152" s="350"/>
      <c r="FB152" s="351"/>
      <c r="FC152" s="352"/>
      <c r="FD152" s="353"/>
      <c r="FE152" s="353"/>
      <c r="FF152" s="353"/>
      <c r="FG152" s="353"/>
      <c r="FH152" s="353"/>
      <c r="FI152" s="353"/>
      <c r="FJ152" s="353"/>
      <c r="FK152" s="353"/>
      <c r="FL152" s="353"/>
      <c r="FO152" s="275"/>
      <c r="FP152" s="275"/>
      <c r="FQ152" s="275">
        <f t="shared" si="4"/>
        <v>0</v>
      </c>
    </row>
    <row r="153" spans="1:173" ht="12" customHeight="1">
      <c r="A153" s="485" t="s">
        <v>296</v>
      </c>
      <c r="B153" s="381"/>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c r="BA153" s="381"/>
      <c r="BB153" s="381"/>
      <c r="BC153" s="381"/>
      <c r="BD153" s="381"/>
      <c r="BE153" s="381"/>
      <c r="BF153" s="381"/>
      <c r="BG153" s="381"/>
      <c r="BH153" s="381"/>
      <c r="BI153" s="381"/>
      <c r="BJ153" s="381"/>
      <c r="BK153" s="382"/>
      <c r="BL153" s="339" t="s">
        <v>88</v>
      </c>
      <c r="BM153" s="340"/>
      <c r="BN153" s="340"/>
      <c r="BO153" s="340"/>
      <c r="BP153" s="340"/>
      <c r="BQ153" s="340"/>
      <c r="BR153" s="340"/>
      <c r="BS153" s="341"/>
      <c r="BT153" s="345" t="s">
        <v>89</v>
      </c>
      <c r="BU153" s="340"/>
      <c r="BV153" s="340"/>
      <c r="BW153" s="340"/>
      <c r="BX153" s="340"/>
      <c r="BY153" s="340"/>
      <c r="BZ153" s="340"/>
      <c r="CA153" s="340"/>
      <c r="CB153" s="340"/>
      <c r="CC153" s="340"/>
      <c r="CD153" s="340"/>
      <c r="CE153" s="340"/>
      <c r="CF153" s="341"/>
      <c r="CG153" s="345"/>
      <c r="CH153" s="340"/>
      <c r="CI153" s="340"/>
      <c r="CJ153" s="340"/>
      <c r="CK153" s="340"/>
      <c r="CL153" s="340"/>
      <c r="CM153" s="340"/>
      <c r="CN153" s="340"/>
      <c r="CO153" s="340"/>
      <c r="CP153" s="340"/>
      <c r="CQ153" s="341"/>
      <c r="CR153" s="345"/>
      <c r="CS153" s="340"/>
      <c r="CT153" s="340"/>
      <c r="CU153" s="340"/>
      <c r="CV153" s="340"/>
      <c r="CW153" s="340"/>
      <c r="CX153" s="340"/>
      <c r="CY153" s="340"/>
      <c r="CZ153" s="340"/>
      <c r="DA153" s="340"/>
      <c r="DB153" s="340"/>
      <c r="DC153" s="340"/>
      <c r="DD153" s="341"/>
      <c r="DE153" s="376">
        <f>DE154+DE155</f>
        <v>565.20000000000005</v>
      </c>
      <c r="DF153" s="377"/>
      <c r="DG153" s="377"/>
      <c r="DH153" s="377"/>
      <c r="DI153" s="377"/>
      <c r="DJ153" s="377"/>
      <c r="DK153" s="377"/>
      <c r="DL153" s="377"/>
      <c r="DM153" s="377"/>
      <c r="DN153" s="377"/>
      <c r="DO153" s="377"/>
      <c r="DP153" s="377"/>
      <c r="DQ153" s="378"/>
      <c r="DR153" s="376">
        <f>DR154+DR155</f>
        <v>1000</v>
      </c>
      <c r="DS153" s="377"/>
      <c r="DT153" s="377"/>
      <c r="DU153" s="377"/>
      <c r="DV153" s="377"/>
      <c r="DW153" s="377"/>
      <c r="DX153" s="377"/>
      <c r="DY153" s="377"/>
      <c r="DZ153" s="377"/>
      <c r="EA153" s="377"/>
      <c r="EB153" s="377"/>
      <c r="EC153" s="377"/>
      <c r="ED153" s="378"/>
      <c r="EE153" s="376"/>
      <c r="EF153" s="377"/>
      <c r="EG153" s="377"/>
      <c r="EH153" s="377"/>
      <c r="EI153" s="377"/>
      <c r="EJ153" s="377"/>
      <c r="EK153" s="377"/>
      <c r="EL153" s="377"/>
      <c r="EM153" s="377"/>
      <c r="EN153" s="377"/>
      <c r="EO153" s="377"/>
      <c r="EP153" s="377"/>
      <c r="EQ153" s="378"/>
      <c r="ER153" s="349"/>
      <c r="ES153" s="350"/>
      <c r="ET153" s="350"/>
      <c r="EU153" s="350"/>
      <c r="EV153" s="350"/>
      <c r="EW153" s="350"/>
      <c r="EX153" s="350"/>
      <c r="EY153" s="350"/>
      <c r="EZ153" s="350"/>
      <c r="FA153" s="350"/>
      <c r="FB153" s="351"/>
      <c r="FC153" s="352"/>
      <c r="FD153" s="353"/>
      <c r="FE153" s="353"/>
      <c r="FF153" s="353"/>
      <c r="FG153" s="353"/>
      <c r="FH153" s="353"/>
      <c r="FI153" s="353"/>
      <c r="FJ153" s="353"/>
      <c r="FK153" s="353"/>
      <c r="FL153" s="353"/>
      <c r="FO153" s="275"/>
      <c r="FP153" s="275"/>
      <c r="FQ153" s="275">
        <f t="shared" si="4"/>
        <v>1000</v>
      </c>
    </row>
    <row r="154" spans="1:173" ht="15" customHeight="1">
      <c r="A154" s="441" t="s">
        <v>609</v>
      </c>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c r="AK154" s="442"/>
      <c r="AL154" s="442"/>
      <c r="AM154" s="442"/>
      <c r="AN154" s="442"/>
      <c r="AO154" s="442"/>
      <c r="AP154" s="442"/>
      <c r="AQ154" s="442"/>
      <c r="AR154" s="442"/>
      <c r="AS154" s="442"/>
      <c r="AT154" s="442"/>
      <c r="AU154" s="442"/>
      <c r="AV154" s="442"/>
      <c r="AW154" s="442"/>
      <c r="AX154" s="442"/>
      <c r="AY154" s="442"/>
      <c r="AZ154" s="442"/>
      <c r="BA154" s="442"/>
      <c r="BB154" s="442"/>
      <c r="BC154" s="442"/>
      <c r="BD154" s="442"/>
      <c r="BE154" s="442"/>
      <c r="BF154" s="442"/>
      <c r="BG154" s="442"/>
      <c r="BH154" s="442"/>
      <c r="BI154" s="442"/>
      <c r="BJ154" s="442"/>
      <c r="BK154" s="443"/>
      <c r="BL154" s="339"/>
      <c r="BM154" s="340"/>
      <c r="BN154" s="340"/>
      <c r="BO154" s="340"/>
      <c r="BP154" s="340"/>
      <c r="BQ154" s="340"/>
      <c r="BR154" s="340"/>
      <c r="BS154" s="341"/>
      <c r="BT154" s="342" t="s">
        <v>955</v>
      </c>
      <c r="BU154" s="343"/>
      <c r="BV154" s="343"/>
      <c r="BW154" s="343"/>
      <c r="BX154" s="343"/>
      <c r="BY154" s="343"/>
      <c r="BZ154" s="343"/>
      <c r="CA154" s="343"/>
      <c r="CB154" s="343"/>
      <c r="CC154" s="343"/>
      <c r="CD154" s="343"/>
      <c r="CE154" s="343"/>
      <c r="CF154" s="344"/>
      <c r="CG154" s="345"/>
      <c r="CH154" s="340"/>
      <c r="CI154" s="340"/>
      <c r="CJ154" s="340"/>
      <c r="CK154" s="340"/>
      <c r="CL154" s="340"/>
      <c r="CM154" s="340"/>
      <c r="CN154" s="340"/>
      <c r="CO154" s="340"/>
      <c r="CP154" s="340"/>
      <c r="CQ154" s="341"/>
      <c r="CR154" s="345"/>
      <c r="CS154" s="340"/>
      <c r="CT154" s="340"/>
      <c r="CU154" s="340"/>
      <c r="CV154" s="340"/>
      <c r="CW154" s="340"/>
      <c r="CX154" s="340"/>
      <c r="CY154" s="340"/>
      <c r="CZ154" s="340"/>
      <c r="DA154" s="340"/>
      <c r="DB154" s="340"/>
      <c r="DC154" s="340"/>
      <c r="DD154" s="341"/>
      <c r="DE154" s="349">
        <v>0</v>
      </c>
      <c r="DF154" s="350"/>
      <c r="DG154" s="350"/>
      <c r="DH154" s="350"/>
      <c r="DI154" s="350"/>
      <c r="DJ154" s="350"/>
      <c r="DK154" s="350"/>
      <c r="DL154" s="350"/>
      <c r="DM154" s="350"/>
      <c r="DN154" s="350"/>
      <c r="DO154" s="350"/>
      <c r="DP154" s="350"/>
      <c r="DQ154" s="351"/>
      <c r="DR154" s="346">
        <v>1000</v>
      </c>
      <c r="DS154" s="347"/>
      <c r="DT154" s="347"/>
      <c r="DU154" s="347"/>
      <c r="DV154" s="347"/>
      <c r="DW154" s="347"/>
      <c r="DX154" s="347"/>
      <c r="DY154" s="347"/>
      <c r="DZ154" s="347"/>
      <c r="EA154" s="347"/>
      <c r="EB154" s="347"/>
      <c r="EC154" s="347"/>
      <c r="ED154" s="348"/>
      <c r="EE154" s="346"/>
      <c r="EF154" s="347"/>
      <c r="EG154" s="347"/>
      <c r="EH154" s="347"/>
      <c r="EI154" s="347"/>
      <c r="EJ154" s="347"/>
      <c r="EK154" s="347"/>
      <c r="EL154" s="347"/>
      <c r="EM154" s="347"/>
      <c r="EN154" s="347"/>
      <c r="EO154" s="347"/>
      <c r="EP154" s="347"/>
      <c r="EQ154" s="348"/>
      <c r="ER154" s="349"/>
      <c r="ES154" s="350"/>
      <c r="ET154" s="350"/>
      <c r="EU154" s="350"/>
      <c r="EV154" s="350"/>
      <c r="EW154" s="350"/>
      <c r="EX154" s="350"/>
      <c r="EY154" s="350"/>
      <c r="EZ154" s="350"/>
      <c r="FA154" s="350"/>
      <c r="FB154" s="351"/>
      <c r="FC154" s="352"/>
      <c r="FD154" s="353"/>
      <c r="FE154" s="353"/>
      <c r="FF154" s="353"/>
      <c r="FG154" s="353"/>
      <c r="FH154" s="353"/>
      <c r="FI154" s="353"/>
      <c r="FJ154" s="353"/>
      <c r="FK154" s="353"/>
      <c r="FL154" s="353"/>
      <c r="FO154" s="275"/>
      <c r="FP154" s="275"/>
      <c r="FQ154" s="275">
        <f t="shared" si="4"/>
        <v>1000</v>
      </c>
    </row>
    <row r="155" spans="1:173" ht="15" customHeight="1">
      <c r="A155" s="441" t="s">
        <v>781</v>
      </c>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c r="AG155" s="442"/>
      <c r="AH155" s="442"/>
      <c r="AI155" s="442"/>
      <c r="AJ155" s="442"/>
      <c r="AK155" s="442"/>
      <c r="AL155" s="442"/>
      <c r="AM155" s="442"/>
      <c r="AN155" s="442"/>
      <c r="AO155" s="442"/>
      <c r="AP155" s="442"/>
      <c r="AQ155" s="442"/>
      <c r="AR155" s="442"/>
      <c r="AS155" s="442"/>
      <c r="AT155" s="442"/>
      <c r="AU155" s="442"/>
      <c r="AV155" s="442"/>
      <c r="AW155" s="442"/>
      <c r="AX155" s="442"/>
      <c r="AY155" s="442"/>
      <c r="AZ155" s="442"/>
      <c r="BA155" s="442"/>
      <c r="BB155" s="442"/>
      <c r="BC155" s="442"/>
      <c r="BD155" s="442"/>
      <c r="BE155" s="442"/>
      <c r="BF155" s="442"/>
      <c r="BG155" s="442"/>
      <c r="BH155" s="442"/>
      <c r="BI155" s="442"/>
      <c r="BJ155" s="442"/>
      <c r="BK155" s="443"/>
      <c r="BL155" s="339"/>
      <c r="BM155" s="340"/>
      <c r="BN155" s="340"/>
      <c r="BO155" s="340"/>
      <c r="BP155" s="340"/>
      <c r="BQ155" s="340"/>
      <c r="BR155" s="340"/>
      <c r="BS155" s="341"/>
      <c r="BT155" s="342" t="s">
        <v>777</v>
      </c>
      <c r="BU155" s="343"/>
      <c r="BV155" s="343"/>
      <c r="BW155" s="343"/>
      <c r="BX155" s="343"/>
      <c r="BY155" s="343"/>
      <c r="BZ155" s="343"/>
      <c r="CA155" s="343"/>
      <c r="CB155" s="343"/>
      <c r="CC155" s="343"/>
      <c r="CD155" s="343"/>
      <c r="CE155" s="343"/>
      <c r="CF155" s="344"/>
      <c r="CG155" s="345" t="s">
        <v>973</v>
      </c>
      <c r="CH155" s="340"/>
      <c r="CI155" s="340"/>
      <c r="CJ155" s="340"/>
      <c r="CK155" s="340"/>
      <c r="CL155" s="340"/>
      <c r="CM155" s="340"/>
      <c r="CN155" s="340"/>
      <c r="CO155" s="340"/>
      <c r="CP155" s="340"/>
      <c r="CQ155" s="341"/>
      <c r="CR155" s="345"/>
      <c r="CS155" s="340"/>
      <c r="CT155" s="340"/>
      <c r="CU155" s="340"/>
      <c r="CV155" s="340"/>
      <c r="CW155" s="340"/>
      <c r="CX155" s="340"/>
      <c r="CY155" s="340"/>
      <c r="CZ155" s="340"/>
      <c r="DA155" s="340"/>
      <c r="DB155" s="340"/>
      <c r="DC155" s="340"/>
      <c r="DD155" s="341"/>
      <c r="DE155" s="346">
        <f>1000-434.8</f>
        <v>565.20000000000005</v>
      </c>
      <c r="DF155" s="347"/>
      <c r="DG155" s="347"/>
      <c r="DH155" s="347"/>
      <c r="DI155" s="347"/>
      <c r="DJ155" s="347"/>
      <c r="DK155" s="347"/>
      <c r="DL155" s="347"/>
      <c r="DM155" s="347"/>
      <c r="DN155" s="347"/>
      <c r="DO155" s="347"/>
      <c r="DP155" s="347"/>
      <c r="DQ155" s="348"/>
      <c r="DR155" s="346">
        <v>0</v>
      </c>
      <c r="DS155" s="347"/>
      <c r="DT155" s="347"/>
      <c r="DU155" s="347"/>
      <c r="DV155" s="347"/>
      <c r="DW155" s="347"/>
      <c r="DX155" s="347"/>
      <c r="DY155" s="347"/>
      <c r="DZ155" s="347"/>
      <c r="EA155" s="347"/>
      <c r="EB155" s="347"/>
      <c r="EC155" s="347"/>
      <c r="ED155" s="348"/>
      <c r="EE155" s="346"/>
      <c r="EF155" s="347"/>
      <c r="EG155" s="347"/>
      <c r="EH155" s="347"/>
      <c r="EI155" s="347"/>
      <c r="EJ155" s="347"/>
      <c r="EK155" s="347"/>
      <c r="EL155" s="347"/>
      <c r="EM155" s="347"/>
      <c r="EN155" s="347"/>
      <c r="EO155" s="347"/>
      <c r="EP155" s="347"/>
      <c r="EQ155" s="348"/>
      <c r="ER155" s="349"/>
      <c r="ES155" s="350"/>
      <c r="ET155" s="350"/>
      <c r="EU155" s="350"/>
      <c r="EV155" s="350"/>
      <c r="EW155" s="350"/>
      <c r="EX155" s="350"/>
      <c r="EY155" s="350"/>
      <c r="EZ155" s="350"/>
      <c r="FA155" s="350"/>
      <c r="FB155" s="351"/>
      <c r="FC155" s="352"/>
      <c r="FD155" s="353"/>
      <c r="FE155" s="353"/>
      <c r="FF155" s="353"/>
      <c r="FG155" s="353"/>
      <c r="FH155" s="353"/>
      <c r="FI155" s="353"/>
      <c r="FJ155" s="353"/>
      <c r="FK155" s="353"/>
      <c r="FL155" s="353"/>
      <c r="FO155" s="275"/>
      <c r="FP155" s="275"/>
      <c r="FQ155" s="275">
        <f t="shared" si="4"/>
        <v>0</v>
      </c>
    </row>
    <row r="156" spans="1:173" ht="12" customHeight="1">
      <c r="A156" s="487" t="s">
        <v>90</v>
      </c>
      <c r="B156" s="488"/>
      <c r="C156" s="488"/>
      <c r="D156" s="488"/>
      <c r="E156" s="488"/>
      <c r="F156" s="488"/>
      <c r="G156" s="488"/>
      <c r="H156" s="488"/>
      <c r="I156" s="488"/>
      <c r="J156" s="488"/>
      <c r="K156" s="488"/>
      <c r="L156" s="488"/>
      <c r="M156" s="488"/>
      <c r="N156" s="488"/>
      <c r="O156" s="488"/>
      <c r="P156" s="488"/>
      <c r="Q156" s="488"/>
      <c r="R156" s="488"/>
      <c r="S156" s="488"/>
      <c r="T156" s="488"/>
      <c r="U156" s="488"/>
      <c r="V156" s="488"/>
      <c r="W156" s="488"/>
      <c r="X156" s="488"/>
      <c r="Y156" s="488"/>
      <c r="Z156" s="488"/>
      <c r="AA156" s="488"/>
      <c r="AB156" s="488"/>
      <c r="AC156" s="488"/>
      <c r="AD156" s="488"/>
      <c r="AE156" s="488"/>
      <c r="AF156" s="488"/>
      <c r="AG156" s="488"/>
      <c r="AH156" s="488"/>
      <c r="AI156" s="488"/>
      <c r="AJ156" s="488"/>
      <c r="AK156" s="488"/>
      <c r="AL156" s="488"/>
      <c r="AM156" s="488"/>
      <c r="AN156" s="488"/>
      <c r="AO156" s="488"/>
      <c r="AP156" s="488"/>
      <c r="AQ156" s="488"/>
      <c r="AR156" s="488"/>
      <c r="AS156" s="488"/>
      <c r="AT156" s="488"/>
      <c r="AU156" s="488"/>
      <c r="AV156" s="488"/>
      <c r="AW156" s="488"/>
      <c r="AX156" s="488"/>
      <c r="AY156" s="488"/>
      <c r="AZ156" s="488"/>
      <c r="BA156" s="488"/>
      <c r="BB156" s="488"/>
      <c r="BC156" s="488"/>
      <c r="BD156" s="488"/>
      <c r="BE156" s="488"/>
      <c r="BF156" s="488"/>
      <c r="BG156" s="488"/>
      <c r="BH156" s="488"/>
      <c r="BI156" s="488"/>
      <c r="BJ156" s="488"/>
      <c r="BK156" s="489"/>
      <c r="BL156" s="460" t="s">
        <v>91</v>
      </c>
      <c r="BM156" s="363"/>
      <c r="BN156" s="363"/>
      <c r="BO156" s="363"/>
      <c r="BP156" s="363"/>
      <c r="BQ156" s="363"/>
      <c r="BR156" s="363"/>
      <c r="BS156" s="364"/>
      <c r="BT156" s="362" t="s">
        <v>21</v>
      </c>
      <c r="BU156" s="363"/>
      <c r="BV156" s="363"/>
      <c r="BW156" s="363"/>
      <c r="BX156" s="363"/>
      <c r="BY156" s="363"/>
      <c r="BZ156" s="363"/>
      <c r="CA156" s="363"/>
      <c r="CB156" s="363"/>
      <c r="CC156" s="363"/>
      <c r="CD156" s="363"/>
      <c r="CE156" s="363"/>
      <c r="CF156" s="364"/>
      <c r="CG156" s="362"/>
      <c r="CH156" s="363"/>
      <c r="CI156" s="363"/>
      <c r="CJ156" s="363"/>
      <c r="CK156" s="363"/>
      <c r="CL156" s="363"/>
      <c r="CM156" s="363"/>
      <c r="CN156" s="363"/>
      <c r="CO156" s="363"/>
      <c r="CP156" s="363"/>
      <c r="CQ156" s="364"/>
      <c r="CR156" s="362"/>
      <c r="CS156" s="363"/>
      <c r="CT156" s="363"/>
      <c r="CU156" s="363"/>
      <c r="CV156" s="363"/>
      <c r="CW156" s="363"/>
      <c r="CX156" s="363"/>
      <c r="CY156" s="363"/>
      <c r="CZ156" s="363"/>
      <c r="DA156" s="363"/>
      <c r="DB156" s="363"/>
      <c r="DC156" s="363"/>
      <c r="DD156" s="364"/>
      <c r="DE156" s="365">
        <f>SUM(DE158:DQ160)</f>
        <v>0</v>
      </c>
      <c r="DF156" s="366"/>
      <c r="DG156" s="366"/>
      <c r="DH156" s="366"/>
      <c r="DI156" s="366"/>
      <c r="DJ156" s="366"/>
      <c r="DK156" s="366"/>
      <c r="DL156" s="366"/>
      <c r="DM156" s="366"/>
      <c r="DN156" s="366"/>
      <c r="DO156" s="366"/>
      <c r="DP156" s="366"/>
      <c r="DQ156" s="367"/>
      <c r="DR156" s="365">
        <f>SUM(DR158:ED160)</f>
        <v>0</v>
      </c>
      <c r="DS156" s="366"/>
      <c r="DT156" s="366"/>
      <c r="DU156" s="366"/>
      <c r="DV156" s="366"/>
      <c r="DW156" s="366"/>
      <c r="DX156" s="366"/>
      <c r="DY156" s="366"/>
      <c r="DZ156" s="366"/>
      <c r="EA156" s="366"/>
      <c r="EB156" s="366"/>
      <c r="EC156" s="366"/>
      <c r="ED156" s="367"/>
      <c r="EE156" s="365"/>
      <c r="EF156" s="366"/>
      <c r="EG156" s="366"/>
      <c r="EH156" s="366"/>
      <c r="EI156" s="366"/>
      <c r="EJ156" s="366"/>
      <c r="EK156" s="366"/>
      <c r="EL156" s="366"/>
      <c r="EM156" s="366"/>
      <c r="EN156" s="366"/>
      <c r="EO156" s="366"/>
      <c r="EP156" s="366"/>
      <c r="EQ156" s="367"/>
      <c r="ER156" s="496"/>
      <c r="ES156" s="497"/>
      <c r="ET156" s="497"/>
      <c r="EU156" s="497"/>
      <c r="EV156" s="497"/>
      <c r="EW156" s="497"/>
      <c r="EX156" s="497"/>
      <c r="EY156" s="497"/>
      <c r="EZ156" s="497"/>
      <c r="FA156" s="497"/>
      <c r="FB156" s="498"/>
      <c r="FC156" s="639"/>
      <c r="FD156" s="640"/>
      <c r="FE156" s="640"/>
      <c r="FF156" s="640"/>
      <c r="FG156" s="640"/>
      <c r="FH156" s="640"/>
      <c r="FI156" s="640"/>
      <c r="FJ156" s="640"/>
      <c r="FK156" s="640"/>
      <c r="FL156" s="640"/>
      <c r="FO156" s="275"/>
      <c r="FP156" s="275"/>
      <c r="FQ156" s="275">
        <f t="shared" si="4"/>
        <v>0</v>
      </c>
    </row>
    <row r="157" spans="1:173" ht="12" customHeight="1">
      <c r="A157" s="354" t="s">
        <v>110</v>
      </c>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4"/>
      <c r="AY157" s="374"/>
      <c r="AZ157" s="374"/>
      <c r="BA157" s="374"/>
      <c r="BB157" s="374"/>
      <c r="BC157" s="374"/>
      <c r="BD157" s="374"/>
      <c r="BE157" s="374"/>
      <c r="BF157" s="374"/>
      <c r="BG157" s="374"/>
      <c r="BH157" s="374"/>
      <c r="BI157" s="374"/>
      <c r="BJ157" s="374"/>
      <c r="BK157" s="375"/>
      <c r="BL157" s="339" t="s">
        <v>272</v>
      </c>
      <c r="BM157" s="340"/>
      <c r="BN157" s="340"/>
      <c r="BO157" s="340"/>
      <c r="BP157" s="340"/>
      <c r="BQ157" s="340"/>
      <c r="BR157" s="340"/>
      <c r="BS157" s="341"/>
      <c r="BT157" s="345" t="s">
        <v>272</v>
      </c>
      <c r="BU157" s="340"/>
      <c r="BV157" s="340"/>
      <c r="BW157" s="340"/>
      <c r="BX157" s="340"/>
      <c r="BY157" s="340"/>
      <c r="BZ157" s="340"/>
      <c r="CA157" s="340"/>
      <c r="CB157" s="340"/>
      <c r="CC157" s="340"/>
      <c r="CD157" s="340"/>
      <c r="CE157" s="340"/>
      <c r="CF157" s="341"/>
      <c r="CG157" s="345"/>
      <c r="CH157" s="340"/>
      <c r="CI157" s="340"/>
      <c r="CJ157" s="340"/>
      <c r="CK157" s="340"/>
      <c r="CL157" s="340"/>
      <c r="CM157" s="340"/>
      <c r="CN157" s="340"/>
      <c r="CO157" s="340"/>
      <c r="CP157" s="340"/>
      <c r="CQ157" s="341"/>
      <c r="CR157" s="345"/>
      <c r="CS157" s="340"/>
      <c r="CT157" s="340"/>
      <c r="CU157" s="340"/>
      <c r="CV157" s="340"/>
      <c r="CW157" s="340"/>
      <c r="CX157" s="340"/>
      <c r="CY157" s="340"/>
      <c r="CZ157" s="340"/>
      <c r="DA157" s="340"/>
      <c r="DB157" s="340"/>
      <c r="DC157" s="340"/>
      <c r="DD157" s="341"/>
      <c r="DE157" s="346"/>
      <c r="DF157" s="347"/>
      <c r="DG157" s="347"/>
      <c r="DH157" s="347"/>
      <c r="DI157" s="347"/>
      <c r="DJ157" s="347"/>
      <c r="DK157" s="347"/>
      <c r="DL157" s="347"/>
      <c r="DM157" s="347"/>
      <c r="DN157" s="347"/>
      <c r="DO157" s="347"/>
      <c r="DP157" s="347"/>
      <c r="DQ157" s="348"/>
      <c r="DR157" s="346"/>
      <c r="DS157" s="347"/>
      <c r="DT157" s="347"/>
      <c r="DU157" s="347"/>
      <c r="DV157" s="347"/>
      <c r="DW157" s="347"/>
      <c r="DX157" s="347"/>
      <c r="DY157" s="347"/>
      <c r="DZ157" s="347"/>
      <c r="EA157" s="347"/>
      <c r="EB157" s="347"/>
      <c r="EC157" s="347"/>
      <c r="ED157" s="348"/>
      <c r="EE157" s="346"/>
      <c r="EF157" s="347"/>
      <c r="EG157" s="347"/>
      <c r="EH157" s="347"/>
      <c r="EI157" s="347"/>
      <c r="EJ157" s="347"/>
      <c r="EK157" s="347"/>
      <c r="EL157" s="347"/>
      <c r="EM157" s="347"/>
      <c r="EN157" s="347"/>
      <c r="EO157" s="347"/>
      <c r="EP157" s="347"/>
      <c r="EQ157" s="348"/>
      <c r="ER157" s="349"/>
      <c r="ES157" s="350"/>
      <c r="ET157" s="350"/>
      <c r="EU157" s="350"/>
      <c r="EV157" s="350"/>
      <c r="EW157" s="350"/>
      <c r="EX157" s="350"/>
      <c r="EY157" s="350"/>
      <c r="EZ157" s="350"/>
      <c r="FA157" s="350"/>
      <c r="FB157" s="351"/>
      <c r="FC157" s="349"/>
      <c r="FD157" s="350"/>
      <c r="FE157" s="350"/>
      <c r="FF157" s="350"/>
      <c r="FG157" s="350"/>
      <c r="FH157" s="350"/>
      <c r="FI157" s="350"/>
      <c r="FJ157" s="350"/>
      <c r="FK157" s="350"/>
      <c r="FL157" s="350"/>
      <c r="FM157" s="350"/>
      <c r="FN157" s="350"/>
      <c r="FO157" s="275"/>
      <c r="FP157" s="275"/>
      <c r="FQ157" s="275">
        <f t="shared" si="4"/>
        <v>0</v>
      </c>
    </row>
    <row r="158" spans="1:173" ht="12" customHeight="1">
      <c r="A158" s="669" t="s">
        <v>284</v>
      </c>
      <c r="B158" s="670"/>
      <c r="C158" s="670"/>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70"/>
      <c r="AL158" s="670"/>
      <c r="AM158" s="670"/>
      <c r="AN158" s="670"/>
      <c r="AO158" s="670"/>
      <c r="AP158" s="670"/>
      <c r="AQ158" s="670"/>
      <c r="AR158" s="670"/>
      <c r="AS158" s="670"/>
      <c r="AT158" s="670"/>
      <c r="AU158" s="670"/>
      <c r="AV158" s="670"/>
      <c r="AW158" s="670"/>
      <c r="AX158" s="670"/>
      <c r="AY158" s="670"/>
      <c r="AZ158" s="670"/>
      <c r="BA158" s="670"/>
      <c r="BB158" s="670"/>
      <c r="BC158" s="670"/>
      <c r="BD158" s="670"/>
      <c r="BE158" s="670"/>
      <c r="BF158" s="670"/>
      <c r="BG158" s="670"/>
      <c r="BH158" s="670"/>
      <c r="BI158" s="670"/>
      <c r="BJ158" s="670"/>
      <c r="BK158" s="670"/>
      <c r="BL158" s="370"/>
      <c r="BM158" s="450"/>
      <c r="BN158" s="450"/>
      <c r="BO158" s="450"/>
      <c r="BP158" s="450"/>
      <c r="BQ158" s="450"/>
      <c r="BR158" s="450"/>
      <c r="BS158" s="495"/>
      <c r="BT158" s="486"/>
      <c r="BU158" s="486"/>
      <c r="BV158" s="486"/>
      <c r="BW158" s="486"/>
      <c r="BX158" s="486"/>
      <c r="BY158" s="486"/>
      <c r="BZ158" s="486"/>
      <c r="CA158" s="486"/>
      <c r="CB158" s="486"/>
      <c r="CC158" s="486"/>
      <c r="CD158" s="486"/>
      <c r="CE158" s="486"/>
      <c r="CF158" s="486"/>
      <c r="CG158" s="345"/>
      <c r="CH158" s="340"/>
      <c r="CI158" s="340"/>
      <c r="CJ158" s="340"/>
      <c r="CK158" s="340"/>
      <c r="CL158" s="340"/>
      <c r="CM158" s="340"/>
      <c r="CN158" s="340"/>
      <c r="CO158" s="340"/>
      <c r="CP158" s="340"/>
      <c r="CQ158" s="341"/>
      <c r="CR158" s="345"/>
      <c r="CS158" s="340"/>
      <c r="CT158" s="340"/>
      <c r="CU158" s="340"/>
      <c r="CV158" s="340"/>
      <c r="CW158" s="340"/>
      <c r="CX158" s="340"/>
      <c r="CY158" s="340"/>
      <c r="CZ158" s="340"/>
      <c r="DA158" s="340"/>
      <c r="DB158" s="340"/>
      <c r="DC158" s="340"/>
      <c r="DD158" s="341"/>
      <c r="DE158" s="346">
        <v>0</v>
      </c>
      <c r="DF158" s="347"/>
      <c r="DG158" s="347"/>
      <c r="DH158" s="347"/>
      <c r="DI158" s="347"/>
      <c r="DJ158" s="347"/>
      <c r="DK158" s="347"/>
      <c r="DL158" s="347"/>
      <c r="DM158" s="347"/>
      <c r="DN158" s="347"/>
      <c r="DO158" s="347"/>
      <c r="DP158" s="347"/>
      <c r="DQ158" s="348"/>
      <c r="DR158" s="346">
        <v>0</v>
      </c>
      <c r="DS158" s="347"/>
      <c r="DT158" s="347"/>
      <c r="DU158" s="347"/>
      <c r="DV158" s="347"/>
      <c r="DW158" s="347"/>
      <c r="DX158" s="347"/>
      <c r="DY158" s="347"/>
      <c r="DZ158" s="347"/>
      <c r="EA158" s="347"/>
      <c r="EB158" s="347"/>
      <c r="EC158" s="347"/>
      <c r="ED158" s="348"/>
      <c r="EE158" s="346"/>
      <c r="EF158" s="347"/>
      <c r="EG158" s="347"/>
      <c r="EH158" s="347"/>
      <c r="EI158" s="347"/>
      <c r="EJ158" s="347"/>
      <c r="EK158" s="347"/>
      <c r="EL158" s="347"/>
      <c r="EM158" s="347"/>
      <c r="EN158" s="347"/>
      <c r="EO158" s="347"/>
      <c r="EP158" s="347"/>
      <c r="EQ158" s="348"/>
      <c r="ER158" s="349"/>
      <c r="ES158" s="350"/>
      <c r="ET158" s="350"/>
      <c r="EU158" s="350"/>
      <c r="EV158" s="350"/>
      <c r="EW158" s="350"/>
      <c r="EX158" s="350"/>
      <c r="EY158" s="350"/>
      <c r="EZ158" s="350"/>
      <c r="FA158" s="350"/>
      <c r="FB158" s="351"/>
      <c r="FC158" s="349"/>
      <c r="FD158" s="350"/>
      <c r="FE158" s="350"/>
      <c r="FF158" s="350"/>
      <c r="FG158" s="350"/>
      <c r="FH158" s="350"/>
      <c r="FI158" s="350"/>
      <c r="FJ158" s="350"/>
      <c r="FK158" s="350"/>
      <c r="FL158" s="350"/>
      <c r="FM158" s="350"/>
      <c r="FN158" s="350"/>
      <c r="FO158" s="275"/>
      <c r="FP158" s="275"/>
      <c r="FQ158" s="275">
        <f t="shared" si="4"/>
        <v>0</v>
      </c>
    </row>
    <row r="159" spans="1:173" ht="12" customHeight="1">
      <c r="A159" s="452" t="s">
        <v>282</v>
      </c>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c r="AK159" s="452"/>
      <c r="AL159" s="452"/>
      <c r="AM159" s="452"/>
      <c r="AN159" s="452"/>
      <c r="AO159" s="452"/>
      <c r="AP159" s="452"/>
      <c r="AQ159" s="452"/>
      <c r="AR159" s="452"/>
      <c r="AS159" s="452"/>
      <c r="AT159" s="452"/>
      <c r="AU159" s="452"/>
      <c r="AV159" s="452"/>
      <c r="AW159" s="452"/>
      <c r="AX159" s="452"/>
      <c r="AY159" s="452"/>
      <c r="AZ159" s="452"/>
      <c r="BA159" s="452"/>
      <c r="BB159" s="452"/>
      <c r="BC159" s="452"/>
      <c r="BD159" s="452"/>
      <c r="BE159" s="452"/>
      <c r="BF159" s="452"/>
      <c r="BG159" s="452"/>
      <c r="BH159" s="452"/>
      <c r="BI159" s="452"/>
      <c r="BJ159" s="452"/>
      <c r="BK159" s="452"/>
      <c r="BL159" s="370"/>
      <c r="BM159" s="450"/>
      <c r="BN159" s="450"/>
      <c r="BO159" s="450"/>
      <c r="BP159" s="450"/>
      <c r="BQ159" s="450"/>
      <c r="BR159" s="450"/>
      <c r="BS159" s="495"/>
      <c r="BT159" s="486"/>
      <c r="BU159" s="486"/>
      <c r="BV159" s="486"/>
      <c r="BW159" s="486"/>
      <c r="BX159" s="486"/>
      <c r="BY159" s="486"/>
      <c r="BZ159" s="486"/>
      <c r="CA159" s="486"/>
      <c r="CB159" s="486"/>
      <c r="CC159" s="486"/>
      <c r="CD159" s="486"/>
      <c r="CE159" s="486"/>
      <c r="CF159" s="486"/>
      <c r="CG159" s="345"/>
      <c r="CH159" s="340"/>
      <c r="CI159" s="340"/>
      <c r="CJ159" s="340"/>
      <c r="CK159" s="340"/>
      <c r="CL159" s="340"/>
      <c r="CM159" s="340"/>
      <c r="CN159" s="340"/>
      <c r="CO159" s="340"/>
      <c r="CP159" s="340"/>
      <c r="CQ159" s="341"/>
      <c r="CR159" s="345"/>
      <c r="CS159" s="340"/>
      <c r="CT159" s="340"/>
      <c r="CU159" s="340"/>
      <c r="CV159" s="340"/>
      <c r="CW159" s="340"/>
      <c r="CX159" s="340"/>
      <c r="CY159" s="340"/>
      <c r="CZ159" s="340"/>
      <c r="DA159" s="340"/>
      <c r="DB159" s="340"/>
      <c r="DC159" s="340"/>
      <c r="DD159" s="341"/>
      <c r="DE159" s="346">
        <v>0</v>
      </c>
      <c r="DF159" s="347"/>
      <c r="DG159" s="347"/>
      <c r="DH159" s="347"/>
      <c r="DI159" s="347"/>
      <c r="DJ159" s="347"/>
      <c r="DK159" s="347"/>
      <c r="DL159" s="347"/>
      <c r="DM159" s="347"/>
      <c r="DN159" s="347"/>
      <c r="DO159" s="347"/>
      <c r="DP159" s="347"/>
      <c r="DQ159" s="348"/>
      <c r="DR159" s="346">
        <v>0</v>
      </c>
      <c r="DS159" s="347"/>
      <c r="DT159" s="347"/>
      <c r="DU159" s="347"/>
      <c r="DV159" s="347"/>
      <c r="DW159" s="347"/>
      <c r="DX159" s="347"/>
      <c r="DY159" s="347"/>
      <c r="DZ159" s="347"/>
      <c r="EA159" s="347"/>
      <c r="EB159" s="347"/>
      <c r="EC159" s="347"/>
      <c r="ED159" s="348"/>
      <c r="EE159" s="346"/>
      <c r="EF159" s="347"/>
      <c r="EG159" s="347"/>
      <c r="EH159" s="347"/>
      <c r="EI159" s="347"/>
      <c r="EJ159" s="347"/>
      <c r="EK159" s="347"/>
      <c r="EL159" s="347"/>
      <c r="EM159" s="347"/>
      <c r="EN159" s="347"/>
      <c r="EO159" s="347"/>
      <c r="EP159" s="347"/>
      <c r="EQ159" s="348"/>
      <c r="ER159" s="349"/>
      <c r="ES159" s="350"/>
      <c r="ET159" s="350"/>
      <c r="EU159" s="350"/>
      <c r="EV159" s="350"/>
      <c r="EW159" s="350"/>
      <c r="EX159" s="350"/>
      <c r="EY159" s="350"/>
      <c r="EZ159" s="350"/>
      <c r="FA159" s="350"/>
      <c r="FB159" s="351"/>
      <c r="FC159" s="349"/>
      <c r="FD159" s="350"/>
      <c r="FE159" s="350"/>
      <c r="FF159" s="350"/>
      <c r="FG159" s="350"/>
      <c r="FH159" s="350"/>
      <c r="FI159" s="350"/>
      <c r="FJ159" s="350"/>
      <c r="FK159" s="350"/>
      <c r="FL159" s="350"/>
      <c r="FM159" s="350"/>
      <c r="FN159" s="350"/>
      <c r="FO159" s="275"/>
      <c r="FP159" s="275"/>
      <c r="FQ159" s="275">
        <f t="shared" si="4"/>
        <v>0</v>
      </c>
    </row>
    <row r="160" spans="1:173" ht="12" customHeight="1">
      <c r="A160" s="493" t="s">
        <v>194</v>
      </c>
      <c r="B160" s="493"/>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3"/>
      <c r="AJ160" s="493"/>
      <c r="AK160" s="493"/>
      <c r="AL160" s="493"/>
      <c r="AM160" s="493"/>
      <c r="AN160" s="493"/>
      <c r="AO160" s="493"/>
      <c r="AP160" s="493"/>
      <c r="AQ160" s="493"/>
      <c r="AR160" s="493"/>
      <c r="AS160" s="493"/>
      <c r="AT160" s="493"/>
      <c r="AU160" s="493"/>
      <c r="AV160" s="493"/>
      <c r="AW160" s="493"/>
      <c r="AX160" s="493"/>
      <c r="AY160" s="493"/>
      <c r="AZ160" s="493"/>
      <c r="BA160" s="493"/>
      <c r="BB160" s="493"/>
      <c r="BC160" s="493"/>
      <c r="BD160" s="493"/>
      <c r="BE160" s="493"/>
      <c r="BF160" s="493"/>
      <c r="BG160" s="493"/>
      <c r="BH160" s="493"/>
      <c r="BI160" s="493"/>
      <c r="BJ160" s="493"/>
      <c r="BK160" s="494"/>
      <c r="BL160" s="370"/>
      <c r="BM160" s="450"/>
      <c r="BN160" s="450"/>
      <c r="BO160" s="450"/>
      <c r="BP160" s="450"/>
      <c r="BQ160" s="450"/>
      <c r="BR160" s="450"/>
      <c r="BS160" s="495"/>
      <c r="BT160" s="486"/>
      <c r="BU160" s="486"/>
      <c r="BV160" s="486"/>
      <c r="BW160" s="486"/>
      <c r="BX160" s="486"/>
      <c r="BY160" s="486"/>
      <c r="BZ160" s="486"/>
      <c r="CA160" s="486"/>
      <c r="CB160" s="486"/>
      <c r="CC160" s="486"/>
      <c r="CD160" s="486"/>
      <c r="CE160" s="486"/>
      <c r="CF160" s="486"/>
      <c r="CG160" s="345"/>
      <c r="CH160" s="340"/>
      <c r="CI160" s="340"/>
      <c r="CJ160" s="340"/>
      <c r="CK160" s="340"/>
      <c r="CL160" s="340"/>
      <c r="CM160" s="340"/>
      <c r="CN160" s="340"/>
      <c r="CO160" s="340"/>
      <c r="CP160" s="340"/>
      <c r="CQ160" s="341"/>
      <c r="CR160" s="345"/>
      <c r="CS160" s="340"/>
      <c r="CT160" s="340"/>
      <c r="CU160" s="340"/>
      <c r="CV160" s="340"/>
      <c r="CW160" s="340"/>
      <c r="CX160" s="340"/>
      <c r="CY160" s="340"/>
      <c r="CZ160" s="340"/>
      <c r="DA160" s="340"/>
      <c r="DB160" s="340"/>
      <c r="DC160" s="340"/>
      <c r="DD160" s="341"/>
      <c r="DE160" s="346">
        <v>0</v>
      </c>
      <c r="DF160" s="347"/>
      <c r="DG160" s="347"/>
      <c r="DH160" s="347"/>
      <c r="DI160" s="347"/>
      <c r="DJ160" s="347"/>
      <c r="DK160" s="347"/>
      <c r="DL160" s="347"/>
      <c r="DM160" s="347"/>
      <c r="DN160" s="347"/>
      <c r="DO160" s="347"/>
      <c r="DP160" s="347"/>
      <c r="DQ160" s="348"/>
      <c r="DR160" s="346">
        <v>0</v>
      </c>
      <c r="DS160" s="347"/>
      <c r="DT160" s="347"/>
      <c r="DU160" s="347"/>
      <c r="DV160" s="347"/>
      <c r="DW160" s="347"/>
      <c r="DX160" s="347"/>
      <c r="DY160" s="347"/>
      <c r="DZ160" s="347"/>
      <c r="EA160" s="347"/>
      <c r="EB160" s="347"/>
      <c r="EC160" s="347"/>
      <c r="ED160" s="348"/>
      <c r="EE160" s="346"/>
      <c r="EF160" s="347"/>
      <c r="EG160" s="347"/>
      <c r="EH160" s="347"/>
      <c r="EI160" s="347"/>
      <c r="EJ160" s="347"/>
      <c r="EK160" s="347"/>
      <c r="EL160" s="347"/>
      <c r="EM160" s="347"/>
      <c r="EN160" s="347"/>
      <c r="EO160" s="347"/>
      <c r="EP160" s="347"/>
      <c r="EQ160" s="348"/>
      <c r="ER160" s="349"/>
      <c r="ES160" s="350"/>
      <c r="ET160" s="350"/>
      <c r="EU160" s="350"/>
      <c r="EV160" s="350"/>
      <c r="EW160" s="350"/>
      <c r="EX160" s="350"/>
      <c r="EY160" s="350"/>
      <c r="EZ160" s="350"/>
      <c r="FA160" s="350"/>
      <c r="FB160" s="351"/>
      <c r="FC160" s="349"/>
      <c r="FD160" s="350"/>
      <c r="FE160" s="350"/>
      <c r="FF160" s="350"/>
      <c r="FG160" s="350"/>
      <c r="FH160" s="350"/>
      <c r="FI160" s="350"/>
      <c r="FJ160" s="350"/>
      <c r="FK160" s="350"/>
      <c r="FL160" s="350"/>
      <c r="FM160" s="350"/>
      <c r="FN160" s="350"/>
      <c r="FO160" s="275"/>
      <c r="FP160" s="275"/>
      <c r="FQ160" s="275">
        <f t="shared" si="4"/>
        <v>0</v>
      </c>
    </row>
    <row r="161" spans="1:173" ht="9" customHeight="1">
      <c r="A161" s="368" t="s">
        <v>27</v>
      </c>
      <c r="B161" s="368"/>
      <c r="C161" s="368"/>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68"/>
      <c r="AY161" s="368"/>
      <c r="AZ161" s="368"/>
      <c r="BA161" s="368"/>
      <c r="BB161" s="368"/>
      <c r="BC161" s="368"/>
      <c r="BD161" s="368"/>
      <c r="BE161" s="368"/>
      <c r="BF161" s="368"/>
      <c r="BG161" s="368"/>
      <c r="BH161" s="368"/>
      <c r="BI161" s="368"/>
      <c r="BJ161" s="368"/>
      <c r="BK161" s="368"/>
      <c r="BL161" s="370" t="s">
        <v>272</v>
      </c>
      <c r="BM161" s="371"/>
      <c r="BN161" s="371"/>
      <c r="BO161" s="371"/>
      <c r="BP161" s="371"/>
      <c r="BQ161" s="371"/>
      <c r="BR161" s="371"/>
      <c r="BS161" s="372"/>
      <c r="BT161" s="373" t="s">
        <v>272</v>
      </c>
      <c r="BU161" s="371"/>
      <c r="BV161" s="371"/>
      <c r="BW161" s="371"/>
      <c r="BX161" s="371"/>
      <c r="BY161" s="371"/>
      <c r="BZ161" s="371"/>
      <c r="CA161" s="371"/>
      <c r="CB161" s="371"/>
      <c r="CC161" s="371"/>
      <c r="CD161" s="371"/>
      <c r="CE161" s="371"/>
      <c r="CF161" s="372"/>
      <c r="CG161" s="345"/>
      <c r="CH161" s="340"/>
      <c r="CI161" s="340"/>
      <c r="CJ161" s="340"/>
      <c r="CK161" s="340"/>
      <c r="CL161" s="340"/>
      <c r="CM161" s="340"/>
      <c r="CN161" s="340"/>
      <c r="CO161" s="340"/>
      <c r="CP161" s="340"/>
      <c r="CQ161" s="341"/>
      <c r="CR161" s="345"/>
      <c r="CS161" s="340"/>
      <c r="CT161" s="340"/>
      <c r="CU161" s="340"/>
      <c r="CV161" s="340"/>
      <c r="CW161" s="340"/>
      <c r="CX161" s="340"/>
      <c r="CY161" s="340"/>
      <c r="CZ161" s="340"/>
      <c r="DA161" s="340"/>
      <c r="DB161" s="340"/>
      <c r="DC161" s="340"/>
      <c r="DD161" s="341"/>
      <c r="DE161" s="346"/>
      <c r="DF161" s="347"/>
      <c r="DG161" s="347"/>
      <c r="DH161" s="347"/>
      <c r="DI161" s="347"/>
      <c r="DJ161" s="347"/>
      <c r="DK161" s="347"/>
      <c r="DL161" s="347"/>
      <c r="DM161" s="347"/>
      <c r="DN161" s="347"/>
      <c r="DO161" s="347"/>
      <c r="DP161" s="347"/>
      <c r="DQ161" s="348"/>
      <c r="DR161" s="346"/>
      <c r="DS161" s="347"/>
      <c r="DT161" s="347"/>
      <c r="DU161" s="347"/>
      <c r="DV161" s="347"/>
      <c r="DW161" s="347"/>
      <c r="DX161" s="347"/>
      <c r="DY161" s="347"/>
      <c r="DZ161" s="347"/>
      <c r="EA161" s="347"/>
      <c r="EB161" s="347"/>
      <c r="EC161" s="347"/>
      <c r="ED161" s="348"/>
      <c r="EE161" s="346"/>
      <c r="EF161" s="347"/>
      <c r="EG161" s="347"/>
      <c r="EH161" s="347"/>
      <c r="EI161" s="347"/>
      <c r="EJ161" s="347"/>
      <c r="EK161" s="347"/>
      <c r="EL161" s="347"/>
      <c r="EM161" s="347"/>
      <c r="EN161" s="347"/>
      <c r="EO161" s="347"/>
      <c r="EP161" s="347"/>
      <c r="EQ161" s="348"/>
      <c r="ER161" s="349"/>
      <c r="ES161" s="350"/>
      <c r="ET161" s="350"/>
      <c r="EU161" s="350"/>
      <c r="EV161" s="350"/>
      <c r="EW161" s="350"/>
      <c r="EX161" s="350"/>
      <c r="EY161" s="350"/>
      <c r="EZ161" s="350"/>
      <c r="FA161" s="350"/>
      <c r="FB161" s="351"/>
      <c r="FC161" s="349"/>
      <c r="FD161" s="350"/>
      <c r="FE161" s="350"/>
      <c r="FF161" s="350"/>
      <c r="FG161" s="350"/>
      <c r="FH161" s="350"/>
      <c r="FI161" s="350"/>
      <c r="FJ161" s="350"/>
      <c r="FK161" s="350"/>
      <c r="FL161" s="350"/>
      <c r="FM161" s="350"/>
      <c r="FN161" s="350"/>
      <c r="FO161" s="275"/>
      <c r="FP161" s="275"/>
      <c r="FQ161" s="275">
        <f t="shared" si="4"/>
        <v>0</v>
      </c>
    </row>
    <row r="162" spans="1:173" ht="12" customHeight="1">
      <c r="A162" s="368" t="s">
        <v>1087</v>
      </c>
      <c r="B162" s="369"/>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c r="AI162" s="369"/>
      <c r="AJ162" s="369"/>
      <c r="AK162" s="369"/>
      <c r="AL162" s="369"/>
      <c r="AM162" s="369"/>
      <c r="AN162" s="369"/>
      <c r="AO162" s="369"/>
      <c r="AP162" s="369"/>
      <c r="AQ162" s="369"/>
      <c r="AR162" s="369"/>
      <c r="AS162" s="369"/>
      <c r="AT162" s="369"/>
      <c r="AU162" s="369"/>
      <c r="AV162" s="369"/>
      <c r="AW162" s="369"/>
      <c r="AX162" s="369"/>
      <c r="AY162" s="369"/>
      <c r="AZ162" s="369"/>
      <c r="BA162" s="369"/>
      <c r="BB162" s="369"/>
      <c r="BC162" s="369"/>
      <c r="BD162" s="369"/>
      <c r="BE162" s="369"/>
      <c r="BF162" s="369"/>
      <c r="BG162" s="369"/>
      <c r="BH162" s="369"/>
      <c r="BI162" s="369"/>
      <c r="BJ162" s="369"/>
      <c r="BK162" s="369"/>
      <c r="BL162" s="370" t="s">
        <v>92</v>
      </c>
      <c r="BM162" s="371"/>
      <c r="BN162" s="371"/>
      <c r="BO162" s="371"/>
      <c r="BP162" s="371"/>
      <c r="BQ162" s="371"/>
      <c r="BR162" s="371"/>
      <c r="BS162" s="372"/>
      <c r="BT162" s="373" t="s">
        <v>1088</v>
      </c>
      <c r="BU162" s="371"/>
      <c r="BV162" s="371"/>
      <c r="BW162" s="371"/>
      <c r="BX162" s="371"/>
      <c r="BY162" s="371"/>
      <c r="BZ162" s="371"/>
      <c r="CA162" s="371"/>
      <c r="CB162" s="371"/>
      <c r="CC162" s="371"/>
      <c r="CD162" s="371"/>
      <c r="CE162" s="371"/>
      <c r="CF162" s="372"/>
      <c r="CG162" s="345"/>
      <c r="CH162" s="340"/>
      <c r="CI162" s="340"/>
      <c r="CJ162" s="340"/>
      <c r="CK162" s="340"/>
      <c r="CL162" s="340"/>
      <c r="CM162" s="340"/>
      <c r="CN162" s="340"/>
      <c r="CO162" s="340"/>
      <c r="CP162" s="340"/>
      <c r="CQ162" s="341"/>
      <c r="CR162" s="345"/>
      <c r="CS162" s="340"/>
      <c r="CT162" s="340"/>
      <c r="CU162" s="340"/>
      <c r="CV162" s="340"/>
      <c r="CW162" s="340"/>
      <c r="CX162" s="340"/>
      <c r="CY162" s="340"/>
      <c r="CZ162" s="340"/>
      <c r="DA162" s="340"/>
      <c r="DB162" s="340"/>
      <c r="DC162" s="340"/>
      <c r="DD162" s="341"/>
      <c r="DE162" s="346"/>
      <c r="DF162" s="347"/>
      <c r="DG162" s="347"/>
      <c r="DH162" s="347"/>
      <c r="DI162" s="347"/>
      <c r="DJ162" s="347"/>
      <c r="DK162" s="347"/>
      <c r="DL162" s="347"/>
      <c r="DM162" s="347"/>
      <c r="DN162" s="347"/>
      <c r="DO162" s="347"/>
      <c r="DP162" s="347"/>
      <c r="DQ162" s="348"/>
      <c r="DR162" s="346">
        <v>0</v>
      </c>
      <c r="DS162" s="347"/>
      <c r="DT162" s="347"/>
      <c r="DU162" s="347"/>
      <c r="DV162" s="347"/>
      <c r="DW162" s="347"/>
      <c r="DX162" s="347"/>
      <c r="DY162" s="347"/>
      <c r="DZ162" s="347"/>
      <c r="EA162" s="347"/>
      <c r="EB162" s="347"/>
      <c r="EC162" s="347"/>
      <c r="ED162" s="348"/>
      <c r="EE162" s="346"/>
      <c r="EF162" s="347"/>
      <c r="EG162" s="347"/>
      <c r="EH162" s="347"/>
      <c r="EI162" s="347"/>
      <c r="EJ162" s="347"/>
      <c r="EK162" s="347"/>
      <c r="EL162" s="347"/>
      <c r="EM162" s="347"/>
      <c r="EN162" s="347"/>
      <c r="EO162" s="347"/>
      <c r="EP162" s="347"/>
      <c r="EQ162" s="348"/>
      <c r="ER162" s="349"/>
      <c r="ES162" s="350"/>
      <c r="ET162" s="350"/>
      <c r="EU162" s="350"/>
      <c r="EV162" s="350"/>
      <c r="EW162" s="350"/>
      <c r="EX162" s="350"/>
      <c r="EY162" s="350"/>
      <c r="EZ162" s="350"/>
      <c r="FA162" s="350"/>
      <c r="FB162" s="351"/>
      <c r="FC162" s="349"/>
      <c r="FD162" s="350"/>
      <c r="FE162" s="350"/>
      <c r="FF162" s="350"/>
      <c r="FG162" s="350"/>
      <c r="FH162" s="350"/>
      <c r="FI162" s="350"/>
      <c r="FJ162" s="350"/>
      <c r="FK162" s="350"/>
      <c r="FL162" s="350"/>
      <c r="FM162" s="350"/>
      <c r="FN162" s="350"/>
      <c r="FO162" s="275"/>
      <c r="FP162" s="275"/>
      <c r="FQ162" s="275">
        <f t="shared" si="4"/>
        <v>0</v>
      </c>
    </row>
    <row r="163" spans="1:173" ht="12" customHeight="1">
      <c r="A163" s="368" t="s">
        <v>1089</v>
      </c>
      <c r="B163" s="369"/>
      <c r="C163" s="369"/>
      <c r="D163" s="369"/>
      <c r="E163" s="369"/>
      <c r="F163" s="369"/>
      <c r="G163" s="369"/>
      <c r="H163" s="369"/>
      <c r="I163" s="369"/>
      <c r="J163" s="369"/>
      <c r="K163" s="369"/>
      <c r="L163" s="369"/>
      <c r="M163" s="369"/>
      <c r="N163" s="369"/>
      <c r="O163" s="369"/>
      <c r="P163" s="369"/>
      <c r="Q163" s="369"/>
      <c r="R163" s="369"/>
      <c r="S163" s="369"/>
      <c r="T163" s="369"/>
      <c r="U163" s="369"/>
      <c r="V163" s="369"/>
      <c r="W163" s="369"/>
      <c r="X163" s="369"/>
      <c r="Y163" s="369"/>
      <c r="Z163" s="369"/>
      <c r="AA163" s="369"/>
      <c r="AB163" s="369"/>
      <c r="AC163" s="369"/>
      <c r="AD163" s="369"/>
      <c r="AE163" s="369"/>
      <c r="AF163" s="369"/>
      <c r="AG163" s="369"/>
      <c r="AH163" s="369"/>
      <c r="AI163" s="369"/>
      <c r="AJ163" s="369"/>
      <c r="AK163" s="369"/>
      <c r="AL163" s="369"/>
      <c r="AM163" s="369"/>
      <c r="AN163" s="369"/>
      <c r="AO163" s="369"/>
      <c r="AP163" s="369"/>
      <c r="AQ163" s="369"/>
      <c r="AR163" s="369"/>
      <c r="AS163" s="369"/>
      <c r="AT163" s="369"/>
      <c r="AU163" s="369"/>
      <c r="AV163" s="369"/>
      <c r="AW163" s="369"/>
      <c r="AX163" s="369"/>
      <c r="AY163" s="369"/>
      <c r="AZ163" s="369"/>
      <c r="BA163" s="369"/>
      <c r="BB163" s="369"/>
      <c r="BC163" s="369"/>
      <c r="BD163" s="369"/>
      <c r="BE163" s="369"/>
      <c r="BF163" s="369"/>
      <c r="BG163" s="369"/>
      <c r="BH163" s="369"/>
      <c r="BI163" s="369"/>
      <c r="BJ163" s="369"/>
      <c r="BK163" s="369"/>
      <c r="BL163" s="370" t="s">
        <v>94</v>
      </c>
      <c r="BM163" s="371"/>
      <c r="BN163" s="371"/>
      <c r="BO163" s="371"/>
      <c r="BP163" s="371"/>
      <c r="BQ163" s="371"/>
      <c r="BR163" s="371"/>
      <c r="BS163" s="372"/>
      <c r="BT163" s="373" t="s">
        <v>1090</v>
      </c>
      <c r="BU163" s="371"/>
      <c r="BV163" s="371"/>
      <c r="BW163" s="371"/>
      <c r="BX163" s="371"/>
      <c r="BY163" s="371"/>
      <c r="BZ163" s="371"/>
      <c r="CA163" s="371"/>
      <c r="CB163" s="371"/>
      <c r="CC163" s="371"/>
      <c r="CD163" s="371"/>
      <c r="CE163" s="371"/>
      <c r="CF163" s="372"/>
      <c r="CG163" s="345"/>
      <c r="CH163" s="340"/>
      <c r="CI163" s="340"/>
      <c r="CJ163" s="340"/>
      <c r="CK163" s="340"/>
      <c r="CL163" s="340"/>
      <c r="CM163" s="340"/>
      <c r="CN163" s="340"/>
      <c r="CO163" s="340"/>
      <c r="CP163" s="340"/>
      <c r="CQ163" s="341"/>
      <c r="CR163" s="345"/>
      <c r="CS163" s="340"/>
      <c r="CT163" s="340"/>
      <c r="CU163" s="340"/>
      <c r="CV163" s="340"/>
      <c r="CW163" s="340"/>
      <c r="CX163" s="340"/>
      <c r="CY163" s="340"/>
      <c r="CZ163" s="340"/>
      <c r="DA163" s="340"/>
      <c r="DB163" s="340"/>
      <c r="DC163" s="340"/>
      <c r="DD163" s="341"/>
      <c r="DE163" s="346"/>
      <c r="DF163" s="347"/>
      <c r="DG163" s="347"/>
      <c r="DH163" s="347"/>
      <c r="DI163" s="347"/>
      <c r="DJ163" s="347"/>
      <c r="DK163" s="347"/>
      <c r="DL163" s="347"/>
      <c r="DM163" s="347"/>
      <c r="DN163" s="347"/>
      <c r="DO163" s="347"/>
      <c r="DP163" s="347"/>
      <c r="DQ163" s="348"/>
      <c r="DR163" s="346">
        <v>0</v>
      </c>
      <c r="DS163" s="347"/>
      <c r="DT163" s="347"/>
      <c r="DU163" s="347"/>
      <c r="DV163" s="347"/>
      <c r="DW163" s="347"/>
      <c r="DX163" s="347"/>
      <c r="DY163" s="347"/>
      <c r="DZ163" s="347"/>
      <c r="EA163" s="347"/>
      <c r="EB163" s="347"/>
      <c r="EC163" s="347"/>
      <c r="ED163" s="348"/>
      <c r="EE163" s="346"/>
      <c r="EF163" s="347"/>
      <c r="EG163" s="347"/>
      <c r="EH163" s="347"/>
      <c r="EI163" s="347"/>
      <c r="EJ163" s="347"/>
      <c r="EK163" s="347"/>
      <c r="EL163" s="347"/>
      <c r="EM163" s="347"/>
      <c r="EN163" s="347"/>
      <c r="EO163" s="347"/>
      <c r="EP163" s="347"/>
      <c r="EQ163" s="348"/>
      <c r="ER163" s="349"/>
      <c r="ES163" s="350"/>
      <c r="ET163" s="350"/>
      <c r="EU163" s="350"/>
      <c r="EV163" s="350"/>
      <c r="EW163" s="350"/>
      <c r="EX163" s="350"/>
      <c r="EY163" s="350"/>
      <c r="EZ163" s="350"/>
      <c r="FA163" s="350"/>
      <c r="FB163" s="351"/>
      <c r="FC163" s="349"/>
      <c r="FD163" s="350"/>
      <c r="FE163" s="350"/>
      <c r="FF163" s="350"/>
      <c r="FG163" s="350"/>
      <c r="FH163" s="350"/>
      <c r="FI163" s="350"/>
      <c r="FJ163" s="350"/>
      <c r="FK163" s="350"/>
      <c r="FL163" s="350"/>
      <c r="FM163" s="350"/>
      <c r="FN163" s="350"/>
      <c r="FO163" s="275"/>
      <c r="FP163" s="275"/>
      <c r="FQ163" s="275">
        <f t="shared" si="4"/>
        <v>0</v>
      </c>
    </row>
    <row r="164" spans="1:173" ht="12" customHeight="1">
      <c r="A164" s="368" t="s">
        <v>1091</v>
      </c>
      <c r="B164" s="369"/>
      <c r="C164" s="369"/>
      <c r="D164" s="369"/>
      <c r="E164" s="369"/>
      <c r="F164" s="369"/>
      <c r="G164" s="369"/>
      <c r="H164" s="369"/>
      <c r="I164" s="369"/>
      <c r="J164" s="369"/>
      <c r="K164" s="369"/>
      <c r="L164" s="369"/>
      <c r="M164" s="369"/>
      <c r="N164" s="369"/>
      <c r="O164" s="369"/>
      <c r="P164" s="369"/>
      <c r="Q164" s="369"/>
      <c r="R164" s="369"/>
      <c r="S164" s="369"/>
      <c r="T164" s="369"/>
      <c r="U164" s="369"/>
      <c r="V164" s="369"/>
      <c r="W164" s="369"/>
      <c r="X164" s="369"/>
      <c r="Y164" s="369"/>
      <c r="Z164" s="369"/>
      <c r="AA164" s="369"/>
      <c r="AB164" s="369"/>
      <c r="AC164" s="369"/>
      <c r="AD164" s="369"/>
      <c r="AE164" s="369"/>
      <c r="AF164" s="369"/>
      <c r="AG164" s="369"/>
      <c r="AH164" s="369"/>
      <c r="AI164" s="369"/>
      <c r="AJ164" s="369"/>
      <c r="AK164" s="369"/>
      <c r="AL164" s="369"/>
      <c r="AM164" s="369"/>
      <c r="AN164" s="369"/>
      <c r="AO164" s="369"/>
      <c r="AP164" s="369"/>
      <c r="AQ164" s="369"/>
      <c r="AR164" s="369"/>
      <c r="AS164" s="369"/>
      <c r="AT164" s="369"/>
      <c r="AU164" s="369"/>
      <c r="AV164" s="369"/>
      <c r="AW164" s="369"/>
      <c r="AX164" s="369"/>
      <c r="AY164" s="369"/>
      <c r="AZ164" s="369"/>
      <c r="BA164" s="369"/>
      <c r="BB164" s="369"/>
      <c r="BC164" s="369"/>
      <c r="BD164" s="369"/>
      <c r="BE164" s="369"/>
      <c r="BF164" s="369"/>
      <c r="BG164" s="369"/>
      <c r="BH164" s="369"/>
      <c r="BI164" s="369"/>
      <c r="BJ164" s="369"/>
      <c r="BK164" s="369"/>
      <c r="BL164" s="370" t="s">
        <v>1092</v>
      </c>
      <c r="BM164" s="371"/>
      <c r="BN164" s="371"/>
      <c r="BO164" s="371"/>
      <c r="BP164" s="371"/>
      <c r="BQ164" s="371"/>
      <c r="BR164" s="371"/>
      <c r="BS164" s="372"/>
      <c r="BT164" s="373" t="s">
        <v>1093</v>
      </c>
      <c r="BU164" s="371"/>
      <c r="BV164" s="371"/>
      <c r="BW164" s="371"/>
      <c r="BX164" s="371"/>
      <c r="BY164" s="371"/>
      <c r="BZ164" s="371"/>
      <c r="CA164" s="371"/>
      <c r="CB164" s="371"/>
      <c r="CC164" s="371"/>
      <c r="CD164" s="371"/>
      <c r="CE164" s="371"/>
      <c r="CF164" s="372"/>
      <c r="CG164" s="345"/>
      <c r="CH164" s="340"/>
      <c r="CI164" s="340"/>
      <c r="CJ164" s="340"/>
      <c r="CK164" s="340"/>
      <c r="CL164" s="340"/>
      <c r="CM164" s="340"/>
      <c r="CN164" s="340"/>
      <c r="CO164" s="340"/>
      <c r="CP164" s="340"/>
      <c r="CQ164" s="341"/>
      <c r="CR164" s="345"/>
      <c r="CS164" s="340"/>
      <c r="CT164" s="340"/>
      <c r="CU164" s="340"/>
      <c r="CV164" s="340"/>
      <c r="CW164" s="340"/>
      <c r="CX164" s="340"/>
      <c r="CY164" s="340"/>
      <c r="CZ164" s="340"/>
      <c r="DA164" s="340"/>
      <c r="DB164" s="340"/>
      <c r="DC164" s="340"/>
      <c r="DD164" s="341"/>
      <c r="DE164" s="346"/>
      <c r="DF164" s="347"/>
      <c r="DG164" s="347"/>
      <c r="DH164" s="347"/>
      <c r="DI164" s="347"/>
      <c r="DJ164" s="347"/>
      <c r="DK164" s="347"/>
      <c r="DL164" s="347"/>
      <c r="DM164" s="347"/>
      <c r="DN164" s="347"/>
      <c r="DO164" s="347"/>
      <c r="DP164" s="347"/>
      <c r="DQ164" s="348"/>
      <c r="DR164" s="346">
        <v>0</v>
      </c>
      <c r="DS164" s="347"/>
      <c r="DT164" s="347"/>
      <c r="DU164" s="347"/>
      <c r="DV164" s="347"/>
      <c r="DW164" s="347"/>
      <c r="DX164" s="347"/>
      <c r="DY164" s="347"/>
      <c r="DZ164" s="347"/>
      <c r="EA164" s="347"/>
      <c r="EB164" s="347"/>
      <c r="EC164" s="347"/>
      <c r="ED164" s="348"/>
      <c r="EE164" s="346"/>
      <c r="EF164" s="347"/>
      <c r="EG164" s="347"/>
      <c r="EH164" s="347"/>
      <c r="EI164" s="347"/>
      <c r="EJ164" s="347"/>
      <c r="EK164" s="347"/>
      <c r="EL164" s="347"/>
      <c r="EM164" s="347"/>
      <c r="EN164" s="347"/>
      <c r="EO164" s="347"/>
      <c r="EP164" s="347"/>
      <c r="EQ164" s="348"/>
      <c r="ER164" s="349"/>
      <c r="ES164" s="350"/>
      <c r="ET164" s="350"/>
      <c r="EU164" s="350"/>
      <c r="EV164" s="350"/>
      <c r="EW164" s="350"/>
      <c r="EX164" s="350"/>
      <c r="EY164" s="350"/>
      <c r="EZ164" s="350"/>
      <c r="FA164" s="350"/>
      <c r="FB164" s="351"/>
      <c r="FC164" s="349"/>
      <c r="FD164" s="350"/>
      <c r="FE164" s="350"/>
      <c r="FF164" s="350"/>
      <c r="FG164" s="350"/>
      <c r="FH164" s="350"/>
      <c r="FI164" s="350"/>
      <c r="FJ164" s="350"/>
      <c r="FK164" s="350"/>
      <c r="FL164" s="350"/>
      <c r="FM164" s="350"/>
      <c r="FN164" s="350"/>
      <c r="FO164" s="281"/>
      <c r="FP164" s="281"/>
      <c r="FQ164" s="281">
        <f t="shared" ref="FQ164:FQ166" si="5">DR164-FO164-FP164</f>
        <v>0</v>
      </c>
    </row>
    <row r="165" spans="1:173" ht="12" customHeight="1">
      <c r="A165" s="368" t="s">
        <v>1094</v>
      </c>
      <c r="B165" s="369"/>
      <c r="C165" s="369"/>
      <c r="D165" s="369"/>
      <c r="E165" s="369"/>
      <c r="F165" s="369"/>
      <c r="G165" s="369"/>
      <c r="H165" s="369"/>
      <c r="I165" s="369"/>
      <c r="J165" s="369"/>
      <c r="K165" s="369"/>
      <c r="L165" s="369"/>
      <c r="M165" s="369"/>
      <c r="N165" s="369"/>
      <c r="O165" s="369"/>
      <c r="P165" s="369"/>
      <c r="Q165" s="369"/>
      <c r="R165" s="369"/>
      <c r="S165" s="369"/>
      <c r="T165" s="369"/>
      <c r="U165" s="369"/>
      <c r="V165" s="369"/>
      <c r="W165" s="369"/>
      <c r="X165" s="369"/>
      <c r="Y165" s="369"/>
      <c r="Z165" s="369"/>
      <c r="AA165" s="369"/>
      <c r="AB165" s="369"/>
      <c r="AC165" s="369"/>
      <c r="AD165" s="369"/>
      <c r="AE165" s="369"/>
      <c r="AF165" s="369"/>
      <c r="AG165" s="369"/>
      <c r="AH165" s="369"/>
      <c r="AI165" s="369"/>
      <c r="AJ165" s="369"/>
      <c r="AK165" s="369"/>
      <c r="AL165" s="369"/>
      <c r="AM165" s="369"/>
      <c r="AN165" s="369"/>
      <c r="AO165" s="369"/>
      <c r="AP165" s="369"/>
      <c r="AQ165" s="369"/>
      <c r="AR165" s="369"/>
      <c r="AS165" s="369"/>
      <c r="AT165" s="369"/>
      <c r="AU165" s="369"/>
      <c r="AV165" s="369"/>
      <c r="AW165" s="369"/>
      <c r="AX165" s="369"/>
      <c r="AY165" s="369"/>
      <c r="AZ165" s="369"/>
      <c r="BA165" s="369"/>
      <c r="BB165" s="369"/>
      <c r="BC165" s="369"/>
      <c r="BD165" s="369"/>
      <c r="BE165" s="369"/>
      <c r="BF165" s="369"/>
      <c r="BG165" s="369"/>
      <c r="BH165" s="369"/>
      <c r="BI165" s="369"/>
      <c r="BJ165" s="369"/>
      <c r="BK165" s="369"/>
      <c r="BL165" s="370" t="s">
        <v>1095</v>
      </c>
      <c r="BM165" s="371"/>
      <c r="BN165" s="371"/>
      <c r="BO165" s="371"/>
      <c r="BP165" s="371"/>
      <c r="BQ165" s="371"/>
      <c r="BR165" s="371"/>
      <c r="BS165" s="372"/>
      <c r="BT165" s="373" t="s">
        <v>93</v>
      </c>
      <c r="BU165" s="371"/>
      <c r="BV165" s="371"/>
      <c r="BW165" s="371"/>
      <c r="BX165" s="371"/>
      <c r="BY165" s="371"/>
      <c r="BZ165" s="371"/>
      <c r="CA165" s="371"/>
      <c r="CB165" s="371"/>
      <c r="CC165" s="371"/>
      <c r="CD165" s="371"/>
      <c r="CE165" s="371"/>
      <c r="CF165" s="372"/>
      <c r="CG165" s="345"/>
      <c r="CH165" s="340"/>
      <c r="CI165" s="340"/>
      <c r="CJ165" s="340"/>
      <c r="CK165" s="340"/>
      <c r="CL165" s="340"/>
      <c r="CM165" s="340"/>
      <c r="CN165" s="340"/>
      <c r="CO165" s="340"/>
      <c r="CP165" s="340"/>
      <c r="CQ165" s="341"/>
      <c r="CR165" s="345"/>
      <c r="CS165" s="340"/>
      <c r="CT165" s="340"/>
      <c r="CU165" s="340"/>
      <c r="CV165" s="340"/>
      <c r="CW165" s="340"/>
      <c r="CX165" s="340"/>
      <c r="CY165" s="340"/>
      <c r="CZ165" s="340"/>
      <c r="DA165" s="340"/>
      <c r="DB165" s="340"/>
      <c r="DC165" s="340"/>
      <c r="DD165" s="341"/>
      <c r="DE165" s="346">
        <v>0</v>
      </c>
      <c r="DF165" s="347"/>
      <c r="DG165" s="347"/>
      <c r="DH165" s="347"/>
      <c r="DI165" s="347"/>
      <c r="DJ165" s="347"/>
      <c r="DK165" s="347"/>
      <c r="DL165" s="347"/>
      <c r="DM165" s="347"/>
      <c r="DN165" s="347"/>
      <c r="DO165" s="347"/>
      <c r="DP165" s="347"/>
      <c r="DQ165" s="348"/>
      <c r="DR165" s="346">
        <v>0</v>
      </c>
      <c r="DS165" s="347"/>
      <c r="DT165" s="347"/>
      <c r="DU165" s="347"/>
      <c r="DV165" s="347"/>
      <c r="DW165" s="347"/>
      <c r="DX165" s="347"/>
      <c r="DY165" s="347"/>
      <c r="DZ165" s="347"/>
      <c r="EA165" s="347"/>
      <c r="EB165" s="347"/>
      <c r="EC165" s="347"/>
      <c r="ED165" s="348"/>
      <c r="EE165" s="346"/>
      <c r="EF165" s="347"/>
      <c r="EG165" s="347"/>
      <c r="EH165" s="347"/>
      <c r="EI165" s="347"/>
      <c r="EJ165" s="347"/>
      <c r="EK165" s="347"/>
      <c r="EL165" s="347"/>
      <c r="EM165" s="347"/>
      <c r="EN165" s="347"/>
      <c r="EO165" s="347"/>
      <c r="EP165" s="347"/>
      <c r="EQ165" s="348"/>
      <c r="ER165" s="349"/>
      <c r="ES165" s="350"/>
      <c r="ET165" s="350"/>
      <c r="EU165" s="350"/>
      <c r="EV165" s="350"/>
      <c r="EW165" s="350"/>
      <c r="EX165" s="350"/>
      <c r="EY165" s="350"/>
      <c r="EZ165" s="350"/>
      <c r="FA165" s="350"/>
      <c r="FB165" s="351"/>
      <c r="FC165" s="349"/>
      <c r="FD165" s="350"/>
      <c r="FE165" s="350"/>
      <c r="FF165" s="350"/>
      <c r="FG165" s="350"/>
      <c r="FH165" s="350"/>
      <c r="FI165" s="350"/>
      <c r="FJ165" s="350"/>
      <c r="FK165" s="350"/>
      <c r="FL165" s="350"/>
      <c r="FM165" s="350"/>
      <c r="FN165" s="350"/>
      <c r="FO165" s="281"/>
      <c r="FP165" s="281"/>
      <c r="FQ165" s="281">
        <f t="shared" si="5"/>
        <v>0</v>
      </c>
    </row>
    <row r="166" spans="1:173" ht="12" customHeight="1">
      <c r="A166" s="354"/>
      <c r="B166" s="355"/>
      <c r="C166" s="355"/>
      <c r="D166" s="355"/>
      <c r="E166" s="355"/>
      <c r="F166" s="355"/>
      <c r="G166" s="355"/>
      <c r="H166" s="355"/>
      <c r="I166" s="355"/>
      <c r="J166" s="355"/>
      <c r="K166" s="355"/>
      <c r="L166" s="355"/>
      <c r="M166" s="355"/>
      <c r="N166" s="355"/>
      <c r="O166" s="355"/>
      <c r="P166" s="355"/>
      <c r="Q166" s="355"/>
      <c r="R166" s="355"/>
      <c r="S166" s="355"/>
      <c r="T166" s="355"/>
      <c r="U166" s="355"/>
      <c r="V166" s="355"/>
      <c r="W166" s="355"/>
      <c r="X166" s="355"/>
      <c r="Y166" s="355"/>
      <c r="Z166" s="355"/>
      <c r="AA166" s="355"/>
      <c r="AB166" s="355"/>
      <c r="AC166" s="355"/>
      <c r="AD166" s="355"/>
      <c r="AE166" s="355"/>
      <c r="AF166" s="355"/>
      <c r="AG166" s="355"/>
      <c r="AH166" s="355"/>
      <c r="AI166" s="355"/>
      <c r="AJ166" s="355"/>
      <c r="AK166" s="355"/>
      <c r="AL166" s="355"/>
      <c r="AM166" s="355"/>
      <c r="AN166" s="355"/>
      <c r="AO166" s="355"/>
      <c r="AP166" s="355"/>
      <c r="AQ166" s="355"/>
      <c r="AR166" s="355"/>
      <c r="AS166" s="355"/>
      <c r="AT166" s="355"/>
      <c r="AU166" s="355"/>
      <c r="AV166" s="355"/>
      <c r="AW166" s="355"/>
      <c r="AX166" s="355"/>
      <c r="AY166" s="355"/>
      <c r="AZ166" s="355"/>
      <c r="BA166" s="355"/>
      <c r="BB166" s="355"/>
      <c r="BC166" s="355"/>
      <c r="BD166" s="355"/>
      <c r="BE166" s="355"/>
      <c r="BF166" s="355"/>
      <c r="BG166" s="355"/>
      <c r="BH166" s="355"/>
      <c r="BI166" s="355"/>
      <c r="BJ166" s="355"/>
      <c r="BK166" s="356"/>
      <c r="BL166" s="339"/>
      <c r="BM166" s="340"/>
      <c r="BN166" s="340"/>
      <c r="BO166" s="340"/>
      <c r="BP166" s="340"/>
      <c r="BQ166" s="340"/>
      <c r="BR166" s="340"/>
      <c r="BS166" s="341"/>
      <c r="BT166" s="345"/>
      <c r="BU166" s="340"/>
      <c r="BV166" s="340"/>
      <c r="BW166" s="340"/>
      <c r="BX166" s="340"/>
      <c r="BY166" s="340"/>
      <c r="BZ166" s="340"/>
      <c r="CA166" s="340"/>
      <c r="CB166" s="340"/>
      <c r="CC166" s="340"/>
      <c r="CD166" s="340"/>
      <c r="CE166" s="340"/>
      <c r="CF166" s="341"/>
      <c r="CG166" s="345"/>
      <c r="CH166" s="340"/>
      <c r="CI166" s="340"/>
      <c r="CJ166" s="340"/>
      <c r="CK166" s="340"/>
      <c r="CL166" s="340"/>
      <c r="CM166" s="340"/>
      <c r="CN166" s="340"/>
      <c r="CO166" s="340"/>
      <c r="CP166" s="340"/>
      <c r="CQ166" s="341"/>
      <c r="CR166" s="345"/>
      <c r="CS166" s="340"/>
      <c r="CT166" s="340"/>
      <c r="CU166" s="340"/>
      <c r="CV166" s="340"/>
      <c r="CW166" s="340"/>
      <c r="CX166" s="340"/>
      <c r="CY166" s="340"/>
      <c r="CZ166" s="340"/>
      <c r="DA166" s="340"/>
      <c r="DB166" s="340"/>
      <c r="DC166" s="340"/>
      <c r="DD166" s="341"/>
      <c r="DE166" s="346"/>
      <c r="DF166" s="347"/>
      <c r="DG166" s="347"/>
      <c r="DH166" s="347"/>
      <c r="DI166" s="347"/>
      <c r="DJ166" s="347"/>
      <c r="DK166" s="347"/>
      <c r="DL166" s="347"/>
      <c r="DM166" s="347"/>
      <c r="DN166" s="347"/>
      <c r="DO166" s="347"/>
      <c r="DP166" s="347"/>
      <c r="DQ166" s="348"/>
      <c r="DR166" s="346"/>
      <c r="DS166" s="347"/>
      <c r="DT166" s="347"/>
      <c r="DU166" s="347"/>
      <c r="DV166" s="347"/>
      <c r="DW166" s="347"/>
      <c r="DX166" s="347"/>
      <c r="DY166" s="347"/>
      <c r="DZ166" s="347"/>
      <c r="EA166" s="347"/>
      <c r="EB166" s="347"/>
      <c r="EC166" s="347"/>
      <c r="ED166" s="348"/>
      <c r="EE166" s="346"/>
      <c r="EF166" s="347"/>
      <c r="EG166" s="347"/>
      <c r="EH166" s="347"/>
      <c r="EI166" s="347"/>
      <c r="EJ166" s="347"/>
      <c r="EK166" s="347"/>
      <c r="EL166" s="347"/>
      <c r="EM166" s="347"/>
      <c r="EN166" s="347"/>
      <c r="EO166" s="347"/>
      <c r="EP166" s="347"/>
      <c r="EQ166" s="348"/>
      <c r="ER166" s="349"/>
      <c r="ES166" s="350"/>
      <c r="ET166" s="350"/>
      <c r="EU166" s="350"/>
      <c r="EV166" s="350"/>
      <c r="EW166" s="350"/>
      <c r="EX166" s="350"/>
      <c r="EY166" s="350"/>
      <c r="EZ166" s="350"/>
      <c r="FA166" s="350"/>
      <c r="FB166" s="351"/>
      <c r="FC166" s="349"/>
      <c r="FD166" s="350"/>
      <c r="FE166" s="350"/>
      <c r="FF166" s="350"/>
      <c r="FG166" s="350"/>
      <c r="FH166" s="350"/>
      <c r="FI166" s="350"/>
      <c r="FJ166" s="350"/>
      <c r="FK166" s="350"/>
      <c r="FL166" s="350"/>
      <c r="FM166" s="350"/>
      <c r="FN166" s="350"/>
      <c r="FO166" s="281"/>
      <c r="FP166" s="281"/>
      <c r="FQ166" s="281">
        <f t="shared" si="5"/>
        <v>0</v>
      </c>
    </row>
    <row r="167" spans="1:173" ht="11.1" customHeight="1">
      <c r="A167" s="487" t="s">
        <v>95</v>
      </c>
      <c r="B167" s="488"/>
      <c r="C167" s="488"/>
      <c r="D167" s="488"/>
      <c r="E167" s="488"/>
      <c r="F167" s="488"/>
      <c r="G167" s="488"/>
      <c r="H167" s="488"/>
      <c r="I167" s="488"/>
      <c r="J167" s="488"/>
      <c r="K167" s="488"/>
      <c r="L167" s="488"/>
      <c r="M167" s="488"/>
      <c r="N167" s="488"/>
      <c r="O167" s="488"/>
      <c r="P167" s="488"/>
      <c r="Q167" s="488"/>
      <c r="R167" s="488"/>
      <c r="S167" s="488"/>
      <c r="T167" s="488"/>
      <c r="U167" s="488"/>
      <c r="V167" s="488"/>
      <c r="W167" s="488"/>
      <c r="X167" s="488"/>
      <c r="Y167" s="488"/>
      <c r="Z167" s="488"/>
      <c r="AA167" s="488"/>
      <c r="AB167" s="488"/>
      <c r="AC167" s="488"/>
      <c r="AD167" s="488"/>
      <c r="AE167" s="488"/>
      <c r="AF167" s="488"/>
      <c r="AG167" s="488"/>
      <c r="AH167" s="488"/>
      <c r="AI167" s="488"/>
      <c r="AJ167" s="488"/>
      <c r="AK167" s="488"/>
      <c r="AL167" s="488"/>
      <c r="AM167" s="488"/>
      <c r="AN167" s="488"/>
      <c r="AO167" s="488"/>
      <c r="AP167" s="488"/>
      <c r="AQ167" s="488"/>
      <c r="AR167" s="488"/>
      <c r="AS167" s="488"/>
      <c r="AT167" s="488"/>
      <c r="AU167" s="488"/>
      <c r="AV167" s="488"/>
      <c r="AW167" s="488"/>
      <c r="AX167" s="488"/>
      <c r="AY167" s="488"/>
      <c r="AZ167" s="488"/>
      <c r="BA167" s="488"/>
      <c r="BB167" s="488"/>
      <c r="BC167" s="488"/>
      <c r="BD167" s="488"/>
      <c r="BE167" s="488"/>
      <c r="BF167" s="488"/>
      <c r="BG167" s="488"/>
      <c r="BH167" s="488"/>
      <c r="BI167" s="488"/>
      <c r="BJ167" s="488"/>
      <c r="BK167" s="489"/>
      <c r="BL167" s="460" t="s">
        <v>96</v>
      </c>
      <c r="BM167" s="363"/>
      <c r="BN167" s="363"/>
      <c r="BO167" s="363"/>
      <c r="BP167" s="363"/>
      <c r="BQ167" s="363"/>
      <c r="BR167" s="363"/>
      <c r="BS167" s="364"/>
      <c r="BT167" s="362" t="s">
        <v>21</v>
      </c>
      <c r="BU167" s="363"/>
      <c r="BV167" s="363"/>
      <c r="BW167" s="363"/>
      <c r="BX167" s="363"/>
      <c r="BY167" s="363"/>
      <c r="BZ167" s="363"/>
      <c r="CA167" s="363"/>
      <c r="CB167" s="363"/>
      <c r="CC167" s="363"/>
      <c r="CD167" s="363"/>
      <c r="CE167" s="363"/>
      <c r="CF167" s="364"/>
      <c r="CG167" s="362"/>
      <c r="CH167" s="363"/>
      <c r="CI167" s="363"/>
      <c r="CJ167" s="363"/>
      <c r="CK167" s="363"/>
      <c r="CL167" s="363"/>
      <c r="CM167" s="363"/>
      <c r="CN167" s="363"/>
      <c r="CO167" s="363"/>
      <c r="CP167" s="363"/>
      <c r="CQ167" s="364"/>
      <c r="CR167" s="362"/>
      <c r="CS167" s="363"/>
      <c r="CT167" s="363"/>
      <c r="CU167" s="363"/>
      <c r="CV167" s="363"/>
      <c r="CW167" s="363"/>
      <c r="CX167" s="363"/>
      <c r="CY167" s="363"/>
      <c r="CZ167" s="363"/>
      <c r="DA167" s="363"/>
      <c r="DB167" s="363"/>
      <c r="DC167" s="363"/>
      <c r="DD167" s="364"/>
      <c r="DE167" s="365">
        <f>SUM(DE169:DQ171)</f>
        <v>0</v>
      </c>
      <c r="DF167" s="366"/>
      <c r="DG167" s="366"/>
      <c r="DH167" s="366"/>
      <c r="DI167" s="366"/>
      <c r="DJ167" s="366"/>
      <c r="DK167" s="366"/>
      <c r="DL167" s="366"/>
      <c r="DM167" s="366"/>
      <c r="DN167" s="366"/>
      <c r="DO167" s="366"/>
      <c r="DP167" s="366"/>
      <c r="DQ167" s="367"/>
      <c r="DR167" s="365">
        <f>SUM(DR169:ED171)</f>
        <v>0</v>
      </c>
      <c r="DS167" s="366"/>
      <c r="DT167" s="366"/>
      <c r="DU167" s="366"/>
      <c r="DV167" s="366"/>
      <c r="DW167" s="366"/>
      <c r="DX167" s="366"/>
      <c r="DY167" s="366"/>
      <c r="DZ167" s="366"/>
      <c r="EA167" s="366"/>
      <c r="EB167" s="366"/>
      <c r="EC167" s="366"/>
      <c r="ED167" s="367"/>
      <c r="EE167" s="365"/>
      <c r="EF167" s="366"/>
      <c r="EG167" s="366"/>
      <c r="EH167" s="366"/>
      <c r="EI167" s="366"/>
      <c r="EJ167" s="366"/>
      <c r="EK167" s="366"/>
      <c r="EL167" s="366"/>
      <c r="EM167" s="366"/>
      <c r="EN167" s="366"/>
      <c r="EO167" s="366"/>
      <c r="EP167" s="366"/>
      <c r="EQ167" s="367"/>
      <c r="ER167" s="496"/>
      <c r="ES167" s="497"/>
      <c r="ET167" s="497"/>
      <c r="EU167" s="497"/>
      <c r="EV167" s="497"/>
      <c r="EW167" s="497"/>
      <c r="EX167" s="497"/>
      <c r="EY167" s="497"/>
      <c r="EZ167" s="497"/>
      <c r="FA167" s="497"/>
      <c r="FB167" s="498"/>
      <c r="FC167" s="639"/>
      <c r="FD167" s="640"/>
      <c r="FE167" s="640"/>
      <c r="FF167" s="640"/>
      <c r="FG167" s="640"/>
      <c r="FH167" s="640"/>
      <c r="FI167" s="640"/>
      <c r="FJ167" s="640"/>
      <c r="FK167" s="640"/>
      <c r="FL167" s="640"/>
      <c r="FO167" s="275"/>
      <c r="FP167" s="275"/>
      <c r="FQ167" s="275">
        <f t="shared" si="4"/>
        <v>0</v>
      </c>
    </row>
    <row r="168" spans="1:173" ht="11.1" customHeight="1">
      <c r="A168" s="354" t="s">
        <v>110</v>
      </c>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374"/>
      <c r="AL168" s="374"/>
      <c r="AM168" s="374"/>
      <c r="AN168" s="374"/>
      <c r="AO168" s="374"/>
      <c r="AP168" s="374"/>
      <c r="AQ168" s="374"/>
      <c r="AR168" s="374"/>
      <c r="AS168" s="374"/>
      <c r="AT168" s="374"/>
      <c r="AU168" s="374"/>
      <c r="AV168" s="374"/>
      <c r="AW168" s="374"/>
      <c r="AX168" s="374"/>
      <c r="AY168" s="374"/>
      <c r="AZ168" s="374"/>
      <c r="BA168" s="374"/>
      <c r="BB168" s="374"/>
      <c r="BC168" s="374"/>
      <c r="BD168" s="374"/>
      <c r="BE168" s="374"/>
      <c r="BF168" s="374"/>
      <c r="BG168" s="374"/>
      <c r="BH168" s="374"/>
      <c r="BI168" s="374"/>
      <c r="BJ168" s="374"/>
      <c r="BK168" s="375"/>
      <c r="BL168" s="339" t="s">
        <v>272</v>
      </c>
      <c r="BM168" s="340"/>
      <c r="BN168" s="340"/>
      <c r="BO168" s="340"/>
      <c r="BP168" s="340"/>
      <c r="BQ168" s="340"/>
      <c r="BR168" s="340"/>
      <c r="BS168" s="341"/>
      <c r="BT168" s="345" t="s">
        <v>272</v>
      </c>
      <c r="BU168" s="340"/>
      <c r="BV168" s="340"/>
      <c r="BW168" s="340"/>
      <c r="BX168" s="340"/>
      <c r="BY168" s="340"/>
      <c r="BZ168" s="340"/>
      <c r="CA168" s="340"/>
      <c r="CB168" s="340"/>
      <c r="CC168" s="340"/>
      <c r="CD168" s="340"/>
      <c r="CE168" s="340"/>
      <c r="CF168" s="341"/>
      <c r="CG168" s="345"/>
      <c r="CH168" s="340"/>
      <c r="CI168" s="340"/>
      <c r="CJ168" s="340"/>
      <c r="CK168" s="340"/>
      <c r="CL168" s="340"/>
      <c r="CM168" s="340"/>
      <c r="CN168" s="340"/>
      <c r="CO168" s="340"/>
      <c r="CP168" s="340"/>
      <c r="CQ168" s="341"/>
      <c r="CR168" s="345"/>
      <c r="CS168" s="340"/>
      <c r="CT168" s="340"/>
      <c r="CU168" s="340"/>
      <c r="CV168" s="340"/>
      <c r="CW168" s="340"/>
      <c r="CX168" s="340"/>
      <c r="CY168" s="340"/>
      <c r="CZ168" s="340"/>
      <c r="DA168" s="340"/>
      <c r="DB168" s="340"/>
      <c r="DC168" s="340"/>
      <c r="DD168" s="341"/>
      <c r="DE168" s="346"/>
      <c r="DF168" s="347"/>
      <c r="DG168" s="347"/>
      <c r="DH168" s="347"/>
      <c r="DI168" s="347"/>
      <c r="DJ168" s="347"/>
      <c r="DK168" s="347"/>
      <c r="DL168" s="347"/>
      <c r="DM168" s="347"/>
      <c r="DN168" s="347"/>
      <c r="DO168" s="347"/>
      <c r="DP168" s="347"/>
      <c r="DQ168" s="348"/>
      <c r="DR168" s="346"/>
      <c r="DS168" s="347"/>
      <c r="DT168" s="347"/>
      <c r="DU168" s="347"/>
      <c r="DV168" s="347"/>
      <c r="DW168" s="347"/>
      <c r="DX168" s="347"/>
      <c r="DY168" s="347"/>
      <c r="DZ168" s="347"/>
      <c r="EA168" s="347"/>
      <c r="EB168" s="347"/>
      <c r="EC168" s="347"/>
      <c r="ED168" s="348"/>
      <c r="EE168" s="346"/>
      <c r="EF168" s="347"/>
      <c r="EG168" s="347"/>
      <c r="EH168" s="347"/>
      <c r="EI168" s="347"/>
      <c r="EJ168" s="347"/>
      <c r="EK168" s="347"/>
      <c r="EL168" s="347"/>
      <c r="EM168" s="347"/>
      <c r="EN168" s="347"/>
      <c r="EO168" s="347"/>
      <c r="EP168" s="347"/>
      <c r="EQ168" s="348"/>
      <c r="ER168" s="349"/>
      <c r="ES168" s="350"/>
      <c r="ET168" s="350"/>
      <c r="EU168" s="350"/>
      <c r="EV168" s="350"/>
      <c r="EW168" s="350"/>
      <c r="EX168" s="350"/>
      <c r="EY168" s="350"/>
      <c r="EZ168" s="350"/>
      <c r="FA168" s="350"/>
      <c r="FB168" s="351"/>
      <c r="FC168" s="349"/>
      <c r="FD168" s="350"/>
      <c r="FE168" s="350"/>
      <c r="FF168" s="350"/>
      <c r="FG168" s="350"/>
      <c r="FH168" s="350"/>
      <c r="FI168" s="350"/>
      <c r="FJ168" s="350"/>
      <c r="FK168" s="350"/>
      <c r="FL168" s="350"/>
      <c r="FM168" s="350"/>
      <c r="FN168" s="350"/>
      <c r="FO168" s="275"/>
      <c r="FP168" s="275"/>
      <c r="FQ168" s="275">
        <f t="shared" si="4"/>
        <v>0</v>
      </c>
    </row>
    <row r="169" spans="1:173" ht="11.1" customHeight="1">
      <c r="A169" s="386" t="s">
        <v>284</v>
      </c>
      <c r="B169" s="555"/>
      <c r="C169" s="555"/>
      <c r="D169" s="555"/>
      <c r="E169" s="555"/>
      <c r="F169" s="555"/>
      <c r="G169" s="555"/>
      <c r="H169" s="555"/>
      <c r="I169" s="555"/>
      <c r="J169" s="555"/>
      <c r="K169" s="555"/>
      <c r="L169" s="555"/>
      <c r="M169" s="555"/>
      <c r="N169" s="555"/>
      <c r="O169" s="555"/>
      <c r="P169" s="555"/>
      <c r="Q169" s="555"/>
      <c r="R169" s="555"/>
      <c r="S169" s="555"/>
      <c r="T169" s="555"/>
      <c r="U169" s="555"/>
      <c r="V169" s="555"/>
      <c r="W169" s="555"/>
      <c r="X169" s="555"/>
      <c r="Y169" s="555"/>
      <c r="Z169" s="555"/>
      <c r="AA169" s="555"/>
      <c r="AB169" s="555"/>
      <c r="AC169" s="555"/>
      <c r="AD169" s="555"/>
      <c r="AE169" s="555"/>
      <c r="AF169" s="555"/>
      <c r="AG169" s="555"/>
      <c r="AH169" s="555"/>
      <c r="AI169" s="555"/>
      <c r="AJ169" s="555"/>
      <c r="AK169" s="555"/>
      <c r="AL169" s="555"/>
      <c r="AM169" s="555"/>
      <c r="AN169" s="555"/>
      <c r="AO169" s="555"/>
      <c r="AP169" s="555"/>
      <c r="AQ169" s="555"/>
      <c r="AR169" s="555"/>
      <c r="AS169" s="555"/>
      <c r="AT169" s="555"/>
      <c r="AU169" s="555"/>
      <c r="AV169" s="555"/>
      <c r="AW169" s="555"/>
      <c r="AX169" s="555"/>
      <c r="AY169" s="555"/>
      <c r="AZ169" s="555"/>
      <c r="BA169" s="555"/>
      <c r="BB169" s="555"/>
      <c r="BC169" s="555"/>
      <c r="BD169" s="555"/>
      <c r="BE169" s="555"/>
      <c r="BF169" s="555"/>
      <c r="BG169" s="555"/>
      <c r="BH169" s="555"/>
      <c r="BI169" s="555"/>
      <c r="BJ169" s="555"/>
      <c r="BK169" s="556"/>
      <c r="BL169" s="339"/>
      <c r="BM169" s="340"/>
      <c r="BN169" s="340"/>
      <c r="BO169" s="340"/>
      <c r="BP169" s="340"/>
      <c r="BQ169" s="340"/>
      <c r="BR169" s="340"/>
      <c r="BS169" s="341"/>
      <c r="BT169" s="345"/>
      <c r="BU169" s="340"/>
      <c r="BV169" s="340"/>
      <c r="BW169" s="340"/>
      <c r="BX169" s="340"/>
      <c r="BY169" s="340"/>
      <c r="BZ169" s="340"/>
      <c r="CA169" s="340"/>
      <c r="CB169" s="340"/>
      <c r="CC169" s="340"/>
      <c r="CD169" s="340"/>
      <c r="CE169" s="340"/>
      <c r="CF169" s="341"/>
      <c r="CG169" s="345"/>
      <c r="CH169" s="340"/>
      <c r="CI169" s="340"/>
      <c r="CJ169" s="340"/>
      <c r="CK169" s="340"/>
      <c r="CL169" s="340"/>
      <c r="CM169" s="340"/>
      <c r="CN169" s="340"/>
      <c r="CO169" s="340"/>
      <c r="CP169" s="340"/>
      <c r="CQ169" s="341"/>
      <c r="CR169" s="345"/>
      <c r="CS169" s="340"/>
      <c r="CT169" s="340"/>
      <c r="CU169" s="340"/>
      <c r="CV169" s="340"/>
      <c r="CW169" s="340"/>
      <c r="CX169" s="340"/>
      <c r="CY169" s="340"/>
      <c r="CZ169" s="340"/>
      <c r="DA169" s="340"/>
      <c r="DB169" s="340"/>
      <c r="DC169" s="340"/>
      <c r="DD169" s="341"/>
      <c r="DE169" s="346">
        <f>SUM(DE173)</f>
        <v>0</v>
      </c>
      <c r="DF169" s="347"/>
      <c r="DG169" s="347"/>
      <c r="DH169" s="347"/>
      <c r="DI169" s="347"/>
      <c r="DJ169" s="347"/>
      <c r="DK169" s="347"/>
      <c r="DL169" s="347"/>
      <c r="DM169" s="347"/>
      <c r="DN169" s="347"/>
      <c r="DO169" s="347"/>
      <c r="DP169" s="347"/>
      <c r="DQ169" s="348"/>
      <c r="DR169" s="346">
        <f>SUM(DR173)</f>
        <v>0</v>
      </c>
      <c r="DS169" s="347"/>
      <c r="DT169" s="347"/>
      <c r="DU169" s="347"/>
      <c r="DV169" s="347"/>
      <c r="DW169" s="347"/>
      <c r="DX169" s="347"/>
      <c r="DY169" s="347"/>
      <c r="DZ169" s="347"/>
      <c r="EA169" s="347"/>
      <c r="EB169" s="347"/>
      <c r="EC169" s="347"/>
      <c r="ED169" s="348"/>
      <c r="EE169" s="346"/>
      <c r="EF169" s="347"/>
      <c r="EG169" s="347"/>
      <c r="EH169" s="347"/>
      <c r="EI169" s="347"/>
      <c r="EJ169" s="347"/>
      <c r="EK169" s="347"/>
      <c r="EL169" s="347"/>
      <c r="EM169" s="347"/>
      <c r="EN169" s="347"/>
      <c r="EO169" s="347"/>
      <c r="EP169" s="347"/>
      <c r="EQ169" s="348"/>
      <c r="ER169" s="349"/>
      <c r="ES169" s="350"/>
      <c r="ET169" s="350"/>
      <c r="EU169" s="350"/>
      <c r="EV169" s="350"/>
      <c r="EW169" s="350"/>
      <c r="EX169" s="350"/>
      <c r="EY169" s="350"/>
      <c r="EZ169" s="350"/>
      <c r="FA169" s="350"/>
      <c r="FB169" s="351"/>
      <c r="FC169" s="349"/>
      <c r="FD169" s="350"/>
      <c r="FE169" s="350"/>
      <c r="FF169" s="350"/>
      <c r="FG169" s="350"/>
      <c r="FH169" s="350"/>
      <c r="FI169" s="350"/>
      <c r="FJ169" s="350"/>
      <c r="FK169" s="350"/>
      <c r="FL169" s="350"/>
      <c r="FM169" s="350"/>
      <c r="FN169" s="350"/>
      <c r="FO169" s="275"/>
      <c r="FP169" s="275"/>
      <c r="FQ169" s="275">
        <f t="shared" si="4"/>
        <v>0</v>
      </c>
    </row>
    <row r="170" spans="1:173" ht="11.1" customHeight="1">
      <c r="A170" s="469" t="s">
        <v>282</v>
      </c>
      <c r="B170" s="337"/>
      <c r="C170" s="337"/>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37"/>
      <c r="AM170" s="337"/>
      <c r="AN170" s="337"/>
      <c r="AO170" s="337"/>
      <c r="AP170" s="337"/>
      <c r="AQ170" s="337"/>
      <c r="AR170" s="337"/>
      <c r="AS170" s="337"/>
      <c r="AT170" s="337"/>
      <c r="AU170" s="337"/>
      <c r="AV170" s="337"/>
      <c r="AW170" s="337"/>
      <c r="AX170" s="337"/>
      <c r="AY170" s="337"/>
      <c r="AZ170" s="337"/>
      <c r="BA170" s="337"/>
      <c r="BB170" s="337"/>
      <c r="BC170" s="337"/>
      <c r="BD170" s="337"/>
      <c r="BE170" s="337"/>
      <c r="BF170" s="337"/>
      <c r="BG170" s="337"/>
      <c r="BH170" s="337"/>
      <c r="BI170" s="337"/>
      <c r="BJ170" s="337"/>
      <c r="BK170" s="338"/>
      <c r="BL170" s="339"/>
      <c r="BM170" s="340"/>
      <c r="BN170" s="340"/>
      <c r="BO170" s="340"/>
      <c r="BP170" s="340"/>
      <c r="BQ170" s="340"/>
      <c r="BR170" s="340"/>
      <c r="BS170" s="341"/>
      <c r="BT170" s="345"/>
      <c r="BU170" s="340"/>
      <c r="BV170" s="340"/>
      <c r="BW170" s="340"/>
      <c r="BX170" s="340"/>
      <c r="BY170" s="340"/>
      <c r="BZ170" s="340"/>
      <c r="CA170" s="340"/>
      <c r="CB170" s="340"/>
      <c r="CC170" s="340"/>
      <c r="CD170" s="340"/>
      <c r="CE170" s="340"/>
      <c r="CF170" s="341"/>
      <c r="CG170" s="345"/>
      <c r="CH170" s="340"/>
      <c r="CI170" s="340"/>
      <c r="CJ170" s="340"/>
      <c r="CK170" s="340"/>
      <c r="CL170" s="340"/>
      <c r="CM170" s="340"/>
      <c r="CN170" s="340"/>
      <c r="CO170" s="340"/>
      <c r="CP170" s="340"/>
      <c r="CQ170" s="341"/>
      <c r="CR170" s="345"/>
      <c r="CS170" s="340"/>
      <c r="CT170" s="340"/>
      <c r="CU170" s="340"/>
      <c r="CV170" s="340"/>
      <c r="CW170" s="340"/>
      <c r="CX170" s="340"/>
      <c r="CY170" s="340"/>
      <c r="CZ170" s="340"/>
      <c r="DA170" s="340"/>
      <c r="DB170" s="340"/>
      <c r="DC170" s="340"/>
      <c r="DD170" s="341"/>
      <c r="DE170" s="346">
        <v>0</v>
      </c>
      <c r="DF170" s="347"/>
      <c r="DG170" s="347"/>
      <c r="DH170" s="347"/>
      <c r="DI170" s="347"/>
      <c r="DJ170" s="347"/>
      <c r="DK170" s="347"/>
      <c r="DL170" s="347"/>
      <c r="DM170" s="347"/>
      <c r="DN170" s="347"/>
      <c r="DO170" s="347"/>
      <c r="DP170" s="347"/>
      <c r="DQ170" s="348"/>
      <c r="DR170" s="346">
        <v>0</v>
      </c>
      <c r="DS170" s="347"/>
      <c r="DT170" s="347"/>
      <c r="DU170" s="347"/>
      <c r="DV170" s="347"/>
      <c r="DW170" s="347"/>
      <c r="DX170" s="347"/>
      <c r="DY170" s="347"/>
      <c r="DZ170" s="347"/>
      <c r="EA170" s="347"/>
      <c r="EB170" s="347"/>
      <c r="EC170" s="347"/>
      <c r="ED170" s="348"/>
      <c r="EE170" s="346"/>
      <c r="EF170" s="347"/>
      <c r="EG170" s="347"/>
      <c r="EH170" s="347"/>
      <c r="EI170" s="347"/>
      <c r="EJ170" s="347"/>
      <c r="EK170" s="347"/>
      <c r="EL170" s="347"/>
      <c r="EM170" s="347"/>
      <c r="EN170" s="347"/>
      <c r="EO170" s="347"/>
      <c r="EP170" s="347"/>
      <c r="EQ170" s="348"/>
      <c r="ER170" s="349"/>
      <c r="ES170" s="350"/>
      <c r="ET170" s="350"/>
      <c r="EU170" s="350"/>
      <c r="EV170" s="350"/>
      <c r="EW170" s="350"/>
      <c r="EX170" s="350"/>
      <c r="EY170" s="350"/>
      <c r="EZ170" s="350"/>
      <c r="FA170" s="350"/>
      <c r="FB170" s="351"/>
      <c r="FC170" s="349"/>
      <c r="FD170" s="350"/>
      <c r="FE170" s="350"/>
      <c r="FF170" s="350"/>
      <c r="FG170" s="350"/>
      <c r="FH170" s="350"/>
      <c r="FI170" s="350"/>
      <c r="FJ170" s="350"/>
      <c r="FK170" s="350"/>
      <c r="FL170" s="350"/>
      <c r="FM170" s="350"/>
      <c r="FN170" s="350"/>
      <c r="FO170" s="275"/>
      <c r="FP170" s="275"/>
      <c r="FQ170" s="275">
        <f t="shared" si="4"/>
        <v>0</v>
      </c>
    </row>
    <row r="171" spans="1:173" ht="11.1" customHeight="1">
      <c r="A171" s="383" t="s">
        <v>194</v>
      </c>
      <c r="B171" s="384"/>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c r="AG171" s="384"/>
      <c r="AH171" s="384"/>
      <c r="AI171" s="384"/>
      <c r="AJ171" s="384"/>
      <c r="AK171" s="384"/>
      <c r="AL171" s="384"/>
      <c r="AM171" s="384"/>
      <c r="AN171" s="384"/>
      <c r="AO171" s="384"/>
      <c r="AP171" s="384"/>
      <c r="AQ171" s="384"/>
      <c r="AR171" s="384"/>
      <c r="AS171" s="384"/>
      <c r="AT171" s="384"/>
      <c r="AU171" s="384"/>
      <c r="AV171" s="384"/>
      <c r="AW171" s="384"/>
      <c r="AX171" s="384"/>
      <c r="AY171" s="384"/>
      <c r="AZ171" s="384"/>
      <c r="BA171" s="384"/>
      <c r="BB171" s="384"/>
      <c r="BC171" s="384"/>
      <c r="BD171" s="384"/>
      <c r="BE171" s="384"/>
      <c r="BF171" s="384"/>
      <c r="BG171" s="384"/>
      <c r="BH171" s="384"/>
      <c r="BI171" s="384"/>
      <c r="BJ171" s="384"/>
      <c r="BK171" s="385"/>
      <c r="BL171" s="339"/>
      <c r="BM171" s="340"/>
      <c r="BN171" s="340"/>
      <c r="BO171" s="340"/>
      <c r="BP171" s="340"/>
      <c r="BQ171" s="340"/>
      <c r="BR171" s="340"/>
      <c r="BS171" s="341"/>
      <c r="BT171" s="345"/>
      <c r="BU171" s="340"/>
      <c r="BV171" s="340"/>
      <c r="BW171" s="340"/>
      <c r="BX171" s="340"/>
      <c r="BY171" s="340"/>
      <c r="BZ171" s="340"/>
      <c r="CA171" s="340"/>
      <c r="CB171" s="340"/>
      <c r="CC171" s="340"/>
      <c r="CD171" s="340"/>
      <c r="CE171" s="340"/>
      <c r="CF171" s="341"/>
      <c r="CG171" s="345"/>
      <c r="CH171" s="340"/>
      <c r="CI171" s="340"/>
      <c r="CJ171" s="340"/>
      <c r="CK171" s="340"/>
      <c r="CL171" s="340"/>
      <c r="CM171" s="340"/>
      <c r="CN171" s="340"/>
      <c r="CO171" s="340"/>
      <c r="CP171" s="340"/>
      <c r="CQ171" s="341"/>
      <c r="CR171" s="345"/>
      <c r="CS171" s="340"/>
      <c r="CT171" s="340"/>
      <c r="CU171" s="340"/>
      <c r="CV171" s="340"/>
      <c r="CW171" s="340"/>
      <c r="CX171" s="340"/>
      <c r="CY171" s="340"/>
      <c r="CZ171" s="340"/>
      <c r="DA171" s="340"/>
      <c r="DB171" s="340"/>
      <c r="DC171" s="340"/>
      <c r="DD171" s="341"/>
      <c r="DE171" s="346">
        <v>0</v>
      </c>
      <c r="DF171" s="347"/>
      <c r="DG171" s="347"/>
      <c r="DH171" s="347"/>
      <c r="DI171" s="347"/>
      <c r="DJ171" s="347"/>
      <c r="DK171" s="347"/>
      <c r="DL171" s="347"/>
      <c r="DM171" s="347"/>
      <c r="DN171" s="347"/>
      <c r="DO171" s="347"/>
      <c r="DP171" s="347"/>
      <c r="DQ171" s="348"/>
      <c r="DR171" s="346">
        <v>0</v>
      </c>
      <c r="DS171" s="347"/>
      <c r="DT171" s="347"/>
      <c r="DU171" s="347"/>
      <c r="DV171" s="347"/>
      <c r="DW171" s="347"/>
      <c r="DX171" s="347"/>
      <c r="DY171" s="347"/>
      <c r="DZ171" s="347"/>
      <c r="EA171" s="347"/>
      <c r="EB171" s="347"/>
      <c r="EC171" s="347"/>
      <c r="ED171" s="348"/>
      <c r="EE171" s="346"/>
      <c r="EF171" s="347"/>
      <c r="EG171" s="347"/>
      <c r="EH171" s="347"/>
      <c r="EI171" s="347"/>
      <c r="EJ171" s="347"/>
      <c r="EK171" s="347"/>
      <c r="EL171" s="347"/>
      <c r="EM171" s="347"/>
      <c r="EN171" s="347"/>
      <c r="EO171" s="347"/>
      <c r="EP171" s="347"/>
      <c r="EQ171" s="348"/>
      <c r="ER171" s="349"/>
      <c r="ES171" s="350"/>
      <c r="ET171" s="350"/>
      <c r="EU171" s="350"/>
      <c r="EV171" s="350"/>
      <c r="EW171" s="350"/>
      <c r="EX171" s="350"/>
      <c r="EY171" s="350"/>
      <c r="EZ171" s="350"/>
      <c r="FA171" s="350"/>
      <c r="FB171" s="351"/>
      <c r="FC171" s="349"/>
      <c r="FD171" s="350"/>
      <c r="FE171" s="350"/>
      <c r="FF171" s="350"/>
      <c r="FG171" s="350"/>
      <c r="FH171" s="350"/>
      <c r="FI171" s="350"/>
      <c r="FJ171" s="350"/>
      <c r="FK171" s="350"/>
      <c r="FL171" s="350"/>
      <c r="FM171" s="350"/>
      <c r="FN171" s="350"/>
      <c r="FO171" s="275"/>
      <c r="FP171" s="275"/>
      <c r="FQ171" s="275">
        <f t="shared" si="4"/>
        <v>0</v>
      </c>
    </row>
    <row r="172" spans="1:173" ht="11.1" customHeight="1">
      <c r="A172" s="354" t="s">
        <v>27</v>
      </c>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K172" s="374"/>
      <c r="AL172" s="374"/>
      <c r="AM172" s="374"/>
      <c r="AN172" s="374"/>
      <c r="AO172" s="374"/>
      <c r="AP172" s="374"/>
      <c r="AQ172" s="374"/>
      <c r="AR172" s="374"/>
      <c r="AS172" s="374"/>
      <c r="AT172" s="374"/>
      <c r="AU172" s="374"/>
      <c r="AV172" s="374"/>
      <c r="AW172" s="374"/>
      <c r="AX172" s="374"/>
      <c r="AY172" s="374"/>
      <c r="AZ172" s="374"/>
      <c r="BA172" s="374"/>
      <c r="BB172" s="374"/>
      <c r="BC172" s="374"/>
      <c r="BD172" s="374"/>
      <c r="BE172" s="374"/>
      <c r="BF172" s="374"/>
      <c r="BG172" s="374"/>
      <c r="BH172" s="374"/>
      <c r="BI172" s="374"/>
      <c r="BJ172" s="374"/>
      <c r="BK172" s="375"/>
      <c r="BL172" s="339" t="s">
        <v>367</v>
      </c>
      <c r="BM172" s="340"/>
      <c r="BN172" s="340"/>
      <c r="BO172" s="340"/>
      <c r="BP172" s="340"/>
      <c r="BQ172" s="340"/>
      <c r="BR172" s="340"/>
      <c r="BS172" s="341"/>
      <c r="BT172" s="345" t="s">
        <v>272</v>
      </c>
      <c r="BU172" s="340"/>
      <c r="BV172" s="340"/>
      <c r="BW172" s="340"/>
      <c r="BX172" s="340"/>
      <c r="BY172" s="340"/>
      <c r="BZ172" s="340"/>
      <c r="CA172" s="340"/>
      <c r="CB172" s="340"/>
      <c r="CC172" s="340"/>
      <c r="CD172" s="340"/>
      <c r="CE172" s="340"/>
      <c r="CF172" s="341"/>
      <c r="CG172" s="345"/>
      <c r="CH172" s="340"/>
      <c r="CI172" s="340"/>
      <c r="CJ172" s="340"/>
      <c r="CK172" s="340"/>
      <c r="CL172" s="340"/>
      <c r="CM172" s="340"/>
      <c r="CN172" s="340"/>
      <c r="CO172" s="340"/>
      <c r="CP172" s="340"/>
      <c r="CQ172" s="341"/>
      <c r="CR172" s="345"/>
      <c r="CS172" s="340"/>
      <c r="CT172" s="340"/>
      <c r="CU172" s="340"/>
      <c r="CV172" s="340"/>
      <c r="CW172" s="340"/>
      <c r="CX172" s="340"/>
      <c r="CY172" s="340"/>
      <c r="CZ172" s="340"/>
      <c r="DA172" s="340"/>
      <c r="DB172" s="340"/>
      <c r="DC172" s="340"/>
      <c r="DD172" s="341"/>
      <c r="DE172" s="346"/>
      <c r="DF172" s="347"/>
      <c r="DG172" s="347"/>
      <c r="DH172" s="347"/>
      <c r="DI172" s="347"/>
      <c r="DJ172" s="347"/>
      <c r="DK172" s="347"/>
      <c r="DL172" s="347"/>
      <c r="DM172" s="347"/>
      <c r="DN172" s="347"/>
      <c r="DO172" s="347"/>
      <c r="DP172" s="347"/>
      <c r="DQ172" s="348"/>
      <c r="DR172" s="346"/>
      <c r="DS172" s="347"/>
      <c r="DT172" s="347"/>
      <c r="DU172" s="347"/>
      <c r="DV172" s="347"/>
      <c r="DW172" s="347"/>
      <c r="DX172" s="347"/>
      <c r="DY172" s="347"/>
      <c r="DZ172" s="347"/>
      <c r="EA172" s="347"/>
      <c r="EB172" s="347"/>
      <c r="EC172" s="347"/>
      <c r="ED172" s="348"/>
      <c r="EE172" s="346"/>
      <c r="EF172" s="347"/>
      <c r="EG172" s="347"/>
      <c r="EH172" s="347"/>
      <c r="EI172" s="347"/>
      <c r="EJ172" s="347"/>
      <c r="EK172" s="347"/>
      <c r="EL172" s="347"/>
      <c r="EM172" s="347"/>
      <c r="EN172" s="347"/>
      <c r="EO172" s="347"/>
      <c r="EP172" s="347"/>
      <c r="EQ172" s="348"/>
      <c r="ER172" s="349"/>
      <c r="ES172" s="350"/>
      <c r="ET172" s="350"/>
      <c r="EU172" s="350"/>
      <c r="EV172" s="350"/>
      <c r="EW172" s="350"/>
      <c r="EX172" s="350"/>
      <c r="EY172" s="350"/>
      <c r="EZ172" s="350"/>
      <c r="FA172" s="350"/>
      <c r="FB172" s="351"/>
      <c r="FC172" s="349"/>
      <c r="FD172" s="350"/>
      <c r="FE172" s="350"/>
      <c r="FF172" s="350"/>
      <c r="FG172" s="350"/>
      <c r="FH172" s="350"/>
      <c r="FI172" s="350"/>
      <c r="FJ172" s="350"/>
      <c r="FK172" s="350"/>
      <c r="FL172" s="350"/>
      <c r="FM172" s="350"/>
      <c r="FN172" s="350"/>
      <c r="FO172" s="275"/>
      <c r="FP172" s="275"/>
      <c r="FQ172" s="275">
        <f t="shared" si="4"/>
        <v>0</v>
      </c>
    </row>
    <row r="173" spans="1:173" ht="11.1" customHeight="1">
      <c r="A173" s="441" t="s">
        <v>368</v>
      </c>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c r="AG173" s="442"/>
      <c r="AH173" s="442"/>
      <c r="AI173" s="442"/>
      <c r="AJ173" s="442"/>
      <c r="AK173" s="442"/>
      <c r="AL173" s="442"/>
      <c r="AM173" s="442"/>
      <c r="AN173" s="442"/>
      <c r="AO173" s="442"/>
      <c r="AP173" s="442"/>
      <c r="AQ173" s="442"/>
      <c r="AR173" s="442"/>
      <c r="AS173" s="442"/>
      <c r="AT173" s="442"/>
      <c r="AU173" s="442"/>
      <c r="AV173" s="442"/>
      <c r="AW173" s="442"/>
      <c r="AX173" s="442"/>
      <c r="AY173" s="442"/>
      <c r="AZ173" s="442"/>
      <c r="BA173" s="442"/>
      <c r="BB173" s="442"/>
      <c r="BC173" s="442"/>
      <c r="BD173" s="442"/>
      <c r="BE173" s="442"/>
      <c r="BF173" s="442"/>
      <c r="BG173" s="442"/>
      <c r="BH173" s="442"/>
      <c r="BI173" s="442"/>
      <c r="BJ173" s="442"/>
      <c r="BK173" s="443"/>
      <c r="BL173" s="339"/>
      <c r="BM173" s="340"/>
      <c r="BN173" s="340"/>
      <c r="BO173" s="340"/>
      <c r="BP173" s="340"/>
      <c r="BQ173" s="340"/>
      <c r="BR173" s="340"/>
      <c r="BS173" s="341"/>
      <c r="BT173" s="395" t="s">
        <v>1125</v>
      </c>
      <c r="BU173" s="396"/>
      <c r="BV173" s="396"/>
      <c r="BW173" s="396"/>
      <c r="BX173" s="396"/>
      <c r="BY173" s="396"/>
      <c r="BZ173" s="396"/>
      <c r="CA173" s="396"/>
      <c r="CB173" s="396"/>
      <c r="CC173" s="396"/>
      <c r="CD173" s="396"/>
      <c r="CE173" s="396"/>
      <c r="CF173" s="397"/>
      <c r="CG173" s="398"/>
      <c r="CH173" s="393"/>
      <c r="CI173" s="393"/>
      <c r="CJ173" s="393"/>
      <c r="CK173" s="393"/>
      <c r="CL173" s="393"/>
      <c r="CM173" s="393"/>
      <c r="CN173" s="393"/>
      <c r="CO173" s="393"/>
      <c r="CP173" s="393"/>
      <c r="CQ173" s="394"/>
      <c r="CR173" s="398"/>
      <c r="CS173" s="393"/>
      <c r="CT173" s="393"/>
      <c r="CU173" s="393"/>
      <c r="CV173" s="393"/>
      <c r="CW173" s="393"/>
      <c r="CX173" s="393"/>
      <c r="CY173" s="393"/>
      <c r="CZ173" s="393"/>
      <c r="DA173" s="393"/>
      <c r="DB173" s="393"/>
      <c r="DC173" s="393"/>
      <c r="DD173" s="394"/>
      <c r="DE173" s="402">
        <v>0</v>
      </c>
      <c r="DF173" s="403"/>
      <c r="DG173" s="403"/>
      <c r="DH173" s="403"/>
      <c r="DI173" s="403"/>
      <c r="DJ173" s="403"/>
      <c r="DK173" s="403"/>
      <c r="DL173" s="403"/>
      <c r="DM173" s="403"/>
      <c r="DN173" s="403"/>
      <c r="DO173" s="403"/>
      <c r="DP173" s="403"/>
      <c r="DQ173" s="404"/>
      <c r="DR173" s="402">
        <v>0</v>
      </c>
      <c r="DS173" s="403"/>
      <c r="DT173" s="403"/>
      <c r="DU173" s="403"/>
      <c r="DV173" s="403"/>
      <c r="DW173" s="403"/>
      <c r="DX173" s="403"/>
      <c r="DY173" s="403"/>
      <c r="DZ173" s="403"/>
      <c r="EA173" s="403"/>
      <c r="EB173" s="403"/>
      <c r="EC173" s="403"/>
      <c r="ED173" s="404"/>
      <c r="EE173" s="402"/>
      <c r="EF173" s="403"/>
      <c r="EG173" s="403"/>
      <c r="EH173" s="403"/>
      <c r="EI173" s="403"/>
      <c r="EJ173" s="403"/>
      <c r="EK173" s="403"/>
      <c r="EL173" s="403"/>
      <c r="EM173" s="403"/>
      <c r="EN173" s="403"/>
      <c r="EO173" s="403"/>
      <c r="EP173" s="403"/>
      <c r="EQ173" s="404"/>
      <c r="ER173" s="349"/>
      <c r="ES173" s="350"/>
      <c r="ET173" s="350"/>
      <c r="EU173" s="350"/>
      <c r="EV173" s="350"/>
      <c r="EW173" s="350"/>
      <c r="EX173" s="350"/>
      <c r="EY173" s="350"/>
      <c r="EZ173" s="350"/>
      <c r="FA173" s="350"/>
      <c r="FB173" s="351"/>
      <c r="FC173" s="352"/>
      <c r="FD173" s="353"/>
      <c r="FE173" s="353"/>
      <c r="FF173" s="353"/>
      <c r="FG173" s="353"/>
      <c r="FH173" s="353"/>
      <c r="FI173" s="353"/>
      <c r="FJ173" s="353"/>
      <c r="FK173" s="353"/>
      <c r="FL173" s="353"/>
      <c r="FM173" s="175"/>
      <c r="FN173" s="274"/>
      <c r="FO173" s="275"/>
      <c r="FP173" s="275"/>
      <c r="FQ173" s="275">
        <f t="shared" si="4"/>
        <v>0</v>
      </c>
    </row>
    <row r="174" spans="1:173" ht="12" customHeight="1">
      <c r="A174" s="485"/>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1"/>
      <c r="AY174" s="381"/>
      <c r="AZ174" s="381"/>
      <c r="BA174" s="381"/>
      <c r="BB174" s="381"/>
      <c r="BC174" s="381"/>
      <c r="BD174" s="381"/>
      <c r="BE174" s="381"/>
      <c r="BF174" s="381"/>
      <c r="BG174" s="381"/>
      <c r="BH174" s="381"/>
      <c r="BI174" s="381"/>
      <c r="BJ174" s="381"/>
      <c r="BK174" s="382"/>
      <c r="BL174" s="339"/>
      <c r="BM174" s="340"/>
      <c r="BN174" s="340"/>
      <c r="BO174" s="340"/>
      <c r="BP174" s="340"/>
      <c r="BQ174" s="340"/>
      <c r="BR174" s="340"/>
      <c r="BS174" s="341"/>
      <c r="BT174" s="345"/>
      <c r="BU174" s="340"/>
      <c r="BV174" s="340"/>
      <c r="BW174" s="340"/>
      <c r="BX174" s="340"/>
      <c r="BY174" s="340"/>
      <c r="BZ174" s="340"/>
      <c r="CA174" s="340"/>
      <c r="CB174" s="340"/>
      <c r="CC174" s="340"/>
      <c r="CD174" s="340"/>
      <c r="CE174" s="340"/>
      <c r="CF174" s="341"/>
      <c r="CG174" s="345"/>
      <c r="CH174" s="340"/>
      <c r="CI174" s="340"/>
      <c r="CJ174" s="340"/>
      <c r="CK174" s="340"/>
      <c r="CL174" s="340"/>
      <c r="CM174" s="340"/>
      <c r="CN174" s="340"/>
      <c r="CO174" s="340"/>
      <c r="CP174" s="340"/>
      <c r="CQ174" s="341"/>
      <c r="CR174" s="345"/>
      <c r="CS174" s="340"/>
      <c r="CT174" s="340"/>
      <c r="CU174" s="340"/>
      <c r="CV174" s="340"/>
      <c r="CW174" s="340"/>
      <c r="CX174" s="340"/>
      <c r="CY174" s="340"/>
      <c r="CZ174" s="340"/>
      <c r="DA174" s="340"/>
      <c r="DB174" s="340"/>
      <c r="DC174" s="340"/>
      <c r="DD174" s="341"/>
      <c r="DE174" s="349"/>
      <c r="DF174" s="350"/>
      <c r="DG174" s="350"/>
      <c r="DH174" s="350"/>
      <c r="DI174" s="350"/>
      <c r="DJ174" s="350"/>
      <c r="DK174" s="350"/>
      <c r="DL174" s="350"/>
      <c r="DM174" s="350"/>
      <c r="DN174" s="350"/>
      <c r="DO174" s="350"/>
      <c r="DP174" s="350"/>
      <c r="DQ174" s="351"/>
      <c r="DR174" s="349"/>
      <c r="DS174" s="350"/>
      <c r="DT174" s="350"/>
      <c r="DU174" s="350"/>
      <c r="DV174" s="350"/>
      <c r="DW174" s="350"/>
      <c r="DX174" s="350"/>
      <c r="DY174" s="350"/>
      <c r="DZ174" s="350"/>
      <c r="EA174" s="350"/>
      <c r="EB174" s="350"/>
      <c r="EC174" s="350"/>
      <c r="ED174" s="351"/>
      <c r="EE174" s="349"/>
      <c r="EF174" s="350"/>
      <c r="EG174" s="350"/>
      <c r="EH174" s="350"/>
      <c r="EI174" s="350"/>
      <c r="EJ174" s="350"/>
      <c r="EK174" s="350"/>
      <c r="EL174" s="350"/>
      <c r="EM174" s="350"/>
      <c r="EN174" s="350"/>
      <c r="EO174" s="350"/>
      <c r="EP174" s="350"/>
      <c r="EQ174" s="351"/>
      <c r="ER174" s="349"/>
      <c r="ES174" s="350"/>
      <c r="ET174" s="350"/>
      <c r="EU174" s="350"/>
      <c r="EV174" s="350"/>
      <c r="EW174" s="350"/>
      <c r="EX174" s="350"/>
      <c r="EY174" s="350"/>
      <c r="EZ174" s="350"/>
      <c r="FA174" s="350"/>
      <c r="FB174" s="351"/>
      <c r="FC174" s="352"/>
      <c r="FD174" s="353"/>
      <c r="FE174" s="353"/>
      <c r="FF174" s="353"/>
      <c r="FG174" s="353"/>
      <c r="FH174" s="353"/>
      <c r="FI174" s="353"/>
      <c r="FJ174" s="353"/>
      <c r="FK174" s="353"/>
      <c r="FL174" s="353"/>
      <c r="FM174" s="175"/>
      <c r="FN174" s="274"/>
      <c r="FO174" s="275"/>
      <c r="FP174" s="275"/>
      <c r="FQ174" s="275">
        <f t="shared" si="4"/>
        <v>0</v>
      </c>
    </row>
    <row r="175" spans="1:173" ht="21.75" customHeight="1">
      <c r="A175" s="485" t="s">
        <v>97</v>
      </c>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2"/>
      <c r="BL175" s="339" t="s">
        <v>98</v>
      </c>
      <c r="BM175" s="340"/>
      <c r="BN175" s="340"/>
      <c r="BO175" s="340"/>
      <c r="BP175" s="340"/>
      <c r="BQ175" s="340"/>
      <c r="BR175" s="340"/>
      <c r="BS175" s="341"/>
      <c r="BT175" s="345" t="s">
        <v>99</v>
      </c>
      <c r="BU175" s="340"/>
      <c r="BV175" s="340"/>
      <c r="BW175" s="340"/>
      <c r="BX175" s="340"/>
      <c r="BY175" s="340"/>
      <c r="BZ175" s="340"/>
      <c r="CA175" s="340"/>
      <c r="CB175" s="340"/>
      <c r="CC175" s="340"/>
      <c r="CD175" s="340"/>
      <c r="CE175" s="340"/>
      <c r="CF175" s="341"/>
      <c r="CG175" s="345"/>
      <c r="CH175" s="340"/>
      <c r="CI175" s="340"/>
      <c r="CJ175" s="340"/>
      <c r="CK175" s="340"/>
      <c r="CL175" s="340"/>
      <c r="CM175" s="340"/>
      <c r="CN175" s="340"/>
      <c r="CO175" s="340"/>
      <c r="CP175" s="340"/>
      <c r="CQ175" s="341"/>
      <c r="CR175" s="345"/>
      <c r="CS175" s="340"/>
      <c r="CT175" s="340"/>
      <c r="CU175" s="340"/>
      <c r="CV175" s="340"/>
      <c r="CW175" s="340"/>
      <c r="CX175" s="340"/>
      <c r="CY175" s="340"/>
      <c r="CZ175" s="340"/>
      <c r="DA175" s="340"/>
      <c r="DB175" s="340"/>
      <c r="DC175" s="340"/>
      <c r="DD175" s="341"/>
      <c r="DE175" s="346"/>
      <c r="DF175" s="347"/>
      <c r="DG175" s="347"/>
      <c r="DH175" s="347"/>
      <c r="DI175" s="347"/>
      <c r="DJ175" s="347"/>
      <c r="DK175" s="347"/>
      <c r="DL175" s="347"/>
      <c r="DM175" s="347"/>
      <c r="DN175" s="347"/>
      <c r="DO175" s="347"/>
      <c r="DP175" s="347"/>
      <c r="DQ175" s="348"/>
      <c r="DR175" s="346"/>
      <c r="DS175" s="347"/>
      <c r="DT175" s="347"/>
      <c r="DU175" s="347"/>
      <c r="DV175" s="347"/>
      <c r="DW175" s="347"/>
      <c r="DX175" s="347"/>
      <c r="DY175" s="347"/>
      <c r="DZ175" s="347"/>
      <c r="EA175" s="347"/>
      <c r="EB175" s="347"/>
      <c r="EC175" s="347"/>
      <c r="ED175" s="348"/>
      <c r="EE175" s="346"/>
      <c r="EF175" s="347"/>
      <c r="EG175" s="347"/>
      <c r="EH175" s="347"/>
      <c r="EI175" s="347"/>
      <c r="EJ175" s="347"/>
      <c r="EK175" s="347"/>
      <c r="EL175" s="347"/>
      <c r="EM175" s="347"/>
      <c r="EN175" s="347"/>
      <c r="EO175" s="347"/>
      <c r="EP175" s="347"/>
      <c r="EQ175" s="348"/>
      <c r="ER175" s="349"/>
      <c r="ES175" s="350"/>
      <c r="ET175" s="350"/>
      <c r="EU175" s="350"/>
      <c r="EV175" s="350"/>
      <c r="EW175" s="350"/>
      <c r="EX175" s="350"/>
      <c r="EY175" s="350"/>
      <c r="EZ175" s="350"/>
      <c r="FA175" s="350"/>
      <c r="FB175" s="351"/>
      <c r="FC175" s="349"/>
      <c r="FD175" s="350"/>
      <c r="FE175" s="350"/>
      <c r="FF175" s="350"/>
      <c r="FG175" s="350"/>
      <c r="FH175" s="350"/>
      <c r="FI175" s="350"/>
      <c r="FJ175" s="350"/>
      <c r="FK175" s="350"/>
      <c r="FL175" s="350"/>
      <c r="FM175" s="350"/>
      <c r="FN175" s="350"/>
      <c r="FO175" s="275"/>
      <c r="FP175" s="275"/>
      <c r="FQ175" s="275">
        <f t="shared" si="4"/>
        <v>0</v>
      </c>
    </row>
    <row r="176" spans="1:173" ht="14.1" customHeight="1">
      <c r="A176" s="485"/>
      <c r="B176" s="381"/>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381"/>
      <c r="AI176" s="381"/>
      <c r="AJ176" s="381"/>
      <c r="AK176" s="381"/>
      <c r="AL176" s="381"/>
      <c r="AM176" s="381"/>
      <c r="AN176" s="381"/>
      <c r="AO176" s="381"/>
      <c r="AP176" s="381"/>
      <c r="AQ176" s="381"/>
      <c r="AR176" s="381"/>
      <c r="AS176" s="381"/>
      <c r="AT176" s="381"/>
      <c r="AU176" s="381"/>
      <c r="AV176" s="381"/>
      <c r="AW176" s="381"/>
      <c r="AX176" s="381"/>
      <c r="AY176" s="381"/>
      <c r="AZ176" s="381"/>
      <c r="BA176" s="381"/>
      <c r="BB176" s="381"/>
      <c r="BC176" s="381"/>
      <c r="BD176" s="381"/>
      <c r="BE176" s="381"/>
      <c r="BF176" s="381"/>
      <c r="BG176" s="381"/>
      <c r="BH176" s="381"/>
      <c r="BI176" s="381"/>
      <c r="BJ176" s="381"/>
      <c r="BK176" s="382"/>
      <c r="BL176" s="339"/>
      <c r="BM176" s="340"/>
      <c r="BN176" s="340"/>
      <c r="BO176" s="340"/>
      <c r="BP176" s="340"/>
      <c r="BQ176" s="340"/>
      <c r="BR176" s="340"/>
      <c r="BS176" s="341"/>
      <c r="BT176" s="345"/>
      <c r="BU176" s="340"/>
      <c r="BV176" s="340"/>
      <c r="BW176" s="340"/>
      <c r="BX176" s="340"/>
      <c r="BY176" s="340"/>
      <c r="BZ176" s="340"/>
      <c r="CA176" s="340"/>
      <c r="CB176" s="340"/>
      <c r="CC176" s="340"/>
      <c r="CD176" s="340"/>
      <c r="CE176" s="340"/>
      <c r="CF176" s="341"/>
      <c r="CG176" s="345"/>
      <c r="CH176" s="340"/>
      <c r="CI176" s="340"/>
      <c r="CJ176" s="340"/>
      <c r="CK176" s="340"/>
      <c r="CL176" s="340"/>
      <c r="CM176" s="340"/>
      <c r="CN176" s="340"/>
      <c r="CO176" s="340"/>
      <c r="CP176" s="340"/>
      <c r="CQ176" s="341"/>
      <c r="CR176" s="345"/>
      <c r="CS176" s="340"/>
      <c r="CT176" s="340"/>
      <c r="CU176" s="340"/>
      <c r="CV176" s="340"/>
      <c r="CW176" s="340"/>
      <c r="CX176" s="340"/>
      <c r="CY176" s="340"/>
      <c r="CZ176" s="340"/>
      <c r="DA176" s="340"/>
      <c r="DB176" s="340"/>
      <c r="DC176" s="340"/>
      <c r="DD176" s="341"/>
      <c r="DE176" s="349"/>
      <c r="DF176" s="350"/>
      <c r="DG176" s="350"/>
      <c r="DH176" s="350"/>
      <c r="DI176" s="350"/>
      <c r="DJ176" s="350"/>
      <c r="DK176" s="350"/>
      <c r="DL176" s="350"/>
      <c r="DM176" s="350"/>
      <c r="DN176" s="350"/>
      <c r="DO176" s="350"/>
      <c r="DP176" s="350"/>
      <c r="DQ176" s="351"/>
      <c r="DR176" s="349"/>
      <c r="DS176" s="350"/>
      <c r="DT176" s="350"/>
      <c r="DU176" s="350"/>
      <c r="DV176" s="350"/>
      <c r="DW176" s="350"/>
      <c r="DX176" s="350"/>
      <c r="DY176" s="350"/>
      <c r="DZ176" s="350"/>
      <c r="EA176" s="350"/>
      <c r="EB176" s="350"/>
      <c r="EC176" s="350"/>
      <c r="ED176" s="351"/>
      <c r="EE176" s="349"/>
      <c r="EF176" s="350"/>
      <c r="EG176" s="350"/>
      <c r="EH176" s="350"/>
      <c r="EI176" s="350"/>
      <c r="EJ176" s="350"/>
      <c r="EK176" s="350"/>
      <c r="EL176" s="350"/>
      <c r="EM176" s="350"/>
      <c r="EN176" s="350"/>
      <c r="EO176" s="350"/>
      <c r="EP176" s="350"/>
      <c r="EQ176" s="351"/>
      <c r="ER176" s="349"/>
      <c r="ES176" s="350"/>
      <c r="ET176" s="350"/>
      <c r="EU176" s="350"/>
      <c r="EV176" s="350"/>
      <c r="EW176" s="350"/>
      <c r="EX176" s="350"/>
      <c r="EY176" s="350"/>
      <c r="EZ176" s="350"/>
      <c r="FA176" s="350"/>
      <c r="FB176" s="351"/>
      <c r="FC176" s="352"/>
      <c r="FD176" s="353"/>
      <c r="FE176" s="353"/>
      <c r="FF176" s="353"/>
      <c r="FG176" s="353"/>
      <c r="FH176" s="353"/>
      <c r="FI176" s="353"/>
      <c r="FJ176" s="353"/>
      <c r="FK176" s="353"/>
      <c r="FL176" s="353"/>
      <c r="FM176" s="181"/>
      <c r="FN176" s="181"/>
      <c r="FO176" s="275"/>
      <c r="FP176" s="275"/>
      <c r="FQ176" s="275">
        <f t="shared" si="4"/>
        <v>0</v>
      </c>
    </row>
    <row r="177" spans="1:174" ht="14.1" hidden="1" customHeight="1">
      <c r="A177" s="485"/>
      <c r="B177" s="381"/>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2"/>
      <c r="BL177" s="339"/>
      <c r="BM177" s="340"/>
      <c r="BN177" s="340"/>
      <c r="BO177" s="340"/>
      <c r="BP177" s="340"/>
      <c r="BQ177" s="340"/>
      <c r="BR177" s="340"/>
      <c r="BS177" s="341"/>
      <c r="BT177" s="345"/>
      <c r="BU177" s="340"/>
      <c r="BV177" s="340"/>
      <c r="BW177" s="340"/>
      <c r="BX177" s="340"/>
      <c r="BY177" s="340"/>
      <c r="BZ177" s="340"/>
      <c r="CA177" s="340"/>
      <c r="CB177" s="340"/>
      <c r="CC177" s="340"/>
      <c r="CD177" s="340"/>
      <c r="CE177" s="340"/>
      <c r="CF177" s="341"/>
      <c r="CG177" s="345"/>
      <c r="CH177" s="340"/>
      <c r="CI177" s="340"/>
      <c r="CJ177" s="340"/>
      <c r="CK177" s="340"/>
      <c r="CL177" s="340"/>
      <c r="CM177" s="340"/>
      <c r="CN177" s="340"/>
      <c r="CO177" s="340"/>
      <c r="CP177" s="340"/>
      <c r="CQ177" s="341"/>
      <c r="CR177" s="345"/>
      <c r="CS177" s="340"/>
      <c r="CT177" s="340"/>
      <c r="CU177" s="340"/>
      <c r="CV177" s="340"/>
      <c r="CW177" s="340"/>
      <c r="CX177" s="340"/>
      <c r="CY177" s="340"/>
      <c r="CZ177" s="340"/>
      <c r="DA177" s="340"/>
      <c r="DB177" s="340"/>
      <c r="DC177" s="340"/>
      <c r="DD177" s="341"/>
      <c r="DE177" s="349"/>
      <c r="DF177" s="350"/>
      <c r="DG177" s="350"/>
      <c r="DH177" s="350"/>
      <c r="DI177" s="350"/>
      <c r="DJ177" s="350"/>
      <c r="DK177" s="350"/>
      <c r="DL177" s="350"/>
      <c r="DM177" s="350"/>
      <c r="DN177" s="350"/>
      <c r="DO177" s="350"/>
      <c r="DP177" s="350"/>
      <c r="DQ177" s="351"/>
      <c r="DR177" s="349"/>
      <c r="DS177" s="350"/>
      <c r="DT177" s="350"/>
      <c r="DU177" s="350"/>
      <c r="DV177" s="350"/>
      <c r="DW177" s="350"/>
      <c r="DX177" s="350"/>
      <c r="DY177" s="350"/>
      <c r="DZ177" s="350"/>
      <c r="EA177" s="350"/>
      <c r="EB177" s="350"/>
      <c r="EC177" s="350"/>
      <c r="ED177" s="351"/>
      <c r="EE177" s="349"/>
      <c r="EF177" s="350"/>
      <c r="EG177" s="350"/>
      <c r="EH177" s="350"/>
      <c r="EI177" s="350"/>
      <c r="EJ177" s="350"/>
      <c r="EK177" s="350"/>
      <c r="EL177" s="350"/>
      <c r="EM177" s="350"/>
      <c r="EN177" s="350"/>
      <c r="EO177" s="350"/>
      <c r="EP177" s="350"/>
      <c r="EQ177" s="351"/>
      <c r="ER177" s="349"/>
      <c r="ES177" s="350"/>
      <c r="ET177" s="350"/>
      <c r="EU177" s="350"/>
      <c r="EV177" s="350"/>
      <c r="EW177" s="350"/>
      <c r="EX177" s="350"/>
      <c r="EY177" s="350"/>
      <c r="EZ177" s="350"/>
      <c r="FA177" s="350"/>
      <c r="FB177" s="351"/>
      <c r="FC177" s="352"/>
      <c r="FD177" s="353"/>
      <c r="FE177" s="353"/>
      <c r="FF177" s="353"/>
      <c r="FG177" s="353"/>
      <c r="FH177" s="353"/>
      <c r="FI177" s="353"/>
      <c r="FJ177" s="353"/>
      <c r="FK177" s="353"/>
      <c r="FL177" s="353"/>
      <c r="FM177" s="181"/>
      <c r="FN177" s="181"/>
      <c r="FO177" s="275"/>
      <c r="FP177" s="275"/>
      <c r="FQ177" s="275">
        <f t="shared" si="4"/>
        <v>0</v>
      </c>
    </row>
    <row r="178" spans="1:174" ht="14.1" hidden="1" customHeight="1">
      <c r="A178" s="485"/>
      <c r="B178" s="381"/>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1"/>
      <c r="AY178" s="381"/>
      <c r="AZ178" s="381"/>
      <c r="BA178" s="381"/>
      <c r="BB178" s="381"/>
      <c r="BC178" s="381"/>
      <c r="BD178" s="381"/>
      <c r="BE178" s="381"/>
      <c r="BF178" s="381"/>
      <c r="BG178" s="381"/>
      <c r="BH178" s="381"/>
      <c r="BI178" s="381"/>
      <c r="BJ178" s="381"/>
      <c r="BK178" s="382"/>
      <c r="BL178" s="339"/>
      <c r="BM178" s="340"/>
      <c r="BN178" s="340"/>
      <c r="BO178" s="340"/>
      <c r="BP178" s="340"/>
      <c r="BQ178" s="340"/>
      <c r="BR178" s="340"/>
      <c r="BS178" s="341"/>
      <c r="BT178" s="345"/>
      <c r="BU178" s="340"/>
      <c r="BV178" s="340"/>
      <c r="BW178" s="340"/>
      <c r="BX178" s="340"/>
      <c r="BY178" s="340"/>
      <c r="BZ178" s="340"/>
      <c r="CA178" s="340"/>
      <c r="CB178" s="340"/>
      <c r="CC178" s="340"/>
      <c r="CD178" s="340"/>
      <c r="CE178" s="340"/>
      <c r="CF178" s="341"/>
      <c r="CG178" s="345"/>
      <c r="CH178" s="340"/>
      <c r="CI178" s="340"/>
      <c r="CJ178" s="340"/>
      <c r="CK178" s="340"/>
      <c r="CL178" s="340"/>
      <c r="CM178" s="340"/>
      <c r="CN178" s="340"/>
      <c r="CO178" s="340"/>
      <c r="CP178" s="340"/>
      <c r="CQ178" s="341"/>
      <c r="CR178" s="345"/>
      <c r="CS178" s="340"/>
      <c r="CT178" s="340"/>
      <c r="CU178" s="340"/>
      <c r="CV178" s="340"/>
      <c r="CW178" s="340"/>
      <c r="CX178" s="340"/>
      <c r="CY178" s="340"/>
      <c r="CZ178" s="340"/>
      <c r="DA178" s="340"/>
      <c r="DB178" s="340"/>
      <c r="DC178" s="340"/>
      <c r="DD178" s="341"/>
      <c r="DE178" s="349"/>
      <c r="DF178" s="350"/>
      <c r="DG178" s="350"/>
      <c r="DH178" s="350"/>
      <c r="DI178" s="350"/>
      <c r="DJ178" s="350"/>
      <c r="DK178" s="350"/>
      <c r="DL178" s="350"/>
      <c r="DM178" s="350"/>
      <c r="DN178" s="350"/>
      <c r="DO178" s="350"/>
      <c r="DP178" s="350"/>
      <c r="DQ178" s="351"/>
      <c r="DR178" s="349"/>
      <c r="DS178" s="350"/>
      <c r="DT178" s="350"/>
      <c r="DU178" s="350"/>
      <c r="DV178" s="350"/>
      <c r="DW178" s="350"/>
      <c r="DX178" s="350"/>
      <c r="DY178" s="350"/>
      <c r="DZ178" s="350"/>
      <c r="EA178" s="350"/>
      <c r="EB178" s="350"/>
      <c r="EC178" s="350"/>
      <c r="ED178" s="351"/>
      <c r="EE178" s="349"/>
      <c r="EF178" s="350"/>
      <c r="EG178" s="350"/>
      <c r="EH178" s="350"/>
      <c r="EI178" s="350"/>
      <c r="EJ178" s="350"/>
      <c r="EK178" s="350"/>
      <c r="EL178" s="350"/>
      <c r="EM178" s="350"/>
      <c r="EN178" s="350"/>
      <c r="EO178" s="350"/>
      <c r="EP178" s="350"/>
      <c r="EQ178" s="351"/>
      <c r="ER178" s="349"/>
      <c r="ES178" s="350"/>
      <c r="ET178" s="350"/>
      <c r="EU178" s="350"/>
      <c r="EV178" s="350"/>
      <c r="EW178" s="350"/>
      <c r="EX178" s="350"/>
      <c r="EY178" s="350"/>
      <c r="EZ178" s="350"/>
      <c r="FA178" s="350"/>
      <c r="FB178" s="351"/>
      <c r="FC178" s="352"/>
      <c r="FD178" s="353"/>
      <c r="FE178" s="353"/>
      <c r="FF178" s="353"/>
      <c r="FG178" s="353"/>
      <c r="FH178" s="353"/>
      <c r="FI178" s="353"/>
      <c r="FJ178" s="353"/>
      <c r="FK178" s="353"/>
      <c r="FL178" s="353"/>
      <c r="FM178" s="181"/>
      <c r="FN178" s="181"/>
      <c r="FO178" s="275"/>
      <c r="FP178" s="275"/>
      <c r="FQ178" s="275">
        <f t="shared" si="4"/>
        <v>0</v>
      </c>
    </row>
    <row r="179" spans="1:174" ht="14.1" hidden="1" customHeight="1">
      <c r="A179" s="485"/>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c r="AS179" s="381"/>
      <c r="AT179" s="381"/>
      <c r="AU179" s="381"/>
      <c r="AV179" s="381"/>
      <c r="AW179" s="381"/>
      <c r="AX179" s="381"/>
      <c r="AY179" s="381"/>
      <c r="AZ179" s="381"/>
      <c r="BA179" s="381"/>
      <c r="BB179" s="381"/>
      <c r="BC179" s="381"/>
      <c r="BD179" s="381"/>
      <c r="BE179" s="381"/>
      <c r="BF179" s="381"/>
      <c r="BG179" s="381"/>
      <c r="BH179" s="381"/>
      <c r="BI179" s="381"/>
      <c r="BJ179" s="381"/>
      <c r="BK179" s="382"/>
      <c r="BL179" s="339"/>
      <c r="BM179" s="340"/>
      <c r="BN179" s="340"/>
      <c r="BO179" s="340"/>
      <c r="BP179" s="340"/>
      <c r="BQ179" s="340"/>
      <c r="BR179" s="340"/>
      <c r="BS179" s="341"/>
      <c r="BT179" s="345"/>
      <c r="BU179" s="340"/>
      <c r="BV179" s="340"/>
      <c r="BW179" s="340"/>
      <c r="BX179" s="340"/>
      <c r="BY179" s="340"/>
      <c r="BZ179" s="340"/>
      <c r="CA179" s="340"/>
      <c r="CB179" s="340"/>
      <c r="CC179" s="340"/>
      <c r="CD179" s="340"/>
      <c r="CE179" s="340"/>
      <c r="CF179" s="341"/>
      <c r="CG179" s="345"/>
      <c r="CH179" s="340"/>
      <c r="CI179" s="340"/>
      <c r="CJ179" s="340"/>
      <c r="CK179" s="340"/>
      <c r="CL179" s="340"/>
      <c r="CM179" s="340"/>
      <c r="CN179" s="340"/>
      <c r="CO179" s="340"/>
      <c r="CP179" s="340"/>
      <c r="CQ179" s="341"/>
      <c r="CR179" s="345"/>
      <c r="CS179" s="340"/>
      <c r="CT179" s="340"/>
      <c r="CU179" s="340"/>
      <c r="CV179" s="340"/>
      <c r="CW179" s="340"/>
      <c r="CX179" s="340"/>
      <c r="CY179" s="340"/>
      <c r="CZ179" s="340"/>
      <c r="DA179" s="340"/>
      <c r="DB179" s="340"/>
      <c r="DC179" s="340"/>
      <c r="DD179" s="341"/>
      <c r="DE179" s="349"/>
      <c r="DF179" s="350"/>
      <c r="DG179" s="350"/>
      <c r="DH179" s="350"/>
      <c r="DI179" s="350"/>
      <c r="DJ179" s="350"/>
      <c r="DK179" s="350"/>
      <c r="DL179" s="350"/>
      <c r="DM179" s="350"/>
      <c r="DN179" s="350"/>
      <c r="DO179" s="350"/>
      <c r="DP179" s="350"/>
      <c r="DQ179" s="351"/>
      <c r="DR179" s="349"/>
      <c r="DS179" s="350"/>
      <c r="DT179" s="350"/>
      <c r="DU179" s="350"/>
      <c r="DV179" s="350"/>
      <c r="DW179" s="350"/>
      <c r="DX179" s="350"/>
      <c r="DY179" s="350"/>
      <c r="DZ179" s="350"/>
      <c r="EA179" s="350"/>
      <c r="EB179" s="350"/>
      <c r="EC179" s="350"/>
      <c r="ED179" s="351"/>
      <c r="EE179" s="349"/>
      <c r="EF179" s="350"/>
      <c r="EG179" s="350"/>
      <c r="EH179" s="350"/>
      <c r="EI179" s="350"/>
      <c r="EJ179" s="350"/>
      <c r="EK179" s="350"/>
      <c r="EL179" s="350"/>
      <c r="EM179" s="350"/>
      <c r="EN179" s="350"/>
      <c r="EO179" s="350"/>
      <c r="EP179" s="350"/>
      <c r="EQ179" s="351"/>
      <c r="ER179" s="349"/>
      <c r="ES179" s="350"/>
      <c r="ET179" s="350"/>
      <c r="EU179" s="350"/>
      <c r="EV179" s="350"/>
      <c r="EW179" s="350"/>
      <c r="EX179" s="350"/>
      <c r="EY179" s="350"/>
      <c r="EZ179" s="350"/>
      <c r="FA179" s="350"/>
      <c r="FB179" s="351"/>
      <c r="FC179" s="352"/>
      <c r="FD179" s="353"/>
      <c r="FE179" s="353"/>
      <c r="FF179" s="353"/>
      <c r="FG179" s="353"/>
      <c r="FH179" s="353"/>
      <c r="FI179" s="353"/>
      <c r="FJ179" s="353"/>
      <c r="FK179" s="353"/>
      <c r="FL179" s="353"/>
      <c r="FM179" s="181"/>
      <c r="FN179" s="181"/>
      <c r="FO179" s="275"/>
      <c r="FP179" s="275"/>
      <c r="FQ179" s="275">
        <f t="shared" si="4"/>
        <v>0</v>
      </c>
    </row>
    <row r="180" spans="1:174" ht="12.75" customHeight="1">
      <c r="A180" s="487" t="s">
        <v>369</v>
      </c>
      <c r="B180" s="488"/>
      <c r="C180" s="488"/>
      <c r="D180" s="488"/>
      <c r="E180" s="488"/>
      <c r="F180" s="488"/>
      <c r="G180" s="488"/>
      <c r="H180" s="488"/>
      <c r="I180" s="488"/>
      <c r="J180" s="488"/>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8"/>
      <c r="AH180" s="488"/>
      <c r="AI180" s="488"/>
      <c r="AJ180" s="488"/>
      <c r="AK180" s="488"/>
      <c r="AL180" s="488"/>
      <c r="AM180" s="488"/>
      <c r="AN180" s="488"/>
      <c r="AO180" s="488"/>
      <c r="AP180" s="488"/>
      <c r="AQ180" s="488"/>
      <c r="AR180" s="488"/>
      <c r="AS180" s="488"/>
      <c r="AT180" s="488"/>
      <c r="AU180" s="488"/>
      <c r="AV180" s="488"/>
      <c r="AW180" s="488"/>
      <c r="AX180" s="488"/>
      <c r="AY180" s="488"/>
      <c r="AZ180" s="488"/>
      <c r="BA180" s="488"/>
      <c r="BB180" s="488"/>
      <c r="BC180" s="488"/>
      <c r="BD180" s="488"/>
      <c r="BE180" s="488"/>
      <c r="BF180" s="488"/>
      <c r="BG180" s="488"/>
      <c r="BH180" s="488"/>
      <c r="BI180" s="488"/>
      <c r="BJ180" s="488"/>
      <c r="BK180" s="489"/>
      <c r="BL180" s="460" t="s">
        <v>100</v>
      </c>
      <c r="BM180" s="363"/>
      <c r="BN180" s="363"/>
      <c r="BO180" s="363"/>
      <c r="BP180" s="363"/>
      <c r="BQ180" s="363"/>
      <c r="BR180" s="363"/>
      <c r="BS180" s="364"/>
      <c r="BT180" s="362" t="s">
        <v>21</v>
      </c>
      <c r="BU180" s="363"/>
      <c r="BV180" s="363"/>
      <c r="BW180" s="363"/>
      <c r="BX180" s="363"/>
      <c r="BY180" s="363"/>
      <c r="BZ180" s="363"/>
      <c r="CA180" s="363"/>
      <c r="CB180" s="363"/>
      <c r="CC180" s="363"/>
      <c r="CD180" s="363"/>
      <c r="CE180" s="363"/>
      <c r="CF180" s="364"/>
      <c r="CG180" s="362"/>
      <c r="CH180" s="363"/>
      <c r="CI180" s="363"/>
      <c r="CJ180" s="363"/>
      <c r="CK180" s="363"/>
      <c r="CL180" s="363"/>
      <c r="CM180" s="363"/>
      <c r="CN180" s="363"/>
      <c r="CO180" s="363"/>
      <c r="CP180" s="363"/>
      <c r="CQ180" s="364"/>
      <c r="CR180" s="362"/>
      <c r="CS180" s="363"/>
      <c r="CT180" s="363"/>
      <c r="CU180" s="363"/>
      <c r="CV180" s="363"/>
      <c r="CW180" s="363"/>
      <c r="CX180" s="363"/>
      <c r="CY180" s="363"/>
      <c r="CZ180" s="363"/>
      <c r="DA180" s="363"/>
      <c r="DB180" s="363"/>
      <c r="DC180" s="363"/>
      <c r="DD180" s="364"/>
      <c r="DE180" s="365">
        <f>DE182+DE183+DE184</f>
        <v>9072761.7899999991</v>
      </c>
      <c r="DF180" s="366"/>
      <c r="DG180" s="366"/>
      <c r="DH180" s="366"/>
      <c r="DI180" s="366"/>
      <c r="DJ180" s="366"/>
      <c r="DK180" s="366"/>
      <c r="DL180" s="366"/>
      <c r="DM180" s="366"/>
      <c r="DN180" s="366"/>
      <c r="DO180" s="366"/>
      <c r="DP180" s="366"/>
      <c r="DQ180" s="367"/>
      <c r="DR180" s="365">
        <f>DR182+DR183+DR184</f>
        <v>8821879.6600000001</v>
      </c>
      <c r="DS180" s="366"/>
      <c r="DT180" s="366"/>
      <c r="DU180" s="366"/>
      <c r="DV180" s="366"/>
      <c r="DW180" s="366"/>
      <c r="DX180" s="366"/>
      <c r="DY180" s="366"/>
      <c r="DZ180" s="366"/>
      <c r="EA180" s="366"/>
      <c r="EB180" s="366"/>
      <c r="EC180" s="366"/>
      <c r="ED180" s="367"/>
      <c r="EE180" s="365"/>
      <c r="EF180" s="366"/>
      <c r="EG180" s="366"/>
      <c r="EH180" s="366"/>
      <c r="EI180" s="366"/>
      <c r="EJ180" s="366"/>
      <c r="EK180" s="366"/>
      <c r="EL180" s="366"/>
      <c r="EM180" s="366"/>
      <c r="EN180" s="366"/>
      <c r="EO180" s="366"/>
      <c r="EP180" s="366"/>
      <c r="EQ180" s="367"/>
      <c r="ER180" s="349"/>
      <c r="ES180" s="350"/>
      <c r="ET180" s="350"/>
      <c r="EU180" s="350"/>
      <c r="EV180" s="350"/>
      <c r="EW180" s="350"/>
      <c r="EX180" s="350"/>
      <c r="EY180" s="350"/>
      <c r="EZ180" s="350"/>
      <c r="FA180" s="350"/>
      <c r="FB180" s="351"/>
      <c r="FC180" s="352"/>
      <c r="FD180" s="353"/>
      <c r="FE180" s="353"/>
      <c r="FF180" s="353"/>
      <c r="FG180" s="353"/>
      <c r="FH180" s="353"/>
      <c r="FI180" s="353"/>
      <c r="FJ180" s="353"/>
      <c r="FK180" s="353"/>
      <c r="FL180" s="353"/>
      <c r="FO180" s="275"/>
      <c r="FP180" s="275"/>
      <c r="FQ180" s="275">
        <f t="shared" si="4"/>
        <v>8821879.6600000001</v>
      </c>
    </row>
    <row r="181" spans="1:174" ht="12.75" customHeight="1">
      <c r="A181" s="354" t="s">
        <v>110</v>
      </c>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c r="AA181" s="374"/>
      <c r="AB181" s="374"/>
      <c r="AC181" s="374"/>
      <c r="AD181" s="374"/>
      <c r="AE181" s="374"/>
      <c r="AF181" s="374"/>
      <c r="AG181" s="374"/>
      <c r="AH181" s="374"/>
      <c r="AI181" s="374"/>
      <c r="AJ181" s="374"/>
      <c r="AK181" s="374"/>
      <c r="AL181" s="374"/>
      <c r="AM181" s="374"/>
      <c r="AN181" s="374"/>
      <c r="AO181" s="374"/>
      <c r="AP181" s="374"/>
      <c r="AQ181" s="374"/>
      <c r="AR181" s="374"/>
      <c r="AS181" s="374"/>
      <c r="AT181" s="374"/>
      <c r="AU181" s="374"/>
      <c r="AV181" s="374"/>
      <c r="AW181" s="374"/>
      <c r="AX181" s="374"/>
      <c r="AY181" s="374"/>
      <c r="AZ181" s="374"/>
      <c r="BA181" s="374"/>
      <c r="BB181" s="374"/>
      <c r="BC181" s="374"/>
      <c r="BD181" s="374"/>
      <c r="BE181" s="374"/>
      <c r="BF181" s="374"/>
      <c r="BG181" s="374"/>
      <c r="BH181" s="374"/>
      <c r="BI181" s="374"/>
      <c r="BJ181" s="374"/>
      <c r="BK181" s="375"/>
      <c r="BL181" s="339" t="s">
        <v>272</v>
      </c>
      <c r="BM181" s="340"/>
      <c r="BN181" s="340"/>
      <c r="BO181" s="340"/>
      <c r="BP181" s="340"/>
      <c r="BQ181" s="340"/>
      <c r="BR181" s="340"/>
      <c r="BS181" s="341"/>
      <c r="BT181" s="345" t="s">
        <v>272</v>
      </c>
      <c r="BU181" s="340"/>
      <c r="BV181" s="340"/>
      <c r="BW181" s="340"/>
      <c r="BX181" s="340"/>
      <c r="BY181" s="340"/>
      <c r="BZ181" s="340"/>
      <c r="CA181" s="340"/>
      <c r="CB181" s="340"/>
      <c r="CC181" s="340"/>
      <c r="CD181" s="340"/>
      <c r="CE181" s="340"/>
      <c r="CF181" s="341"/>
      <c r="CG181" s="345"/>
      <c r="CH181" s="340"/>
      <c r="CI181" s="340"/>
      <c r="CJ181" s="340"/>
      <c r="CK181" s="340"/>
      <c r="CL181" s="340"/>
      <c r="CM181" s="340"/>
      <c r="CN181" s="340"/>
      <c r="CO181" s="340"/>
      <c r="CP181" s="340"/>
      <c r="CQ181" s="341"/>
      <c r="CR181" s="345"/>
      <c r="CS181" s="340"/>
      <c r="CT181" s="340"/>
      <c r="CU181" s="340"/>
      <c r="CV181" s="340"/>
      <c r="CW181" s="340"/>
      <c r="CX181" s="340"/>
      <c r="CY181" s="340"/>
      <c r="CZ181" s="340"/>
      <c r="DA181" s="340"/>
      <c r="DB181" s="340"/>
      <c r="DC181" s="340"/>
      <c r="DD181" s="341"/>
      <c r="DE181" s="346"/>
      <c r="DF181" s="347"/>
      <c r="DG181" s="347"/>
      <c r="DH181" s="347"/>
      <c r="DI181" s="347"/>
      <c r="DJ181" s="347"/>
      <c r="DK181" s="347"/>
      <c r="DL181" s="347"/>
      <c r="DM181" s="347"/>
      <c r="DN181" s="347"/>
      <c r="DO181" s="347"/>
      <c r="DP181" s="347"/>
      <c r="DQ181" s="348"/>
      <c r="DR181" s="346"/>
      <c r="DS181" s="347"/>
      <c r="DT181" s="347"/>
      <c r="DU181" s="347"/>
      <c r="DV181" s="347"/>
      <c r="DW181" s="347"/>
      <c r="DX181" s="347"/>
      <c r="DY181" s="347"/>
      <c r="DZ181" s="347"/>
      <c r="EA181" s="347"/>
      <c r="EB181" s="347"/>
      <c r="EC181" s="347"/>
      <c r="ED181" s="348"/>
      <c r="EE181" s="346"/>
      <c r="EF181" s="347"/>
      <c r="EG181" s="347"/>
      <c r="EH181" s="347"/>
      <c r="EI181" s="347"/>
      <c r="EJ181" s="347"/>
      <c r="EK181" s="347"/>
      <c r="EL181" s="347"/>
      <c r="EM181" s="347"/>
      <c r="EN181" s="347"/>
      <c r="EO181" s="347"/>
      <c r="EP181" s="347"/>
      <c r="EQ181" s="348"/>
      <c r="ER181" s="349"/>
      <c r="ES181" s="350"/>
      <c r="ET181" s="350"/>
      <c r="EU181" s="350"/>
      <c r="EV181" s="350"/>
      <c r="EW181" s="350"/>
      <c r="EX181" s="350"/>
      <c r="EY181" s="350"/>
      <c r="EZ181" s="350"/>
      <c r="FA181" s="350"/>
      <c r="FB181" s="351"/>
      <c r="FC181" s="349"/>
      <c r="FD181" s="350"/>
      <c r="FE181" s="350"/>
      <c r="FF181" s="350"/>
      <c r="FG181" s="350"/>
      <c r="FH181" s="350"/>
      <c r="FI181" s="350"/>
      <c r="FJ181" s="350"/>
      <c r="FK181" s="350"/>
      <c r="FL181" s="350"/>
      <c r="FM181" s="350"/>
      <c r="FN181" s="350"/>
      <c r="FO181" s="275"/>
      <c r="FP181" s="275"/>
      <c r="FQ181" s="275">
        <f t="shared" si="4"/>
        <v>0</v>
      </c>
    </row>
    <row r="182" spans="1:174" ht="12.75" customHeight="1">
      <c r="A182" s="386" t="s">
        <v>284</v>
      </c>
      <c r="B182" s="555"/>
      <c r="C182" s="555"/>
      <c r="D182" s="555"/>
      <c r="E182" s="555"/>
      <c r="F182" s="555"/>
      <c r="G182" s="555"/>
      <c r="H182" s="555"/>
      <c r="I182" s="555"/>
      <c r="J182" s="555"/>
      <c r="K182" s="555"/>
      <c r="L182" s="555"/>
      <c r="M182" s="555"/>
      <c r="N182" s="555"/>
      <c r="O182" s="555"/>
      <c r="P182" s="555"/>
      <c r="Q182" s="555"/>
      <c r="R182" s="555"/>
      <c r="S182" s="555"/>
      <c r="T182" s="555"/>
      <c r="U182" s="555"/>
      <c r="V182" s="555"/>
      <c r="W182" s="555"/>
      <c r="X182" s="555"/>
      <c r="Y182" s="555"/>
      <c r="Z182" s="555"/>
      <c r="AA182" s="555"/>
      <c r="AB182" s="555"/>
      <c r="AC182" s="555"/>
      <c r="AD182" s="555"/>
      <c r="AE182" s="555"/>
      <c r="AF182" s="555"/>
      <c r="AG182" s="555"/>
      <c r="AH182" s="555"/>
      <c r="AI182" s="555"/>
      <c r="AJ182" s="555"/>
      <c r="AK182" s="555"/>
      <c r="AL182" s="555"/>
      <c r="AM182" s="555"/>
      <c r="AN182" s="555"/>
      <c r="AO182" s="555"/>
      <c r="AP182" s="555"/>
      <c r="AQ182" s="555"/>
      <c r="AR182" s="555"/>
      <c r="AS182" s="555"/>
      <c r="AT182" s="555"/>
      <c r="AU182" s="555"/>
      <c r="AV182" s="555"/>
      <c r="AW182" s="555"/>
      <c r="AX182" s="555"/>
      <c r="AY182" s="555"/>
      <c r="AZ182" s="555"/>
      <c r="BA182" s="555"/>
      <c r="BB182" s="555"/>
      <c r="BC182" s="555"/>
      <c r="BD182" s="555"/>
      <c r="BE182" s="555"/>
      <c r="BF182" s="555"/>
      <c r="BG182" s="555"/>
      <c r="BH182" s="555"/>
      <c r="BI182" s="555"/>
      <c r="BJ182" s="555"/>
      <c r="BK182" s="556"/>
      <c r="BL182" s="339"/>
      <c r="BM182" s="340"/>
      <c r="BN182" s="340"/>
      <c r="BO182" s="340"/>
      <c r="BP182" s="340"/>
      <c r="BQ182" s="340"/>
      <c r="BR182" s="340"/>
      <c r="BS182" s="341"/>
      <c r="BT182" s="345"/>
      <c r="BU182" s="340"/>
      <c r="BV182" s="340"/>
      <c r="BW182" s="340"/>
      <c r="BX182" s="340"/>
      <c r="BY182" s="340"/>
      <c r="BZ182" s="340"/>
      <c r="CA182" s="340"/>
      <c r="CB182" s="340"/>
      <c r="CC182" s="340"/>
      <c r="CD182" s="340"/>
      <c r="CE182" s="340"/>
      <c r="CF182" s="341"/>
      <c r="CG182" s="345"/>
      <c r="CH182" s="340"/>
      <c r="CI182" s="340"/>
      <c r="CJ182" s="340"/>
      <c r="CK182" s="340"/>
      <c r="CL182" s="340"/>
      <c r="CM182" s="340"/>
      <c r="CN182" s="340"/>
      <c r="CO182" s="340"/>
      <c r="CP182" s="340"/>
      <c r="CQ182" s="341"/>
      <c r="CR182" s="345"/>
      <c r="CS182" s="340"/>
      <c r="CT182" s="340"/>
      <c r="CU182" s="340"/>
      <c r="CV182" s="340"/>
      <c r="CW182" s="340"/>
      <c r="CX182" s="340"/>
      <c r="CY182" s="340"/>
      <c r="CZ182" s="340"/>
      <c r="DA182" s="340"/>
      <c r="DB182" s="340"/>
      <c r="DC182" s="340"/>
      <c r="DD182" s="341"/>
      <c r="DE182" s="376">
        <f>DE244+DE300+DE353+DE388+DE192</f>
        <v>1513751.1500000001</v>
      </c>
      <c r="DF182" s="377"/>
      <c r="DG182" s="377"/>
      <c r="DH182" s="377"/>
      <c r="DI182" s="377"/>
      <c r="DJ182" s="377"/>
      <c r="DK182" s="377"/>
      <c r="DL182" s="377"/>
      <c r="DM182" s="377"/>
      <c r="DN182" s="377"/>
      <c r="DO182" s="377"/>
      <c r="DP182" s="377"/>
      <c r="DQ182" s="378"/>
      <c r="DR182" s="376">
        <f>DR244+DR300+DR353+DR388+DR192</f>
        <v>504082</v>
      </c>
      <c r="DS182" s="377"/>
      <c r="DT182" s="377"/>
      <c r="DU182" s="377"/>
      <c r="DV182" s="377"/>
      <c r="DW182" s="377"/>
      <c r="DX182" s="377"/>
      <c r="DY182" s="377"/>
      <c r="DZ182" s="377"/>
      <c r="EA182" s="377"/>
      <c r="EB182" s="377"/>
      <c r="EC182" s="377"/>
      <c r="ED182" s="378"/>
      <c r="EE182" s="376"/>
      <c r="EF182" s="377"/>
      <c r="EG182" s="377"/>
      <c r="EH182" s="377"/>
      <c r="EI182" s="377"/>
      <c r="EJ182" s="377"/>
      <c r="EK182" s="377"/>
      <c r="EL182" s="377"/>
      <c r="EM182" s="377"/>
      <c r="EN182" s="377"/>
      <c r="EO182" s="377"/>
      <c r="EP182" s="377"/>
      <c r="EQ182" s="378"/>
      <c r="ER182" s="349"/>
      <c r="ES182" s="350"/>
      <c r="ET182" s="350"/>
      <c r="EU182" s="350"/>
      <c r="EV182" s="350"/>
      <c r="EW182" s="350"/>
      <c r="EX182" s="350"/>
      <c r="EY182" s="350"/>
      <c r="EZ182" s="350"/>
      <c r="FA182" s="350"/>
      <c r="FB182" s="351"/>
      <c r="FC182" s="349"/>
      <c r="FD182" s="350"/>
      <c r="FE182" s="350"/>
      <c r="FF182" s="350"/>
      <c r="FG182" s="350"/>
      <c r="FH182" s="350"/>
      <c r="FI182" s="350"/>
      <c r="FJ182" s="350"/>
      <c r="FK182" s="350"/>
      <c r="FL182" s="350"/>
      <c r="FM182" s="350"/>
      <c r="FN182" s="350"/>
      <c r="FO182" s="275"/>
      <c r="FP182" s="275"/>
      <c r="FQ182" s="275">
        <f t="shared" si="4"/>
        <v>504082</v>
      </c>
    </row>
    <row r="183" spans="1:174" ht="12.75" customHeight="1">
      <c r="A183" s="469" t="s">
        <v>282</v>
      </c>
      <c r="B183" s="337"/>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c r="AY183" s="337"/>
      <c r="AZ183" s="337"/>
      <c r="BA183" s="337"/>
      <c r="BB183" s="337"/>
      <c r="BC183" s="337"/>
      <c r="BD183" s="337"/>
      <c r="BE183" s="337"/>
      <c r="BF183" s="337"/>
      <c r="BG183" s="337"/>
      <c r="BH183" s="337"/>
      <c r="BI183" s="337"/>
      <c r="BJ183" s="337"/>
      <c r="BK183" s="338"/>
      <c r="BL183" s="339"/>
      <c r="BM183" s="340"/>
      <c r="BN183" s="340"/>
      <c r="BO183" s="340"/>
      <c r="BP183" s="340"/>
      <c r="BQ183" s="340"/>
      <c r="BR183" s="340"/>
      <c r="BS183" s="341"/>
      <c r="BT183" s="345"/>
      <c r="BU183" s="340"/>
      <c r="BV183" s="340"/>
      <c r="BW183" s="340"/>
      <c r="BX183" s="340"/>
      <c r="BY183" s="340"/>
      <c r="BZ183" s="340"/>
      <c r="CA183" s="340"/>
      <c r="CB183" s="340"/>
      <c r="CC183" s="340"/>
      <c r="CD183" s="340"/>
      <c r="CE183" s="340"/>
      <c r="CF183" s="341"/>
      <c r="CG183" s="345"/>
      <c r="CH183" s="340"/>
      <c r="CI183" s="340"/>
      <c r="CJ183" s="340"/>
      <c r="CK183" s="340"/>
      <c r="CL183" s="340"/>
      <c r="CM183" s="340"/>
      <c r="CN183" s="340"/>
      <c r="CO183" s="340"/>
      <c r="CP183" s="340"/>
      <c r="CQ183" s="341"/>
      <c r="CR183" s="345"/>
      <c r="CS183" s="340"/>
      <c r="CT183" s="340"/>
      <c r="CU183" s="340"/>
      <c r="CV183" s="340"/>
      <c r="CW183" s="340"/>
      <c r="CX183" s="340"/>
      <c r="CY183" s="340"/>
      <c r="CZ183" s="340"/>
      <c r="DA183" s="340"/>
      <c r="DB183" s="340"/>
      <c r="DC183" s="340"/>
      <c r="DD183" s="341"/>
      <c r="DE183" s="499">
        <f>DE190+DE191+DE196+DE205+DE216+DE249+DE273+DE306+DE346+DE361+DE376+DE396+DE425+DE211+DE213</f>
        <v>7267742.7700000005</v>
      </c>
      <c r="DF183" s="500"/>
      <c r="DG183" s="500"/>
      <c r="DH183" s="500"/>
      <c r="DI183" s="500"/>
      <c r="DJ183" s="500"/>
      <c r="DK183" s="500"/>
      <c r="DL183" s="500"/>
      <c r="DM183" s="500"/>
      <c r="DN183" s="500"/>
      <c r="DO183" s="500"/>
      <c r="DP183" s="500"/>
      <c r="DQ183" s="501"/>
      <c r="DR183" s="499">
        <f>DR190+DR191+DR196+DR205+DR216+DR249+DR273+DR306+DR346+DR361+DR376+DR396+DR425+DR211+DR213+DR203</f>
        <v>8027430.290000001</v>
      </c>
      <c r="DS183" s="500"/>
      <c r="DT183" s="500"/>
      <c r="DU183" s="500"/>
      <c r="DV183" s="500"/>
      <c r="DW183" s="500"/>
      <c r="DX183" s="500"/>
      <c r="DY183" s="500"/>
      <c r="DZ183" s="500"/>
      <c r="EA183" s="500"/>
      <c r="EB183" s="500"/>
      <c r="EC183" s="500"/>
      <c r="ED183" s="501"/>
      <c r="EE183" s="499"/>
      <c r="EF183" s="500"/>
      <c r="EG183" s="500"/>
      <c r="EH183" s="500"/>
      <c r="EI183" s="500"/>
      <c r="EJ183" s="500"/>
      <c r="EK183" s="500"/>
      <c r="EL183" s="500"/>
      <c r="EM183" s="500"/>
      <c r="EN183" s="500"/>
      <c r="EO183" s="500"/>
      <c r="EP183" s="500"/>
      <c r="EQ183" s="501"/>
      <c r="ER183" s="349"/>
      <c r="ES183" s="350"/>
      <c r="ET183" s="350"/>
      <c r="EU183" s="350"/>
      <c r="EV183" s="350"/>
      <c r="EW183" s="350"/>
      <c r="EX183" s="350"/>
      <c r="EY183" s="350"/>
      <c r="EZ183" s="350"/>
      <c r="FA183" s="350"/>
      <c r="FB183" s="351"/>
      <c r="FC183" s="349"/>
      <c r="FD183" s="350"/>
      <c r="FE183" s="350"/>
      <c r="FF183" s="350"/>
      <c r="FG183" s="350"/>
      <c r="FH183" s="350"/>
      <c r="FI183" s="350"/>
      <c r="FJ183" s="350"/>
      <c r="FK183" s="350"/>
      <c r="FL183" s="350"/>
      <c r="FM183" s="350"/>
      <c r="FN183" s="350"/>
      <c r="FO183" s="275"/>
      <c r="FP183" s="275"/>
      <c r="FQ183" s="275">
        <f t="shared" si="4"/>
        <v>8027430.290000001</v>
      </c>
    </row>
    <row r="184" spans="1:174" ht="12.75" customHeight="1">
      <c r="A184" s="383" t="s">
        <v>194</v>
      </c>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c r="AS184" s="384"/>
      <c r="AT184" s="384"/>
      <c r="AU184" s="384"/>
      <c r="AV184" s="384"/>
      <c r="AW184" s="384"/>
      <c r="AX184" s="384"/>
      <c r="AY184" s="384"/>
      <c r="AZ184" s="384"/>
      <c r="BA184" s="384"/>
      <c r="BB184" s="384"/>
      <c r="BC184" s="384"/>
      <c r="BD184" s="384"/>
      <c r="BE184" s="384"/>
      <c r="BF184" s="384"/>
      <c r="BG184" s="384"/>
      <c r="BH184" s="384"/>
      <c r="BI184" s="384"/>
      <c r="BJ184" s="384"/>
      <c r="BK184" s="385"/>
      <c r="BL184" s="339"/>
      <c r="BM184" s="340"/>
      <c r="BN184" s="340"/>
      <c r="BO184" s="340"/>
      <c r="BP184" s="340"/>
      <c r="BQ184" s="340"/>
      <c r="BR184" s="340"/>
      <c r="BS184" s="341"/>
      <c r="BT184" s="345"/>
      <c r="BU184" s="340"/>
      <c r="BV184" s="340"/>
      <c r="BW184" s="340"/>
      <c r="BX184" s="340"/>
      <c r="BY184" s="340"/>
      <c r="BZ184" s="340"/>
      <c r="CA184" s="340"/>
      <c r="CB184" s="340"/>
      <c r="CC184" s="340"/>
      <c r="CD184" s="340"/>
      <c r="CE184" s="340"/>
      <c r="CF184" s="341"/>
      <c r="CG184" s="345"/>
      <c r="CH184" s="340"/>
      <c r="CI184" s="340"/>
      <c r="CJ184" s="340"/>
      <c r="CK184" s="340"/>
      <c r="CL184" s="340"/>
      <c r="CM184" s="340"/>
      <c r="CN184" s="340"/>
      <c r="CO184" s="340"/>
      <c r="CP184" s="340"/>
      <c r="CQ184" s="341"/>
      <c r="CR184" s="345"/>
      <c r="CS184" s="340"/>
      <c r="CT184" s="340"/>
      <c r="CU184" s="340"/>
      <c r="CV184" s="340"/>
      <c r="CW184" s="340"/>
      <c r="CX184" s="340"/>
      <c r="CY184" s="340"/>
      <c r="CZ184" s="340"/>
      <c r="DA184" s="340"/>
      <c r="DB184" s="340"/>
      <c r="DC184" s="340"/>
      <c r="DD184" s="341"/>
      <c r="DE184" s="499">
        <f>DE199+DE257+DE317+DE368+DE408</f>
        <v>291267.87</v>
      </c>
      <c r="DF184" s="500"/>
      <c r="DG184" s="500"/>
      <c r="DH184" s="500"/>
      <c r="DI184" s="500"/>
      <c r="DJ184" s="500"/>
      <c r="DK184" s="500"/>
      <c r="DL184" s="500"/>
      <c r="DM184" s="500"/>
      <c r="DN184" s="500"/>
      <c r="DO184" s="500"/>
      <c r="DP184" s="500"/>
      <c r="DQ184" s="501"/>
      <c r="DR184" s="499">
        <f>DR199+DR257+DR317+DR368+DR408</f>
        <v>290367.37</v>
      </c>
      <c r="DS184" s="500"/>
      <c r="DT184" s="500"/>
      <c r="DU184" s="500"/>
      <c r="DV184" s="500"/>
      <c r="DW184" s="500"/>
      <c r="DX184" s="500"/>
      <c r="DY184" s="500"/>
      <c r="DZ184" s="500"/>
      <c r="EA184" s="500"/>
      <c r="EB184" s="500"/>
      <c r="EC184" s="500"/>
      <c r="ED184" s="501"/>
      <c r="EE184" s="499"/>
      <c r="EF184" s="500"/>
      <c r="EG184" s="500"/>
      <c r="EH184" s="500"/>
      <c r="EI184" s="500"/>
      <c r="EJ184" s="500"/>
      <c r="EK184" s="500"/>
      <c r="EL184" s="500"/>
      <c r="EM184" s="500"/>
      <c r="EN184" s="500"/>
      <c r="EO184" s="500"/>
      <c r="EP184" s="500"/>
      <c r="EQ184" s="501"/>
      <c r="ER184" s="349"/>
      <c r="ES184" s="350"/>
      <c r="ET184" s="350"/>
      <c r="EU184" s="350"/>
      <c r="EV184" s="350"/>
      <c r="EW184" s="350"/>
      <c r="EX184" s="350"/>
      <c r="EY184" s="350"/>
      <c r="EZ184" s="350"/>
      <c r="FA184" s="350"/>
      <c r="FB184" s="351"/>
      <c r="FC184" s="349"/>
      <c r="FD184" s="350"/>
      <c r="FE184" s="350"/>
      <c r="FF184" s="350"/>
      <c r="FG184" s="350"/>
      <c r="FH184" s="350"/>
      <c r="FI184" s="350"/>
      <c r="FJ184" s="350"/>
      <c r="FK184" s="350"/>
      <c r="FL184" s="350"/>
      <c r="FM184" s="350"/>
      <c r="FN184" s="350"/>
      <c r="FO184" s="275"/>
      <c r="FP184" s="275"/>
      <c r="FQ184" s="275">
        <f t="shared" si="4"/>
        <v>290367.37</v>
      </c>
    </row>
    <row r="185" spans="1:174" ht="21.75" customHeight="1">
      <c r="A185" s="485" t="s">
        <v>101</v>
      </c>
      <c r="B185" s="381"/>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c r="AS185" s="381"/>
      <c r="AT185" s="381"/>
      <c r="AU185" s="381"/>
      <c r="AV185" s="381"/>
      <c r="AW185" s="381"/>
      <c r="AX185" s="381"/>
      <c r="AY185" s="381"/>
      <c r="AZ185" s="381"/>
      <c r="BA185" s="381"/>
      <c r="BB185" s="381"/>
      <c r="BC185" s="381"/>
      <c r="BD185" s="381"/>
      <c r="BE185" s="381"/>
      <c r="BF185" s="381"/>
      <c r="BG185" s="381"/>
      <c r="BH185" s="381"/>
      <c r="BI185" s="381"/>
      <c r="BJ185" s="381"/>
      <c r="BK185" s="382"/>
      <c r="BL185" s="339" t="s">
        <v>102</v>
      </c>
      <c r="BM185" s="340"/>
      <c r="BN185" s="340"/>
      <c r="BO185" s="340"/>
      <c r="BP185" s="340"/>
      <c r="BQ185" s="340"/>
      <c r="BR185" s="340"/>
      <c r="BS185" s="341"/>
      <c r="BT185" s="345" t="s">
        <v>103</v>
      </c>
      <c r="BU185" s="340"/>
      <c r="BV185" s="340"/>
      <c r="BW185" s="340"/>
      <c r="BX185" s="340"/>
      <c r="BY185" s="340"/>
      <c r="BZ185" s="340"/>
      <c r="CA185" s="340"/>
      <c r="CB185" s="340"/>
      <c r="CC185" s="340"/>
      <c r="CD185" s="340"/>
      <c r="CE185" s="340"/>
      <c r="CF185" s="341"/>
      <c r="CG185" s="345"/>
      <c r="CH185" s="340"/>
      <c r="CI185" s="340"/>
      <c r="CJ185" s="340"/>
      <c r="CK185" s="340"/>
      <c r="CL185" s="340"/>
      <c r="CM185" s="340"/>
      <c r="CN185" s="340"/>
      <c r="CO185" s="340"/>
      <c r="CP185" s="340"/>
      <c r="CQ185" s="341"/>
      <c r="CR185" s="345"/>
      <c r="CS185" s="340"/>
      <c r="CT185" s="340"/>
      <c r="CU185" s="340"/>
      <c r="CV185" s="340"/>
      <c r="CW185" s="340"/>
      <c r="CX185" s="340"/>
      <c r="CY185" s="340"/>
      <c r="CZ185" s="340"/>
      <c r="DA185" s="340"/>
      <c r="DB185" s="340"/>
      <c r="DC185" s="340"/>
      <c r="DD185" s="341"/>
      <c r="DE185" s="346">
        <v>0</v>
      </c>
      <c r="DF185" s="347"/>
      <c r="DG185" s="347"/>
      <c r="DH185" s="347"/>
      <c r="DI185" s="347"/>
      <c r="DJ185" s="347"/>
      <c r="DK185" s="347"/>
      <c r="DL185" s="347"/>
      <c r="DM185" s="347"/>
      <c r="DN185" s="347"/>
      <c r="DO185" s="347"/>
      <c r="DP185" s="347"/>
      <c r="DQ185" s="348"/>
      <c r="DR185" s="346">
        <v>0</v>
      </c>
      <c r="DS185" s="347"/>
      <c r="DT185" s="347"/>
      <c r="DU185" s="347"/>
      <c r="DV185" s="347"/>
      <c r="DW185" s="347"/>
      <c r="DX185" s="347"/>
      <c r="DY185" s="347"/>
      <c r="DZ185" s="347"/>
      <c r="EA185" s="347"/>
      <c r="EB185" s="347"/>
      <c r="EC185" s="347"/>
      <c r="ED185" s="348"/>
      <c r="EE185" s="346"/>
      <c r="EF185" s="347"/>
      <c r="EG185" s="347"/>
      <c r="EH185" s="347"/>
      <c r="EI185" s="347"/>
      <c r="EJ185" s="347"/>
      <c r="EK185" s="347"/>
      <c r="EL185" s="347"/>
      <c r="EM185" s="347"/>
      <c r="EN185" s="347"/>
      <c r="EO185" s="347"/>
      <c r="EP185" s="347"/>
      <c r="EQ185" s="348"/>
      <c r="ER185" s="349"/>
      <c r="ES185" s="350"/>
      <c r="ET185" s="350"/>
      <c r="EU185" s="350"/>
      <c r="EV185" s="350"/>
      <c r="EW185" s="350"/>
      <c r="EX185" s="350"/>
      <c r="EY185" s="350"/>
      <c r="EZ185" s="350"/>
      <c r="FA185" s="350"/>
      <c r="FB185" s="351"/>
      <c r="FC185" s="349"/>
      <c r="FD185" s="350"/>
      <c r="FE185" s="350"/>
      <c r="FF185" s="350"/>
      <c r="FG185" s="350"/>
      <c r="FH185" s="350"/>
      <c r="FI185" s="350"/>
      <c r="FJ185" s="350"/>
      <c r="FK185" s="350"/>
      <c r="FL185" s="350"/>
      <c r="FM185" s="350"/>
      <c r="FN185" s="350"/>
      <c r="FO185" s="275"/>
      <c r="FP185" s="275"/>
      <c r="FQ185" s="275">
        <f t="shared" si="4"/>
        <v>0</v>
      </c>
    </row>
    <row r="186" spans="1:174" ht="12" customHeight="1">
      <c r="A186" s="485"/>
      <c r="B186" s="381"/>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c r="AS186" s="381"/>
      <c r="AT186" s="381"/>
      <c r="AU186" s="381"/>
      <c r="AV186" s="381"/>
      <c r="AW186" s="381"/>
      <c r="AX186" s="381"/>
      <c r="AY186" s="381"/>
      <c r="AZ186" s="381"/>
      <c r="BA186" s="381"/>
      <c r="BB186" s="381"/>
      <c r="BC186" s="381"/>
      <c r="BD186" s="381"/>
      <c r="BE186" s="381"/>
      <c r="BF186" s="381"/>
      <c r="BG186" s="381"/>
      <c r="BH186" s="381"/>
      <c r="BI186" s="381"/>
      <c r="BJ186" s="381"/>
      <c r="BK186" s="382"/>
      <c r="BL186" s="339"/>
      <c r="BM186" s="340"/>
      <c r="BN186" s="340"/>
      <c r="BO186" s="340"/>
      <c r="BP186" s="340"/>
      <c r="BQ186" s="340"/>
      <c r="BR186" s="340"/>
      <c r="BS186" s="341"/>
      <c r="BT186" s="345"/>
      <c r="BU186" s="340"/>
      <c r="BV186" s="340"/>
      <c r="BW186" s="340"/>
      <c r="BX186" s="340"/>
      <c r="BY186" s="340"/>
      <c r="BZ186" s="340"/>
      <c r="CA186" s="340"/>
      <c r="CB186" s="340"/>
      <c r="CC186" s="340"/>
      <c r="CD186" s="340"/>
      <c r="CE186" s="340"/>
      <c r="CF186" s="341"/>
      <c r="CG186" s="345"/>
      <c r="CH186" s="340"/>
      <c r="CI186" s="340"/>
      <c r="CJ186" s="340"/>
      <c r="CK186" s="340"/>
      <c r="CL186" s="340"/>
      <c r="CM186" s="340"/>
      <c r="CN186" s="340"/>
      <c r="CO186" s="340"/>
      <c r="CP186" s="340"/>
      <c r="CQ186" s="341"/>
      <c r="CR186" s="345"/>
      <c r="CS186" s="340"/>
      <c r="CT186" s="340"/>
      <c r="CU186" s="340"/>
      <c r="CV186" s="340"/>
      <c r="CW186" s="340"/>
      <c r="CX186" s="340"/>
      <c r="CY186" s="340"/>
      <c r="CZ186" s="340"/>
      <c r="DA186" s="340"/>
      <c r="DB186" s="340"/>
      <c r="DC186" s="340"/>
      <c r="DD186" s="341"/>
      <c r="DE186" s="349"/>
      <c r="DF186" s="350"/>
      <c r="DG186" s="350"/>
      <c r="DH186" s="350"/>
      <c r="DI186" s="350"/>
      <c r="DJ186" s="350"/>
      <c r="DK186" s="350"/>
      <c r="DL186" s="350"/>
      <c r="DM186" s="350"/>
      <c r="DN186" s="350"/>
      <c r="DO186" s="350"/>
      <c r="DP186" s="350"/>
      <c r="DQ186" s="351"/>
      <c r="DR186" s="349"/>
      <c r="DS186" s="350"/>
      <c r="DT186" s="350"/>
      <c r="DU186" s="350"/>
      <c r="DV186" s="350"/>
      <c r="DW186" s="350"/>
      <c r="DX186" s="350"/>
      <c r="DY186" s="350"/>
      <c r="DZ186" s="350"/>
      <c r="EA186" s="350"/>
      <c r="EB186" s="350"/>
      <c r="EC186" s="350"/>
      <c r="ED186" s="351"/>
      <c r="EE186" s="349"/>
      <c r="EF186" s="350"/>
      <c r="EG186" s="350"/>
      <c r="EH186" s="350"/>
      <c r="EI186" s="350"/>
      <c r="EJ186" s="350"/>
      <c r="EK186" s="350"/>
      <c r="EL186" s="350"/>
      <c r="EM186" s="350"/>
      <c r="EN186" s="350"/>
      <c r="EO186" s="350"/>
      <c r="EP186" s="350"/>
      <c r="EQ186" s="351"/>
      <c r="ER186" s="349"/>
      <c r="ES186" s="350"/>
      <c r="ET186" s="350"/>
      <c r="EU186" s="350"/>
      <c r="EV186" s="350"/>
      <c r="EW186" s="350"/>
      <c r="EX186" s="350"/>
      <c r="EY186" s="350"/>
      <c r="EZ186" s="350"/>
      <c r="FA186" s="350"/>
      <c r="FB186" s="351"/>
      <c r="FC186" s="352"/>
      <c r="FD186" s="353"/>
      <c r="FE186" s="353"/>
      <c r="FF186" s="353"/>
      <c r="FG186" s="353"/>
      <c r="FH186" s="353"/>
      <c r="FI186" s="353"/>
      <c r="FJ186" s="353"/>
      <c r="FK186" s="353"/>
      <c r="FL186" s="353"/>
      <c r="FM186" s="181"/>
      <c r="FN186" s="181"/>
      <c r="FO186" s="275"/>
      <c r="FP186" s="275"/>
      <c r="FQ186" s="275">
        <f t="shared" si="4"/>
        <v>0</v>
      </c>
    </row>
    <row r="187" spans="1:174" ht="21.75" customHeight="1">
      <c r="A187" s="468" t="s">
        <v>104</v>
      </c>
      <c r="B187" s="462"/>
      <c r="C187" s="462"/>
      <c r="D187" s="462"/>
      <c r="E187" s="462"/>
      <c r="F187" s="462"/>
      <c r="G187" s="462"/>
      <c r="H187" s="462"/>
      <c r="I187" s="462"/>
      <c r="J187" s="46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2"/>
      <c r="AY187" s="462"/>
      <c r="AZ187" s="462"/>
      <c r="BA187" s="462"/>
      <c r="BB187" s="462"/>
      <c r="BC187" s="462"/>
      <c r="BD187" s="462"/>
      <c r="BE187" s="462"/>
      <c r="BF187" s="462"/>
      <c r="BG187" s="462"/>
      <c r="BH187" s="462"/>
      <c r="BI187" s="462"/>
      <c r="BJ187" s="462"/>
      <c r="BK187" s="463"/>
      <c r="BL187" s="460" t="s">
        <v>1096</v>
      </c>
      <c r="BM187" s="363"/>
      <c r="BN187" s="363"/>
      <c r="BO187" s="363"/>
      <c r="BP187" s="363"/>
      <c r="BQ187" s="363"/>
      <c r="BR187" s="363"/>
      <c r="BS187" s="364"/>
      <c r="BT187" s="362" t="s">
        <v>106</v>
      </c>
      <c r="BU187" s="363"/>
      <c r="BV187" s="363"/>
      <c r="BW187" s="363"/>
      <c r="BX187" s="363"/>
      <c r="BY187" s="363"/>
      <c r="BZ187" s="363"/>
      <c r="CA187" s="363"/>
      <c r="CB187" s="363"/>
      <c r="CC187" s="363"/>
      <c r="CD187" s="363"/>
      <c r="CE187" s="363"/>
      <c r="CF187" s="364"/>
      <c r="CG187" s="362"/>
      <c r="CH187" s="363"/>
      <c r="CI187" s="363"/>
      <c r="CJ187" s="363"/>
      <c r="CK187" s="363"/>
      <c r="CL187" s="363"/>
      <c r="CM187" s="363"/>
      <c r="CN187" s="363"/>
      <c r="CO187" s="363"/>
      <c r="CP187" s="363"/>
      <c r="CQ187" s="364"/>
      <c r="CR187" s="362"/>
      <c r="CS187" s="363"/>
      <c r="CT187" s="363"/>
      <c r="CU187" s="363"/>
      <c r="CV187" s="363"/>
      <c r="CW187" s="363"/>
      <c r="CX187" s="363"/>
      <c r="CY187" s="363"/>
      <c r="CZ187" s="363"/>
      <c r="DA187" s="363"/>
      <c r="DB187" s="363"/>
      <c r="DC187" s="363"/>
      <c r="DD187" s="364"/>
      <c r="DE187" s="661">
        <f>DE189</f>
        <v>250000</v>
      </c>
      <c r="DF187" s="662"/>
      <c r="DG187" s="662"/>
      <c r="DH187" s="662"/>
      <c r="DI187" s="662"/>
      <c r="DJ187" s="662"/>
      <c r="DK187" s="662"/>
      <c r="DL187" s="662"/>
      <c r="DM187" s="662"/>
      <c r="DN187" s="662"/>
      <c r="DO187" s="662"/>
      <c r="DP187" s="662"/>
      <c r="DQ187" s="663"/>
      <c r="DR187" s="661">
        <f>DR189</f>
        <v>473000</v>
      </c>
      <c r="DS187" s="662"/>
      <c r="DT187" s="662"/>
      <c r="DU187" s="662"/>
      <c r="DV187" s="662"/>
      <c r="DW187" s="662"/>
      <c r="DX187" s="662"/>
      <c r="DY187" s="662"/>
      <c r="DZ187" s="662"/>
      <c r="EA187" s="662"/>
      <c r="EB187" s="662"/>
      <c r="EC187" s="662"/>
      <c r="ED187" s="663"/>
      <c r="EE187" s="661"/>
      <c r="EF187" s="662"/>
      <c r="EG187" s="662"/>
      <c r="EH187" s="662"/>
      <c r="EI187" s="662"/>
      <c r="EJ187" s="662"/>
      <c r="EK187" s="662"/>
      <c r="EL187" s="662"/>
      <c r="EM187" s="662"/>
      <c r="EN187" s="662"/>
      <c r="EO187" s="662"/>
      <c r="EP187" s="662"/>
      <c r="EQ187" s="663"/>
      <c r="ER187" s="496"/>
      <c r="ES187" s="497"/>
      <c r="ET187" s="497"/>
      <c r="EU187" s="497"/>
      <c r="EV187" s="497"/>
      <c r="EW187" s="497"/>
      <c r="EX187" s="497"/>
      <c r="EY187" s="497"/>
      <c r="EZ187" s="497"/>
      <c r="FA187" s="497"/>
      <c r="FB187" s="498"/>
      <c r="FC187" s="496"/>
      <c r="FD187" s="497"/>
      <c r="FE187" s="497"/>
      <c r="FF187" s="497"/>
      <c r="FG187" s="497"/>
      <c r="FH187" s="497"/>
      <c r="FI187" s="497"/>
      <c r="FJ187" s="497"/>
      <c r="FK187" s="497"/>
      <c r="FL187" s="497"/>
      <c r="FM187" s="497"/>
      <c r="FN187" s="497"/>
      <c r="FO187" s="275"/>
      <c r="FP187" s="275"/>
      <c r="FQ187" s="275">
        <f t="shared" si="4"/>
        <v>473000</v>
      </c>
    </row>
    <row r="188" spans="1:174" ht="12" customHeight="1">
      <c r="A188" s="354" t="s">
        <v>27</v>
      </c>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374"/>
      <c r="AK188" s="374"/>
      <c r="AL188" s="374"/>
      <c r="AM188" s="374"/>
      <c r="AN188" s="374"/>
      <c r="AO188" s="374"/>
      <c r="AP188" s="374"/>
      <c r="AQ188" s="374"/>
      <c r="AR188" s="374"/>
      <c r="AS188" s="374"/>
      <c r="AT188" s="374"/>
      <c r="AU188" s="374"/>
      <c r="AV188" s="374"/>
      <c r="AW188" s="374"/>
      <c r="AX188" s="374"/>
      <c r="AY188" s="374"/>
      <c r="AZ188" s="374"/>
      <c r="BA188" s="374"/>
      <c r="BB188" s="374"/>
      <c r="BC188" s="374"/>
      <c r="BD188" s="374"/>
      <c r="BE188" s="374"/>
      <c r="BF188" s="374"/>
      <c r="BG188" s="374"/>
      <c r="BH188" s="374"/>
      <c r="BI188" s="374"/>
      <c r="BJ188" s="374"/>
      <c r="BK188" s="375"/>
      <c r="BL188" s="339" t="s">
        <v>272</v>
      </c>
      <c r="BM188" s="340"/>
      <c r="BN188" s="340"/>
      <c r="BO188" s="340"/>
      <c r="BP188" s="340"/>
      <c r="BQ188" s="340"/>
      <c r="BR188" s="340"/>
      <c r="BS188" s="341"/>
      <c r="BT188" s="345" t="s">
        <v>272</v>
      </c>
      <c r="BU188" s="340"/>
      <c r="BV188" s="340"/>
      <c r="BW188" s="340"/>
      <c r="BX188" s="340"/>
      <c r="BY188" s="340"/>
      <c r="BZ188" s="340"/>
      <c r="CA188" s="340"/>
      <c r="CB188" s="340"/>
      <c r="CC188" s="340"/>
      <c r="CD188" s="340"/>
      <c r="CE188" s="340"/>
      <c r="CF188" s="341"/>
      <c r="CG188" s="345"/>
      <c r="CH188" s="340"/>
      <c r="CI188" s="340"/>
      <c r="CJ188" s="340"/>
      <c r="CK188" s="340"/>
      <c r="CL188" s="340"/>
      <c r="CM188" s="340"/>
      <c r="CN188" s="340"/>
      <c r="CO188" s="340"/>
      <c r="CP188" s="340"/>
      <c r="CQ188" s="341"/>
      <c r="CR188" s="345"/>
      <c r="CS188" s="340"/>
      <c r="CT188" s="340"/>
      <c r="CU188" s="340"/>
      <c r="CV188" s="340"/>
      <c r="CW188" s="340"/>
      <c r="CX188" s="340"/>
      <c r="CY188" s="340"/>
      <c r="CZ188" s="340"/>
      <c r="DA188" s="340"/>
      <c r="DB188" s="340"/>
      <c r="DC188" s="340"/>
      <c r="DD188" s="341"/>
      <c r="DE188" s="346"/>
      <c r="DF188" s="347"/>
      <c r="DG188" s="347"/>
      <c r="DH188" s="347"/>
      <c r="DI188" s="347"/>
      <c r="DJ188" s="347"/>
      <c r="DK188" s="347"/>
      <c r="DL188" s="347"/>
      <c r="DM188" s="347"/>
      <c r="DN188" s="347"/>
      <c r="DO188" s="347"/>
      <c r="DP188" s="347"/>
      <c r="DQ188" s="348"/>
      <c r="DR188" s="346"/>
      <c r="DS188" s="347"/>
      <c r="DT188" s="347"/>
      <c r="DU188" s="347"/>
      <c r="DV188" s="347"/>
      <c r="DW188" s="347"/>
      <c r="DX188" s="347"/>
      <c r="DY188" s="347"/>
      <c r="DZ188" s="347"/>
      <c r="EA188" s="347"/>
      <c r="EB188" s="347"/>
      <c r="EC188" s="347"/>
      <c r="ED188" s="348"/>
      <c r="EE188" s="346"/>
      <c r="EF188" s="347"/>
      <c r="EG188" s="347"/>
      <c r="EH188" s="347"/>
      <c r="EI188" s="347"/>
      <c r="EJ188" s="347"/>
      <c r="EK188" s="347"/>
      <c r="EL188" s="347"/>
      <c r="EM188" s="347"/>
      <c r="EN188" s="347"/>
      <c r="EO188" s="347"/>
      <c r="EP188" s="347"/>
      <c r="EQ188" s="348"/>
      <c r="ER188" s="349"/>
      <c r="ES188" s="350"/>
      <c r="ET188" s="350"/>
      <c r="EU188" s="350"/>
      <c r="EV188" s="350"/>
      <c r="EW188" s="350"/>
      <c r="EX188" s="350"/>
      <c r="EY188" s="350"/>
      <c r="EZ188" s="350"/>
      <c r="FA188" s="350"/>
      <c r="FB188" s="351"/>
      <c r="FC188" s="349"/>
      <c r="FD188" s="350"/>
      <c r="FE188" s="350"/>
      <c r="FF188" s="350"/>
      <c r="FG188" s="350"/>
      <c r="FH188" s="350"/>
      <c r="FI188" s="350"/>
      <c r="FJ188" s="350"/>
      <c r="FK188" s="350"/>
      <c r="FL188" s="350"/>
      <c r="FM188" s="350"/>
      <c r="FN188" s="350"/>
      <c r="FO188" s="275"/>
      <c r="FP188" s="275"/>
      <c r="FQ188" s="275">
        <f t="shared" si="4"/>
        <v>0</v>
      </c>
    </row>
    <row r="189" spans="1:174" ht="12" customHeight="1">
      <c r="A189" s="468" t="s">
        <v>823</v>
      </c>
      <c r="B189" s="462"/>
      <c r="C189" s="462"/>
      <c r="D189" s="462"/>
      <c r="E189" s="462"/>
      <c r="F189" s="462"/>
      <c r="G189" s="462"/>
      <c r="H189" s="462"/>
      <c r="I189" s="462"/>
      <c r="J189" s="46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462"/>
      <c r="AG189" s="462"/>
      <c r="AH189" s="462"/>
      <c r="AI189" s="462"/>
      <c r="AJ189" s="462"/>
      <c r="AK189" s="462"/>
      <c r="AL189" s="462"/>
      <c r="AM189" s="462"/>
      <c r="AN189" s="462"/>
      <c r="AO189" s="462"/>
      <c r="AP189" s="462"/>
      <c r="AQ189" s="462"/>
      <c r="AR189" s="462"/>
      <c r="AS189" s="462"/>
      <c r="AT189" s="462"/>
      <c r="AU189" s="462"/>
      <c r="AV189" s="462"/>
      <c r="AW189" s="462"/>
      <c r="AX189" s="462"/>
      <c r="AY189" s="462"/>
      <c r="AZ189" s="462"/>
      <c r="BA189" s="462"/>
      <c r="BB189" s="462"/>
      <c r="BC189" s="462"/>
      <c r="BD189" s="462"/>
      <c r="BE189" s="462"/>
      <c r="BF189" s="462"/>
      <c r="BG189" s="462"/>
      <c r="BH189" s="462"/>
      <c r="BI189" s="462"/>
      <c r="BJ189" s="462"/>
      <c r="BK189" s="463"/>
      <c r="BL189" s="460" t="s">
        <v>1097</v>
      </c>
      <c r="BM189" s="363"/>
      <c r="BN189" s="363"/>
      <c r="BO189" s="363"/>
      <c r="BP189" s="363"/>
      <c r="BQ189" s="363"/>
      <c r="BR189" s="363"/>
      <c r="BS189" s="364"/>
      <c r="BT189" s="362" t="s">
        <v>106</v>
      </c>
      <c r="BU189" s="363"/>
      <c r="BV189" s="363"/>
      <c r="BW189" s="363"/>
      <c r="BX189" s="363"/>
      <c r="BY189" s="363"/>
      <c r="BZ189" s="363"/>
      <c r="CA189" s="363"/>
      <c r="CB189" s="363"/>
      <c r="CC189" s="363"/>
      <c r="CD189" s="363"/>
      <c r="CE189" s="363"/>
      <c r="CF189" s="364"/>
      <c r="CG189" s="362"/>
      <c r="CH189" s="363"/>
      <c r="CI189" s="363"/>
      <c r="CJ189" s="363"/>
      <c r="CK189" s="363"/>
      <c r="CL189" s="363"/>
      <c r="CM189" s="363"/>
      <c r="CN189" s="363"/>
      <c r="CO189" s="363"/>
      <c r="CP189" s="363"/>
      <c r="CQ189" s="364"/>
      <c r="CR189" s="362"/>
      <c r="CS189" s="363"/>
      <c r="CT189" s="363"/>
      <c r="CU189" s="363"/>
      <c r="CV189" s="363"/>
      <c r="CW189" s="363"/>
      <c r="CX189" s="363"/>
      <c r="CY189" s="363"/>
      <c r="CZ189" s="363"/>
      <c r="DA189" s="363"/>
      <c r="DB189" s="363"/>
      <c r="DC189" s="363"/>
      <c r="DD189" s="364"/>
      <c r="DE189" s="502">
        <f>SUM(DE190:DQ192)</f>
        <v>250000</v>
      </c>
      <c r="DF189" s="503"/>
      <c r="DG189" s="503"/>
      <c r="DH189" s="503"/>
      <c r="DI189" s="503"/>
      <c r="DJ189" s="503"/>
      <c r="DK189" s="503"/>
      <c r="DL189" s="503"/>
      <c r="DM189" s="503"/>
      <c r="DN189" s="503"/>
      <c r="DO189" s="503"/>
      <c r="DP189" s="503"/>
      <c r="DQ189" s="504"/>
      <c r="DR189" s="502">
        <f>SUM(DR190:ED192)</f>
        <v>473000</v>
      </c>
      <c r="DS189" s="503"/>
      <c r="DT189" s="503"/>
      <c r="DU189" s="503"/>
      <c r="DV189" s="503"/>
      <c r="DW189" s="503"/>
      <c r="DX189" s="503"/>
      <c r="DY189" s="503"/>
      <c r="DZ189" s="503"/>
      <c r="EA189" s="503"/>
      <c r="EB189" s="503"/>
      <c r="EC189" s="503"/>
      <c r="ED189" s="504"/>
      <c r="EE189" s="502"/>
      <c r="EF189" s="503"/>
      <c r="EG189" s="503"/>
      <c r="EH189" s="503"/>
      <c r="EI189" s="503"/>
      <c r="EJ189" s="503"/>
      <c r="EK189" s="503"/>
      <c r="EL189" s="503"/>
      <c r="EM189" s="503"/>
      <c r="EN189" s="503"/>
      <c r="EO189" s="503"/>
      <c r="EP189" s="503"/>
      <c r="EQ189" s="504"/>
      <c r="ER189" s="496"/>
      <c r="ES189" s="497"/>
      <c r="ET189" s="497"/>
      <c r="EU189" s="497"/>
      <c r="EV189" s="497"/>
      <c r="EW189" s="497"/>
      <c r="EX189" s="497"/>
      <c r="EY189" s="497"/>
      <c r="EZ189" s="497"/>
      <c r="FA189" s="497"/>
      <c r="FB189" s="498"/>
      <c r="FC189" s="639"/>
      <c r="FD189" s="640"/>
      <c r="FE189" s="640"/>
      <c r="FF189" s="640"/>
      <c r="FG189" s="640"/>
      <c r="FH189" s="640"/>
      <c r="FI189" s="640"/>
      <c r="FJ189" s="640"/>
      <c r="FK189" s="640"/>
      <c r="FL189" s="640"/>
      <c r="FM189" s="180"/>
      <c r="FN189" s="180"/>
      <c r="FO189" s="275"/>
      <c r="FP189" s="275"/>
      <c r="FQ189" s="275">
        <f t="shared" si="4"/>
        <v>473000</v>
      </c>
      <c r="FR189" s="173"/>
    </row>
    <row r="190" spans="1:174" ht="25.2" customHeight="1">
      <c r="A190" s="431" t="s">
        <v>949</v>
      </c>
      <c r="B190" s="432"/>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432"/>
      <c r="AA190" s="432"/>
      <c r="AB190" s="432"/>
      <c r="AC190" s="432"/>
      <c r="AD190" s="432"/>
      <c r="AE190" s="432"/>
      <c r="AF190" s="432"/>
      <c r="AG190" s="432"/>
      <c r="AH190" s="432"/>
      <c r="AI190" s="432"/>
      <c r="AJ190" s="432"/>
      <c r="AK190" s="432"/>
      <c r="AL190" s="432"/>
      <c r="AM190" s="432"/>
      <c r="AN190" s="432"/>
      <c r="AO190" s="432"/>
      <c r="AP190" s="432"/>
      <c r="AQ190" s="432"/>
      <c r="AR190" s="432"/>
      <c r="AS190" s="432"/>
      <c r="AT190" s="432"/>
      <c r="AU190" s="432"/>
      <c r="AV190" s="432"/>
      <c r="AW190" s="432"/>
      <c r="AX190" s="432"/>
      <c r="AY190" s="432"/>
      <c r="AZ190" s="432"/>
      <c r="BA190" s="432"/>
      <c r="BB190" s="432"/>
      <c r="BC190" s="432"/>
      <c r="BD190" s="432"/>
      <c r="BE190" s="432"/>
      <c r="BF190" s="432"/>
      <c r="BG190" s="432"/>
      <c r="BH190" s="432"/>
      <c r="BI190" s="432"/>
      <c r="BJ190" s="432"/>
      <c r="BK190" s="433"/>
      <c r="BL190" s="339"/>
      <c r="BM190" s="340"/>
      <c r="BN190" s="340"/>
      <c r="BO190" s="340"/>
      <c r="BP190" s="340"/>
      <c r="BQ190" s="340"/>
      <c r="BR190" s="340"/>
      <c r="BS190" s="341"/>
      <c r="BT190" s="434" t="s">
        <v>938</v>
      </c>
      <c r="BU190" s="435"/>
      <c r="BV190" s="435"/>
      <c r="BW190" s="435"/>
      <c r="BX190" s="435"/>
      <c r="BY190" s="435"/>
      <c r="BZ190" s="435"/>
      <c r="CA190" s="435"/>
      <c r="CB190" s="435"/>
      <c r="CC190" s="435"/>
      <c r="CD190" s="435"/>
      <c r="CE190" s="435"/>
      <c r="CF190" s="436"/>
      <c r="CG190" s="398" t="s">
        <v>988</v>
      </c>
      <c r="CH190" s="393"/>
      <c r="CI190" s="393"/>
      <c r="CJ190" s="393"/>
      <c r="CK190" s="393"/>
      <c r="CL190" s="393"/>
      <c r="CM190" s="393"/>
      <c r="CN190" s="393"/>
      <c r="CO190" s="393"/>
      <c r="CP190" s="393"/>
      <c r="CQ190" s="394"/>
      <c r="CR190" s="398"/>
      <c r="CS190" s="393"/>
      <c r="CT190" s="393"/>
      <c r="CU190" s="393"/>
      <c r="CV190" s="393"/>
      <c r="CW190" s="393"/>
      <c r="CX190" s="393"/>
      <c r="CY190" s="393"/>
      <c r="CZ190" s="393"/>
      <c r="DA190" s="393"/>
      <c r="DB190" s="393"/>
      <c r="DC190" s="393"/>
      <c r="DD190" s="394"/>
      <c r="DE190" s="402">
        <v>250000</v>
      </c>
      <c r="DF190" s="403"/>
      <c r="DG190" s="403"/>
      <c r="DH190" s="403"/>
      <c r="DI190" s="403"/>
      <c r="DJ190" s="403"/>
      <c r="DK190" s="403"/>
      <c r="DL190" s="403"/>
      <c r="DM190" s="403"/>
      <c r="DN190" s="403"/>
      <c r="DO190" s="403"/>
      <c r="DP190" s="403"/>
      <c r="DQ190" s="404"/>
      <c r="DR190" s="402">
        <v>0</v>
      </c>
      <c r="DS190" s="403"/>
      <c r="DT190" s="403"/>
      <c r="DU190" s="403"/>
      <c r="DV190" s="403"/>
      <c r="DW190" s="403"/>
      <c r="DX190" s="403"/>
      <c r="DY190" s="403"/>
      <c r="DZ190" s="403"/>
      <c r="EA190" s="403"/>
      <c r="EB190" s="403"/>
      <c r="EC190" s="403"/>
      <c r="ED190" s="404"/>
      <c r="EE190" s="402"/>
      <c r="EF190" s="403"/>
      <c r="EG190" s="403"/>
      <c r="EH190" s="403"/>
      <c r="EI190" s="403"/>
      <c r="EJ190" s="403"/>
      <c r="EK190" s="403"/>
      <c r="EL190" s="403"/>
      <c r="EM190" s="403"/>
      <c r="EN190" s="403"/>
      <c r="EO190" s="403"/>
      <c r="EP190" s="403"/>
      <c r="EQ190" s="404"/>
      <c r="ER190" s="349"/>
      <c r="ES190" s="350"/>
      <c r="ET190" s="350"/>
      <c r="EU190" s="350"/>
      <c r="EV190" s="350"/>
      <c r="EW190" s="350"/>
      <c r="EX190" s="350"/>
      <c r="EY190" s="350"/>
      <c r="EZ190" s="350"/>
      <c r="FA190" s="350"/>
      <c r="FB190" s="351"/>
      <c r="FC190" s="352"/>
      <c r="FD190" s="353"/>
      <c r="FE190" s="353"/>
      <c r="FF190" s="353"/>
      <c r="FG190" s="353"/>
      <c r="FH190" s="353"/>
      <c r="FI190" s="353"/>
      <c r="FJ190" s="353"/>
      <c r="FK190" s="353"/>
      <c r="FL190" s="353"/>
      <c r="FM190" s="180"/>
      <c r="FN190" s="180"/>
      <c r="FO190" s="275"/>
      <c r="FP190" s="275"/>
      <c r="FQ190" s="275">
        <f t="shared" si="4"/>
        <v>0</v>
      </c>
    </row>
    <row r="191" spans="1:174" ht="12.6" customHeight="1">
      <c r="A191" s="431" t="s">
        <v>1000</v>
      </c>
      <c r="B191" s="432"/>
      <c r="C191" s="432"/>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c r="AH191" s="432"/>
      <c r="AI191" s="432"/>
      <c r="AJ191" s="432"/>
      <c r="AK191" s="432"/>
      <c r="AL191" s="432"/>
      <c r="AM191" s="432"/>
      <c r="AN191" s="432"/>
      <c r="AO191" s="432"/>
      <c r="AP191" s="432"/>
      <c r="AQ191" s="432"/>
      <c r="AR191" s="432"/>
      <c r="AS191" s="432"/>
      <c r="AT191" s="432"/>
      <c r="AU191" s="432"/>
      <c r="AV191" s="432"/>
      <c r="AW191" s="432"/>
      <c r="AX191" s="432"/>
      <c r="AY191" s="432"/>
      <c r="AZ191" s="432"/>
      <c r="BA191" s="432"/>
      <c r="BB191" s="432"/>
      <c r="BC191" s="432"/>
      <c r="BD191" s="432"/>
      <c r="BE191" s="432"/>
      <c r="BF191" s="432"/>
      <c r="BG191" s="432"/>
      <c r="BH191" s="432"/>
      <c r="BI191" s="432"/>
      <c r="BJ191" s="432"/>
      <c r="BK191" s="433"/>
      <c r="BL191" s="339"/>
      <c r="BM191" s="340"/>
      <c r="BN191" s="340"/>
      <c r="BO191" s="340"/>
      <c r="BP191" s="340"/>
      <c r="BQ191" s="340"/>
      <c r="BR191" s="340"/>
      <c r="BS191" s="341"/>
      <c r="BT191" s="434" t="s">
        <v>938</v>
      </c>
      <c r="BU191" s="435"/>
      <c r="BV191" s="435"/>
      <c r="BW191" s="435"/>
      <c r="BX191" s="435"/>
      <c r="BY191" s="435"/>
      <c r="BZ191" s="435"/>
      <c r="CA191" s="435"/>
      <c r="CB191" s="435"/>
      <c r="CC191" s="435"/>
      <c r="CD191" s="435"/>
      <c r="CE191" s="435"/>
      <c r="CF191" s="436"/>
      <c r="CG191" s="398" t="s">
        <v>988</v>
      </c>
      <c r="CH191" s="393"/>
      <c r="CI191" s="393"/>
      <c r="CJ191" s="393"/>
      <c r="CK191" s="393"/>
      <c r="CL191" s="393"/>
      <c r="CM191" s="393"/>
      <c r="CN191" s="393"/>
      <c r="CO191" s="393"/>
      <c r="CP191" s="393"/>
      <c r="CQ191" s="394"/>
      <c r="CR191" s="398"/>
      <c r="CS191" s="393"/>
      <c r="CT191" s="393"/>
      <c r="CU191" s="393"/>
      <c r="CV191" s="393"/>
      <c r="CW191" s="393"/>
      <c r="CX191" s="393"/>
      <c r="CY191" s="393"/>
      <c r="CZ191" s="393"/>
      <c r="DA191" s="393"/>
      <c r="DB191" s="393"/>
      <c r="DC191" s="393"/>
      <c r="DD191" s="394"/>
      <c r="DE191" s="402">
        <v>0</v>
      </c>
      <c r="DF191" s="403"/>
      <c r="DG191" s="403"/>
      <c r="DH191" s="403"/>
      <c r="DI191" s="403"/>
      <c r="DJ191" s="403"/>
      <c r="DK191" s="403"/>
      <c r="DL191" s="403"/>
      <c r="DM191" s="403"/>
      <c r="DN191" s="403"/>
      <c r="DO191" s="403"/>
      <c r="DP191" s="403"/>
      <c r="DQ191" s="404"/>
      <c r="DR191" s="402">
        <v>473000</v>
      </c>
      <c r="DS191" s="403"/>
      <c r="DT191" s="403"/>
      <c r="DU191" s="403"/>
      <c r="DV191" s="403"/>
      <c r="DW191" s="403"/>
      <c r="DX191" s="403"/>
      <c r="DY191" s="403"/>
      <c r="DZ191" s="403"/>
      <c r="EA191" s="403"/>
      <c r="EB191" s="403"/>
      <c r="EC191" s="403"/>
      <c r="ED191" s="404"/>
      <c r="EE191" s="402"/>
      <c r="EF191" s="403"/>
      <c r="EG191" s="403"/>
      <c r="EH191" s="403"/>
      <c r="EI191" s="403"/>
      <c r="EJ191" s="403"/>
      <c r="EK191" s="403"/>
      <c r="EL191" s="403"/>
      <c r="EM191" s="403"/>
      <c r="EN191" s="403"/>
      <c r="EO191" s="403"/>
      <c r="EP191" s="403"/>
      <c r="EQ191" s="404"/>
      <c r="ER191" s="349"/>
      <c r="ES191" s="350"/>
      <c r="ET191" s="350"/>
      <c r="EU191" s="350"/>
      <c r="EV191" s="350"/>
      <c r="EW191" s="350"/>
      <c r="EX191" s="350"/>
      <c r="EY191" s="350"/>
      <c r="EZ191" s="350"/>
      <c r="FA191" s="350"/>
      <c r="FB191" s="351"/>
      <c r="FC191" s="352"/>
      <c r="FD191" s="353"/>
      <c r="FE191" s="353"/>
      <c r="FF191" s="353"/>
      <c r="FG191" s="353"/>
      <c r="FH191" s="353"/>
      <c r="FI191" s="353"/>
      <c r="FJ191" s="353"/>
      <c r="FK191" s="353"/>
      <c r="FL191" s="353"/>
      <c r="FM191" s="180"/>
      <c r="FN191" s="180"/>
      <c r="FO191" s="275"/>
      <c r="FP191" s="275"/>
      <c r="FQ191" s="275">
        <f t="shared" si="4"/>
        <v>473000</v>
      </c>
    </row>
    <row r="192" spans="1:174" ht="13.8" customHeight="1">
      <c r="A192" s="431" t="s">
        <v>1001</v>
      </c>
      <c r="B192" s="432"/>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432"/>
      <c r="AV192" s="432"/>
      <c r="AW192" s="432"/>
      <c r="AX192" s="432"/>
      <c r="AY192" s="432"/>
      <c r="AZ192" s="432"/>
      <c r="BA192" s="432"/>
      <c r="BB192" s="432"/>
      <c r="BC192" s="432"/>
      <c r="BD192" s="432"/>
      <c r="BE192" s="432"/>
      <c r="BF192" s="432"/>
      <c r="BG192" s="432"/>
      <c r="BH192" s="432"/>
      <c r="BI192" s="432"/>
      <c r="BJ192" s="432"/>
      <c r="BK192" s="433"/>
      <c r="BL192" s="339"/>
      <c r="BM192" s="340"/>
      <c r="BN192" s="340"/>
      <c r="BO192" s="340"/>
      <c r="BP192" s="340"/>
      <c r="BQ192" s="340"/>
      <c r="BR192" s="340"/>
      <c r="BS192" s="341"/>
      <c r="BT192" s="434"/>
      <c r="BU192" s="435"/>
      <c r="BV192" s="435"/>
      <c r="BW192" s="435"/>
      <c r="BX192" s="435"/>
      <c r="BY192" s="435"/>
      <c r="BZ192" s="435"/>
      <c r="CA192" s="435"/>
      <c r="CB192" s="435"/>
      <c r="CC192" s="435"/>
      <c r="CD192" s="435"/>
      <c r="CE192" s="435"/>
      <c r="CF192" s="436"/>
      <c r="CG192" s="398"/>
      <c r="CH192" s="393"/>
      <c r="CI192" s="393"/>
      <c r="CJ192" s="393"/>
      <c r="CK192" s="393"/>
      <c r="CL192" s="393"/>
      <c r="CM192" s="393"/>
      <c r="CN192" s="393"/>
      <c r="CO192" s="393"/>
      <c r="CP192" s="393"/>
      <c r="CQ192" s="394"/>
      <c r="CR192" s="398"/>
      <c r="CS192" s="393"/>
      <c r="CT192" s="393"/>
      <c r="CU192" s="393"/>
      <c r="CV192" s="393"/>
      <c r="CW192" s="393"/>
      <c r="CX192" s="393"/>
      <c r="CY192" s="393"/>
      <c r="CZ192" s="393"/>
      <c r="DA192" s="393"/>
      <c r="DB192" s="393"/>
      <c r="DC192" s="393"/>
      <c r="DD192" s="394"/>
      <c r="DE192" s="402">
        <v>0</v>
      </c>
      <c r="DF192" s="403"/>
      <c r="DG192" s="403"/>
      <c r="DH192" s="403"/>
      <c r="DI192" s="403"/>
      <c r="DJ192" s="403"/>
      <c r="DK192" s="403"/>
      <c r="DL192" s="403"/>
      <c r="DM192" s="403"/>
      <c r="DN192" s="403"/>
      <c r="DO192" s="403"/>
      <c r="DP192" s="403"/>
      <c r="DQ192" s="404"/>
      <c r="DR192" s="402">
        <v>0</v>
      </c>
      <c r="DS192" s="403"/>
      <c r="DT192" s="403"/>
      <c r="DU192" s="403"/>
      <c r="DV192" s="403"/>
      <c r="DW192" s="403"/>
      <c r="DX192" s="403"/>
      <c r="DY192" s="403"/>
      <c r="DZ192" s="403"/>
      <c r="EA192" s="403"/>
      <c r="EB192" s="403"/>
      <c r="EC192" s="403"/>
      <c r="ED192" s="404"/>
      <c r="EE192" s="402"/>
      <c r="EF192" s="403"/>
      <c r="EG192" s="403"/>
      <c r="EH192" s="403"/>
      <c r="EI192" s="403"/>
      <c r="EJ192" s="403"/>
      <c r="EK192" s="403"/>
      <c r="EL192" s="403"/>
      <c r="EM192" s="403"/>
      <c r="EN192" s="403"/>
      <c r="EO192" s="403"/>
      <c r="EP192" s="403"/>
      <c r="EQ192" s="404"/>
      <c r="ER192" s="349"/>
      <c r="ES192" s="350"/>
      <c r="ET192" s="350"/>
      <c r="EU192" s="350"/>
      <c r="EV192" s="350"/>
      <c r="EW192" s="350"/>
      <c r="EX192" s="350"/>
      <c r="EY192" s="350"/>
      <c r="EZ192" s="350"/>
      <c r="FA192" s="350"/>
      <c r="FB192" s="351"/>
      <c r="FC192" s="352"/>
      <c r="FD192" s="353"/>
      <c r="FE192" s="353"/>
      <c r="FF192" s="353"/>
      <c r="FG192" s="353"/>
      <c r="FH192" s="353"/>
      <c r="FI192" s="353"/>
      <c r="FJ192" s="353"/>
      <c r="FK192" s="353"/>
      <c r="FL192" s="353"/>
      <c r="FM192" s="180"/>
      <c r="FN192" s="180"/>
      <c r="FO192" s="275"/>
      <c r="FP192" s="275"/>
      <c r="FQ192" s="275">
        <f t="shared" si="4"/>
        <v>0</v>
      </c>
    </row>
    <row r="193" spans="1:173" ht="12" customHeight="1">
      <c r="A193" s="468" t="s">
        <v>107</v>
      </c>
      <c r="B193" s="462"/>
      <c r="C193" s="462"/>
      <c r="D193" s="462"/>
      <c r="E193" s="462"/>
      <c r="F193" s="462"/>
      <c r="G193" s="462"/>
      <c r="H193" s="462"/>
      <c r="I193" s="462"/>
      <c r="J193" s="462"/>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462"/>
      <c r="AG193" s="462"/>
      <c r="AH193" s="462"/>
      <c r="AI193" s="462"/>
      <c r="AJ193" s="462"/>
      <c r="AK193" s="462"/>
      <c r="AL193" s="462"/>
      <c r="AM193" s="462"/>
      <c r="AN193" s="462"/>
      <c r="AO193" s="462"/>
      <c r="AP193" s="462"/>
      <c r="AQ193" s="462"/>
      <c r="AR193" s="462"/>
      <c r="AS193" s="462"/>
      <c r="AT193" s="462"/>
      <c r="AU193" s="462"/>
      <c r="AV193" s="462"/>
      <c r="AW193" s="462"/>
      <c r="AX193" s="462"/>
      <c r="AY193" s="462"/>
      <c r="AZ193" s="462"/>
      <c r="BA193" s="462"/>
      <c r="BB193" s="462"/>
      <c r="BC193" s="462"/>
      <c r="BD193" s="462"/>
      <c r="BE193" s="462"/>
      <c r="BF193" s="462"/>
      <c r="BG193" s="462"/>
      <c r="BH193" s="462"/>
      <c r="BI193" s="462"/>
      <c r="BJ193" s="462"/>
      <c r="BK193" s="463"/>
      <c r="BL193" s="460" t="s">
        <v>105</v>
      </c>
      <c r="BM193" s="363"/>
      <c r="BN193" s="363"/>
      <c r="BO193" s="363"/>
      <c r="BP193" s="363"/>
      <c r="BQ193" s="363"/>
      <c r="BR193" s="363"/>
      <c r="BS193" s="364"/>
      <c r="BT193" s="362" t="s">
        <v>109</v>
      </c>
      <c r="BU193" s="363"/>
      <c r="BV193" s="363"/>
      <c r="BW193" s="363"/>
      <c r="BX193" s="363"/>
      <c r="BY193" s="363"/>
      <c r="BZ193" s="363"/>
      <c r="CA193" s="363"/>
      <c r="CB193" s="363"/>
      <c r="CC193" s="363"/>
      <c r="CD193" s="363"/>
      <c r="CE193" s="363"/>
      <c r="CF193" s="364"/>
      <c r="CG193" s="362"/>
      <c r="CH193" s="363"/>
      <c r="CI193" s="363"/>
      <c r="CJ193" s="363"/>
      <c r="CK193" s="363"/>
      <c r="CL193" s="363"/>
      <c r="CM193" s="363"/>
      <c r="CN193" s="363"/>
      <c r="CO193" s="363"/>
      <c r="CP193" s="363"/>
      <c r="CQ193" s="364"/>
      <c r="CR193" s="362"/>
      <c r="CS193" s="363"/>
      <c r="CT193" s="363"/>
      <c r="CU193" s="363"/>
      <c r="CV193" s="363"/>
      <c r="CW193" s="363"/>
      <c r="CX193" s="363"/>
      <c r="CY193" s="363"/>
      <c r="CZ193" s="363"/>
      <c r="DA193" s="363"/>
      <c r="DB193" s="363"/>
      <c r="DC193" s="363"/>
      <c r="DD193" s="364"/>
      <c r="DE193" s="365">
        <f>DE180-DE187-DE425</f>
        <v>8822761.7899999991</v>
      </c>
      <c r="DF193" s="366"/>
      <c r="DG193" s="366"/>
      <c r="DH193" s="366"/>
      <c r="DI193" s="366"/>
      <c r="DJ193" s="366"/>
      <c r="DK193" s="366"/>
      <c r="DL193" s="366"/>
      <c r="DM193" s="366"/>
      <c r="DN193" s="366"/>
      <c r="DO193" s="366"/>
      <c r="DP193" s="366"/>
      <c r="DQ193" s="367"/>
      <c r="DR193" s="365">
        <f>DR180-DR187-DR425</f>
        <v>4345530.8899999997</v>
      </c>
      <c r="DS193" s="366"/>
      <c r="DT193" s="366"/>
      <c r="DU193" s="366"/>
      <c r="DV193" s="366"/>
      <c r="DW193" s="366"/>
      <c r="DX193" s="366"/>
      <c r="DY193" s="366"/>
      <c r="DZ193" s="366"/>
      <c r="EA193" s="366"/>
      <c r="EB193" s="366"/>
      <c r="EC193" s="366"/>
      <c r="ED193" s="367"/>
      <c r="EE193" s="365"/>
      <c r="EF193" s="366"/>
      <c r="EG193" s="366"/>
      <c r="EH193" s="366"/>
      <c r="EI193" s="366"/>
      <c r="EJ193" s="366"/>
      <c r="EK193" s="366"/>
      <c r="EL193" s="366"/>
      <c r="EM193" s="366"/>
      <c r="EN193" s="366"/>
      <c r="EO193" s="366"/>
      <c r="EP193" s="366"/>
      <c r="EQ193" s="367"/>
      <c r="ER193" s="496"/>
      <c r="ES193" s="497"/>
      <c r="ET193" s="497"/>
      <c r="EU193" s="497"/>
      <c r="EV193" s="497"/>
      <c r="EW193" s="497"/>
      <c r="EX193" s="497"/>
      <c r="EY193" s="497"/>
      <c r="EZ193" s="497"/>
      <c r="FA193" s="497"/>
      <c r="FB193" s="498"/>
      <c r="FC193" s="639"/>
      <c r="FD193" s="640"/>
      <c r="FE193" s="640"/>
      <c r="FF193" s="640"/>
      <c r="FG193" s="640"/>
      <c r="FH193" s="640"/>
      <c r="FI193" s="640"/>
      <c r="FJ193" s="640"/>
      <c r="FK193" s="640"/>
      <c r="FL193" s="640"/>
      <c r="FO193" s="275"/>
      <c r="FP193" s="275"/>
      <c r="FQ193" s="275">
        <f t="shared" si="4"/>
        <v>4345530.8899999997</v>
      </c>
    </row>
    <row r="194" spans="1:173" ht="12" customHeight="1">
      <c r="A194" s="674" t="s">
        <v>27</v>
      </c>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5"/>
      <c r="Y194" s="675"/>
      <c r="Z194" s="675"/>
      <c r="AA194" s="675"/>
      <c r="AB194" s="675"/>
      <c r="AC194" s="675"/>
      <c r="AD194" s="675"/>
      <c r="AE194" s="675"/>
      <c r="AF194" s="675"/>
      <c r="AG194" s="675"/>
      <c r="AH194" s="675"/>
      <c r="AI194" s="675"/>
      <c r="AJ194" s="675"/>
      <c r="AK194" s="675"/>
      <c r="AL194" s="675"/>
      <c r="AM194" s="675"/>
      <c r="AN194" s="675"/>
      <c r="AO194" s="675"/>
      <c r="AP194" s="675"/>
      <c r="AQ194" s="675"/>
      <c r="AR194" s="675"/>
      <c r="AS194" s="675"/>
      <c r="AT194" s="675"/>
      <c r="AU194" s="675"/>
      <c r="AV194" s="675"/>
      <c r="AW194" s="675"/>
      <c r="AX194" s="675"/>
      <c r="AY194" s="675"/>
      <c r="AZ194" s="675"/>
      <c r="BA194" s="675"/>
      <c r="BB194" s="675"/>
      <c r="BC194" s="675"/>
      <c r="BD194" s="675"/>
      <c r="BE194" s="675"/>
      <c r="BF194" s="675"/>
      <c r="BG194" s="675"/>
      <c r="BH194" s="675"/>
      <c r="BI194" s="675"/>
      <c r="BJ194" s="675"/>
      <c r="BK194" s="676"/>
      <c r="BL194" s="667" t="s">
        <v>820</v>
      </c>
      <c r="BM194" s="471"/>
      <c r="BN194" s="471"/>
      <c r="BO194" s="471"/>
      <c r="BP194" s="471"/>
      <c r="BQ194" s="471"/>
      <c r="BR194" s="471"/>
      <c r="BS194" s="472"/>
      <c r="BT194" s="470" t="s">
        <v>109</v>
      </c>
      <c r="BU194" s="471"/>
      <c r="BV194" s="471"/>
      <c r="BW194" s="471"/>
      <c r="BX194" s="471"/>
      <c r="BY194" s="471"/>
      <c r="BZ194" s="471"/>
      <c r="CA194" s="471"/>
      <c r="CB194" s="471"/>
      <c r="CC194" s="471"/>
      <c r="CD194" s="471"/>
      <c r="CE194" s="471"/>
      <c r="CF194" s="472"/>
      <c r="CG194" s="470" t="s">
        <v>206</v>
      </c>
      <c r="CH194" s="471"/>
      <c r="CI194" s="471"/>
      <c r="CJ194" s="471"/>
      <c r="CK194" s="471"/>
      <c r="CL194" s="471"/>
      <c r="CM194" s="471"/>
      <c r="CN194" s="471"/>
      <c r="CO194" s="471"/>
      <c r="CP194" s="471"/>
      <c r="CQ194" s="472"/>
      <c r="CR194" s="470"/>
      <c r="CS194" s="471"/>
      <c r="CT194" s="471"/>
      <c r="CU194" s="471"/>
      <c r="CV194" s="471"/>
      <c r="CW194" s="471"/>
      <c r="CX194" s="471"/>
      <c r="CY194" s="471"/>
      <c r="CZ194" s="471"/>
      <c r="DA194" s="471"/>
      <c r="DB194" s="471"/>
      <c r="DC194" s="471"/>
      <c r="DD194" s="472"/>
      <c r="DE194" s="476"/>
      <c r="DF194" s="477"/>
      <c r="DG194" s="477"/>
      <c r="DH194" s="477"/>
      <c r="DI194" s="477"/>
      <c r="DJ194" s="477"/>
      <c r="DK194" s="477"/>
      <c r="DL194" s="477"/>
      <c r="DM194" s="477"/>
      <c r="DN194" s="477"/>
      <c r="DO194" s="477"/>
      <c r="DP194" s="477"/>
      <c r="DQ194" s="478"/>
      <c r="DR194" s="476"/>
      <c r="DS194" s="477"/>
      <c r="DT194" s="477"/>
      <c r="DU194" s="477"/>
      <c r="DV194" s="477"/>
      <c r="DW194" s="477"/>
      <c r="DX194" s="477"/>
      <c r="DY194" s="477"/>
      <c r="DZ194" s="477"/>
      <c r="EA194" s="477"/>
      <c r="EB194" s="477"/>
      <c r="EC194" s="477"/>
      <c r="ED194" s="478"/>
      <c r="EE194" s="476"/>
      <c r="EF194" s="477"/>
      <c r="EG194" s="477"/>
      <c r="EH194" s="477"/>
      <c r="EI194" s="477"/>
      <c r="EJ194" s="477"/>
      <c r="EK194" s="477"/>
      <c r="EL194" s="477"/>
      <c r="EM194" s="477"/>
      <c r="EN194" s="477"/>
      <c r="EO194" s="477"/>
      <c r="EP194" s="477"/>
      <c r="EQ194" s="478"/>
      <c r="ER194" s="649"/>
      <c r="ES194" s="650"/>
      <c r="ET194" s="650"/>
      <c r="EU194" s="650"/>
      <c r="EV194" s="650"/>
      <c r="EW194" s="650"/>
      <c r="EX194" s="650"/>
      <c r="EY194" s="650"/>
      <c r="EZ194" s="650"/>
      <c r="FA194" s="650"/>
      <c r="FB194" s="651"/>
      <c r="FC194" s="655"/>
      <c r="FD194" s="656"/>
      <c r="FE194" s="656"/>
      <c r="FF194" s="656"/>
      <c r="FG194" s="656"/>
      <c r="FH194" s="656"/>
      <c r="FI194" s="656"/>
      <c r="FJ194" s="656"/>
      <c r="FK194" s="656"/>
      <c r="FL194" s="657"/>
      <c r="FO194" s="275"/>
      <c r="FP194" s="275"/>
      <c r="FQ194" s="275">
        <f t="shared" si="4"/>
        <v>0</v>
      </c>
    </row>
    <row r="195" spans="1:173" ht="12" customHeight="1">
      <c r="A195" s="671" t="s">
        <v>205</v>
      </c>
      <c r="B195" s="672"/>
      <c r="C195" s="672"/>
      <c r="D195" s="672"/>
      <c r="E195" s="672"/>
      <c r="F195" s="672"/>
      <c r="G195" s="672"/>
      <c r="H195" s="672"/>
      <c r="I195" s="672"/>
      <c r="J195" s="672"/>
      <c r="K195" s="672"/>
      <c r="L195" s="672"/>
      <c r="M195" s="672"/>
      <c r="N195" s="672"/>
      <c r="O195" s="672"/>
      <c r="P195" s="672"/>
      <c r="Q195" s="672"/>
      <c r="R195" s="672"/>
      <c r="S195" s="672"/>
      <c r="T195" s="672"/>
      <c r="U195" s="672"/>
      <c r="V195" s="672"/>
      <c r="W195" s="672"/>
      <c r="X195" s="672"/>
      <c r="Y195" s="672"/>
      <c r="Z195" s="672"/>
      <c r="AA195" s="672"/>
      <c r="AB195" s="672"/>
      <c r="AC195" s="672"/>
      <c r="AD195" s="672"/>
      <c r="AE195" s="672"/>
      <c r="AF195" s="672"/>
      <c r="AG195" s="672"/>
      <c r="AH195" s="672"/>
      <c r="AI195" s="672"/>
      <c r="AJ195" s="672"/>
      <c r="AK195" s="672"/>
      <c r="AL195" s="672"/>
      <c r="AM195" s="672"/>
      <c r="AN195" s="672"/>
      <c r="AO195" s="672"/>
      <c r="AP195" s="672"/>
      <c r="AQ195" s="672"/>
      <c r="AR195" s="672"/>
      <c r="AS195" s="672"/>
      <c r="AT195" s="672"/>
      <c r="AU195" s="672"/>
      <c r="AV195" s="672"/>
      <c r="AW195" s="672"/>
      <c r="AX195" s="672"/>
      <c r="AY195" s="672"/>
      <c r="AZ195" s="672"/>
      <c r="BA195" s="672"/>
      <c r="BB195" s="672"/>
      <c r="BC195" s="672"/>
      <c r="BD195" s="672"/>
      <c r="BE195" s="672"/>
      <c r="BF195" s="672"/>
      <c r="BG195" s="672"/>
      <c r="BH195" s="672"/>
      <c r="BI195" s="672"/>
      <c r="BJ195" s="672"/>
      <c r="BK195" s="673"/>
      <c r="BL195" s="668"/>
      <c r="BM195" s="474"/>
      <c r="BN195" s="474"/>
      <c r="BO195" s="474"/>
      <c r="BP195" s="474"/>
      <c r="BQ195" s="474"/>
      <c r="BR195" s="474"/>
      <c r="BS195" s="475"/>
      <c r="BT195" s="473"/>
      <c r="BU195" s="474"/>
      <c r="BV195" s="474"/>
      <c r="BW195" s="474"/>
      <c r="BX195" s="474"/>
      <c r="BY195" s="474"/>
      <c r="BZ195" s="474"/>
      <c r="CA195" s="474"/>
      <c r="CB195" s="474"/>
      <c r="CC195" s="474"/>
      <c r="CD195" s="474"/>
      <c r="CE195" s="474"/>
      <c r="CF195" s="475"/>
      <c r="CG195" s="473"/>
      <c r="CH195" s="474"/>
      <c r="CI195" s="474"/>
      <c r="CJ195" s="474"/>
      <c r="CK195" s="474"/>
      <c r="CL195" s="474"/>
      <c r="CM195" s="474"/>
      <c r="CN195" s="474"/>
      <c r="CO195" s="474"/>
      <c r="CP195" s="474"/>
      <c r="CQ195" s="475"/>
      <c r="CR195" s="473"/>
      <c r="CS195" s="474"/>
      <c r="CT195" s="474"/>
      <c r="CU195" s="474"/>
      <c r="CV195" s="474"/>
      <c r="CW195" s="474"/>
      <c r="CX195" s="474"/>
      <c r="CY195" s="474"/>
      <c r="CZ195" s="474"/>
      <c r="DA195" s="474"/>
      <c r="DB195" s="474"/>
      <c r="DC195" s="474"/>
      <c r="DD195" s="475"/>
      <c r="DE195" s="479">
        <f>DE196+DE199</f>
        <v>131612.50000000003</v>
      </c>
      <c r="DF195" s="480"/>
      <c r="DG195" s="480"/>
      <c r="DH195" s="480"/>
      <c r="DI195" s="480"/>
      <c r="DJ195" s="480"/>
      <c r="DK195" s="480"/>
      <c r="DL195" s="480"/>
      <c r="DM195" s="480"/>
      <c r="DN195" s="480"/>
      <c r="DO195" s="480"/>
      <c r="DP195" s="480"/>
      <c r="DQ195" s="481"/>
      <c r="DR195" s="479">
        <f>DR196+DR199</f>
        <v>185027.58000000002</v>
      </c>
      <c r="DS195" s="480"/>
      <c r="DT195" s="480"/>
      <c r="DU195" s="480"/>
      <c r="DV195" s="480"/>
      <c r="DW195" s="480"/>
      <c r="DX195" s="480"/>
      <c r="DY195" s="480"/>
      <c r="DZ195" s="480"/>
      <c r="EA195" s="480"/>
      <c r="EB195" s="480"/>
      <c r="EC195" s="480"/>
      <c r="ED195" s="481"/>
      <c r="EE195" s="479"/>
      <c r="EF195" s="480"/>
      <c r="EG195" s="480"/>
      <c r="EH195" s="480"/>
      <c r="EI195" s="480"/>
      <c r="EJ195" s="480"/>
      <c r="EK195" s="480"/>
      <c r="EL195" s="480"/>
      <c r="EM195" s="480"/>
      <c r="EN195" s="480"/>
      <c r="EO195" s="480"/>
      <c r="EP195" s="480"/>
      <c r="EQ195" s="481"/>
      <c r="ER195" s="652"/>
      <c r="ES195" s="653"/>
      <c r="ET195" s="653"/>
      <c r="EU195" s="653"/>
      <c r="EV195" s="653"/>
      <c r="EW195" s="653"/>
      <c r="EX195" s="653"/>
      <c r="EY195" s="653"/>
      <c r="EZ195" s="653"/>
      <c r="FA195" s="653"/>
      <c r="FB195" s="654"/>
      <c r="FC195" s="658"/>
      <c r="FD195" s="659"/>
      <c r="FE195" s="659"/>
      <c r="FF195" s="659"/>
      <c r="FG195" s="659"/>
      <c r="FH195" s="659"/>
      <c r="FI195" s="659"/>
      <c r="FJ195" s="659"/>
      <c r="FK195" s="659"/>
      <c r="FL195" s="660"/>
      <c r="FO195" s="275"/>
      <c r="FP195" s="275"/>
      <c r="FQ195" s="275">
        <f t="shared" si="4"/>
        <v>185027.58000000002</v>
      </c>
    </row>
    <row r="196" spans="1:173" s="215" customFormat="1" ht="12" customHeight="1">
      <c r="A196" s="664" t="s">
        <v>783</v>
      </c>
      <c r="B196" s="665"/>
      <c r="C196" s="665"/>
      <c r="D196" s="665"/>
      <c r="E196" s="665"/>
      <c r="F196" s="665"/>
      <c r="G196" s="665"/>
      <c r="H196" s="665"/>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5"/>
      <c r="AJ196" s="665"/>
      <c r="AK196" s="665"/>
      <c r="AL196" s="665"/>
      <c r="AM196" s="665"/>
      <c r="AN196" s="665"/>
      <c r="AO196" s="665"/>
      <c r="AP196" s="665"/>
      <c r="AQ196" s="665"/>
      <c r="AR196" s="665"/>
      <c r="AS196" s="665"/>
      <c r="AT196" s="665"/>
      <c r="AU196" s="665"/>
      <c r="AV196" s="665"/>
      <c r="AW196" s="665"/>
      <c r="AX196" s="665"/>
      <c r="AY196" s="665"/>
      <c r="AZ196" s="665"/>
      <c r="BA196" s="665"/>
      <c r="BB196" s="665"/>
      <c r="BC196" s="665"/>
      <c r="BD196" s="665"/>
      <c r="BE196" s="665"/>
      <c r="BF196" s="665"/>
      <c r="BG196" s="665"/>
      <c r="BH196" s="665"/>
      <c r="BI196" s="665"/>
      <c r="BJ196" s="665"/>
      <c r="BK196" s="666"/>
      <c r="BL196" s="464"/>
      <c r="BM196" s="465"/>
      <c r="BN196" s="465"/>
      <c r="BO196" s="465"/>
      <c r="BP196" s="465"/>
      <c r="BQ196" s="465"/>
      <c r="BR196" s="465"/>
      <c r="BS196" s="466"/>
      <c r="BT196" s="490" t="s">
        <v>784</v>
      </c>
      <c r="BU196" s="491"/>
      <c r="BV196" s="491"/>
      <c r="BW196" s="491"/>
      <c r="BX196" s="491"/>
      <c r="BY196" s="491"/>
      <c r="BZ196" s="491"/>
      <c r="CA196" s="491"/>
      <c r="CB196" s="491"/>
      <c r="CC196" s="491"/>
      <c r="CD196" s="491"/>
      <c r="CE196" s="491"/>
      <c r="CF196" s="492"/>
      <c r="CG196" s="467" t="s">
        <v>787</v>
      </c>
      <c r="CH196" s="465"/>
      <c r="CI196" s="465"/>
      <c r="CJ196" s="465"/>
      <c r="CK196" s="465"/>
      <c r="CL196" s="465"/>
      <c r="CM196" s="465"/>
      <c r="CN196" s="465"/>
      <c r="CO196" s="465"/>
      <c r="CP196" s="465"/>
      <c r="CQ196" s="466"/>
      <c r="CR196" s="467"/>
      <c r="CS196" s="465"/>
      <c r="CT196" s="465"/>
      <c r="CU196" s="465"/>
      <c r="CV196" s="465"/>
      <c r="CW196" s="465"/>
      <c r="CX196" s="465"/>
      <c r="CY196" s="465"/>
      <c r="CZ196" s="465"/>
      <c r="DA196" s="465"/>
      <c r="DB196" s="465"/>
      <c r="DC196" s="465"/>
      <c r="DD196" s="466"/>
      <c r="DE196" s="410">
        <f>DE197+DE198</f>
        <v>123623.84000000003</v>
      </c>
      <c r="DF196" s="411"/>
      <c r="DG196" s="411"/>
      <c r="DH196" s="411"/>
      <c r="DI196" s="411"/>
      <c r="DJ196" s="411"/>
      <c r="DK196" s="411"/>
      <c r="DL196" s="411"/>
      <c r="DM196" s="411"/>
      <c r="DN196" s="411"/>
      <c r="DO196" s="411"/>
      <c r="DP196" s="411"/>
      <c r="DQ196" s="412"/>
      <c r="DR196" s="410">
        <f>DR197+DR198</f>
        <v>165260.21000000002</v>
      </c>
      <c r="DS196" s="411"/>
      <c r="DT196" s="411"/>
      <c r="DU196" s="411"/>
      <c r="DV196" s="411"/>
      <c r="DW196" s="411"/>
      <c r="DX196" s="411"/>
      <c r="DY196" s="411"/>
      <c r="DZ196" s="411"/>
      <c r="EA196" s="411"/>
      <c r="EB196" s="411"/>
      <c r="EC196" s="411"/>
      <c r="ED196" s="412"/>
      <c r="EE196" s="410"/>
      <c r="EF196" s="411"/>
      <c r="EG196" s="411"/>
      <c r="EH196" s="411"/>
      <c r="EI196" s="411"/>
      <c r="EJ196" s="411"/>
      <c r="EK196" s="411"/>
      <c r="EL196" s="411"/>
      <c r="EM196" s="411"/>
      <c r="EN196" s="411"/>
      <c r="EO196" s="411"/>
      <c r="EP196" s="411"/>
      <c r="EQ196" s="412"/>
      <c r="ER196" s="410"/>
      <c r="ES196" s="411"/>
      <c r="ET196" s="411"/>
      <c r="EU196" s="411"/>
      <c r="EV196" s="411"/>
      <c r="EW196" s="411"/>
      <c r="EX196" s="411"/>
      <c r="EY196" s="411"/>
      <c r="EZ196" s="411"/>
      <c r="FA196" s="411"/>
      <c r="FB196" s="412"/>
      <c r="FC196" s="423"/>
      <c r="FD196" s="424"/>
      <c r="FE196" s="424"/>
      <c r="FF196" s="424"/>
      <c r="FG196" s="424"/>
      <c r="FH196" s="424"/>
      <c r="FI196" s="424"/>
      <c r="FJ196" s="424"/>
      <c r="FK196" s="424"/>
      <c r="FL196" s="424"/>
      <c r="FO196" s="278"/>
      <c r="FP196" s="278"/>
      <c r="FQ196" s="275">
        <f t="shared" si="4"/>
        <v>165260.21000000002</v>
      </c>
    </row>
    <row r="197" spans="1:173" ht="12" customHeight="1">
      <c r="A197" s="336" t="s">
        <v>785</v>
      </c>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337"/>
      <c r="AO197" s="337"/>
      <c r="AP197" s="337"/>
      <c r="AQ197" s="337"/>
      <c r="AR197" s="337"/>
      <c r="AS197" s="337"/>
      <c r="AT197" s="337"/>
      <c r="AU197" s="337"/>
      <c r="AV197" s="337"/>
      <c r="AW197" s="337"/>
      <c r="AX197" s="337"/>
      <c r="AY197" s="337"/>
      <c r="AZ197" s="337"/>
      <c r="BA197" s="337"/>
      <c r="BB197" s="337"/>
      <c r="BC197" s="337"/>
      <c r="BD197" s="337"/>
      <c r="BE197" s="337"/>
      <c r="BF197" s="337"/>
      <c r="BG197" s="337"/>
      <c r="BH197" s="337"/>
      <c r="BI197" s="337"/>
      <c r="BJ197" s="337"/>
      <c r="BK197" s="338"/>
      <c r="BL197" s="339"/>
      <c r="BM197" s="340"/>
      <c r="BN197" s="340"/>
      <c r="BO197" s="340"/>
      <c r="BP197" s="340"/>
      <c r="BQ197" s="340"/>
      <c r="BR197" s="340"/>
      <c r="BS197" s="341"/>
      <c r="BT197" s="342" t="s">
        <v>784</v>
      </c>
      <c r="BU197" s="343"/>
      <c r="BV197" s="343"/>
      <c r="BW197" s="343"/>
      <c r="BX197" s="343"/>
      <c r="BY197" s="343"/>
      <c r="BZ197" s="343"/>
      <c r="CA197" s="343"/>
      <c r="CB197" s="343"/>
      <c r="CC197" s="343"/>
      <c r="CD197" s="343"/>
      <c r="CE197" s="343"/>
      <c r="CF197" s="344"/>
      <c r="CG197" s="345"/>
      <c r="CH197" s="340"/>
      <c r="CI197" s="340"/>
      <c r="CJ197" s="340"/>
      <c r="CK197" s="340"/>
      <c r="CL197" s="340"/>
      <c r="CM197" s="340"/>
      <c r="CN197" s="340"/>
      <c r="CO197" s="340"/>
      <c r="CP197" s="340"/>
      <c r="CQ197" s="341"/>
      <c r="CR197" s="345"/>
      <c r="CS197" s="340"/>
      <c r="CT197" s="340"/>
      <c r="CU197" s="340"/>
      <c r="CV197" s="340"/>
      <c r="CW197" s="340"/>
      <c r="CX197" s="340"/>
      <c r="CY197" s="340"/>
      <c r="CZ197" s="340"/>
      <c r="DA197" s="340"/>
      <c r="DB197" s="340"/>
      <c r="DC197" s="340"/>
      <c r="DD197" s="341"/>
      <c r="DE197" s="346">
        <f>85791+5336.21-6445-2400-6730-115.68</f>
        <v>75436.530000000013</v>
      </c>
      <c r="DF197" s="347"/>
      <c r="DG197" s="347"/>
      <c r="DH197" s="347"/>
      <c r="DI197" s="347"/>
      <c r="DJ197" s="347"/>
      <c r="DK197" s="347"/>
      <c r="DL197" s="347"/>
      <c r="DM197" s="347"/>
      <c r="DN197" s="347"/>
      <c r="DO197" s="347"/>
      <c r="DP197" s="347"/>
      <c r="DQ197" s="348"/>
      <c r="DR197" s="346">
        <f>96540.82</f>
        <v>96540.82</v>
      </c>
      <c r="DS197" s="347"/>
      <c r="DT197" s="347"/>
      <c r="DU197" s="347"/>
      <c r="DV197" s="347"/>
      <c r="DW197" s="347"/>
      <c r="DX197" s="347"/>
      <c r="DY197" s="347"/>
      <c r="DZ197" s="347"/>
      <c r="EA197" s="347"/>
      <c r="EB197" s="347"/>
      <c r="EC197" s="347"/>
      <c r="ED197" s="348"/>
      <c r="EE197" s="346"/>
      <c r="EF197" s="347"/>
      <c r="EG197" s="347"/>
      <c r="EH197" s="347"/>
      <c r="EI197" s="347"/>
      <c r="EJ197" s="347"/>
      <c r="EK197" s="347"/>
      <c r="EL197" s="347"/>
      <c r="EM197" s="347"/>
      <c r="EN197" s="347"/>
      <c r="EO197" s="347"/>
      <c r="EP197" s="347"/>
      <c r="EQ197" s="348"/>
      <c r="ER197" s="349"/>
      <c r="ES197" s="350"/>
      <c r="ET197" s="350"/>
      <c r="EU197" s="350"/>
      <c r="EV197" s="350"/>
      <c r="EW197" s="350"/>
      <c r="EX197" s="350"/>
      <c r="EY197" s="350"/>
      <c r="EZ197" s="350"/>
      <c r="FA197" s="350"/>
      <c r="FB197" s="351"/>
      <c r="FC197" s="352"/>
      <c r="FD197" s="353"/>
      <c r="FE197" s="353"/>
      <c r="FF197" s="353"/>
      <c r="FG197" s="353"/>
      <c r="FH197" s="353"/>
      <c r="FI197" s="353"/>
      <c r="FJ197" s="353"/>
      <c r="FK197" s="353"/>
      <c r="FL197" s="353"/>
      <c r="FO197" s="275">
        <f>60000+5000+12000</f>
        <v>77000</v>
      </c>
      <c r="FP197" s="275"/>
      <c r="FQ197" s="275">
        <f t="shared" si="4"/>
        <v>19540.820000000007</v>
      </c>
    </row>
    <row r="198" spans="1:173" ht="12" customHeight="1">
      <c r="A198" s="336" t="s">
        <v>786</v>
      </c>
      <c r="B198" s="337"/>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7"/>
      <c r="AY198" s="337"/>
      <c r="AZ198" s="337"/>
      <c r="BA198" s="337"/>
      <c r="BB198" s="337"/>
      <c r="BC198" s="337"/>
      <c r="BD198" s="337"/>
      <c r="BE198" s="337"/>
      <c r="BF198" s="337"/>
      <c r="BG198" s="337"/>
      <c r="BH198" s="337"/>
      <c r="BI198" s="337"/>
      <c r="BJ198" s="337"/>
      <c r="BK198" s="338"/>
      <c r="BL198" s="339"/>
      <c r="BM198" s="340"/>
      <c r="BN198" s="340"/>
      <c r="BO198" s="340"/>
      <c r="BP198" s="340"/>
      <c r="BQ198" s="340"/>
      <c r="BR198" s="340"/>
      <c r="BS198" s="341"/>
      <c r="BT198" s="342" t="s">
        <v>784</v>
      </c>
      <c r="BU198" s="343"/>
      <c r="BV198" s="343"/>
      <c r="BW198" s="343"/>
      <c r="BX198" s="343"/>
      <c r="BY198" s="343"/>
      <c r="BZ198" s="343"/>
      <c r="CA198" s="343"/>
      <c r="CB198" s="343"/>
      <c r="CC198" s="343"/>
      <c r="CD198" s="343"/>
      <c r="CE198" s="343"/>
      <c r="CF198" s="344"/>
      <c r="CG198" s="345"/>
      <c r="CH198" s="340"/>
      <c r="CI198" s="340"/>
      <c r="CJ198" s="340"/>
      <c r="CK198" s="340"/>
      <c r="CL198" s="340"/>
      <c r="CM198" s="340"/>
      <c r="CN198" s="340"/>
      <c r="CO198" s="340"/>
      <c r="CP198" s="340"/>
      <c r="CQ198" s="341"/>
      <c r="CR198" s="345"/>
      <c r="CS198" s="340"/>
      <c r="CT198" s="340"/>
      <c r="CU198" s="340"/>
      <c r="CV198" s="340"/>
      <c r="CW198" s="340"/>
      <c r="CX198" s="340"/>
      <c r="CY198" s="340"/>
      <c r="CZ198" s="340"/>
      <c r="DA198" s="340"/>
      <c r="DB198" s="340"/>
      <c r="DC198" s="340"/>
      <c r="DD198" s="341"/>
      <c r="DE198" s="346">
        <f>29555+2941.63+6445+2400+6730+115.68</f>
        <v>48187.310000000005</v>
      </c>
      <c r="DF198" s="347"/>
      <c r="DG198" s="347"/>
      <c r="DH198" s="347"/>
      <c r="DI198" s="347"/>
      <c r="DJ198" s="347"/>
      <c r="DK198" s="347"/>
      <c r="DL198" s="347"/>
      <c r="DM198" s="347"/>
      <c r="DN198" s="347"/>
      <c r="DO198" s="347"/>
      <c r="DP198" s="347"/>
      <c r="DQ198" s="348"/>
      <c r="DR198" s="346">
        <f>68719.39</f>
        <v>68719.39</v>
      </c>
      <c r="DS198" s="347"/>
      <c r="DT198" s="347"/>
      <c r="DU198" s="347"/>
      <c r="DV198" s="347"/>
      <c r="DW198" s="347"/>
      <c r="DX198" s="347"/>
      <c r="DY198" s="347"/>
      <c r="DZ198" s="347"/>
      <c r="EA198" s="347"/>
      <c r="EB198" s="347"/>
      <c r="EC198" s="347"/>
      <c r="ED198" s="348"/>
      <c r="EE198" s="346"/>
      <c r="EF198" s="347"/>
      <c r="EG198" s="347"/>
      <c r="EH198" s="347"/>
      <c r="EI198" s="347"/>
      <c r="EJ198" s="347"/>
      <c r="EK198" s="347"/>
      <c r="EL198" s="347"/>
      <c r="EM198" s="347"/>
      <c r="EN198" s="347"/>
      <c r="EO198" s="347"/>
      <c r="EP198" s="347"/>
      <c r="EQ198" s="348"/>
      <c r="ER198" s="349"/>
      <c r="ES198" s="350"/>
      <c r="ET198" s="350"/>
      <c r="EU198" s="350"/>
      <c r="EV198" s="350"/>
      <c r="EW198" s="350"/>
      <c r="EX198" s="350"/>
      <c r="EY198" s="350"/>
      <c r="EZ198" s="350"/>
      <c r="FA198" s="350"/>
      <c r="FB198" s="351"/>
      <c r="FC198" s="352"/>
      <c r="FD198" s="353"/>
      <c r="FE198" s="353"/>
      <c r="FF198" s="353"/>
      <c r="FG198" s="353"/>
      <c r="FH198" s="353"/>
      <c r="FI198" s="353"/>
      <c r="FJ198" s="353"/>
      <c r="FK198" s="353"/>
      <c r="FL198" s="353"/>
      <c r="FO198" s="275">
        <v>64800</v>
      </c>
      <c r="FP198" s="275"/>
      <c r="FQ198" s="275">
        <f t="shared" si="4"/>
        <v>3919.3899999999994</v>
      </c>
    </row>
    <row r="199" spans="1:173" s="215" customFormat="1" ht="12" customHeight="1">
      <c r="A199" s="664" t="s">
        <v>788</v>
      </c>
      <c r="B199" s="665"/>
      <c r="C199" s="665"/>
      <c r="D199" s="665"/>
      <c r="E199" s="665"/>
      <c r="F199" s="665"/>
      <c r="G199" s="665"/>
      <c r="H199" s="665"/>
      <c r="I199" s="665"/>
      <c r="J199" s="665"/>
      <c r="K199" s="665"/>
      <c r="L199" s="665"/>
      <c r="M199" s="665"/>
      <c r="N199" s="665"/>
      <c r="O199" s="665"/>
      <c r="P199" s="665"/>
      <c r="Q199" s="665"/>
      <c r="R199" s="665"/>
      <c r="S199" s="665"/>
      <c r="T199" s="665"/>
      <c r="U199" s="665"/>
      <c r="V199" s="665"/>
      <c r="W199" s="665"/>
      <c r="X199" s="665"/>
      <c r="Y199" s="665"/>
      <c r="Z199" s="665"/>
      <c r="AA199" s="665"/>
      <c r="AB199" s="665"/>
      <c r="AC199" s="665"/>
      <c r="AD199" s="665"/>
      <c r="AE199" s="665"/>
      <c r="AF199" s="665"/>
      <c r="AG199" s="665"/>
      <c r="AH199" s="665"/>
      <c r="AI199" s="665"/>
      <c r="AJ199" s="665"/>
      <c r="AK199" s="665"/>
      <c r="AL199" s="665"/>
      <c r="AM199" s="665"/>
      <c r="AN199" s="665"/>
      <c r="AO199" s="665"/>
      <c r="AP199" s="665"/>
      <c r="AQ199" s="665"/>
      <c r="AR199" s="665"/>
      <c r="AS199" s="665"/>
      <c r="AT199" s="665"/>
      <c r="AU199" s="665"/>
      <c r="AV199" s="665"/>
      <c r="AW199" s="665"/>
      <c r="AX199" s="665"/>
      <c r="AY199" s="665"/>
      <c r="AZ199" s="665"/>
      <c r="BA199" s="665"/>
      <c r="BB199" s="665"/>
      <c r="BC199" s="665"/>
      <c r="BD199" s="665"/>
      <c r="BE199" s="665"/>
      <c r="BF199" s="665"/>
      <c r="BG199" s="665"/>
      <c r="BH199" s="665"/>
      <c r="BI199" s="665"/>
      <c r="BJ199" s="665"/>
      <c r="BK199" s="666"/>
      <c r="BL199" s="464"/>
      <c r="BM199" s="465"/>
      <c r="BN199" s="465"/>
      <c r="BO199" s="465"/>
      <c r="BP199" s="465"/>
      <c r="BQ199" s="465"/>
      <c r="BR199" s="465"/>
      <c r="BS199" s="466"/>
      <c r="BT199" s="490" t="s">
        <v>610</v>
      </c>
      <c r="BU199" s="491"/>
      <c r="BV199" s="491"/>
      <c r="BW199" s="491"/>
      <c r="BX199" s="491"/>
      <c r="BY199" s="491"/>
      <c r="BZ199" s="491"/>
      <c r="CA199" s="491"/>
      <c r="CB199" s="491"/>
      <c r="CC199" s="491"/>
      <c r="CD199" s="491"/>
      <c r="CE199" s="491"/>
      <c r="CF199" s="492"/>
      <c r="CG199" s="467"/>
      <c r="CH199" s="465"/>
      <c r="CI199" s="465"/>
      <c r="CJ199" s="465"/>
      <c r="CK199" s="465"/>
      <c r="CL199" s="465"/>
      <c r="CM199" s="465"/>
      <c r="CN199" s="465"/>
      <c r="CO199" s="465"/>
      <c r="CP199" s="465"/>
      <c r="CQ199" s="466"/>
      <c r="CR199" s="467"/>
      <c r="CS199" s="465"/>
      <c r="CT199" s="465"/>
      <c r="CU199" s="465"/>
      <c r="CV199" s="465"/>
      <c r="CW199" s="465"/>
      <c r="CX199" s="465"/>
      <c r="CY199" s="465"/>
      <c r="CZ199" s="465"/>
      <c r="DA199" s="465"/>
      <c r="DB199" s="465"/>
      <c r="DC199" s="465"/>
      <c r="DD199" s="466"/>
      <c r="DE199" s="410">
        <f>DE200+DE201</f>
        <v>7988.66</v>
      </c>
      <c r="DF199" s="411"/>
      <c r="DG199" s="411"/>
      <c r="DH199" s="411"/>
      <c r="DI199" s="411"/>
      <c r="DJ199" s="411"/>
      <c r="DK199" s="411"/>
      <c r="DL199" s="411"/>
      <c r="DM199" s="411"/>
      <c r="DN199" s="411"/>
      <c r="DO199" s="411"/>
      <c r="DP199" s="411"/>
      <c r="DQ199" s="412"/>
      <c r="DR199" s="410">
        <f>DR200+DR201</f>
        <v>19767.370000000003</v>
      </c>
      <c r="DS199" s="411"/>
      <c r="DT199" s="411"/>
      <c r="DU199" s="411"/>
      <c r="DV199" s="411"/>
      <c r="DW199" s="411"/>
      <c r="DX199" s="411"/>
      <c r="DY199" s="411"/>
      <c r="DZ199" s="411"/>
      <c r="EA199" s="411"/>
      <c r="EB199" s="411"/>
      <c r="EC199" s="411"/>
      <c r="ED199" s="412"/>
      <c r="EE199" s="410"/>
      <c r="EF199" s="411"/>
      <c r="EG199" s="411"/>
      <c r="EH199" s="411"/>
      <c r="EI199" s="411"/>
      <c r="EJ199" s="411"/>
      <c r="EK199" s="411"/>
      <c r="EL199" s="411"/>
      <c r="EM199" s="411"/>
      <c r="EN199" s="411"/>
      <c r="EO199" s="411"/>
      <c r="EP199" s="411"/>
      <c r="EQ199" s="412"/>
      <c r="ER199" s="410"/>
      <c r="ES199" s="411"/>
      <c r="ET199" s="411"/>
      <c r="EU199" s="411"/>
      <c r="EV199" s="411"/>
      <c r="EW199" s="411"/>
      <c r="EX199" s="411"/>
      <c r="EY199" s="411"/>
      <c r="EZ199" s="411"/>
      <c r="FA199" s="411"/>
      <c r="FB199" s="412"/>
      <c r="FC199" s="423"/>
      <c r="FD199" s="424"/>
      <c r="FE199" s="424"/>
      <c r="FF199" s="424"/>
      <c r="FG199" s="424"/>
      <c r="FH199" s="424"/>
      <c r="FI199" s="424"/>
      <c r="FJ199" s="424"/>
      <c r="FK199" s="424"/>
      <c r="FL199" s="424"/>
      <c r="FO199" s="278"/>
      <c r="FP199" s="278"/>
      <c r="FQ199" s="275">
        <f t="shared" si="4"/>
        <v>19767.370000000003</v>
      </c>
    </row>
    <row r="200" spans="1:173" ht="12" customHeight="1">
      <c r="A200" s="336" t="s">
        <v>789</v>
      </c>
      <c r="B200" s="337"/>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c r="AZ200" s="337"/>
      <c r="BA200" s="337"/>
      <c r="BB200" s="337"/>
      <c r="BC200" s="337"/>
      <c r="BD200" s="337"/>
      <c r="BE200" s="337"/>
      <c r="BF200" s="337"/>
      <c r="BG200" s="337"/>
      <c r="BH200" s="337"/>
      <c r="BI200" s="337"/>
      <c r="BJ200" s="337"/>
      <c r="BK200" s="338"/>
      <c r="BL200" s="339"/>
      <c r="BM200" s="340"/>
      <c r="BN200" s="340"/>
      <c r="BO200" s="340"/>
      <c r="BP200" s="340"/>
      <c r="BQ200" s="340"/>
      <c r="BR200" s="340"/>
      <c r="BS200" s="341"/>
      <c r="BT200" s="342" t="s">
        <v>610</v>
      </c>
      <c r="BU200" s="343"/>
      <c r="BV200" s="343"/>
      <c r="BW200" s="343"/>
      <c r="BX200" s="343"/>
      <c r="BY200" s="343"/>
      <c r="BZ200" s="343"/>
      <c r="CA200" s="343"/>
      <c r="CB200" s="343"/>
      <c r="CC200" s="343"/>
      <c r="CD200" s="343"/>
      <c r="CE200" s="343"/>
      <c r="CF200" s="344"/>
      <c r="CG200" s="345"/>
      <c r="CH200" s="340"/>
      <c r="CI200" s="340"/>
      <c r="CJ200" s="340"/>
      <c r="CK200" s="340"/>
      <c r="CL200" s="340"/>
      <c r="CM200" s="340"/>
      <c r="CN200" s="340"/>
      <c r="CO200" s="340"/>
      <c r="CP200" s="340"/>
      <c r="CQ200" s="341"/>
      <c r="CR200" s="345"/>
      <c r="CS200" s="340"/>
      <c r="CT200" s="340"/>
      <c r="CU200" s="340"/>
      <c r="CV200" s="340"/>
      <c r="CW200" s="340"/>
      <c r="CX200" s="340"/>
      <c r="CY200" s="340"/>
      <c r="CZ200" s="340"/>
      <c r="DA200" s="340"/>
      <c r="DB200" s="340"/>
      <c r="DC200" s="340"/>
      <c r="DD200" s="341"/>
      <c r="DE200" s="346">
        <f>4500-1226.16</f>
        <v>3273.84</v>
      </c>
      <c r="DF200" s="347"/>
      <c r="DG200" s="347"/>
      <c r="DH200" s="347"/>
      <c r="DI200" s="347"/>
      <c r="DJ200" s="347"/>
      <c r="DK200" s="347"/>
      <c r="DL200" s="347"/>
      <c r="DM200" s="347"/>
      <c r="DN200" s="347"/>
      <c r="DO200" s="347"/>
      <c r="DP200" s="347"/>
      <c r="DQ200" s="348"/>
      <c r="DR200" s="346">
        <v>5000</v>
      </c>
      <c r="DS200" s="347"/>
      <c r="DT200" s="347"/>
      <c r="DU200" s="347"/>
      <c r="DV200" s="347"/>
      <c r="DW200" s="347"/>
      <c r="DX200" s="347"/>
      <c r="DY200" s="347"/>
      <c r="DZ200" s="347"/>
      <c r="EA200" s="347"/>
      <c r="EB200" s="347"/>
      <c r="EC200" s="347"/>
      <c r="ED200" s="348"/>
      <c r="EE200" s="346"/>
      <c r="EF200" s="347"/>
      <c r="EG200" s="347"/>
      <c r="EH200" s="347"/>
      <c r="EI200" s="347"/>
      <c r="EJ200" s="347"/>
      <c r="EK200" s="347"/>
      <c r="EL200" s="347"/>
      <c r="EM200" s="347"/>
      <c r="EN200" s="347"/>
      <c r="EO200" s="347"/>
      <c r="EP200" s="347"/>
      <c r="EQ200" s="348"/>
      <c r="ER200" s="349"/>
      <c r="ES200" s="350"/>
      <c r="ET200" s="350"/>
      <c r="EU200" s="350"/>
      <c r="EV200" s="350"/>
      <c r="EW200" s="350"/>
      <c r="EX200" s="350"/>
      <c r="EY200" s="350"/>
      <c r="EZ200" s="350"/>
      <c r="FA200" s="350"/>
      <c r="FB200" s="351"/>
      <c r="FC200" s="352"/>
      <c r="FD200" s="353"/>
      <c r="FE200" s="353"/>
      <c r="FF200" s="353"/>
      <c r="FG200" s="353"/>
      <c r="FH200" s="353"/>
      <c r="FI200" s="353"/>
      <c r="FJ200" s="353"/>
      <c r="FK200" s="353"/>
      <c r="FL200" s="353"/>
      <c r="FO200" s="275"/>
      <c r="FP200" s="275"/>
      <c r="FQ200" s="275">
        <f t="shared" si="4"/>
        <v>5000</v>
      </c>
    </row>
    <row r="201" spans="1:173" ht="12" customHeight="1">
      <c r="A201" s="336" t="s">
        <v>786</v>
      </c>
      <c r="B201" s="337"/>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c r="AD201" s="337"/>
      <c r="AE201" s="337"/>
      <c r="AF201" s="337"/>
      <c r="AG201" s="337"/>
      <c r="AH201" s="337"/>
      <c r="AI201" s="337"/>
      <c r="AJ201" s="337"/>
      <c r="AK201" s="337"/>
      <c r="AL201" s="337"/>
      <c r="AM201" s="337"/>
      <c r="AN201" s="337"/>
      <c r="AO201" s="337"/>
      <c r="AP201" s="337"/>
      <c r="AQ201" s="337"/>
      <c r="AR201" s="337"/>
      <c r="AS201" s="337"/>
      <c r="AT201" s="337"/>
      <c r="AU201" s="337"/>
      <c r="AV201" s="337"/>
      <c r="AW201" s="337"/>
      <c r="AX201" s="337"/>
      <c r="AY201" s="337"/>
      <c r="AZ201" s="337"/>
      <c r="BA201" s="337"/>
      <c r="BB201" s="337"/>
      <c r="BC201" s="337"/>
      <c r="BD201" s="337"/>
      <c r="BE201" s="337"/>
      <c r="BF201" s="337"/>
      <c r="BG201" s="337"/>
      <c r="BH201" s="337"/>
      <c r="BI201" s="337"/>
      <c r="BJ201" s="337"/>
      <c r="BK201" s="338"/>
      <c r="BL201" s="339"/>
      <c r="BM201" s="340"/>
      <c r="BN201" s="340"/>
      <c r="BO201" s="340"/>
      <c r="BP201" s="340"/>
      <c r="BQ201" s="340"/>
      <c r="BR201" s="340"/>
      <c r="BS201" s="341"/>
      <c r="BT201" s="342" t="s">
        <v>610</v>
      </c>
      <c r="BU201" s="343"/>
      <c r="BV201" s="343"/>
      <c r="BW201" s="343"/>
      <c r="BX201" s="343"/>
      <c r="BY201" s="343"/>
      <c r="BZ201" s="343"/>
      <c r="CA201" s="343"/>
      <c r="CB201" s="343"/>
      <c r="CC201" s="343"/>
      <c r="CD201" s="343"/>
      <c r="CE201" s="343"/>
      <c r="CF201" s="344"/>
      <c r="CG201" s="345"/>
      <c r="CH201" s="340"/>
      <c r="CI201" s="340"/>
      <c r="CJ201" s="340"/>
      <c r="CK201" s="340"/>
      <c r="CL201" s="340"/>
      <c r="CM201" s="340"/>
      <c r="CN201" s="340"/>
      <c r="CO201" s="340"/>
      <c r="CP201" s="340"/>
      <c r="CQ201" s="341"/>
      <c r="CR201" s="345"/>
      <c r="CS201" s="340"/>
      <c r="CT201" s="340"/>
      <c r="CU201" s="340"/>
      <c r="CV201" s="340"/>
      <c r="CW201" s="340"/>
      <c r="CX201" s="340"/>
      <c r="CY201" s="340"/>
      <c r="CZ201" s="340"/>
      <c r="DA201" s="340"/>
      <c r="DB201" s="340"/>
      <c r="DC201" s="340"/>
      <c r="DD201" s="341"/>
      <c r="DE201" s="346">
        <f>11400-6685.18</f>
        <v>4714.82</v>
      </c>
      <c r="DF201" s="347"/>
      <c r="DG201" s="347"/>
      <c r="DH201" s="347"/>
      <c r="DI201" s="347"/>
      <c r="DJ201" s="347"/>
      <c r="DK201" s="347"/>
      <c r="DL201" s="347"/>
      <c r="DM201" s="347"/>
      <c r="DN201" s="347"/>
      <c r="DO201" s="347"/>
      <c r="DP201" s="347"/>
      <c r="DQ201" s="348"/>
      <c r="DR201" s="346">
        <f>14400+367.37</f>
        <v>14767.37</v>
      </c>
      <c r="DS201" s="347"/>
      <c r="DT201" s="347"/>
      <c r="DU201" s="347"/>
      <c r="DV201" s="347"/>
      <c r="DW201" s="347"/>
      <c r="DX201" s="347"/>
      <c r="DY201" s="347"/>
      <c r="DZ201" s="347"/>
      <c r="EA201" s="347"/>
      <c r="EB201" s="347"/>
      <c r="EC201" s="347"/>
      <c r="ED201" s="348"/>
      <c r="EE201" s="346"/>
      <c r="EF201" s="347"/>
      <c r="EG201" s="347"/>
      <c r="EH201" s="347"/>
      <c r="EI201" s="347"/>
      <c r="EJ201" s="347"/>
      <c r="EK201" s="347"/>
      <c r="EL201" s="347"/>
      <c r="EM201" s="347"/>
      <c r="EN201" s="347"/>
      <c r="EO201" s="347"/>
      <c r="EP201" s="347"/>
      <c r="EQ201" s="348"/>
      <c r="ER201" s="349"/>
      <c r="ES201" s="350"/>
      <c r="ET201" s="350"/>
      <c r="EU201" s="350"/>
      <c r="EV201" s="350"/>
      <c r="EW201" s="350"/>
      <c r="EX201" s="350"/>
      <c r="EY201" s="350"/>
      <c r="EZ201" s="350"/>
      <c r="FA201" s="350"/>
      <c r="FB201" s="351"/>
      <c r="FC201" s="352"/>
      <c r="FD201" s="353"/>
      <c r="FE201" s="353"/>
      <c r="FF201" s="353"/>
      <c r="FG201" s="353"/>
      <c r="FH201" s="353"/>
      <c r="FI201" s="353"/>
      <c r="FJ201" s="353"/>
      <c r="FK201" s="353"/>
      <c r="FL201" s="353"/>
      <c r="FO201" s="275">
        <f>5796.6</f>
        <v>5796.6</v>
      </c>
      <c r="FP201" s="275"/>
      <c r="FQ201" s="275">
        <f t="shared" si="4"/>
        <v>8970.77</v>
      </c>
    </row>
    <row r="202" spans="1:173" ht="12" customHeight="1">
      <c r="A202" s="441"/>
      <c r="B202" s="447"/>
      <c r="C202" s="447"/>
      <c r="D202" s="447"/>
      <c r="E202" s="447"/>
      <c r="F202" s="447"/>
      <c r="G202" s="447"/>
      <c r="H202" s="447"/>
      <c r="I202" s="447"/>
      <c r="J202" s="447"/>
      <c r="K202" s="447"/>
      <c r="L202" s="447"/>
      <c r="M202" s="447"/>
      <c r="N202" s="447"/>
      <c r="O202" s="447"/>
      <c r="P202" s="447"/>
      <c r="Q202" s="447"/>
      <c r="R202" s="447"/>
      <c r="S202" s="447"/>
      <c r="T202" s="447"/>
      <c r="U202" s="447"/>
      <c r="V202" s="447"/>
      <c r="W202" s="447"/>
      <c r="X202" s="447"/>
      <c r="Y202" s="447"/>
      <c r="Z202" s="447"/>
      <c r="AA202" s="447"/>
      <c r="AB202" s="447"/>
      <c r="AC202" s="447"/>
      <c r="AD202" s="447"/>
      <c r="AE202" s="447"/>
      <c r="AF202" s="447"/>
      <c r="AG202" s="447"/>
      <c r="AH202" s="447"/>
      <c r="AI202" s="447"/>
      <c r="AJ202" s="447"/>
      <c r="AK202" s="447"/>
      <c r="AL202" s="447"/>
      <c r="AM202" s="447"/>
      <c r="AN202" s="447"/>
      <c r="AO202" s="447"/>
      <c r="AP202" s="447"/>
      <c r="AQ202" s="447"/>
      <c r="AR202" s="447"/>
      <c r="AS202" s="447"/>
      <c r="AT202" s="447"/>
      <c r="AU202" s="447"/>
      <c r="AV202" s="447"/>
      <c r="AW202" s="447"/>
      <c r="AX202" s="447"/>
      <c r="AY202" s="447"/>
      <c r="AZ202" s="447"/>
      <c r="BA202" s="447"/>
      <c r="BB202" s="447"/>
      <c r="BC202" s="447"/>
      <c r="BD202" s="447"/>
      <c r="BE202" s="447"/>
      <c r="BF202" s="447"/>
      <c r="BG202" s="447"/>
      <c r="BH202" s="447"/>
      <c r="BI202" s="447"/>
      <c r="BJ202" s="447"/>
      <c r="BK202" s="448"/>
      <c r="BL202" s="339"/>
      <c r="BM202" s="340"/>
      <c r="BN202" s="340"/>
      <c r="BO202" s="340"/>
      <c r="BP202" s="340"/>
      <c r="BQ202" s="340"/>
      <c r="BR202" s="340"/>
      <c r="BS202" s="341"/>
      <c r="BT202" s="342"/>
      <c r="BU202" s="343"/>
      <c r="BV202" s="343"/>
      <c r="BW202" s="343"/>
      <c r="BX202" s="343"/>
      <c r="BY202" s="343"/>
      <c r="BZ202" s="343"/>
      <c r="CA202" s="343"/>
      <c r="CB202" s="343"/>
      <c r="CC202" s="343"/>
      <c r="CD202" s="343"/>
      <c r="CE202" s="343"/>
      <c r="CF202" s="344"/>
      <c r="CG202" s="345"/>
      <c r="CH202" s="340"/>
      <c r="CI202" s="340"/>
      <c r="CJ202" s="340"/>
      <c r="CK202" s="340"/>
      <c r="CL202" s="340"/>
      <c r="CM202" s="340"/>
      <c r="CN202" s="340"/>
      <c r="CO202" s="340"/>
      <c r="CP202" s="340"/>
      <c r="CQ202" s="341"/>
      <c r="CR202" s="345"/>
      <c r="CS202" s="340"/>
      <c r="CT202" s="340"/>
      <c r="CU202" s="340"/>
      <c r="CV202" s="340"/>
      <c r="CW202" s="340"/>
      <c r="CX202" s="340"/>
      <c r="CY202" s="340"/>
      <c r="CZ202" s="340"/>
      <c r="DA202" s="340"/>
      <c r="DB202" s="340"/>
      <c r="DC202" s="340"/>
      <c r="DD202" s="341"/>
      <c r="DE202" s="349"/>
      <c r="DF202" s="350"/>
      <c r="DG202" s="350"/>
      <c r="DH202" s="350"/>
      <c r="DI202" s="350"/>
      <c r="DJ202" s="350"/>
      <c r="DK202" s="350"/>
      <c r="DL202" s="350"/>
      <c r="DM202" s="350"/>
      <c r="DN202" s="350"/>
      <c r="DO202" s="350"/>
      <c r="DP202" s="350"/>
      <c r="DQ202" s="351"/>
      <c r="DR202" s="349"/>
      <c r="DS202" s="350"/>
      <c r="DT202" s="350"/>
      <c r="DU202" s="350"/>
      <c r="DV202" s="350"/>
      <c r="DW202" s="350"/>
      <c r="DX202" s="350"/>
      <c r="DY202" s="350"/>
      <c r="DZ202" s="350"/>
      <c r="EA202" s="350"/>
      <c r="EB202" s="350"/>
      <c r="EC202" s="350"/>
      <c r="ED202" s="351"/>
      <c r="EE202" s="349"/>
      <c r="EF202" s="350"/>
      <c r="EG202" s="350"/>
      <c r="EH202" s="350"/>
      <c r="EI202" s="350"/>
      <c r="EJ202" s="350"/>
      <c r="EK202" s="350"/>
      <c r="EL202" s="350"/>
      <c r="EM202" s="350"/>
      <c r="EN202" s="350"/>
      <c r="EO202" s="350"/>
      <c r="EP202" s="350"/>
      <c r="EQ202" s="351"/>
      <c r="ER202" s="349"/>
      <c r="ES202" s="350"/>
      <c r="ET202" s="350"/>
      <c r="EU202" s="350"/>
      <c r="EV202" s="350"/>
      <c r="EW202" s="350"/>
      <c r="EX202" s="350"/>
      <c r="EY202" s="350"/>
      <c r="EZ202" s="350"/>
      <c r="FA202" s="350"/>
      <c r="FB202" s="351"/>
      <c r="FC202" s="352"/>
      <c r="FD202" s="353"/>
      <c r="FE202" s="353"/>
      <c r="FF202" s="353"/>
      <c r="FG202" s="353"/>
      <c r="FH202" s="353"/>
      <c r="FI202" s="353"/>
      <c r="FJ202" s="353"/>
      <c r="FK202" s="353"/>
      <c r="FL202" s="353"/>
      <c r="FO202" s="275"/>
      <c r="FP202" s="275"/>
      <c r="FQ202" s="275">
        <f t="shared" si="4"/>
        <v>0</v>
      </c>
    </row>
    <row r="203" spans="1:173" ht="12" customHeight="1">
      <c r="A203" s="461" t="s">
        <v>207</v>
      </c>
      <c r="B203" s="462"/>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2"/>
      <c r="BI203" s="462"/>
      <c r="BJ203" s="462"/>
      <c r="BK203" s="463"/>
      <c r="BL203" s="460" t="s">
        <v>1098</v>
      </c>
      <c r="BM203" s="363"/>
      <c r="BN203" s="363"/>
      <c r="BO203" s="363"/>
      <c r="BP203" s="363"/>
      <c r="BQ203" s="363"/>
      <c r="BR203" s="363"/>
      <c r="BS203" s="364"/>
      <c r="BT203" s="362" t="s">
        <v>109</v>
      </c>
      <c r="BU203" s="363"/>
      <c r="BV203" s="363"/>
      <c r="BW203" s="363"/>
      <c r="BX203" s="363"/>
      <c r="BY203" s="363"/>
      <c r="BZ203" s="363"/>
      <c r="CA203" s="363"/>
      <c r="CB203" s="363"/>
      <c r="CC203" s="363"/>
      <c r="CD203" s="363"/>
      <c r="CE203" s="363"/>
      <c r="CF203" s="364"/>
      <c r="CG203" s="362" t="s">
        <v>208</v>
      </c>
      <c r="CH203" s="363"/>
      <c r="CI203" s="363"/>
      <c r="CJ203" s="363"/>
      <c r="CK203" s="363"/>
      <c r="CL203" s="363"/>
      <c r="CM203" s="363"/>
      <c r="CN203" s="363"/>
      <c r="CO203" s="363"/>
      <c r="CP203" s="363"/>
      <c r="CQ203" s="364"/>
      <c r="CR203" s="362"/>
      <c r="CS203" s="363"/>
      <c r="CT203" s="363"/>
      <c r="CU203" s="363"/>
      <c r="CV203" s="363"/>
      <c r="CW203" s="363"/>
      <c r="CX203" s="363"/>
      <c r="CY203" s="363"/>
      <c r="CZ203" s="363"/>
      <c r="DA203" s="363"/>
      <c r="DB203" s="363"/>
      <c r="DC203" s="363"/>
      <c r="DD203" s="364"/>
      <c r="DE203" s="365">
        <f>SUM(DE204:DQ204)</f>
        <v>0</v>
      </c>
      <c r="DF203" s="366"/>
      <c r="DG203" s="366"/>
      <c r="DH203" s="366"/>
      <c r="DI203" s="366"/>
      <c r="DJ203" s="366"/>
      <c r="DK203" s="366"/>
      <c r="DL203" s="366"/>
      <c r="DM203" s="366"/>
      <c r="DN203" s="366"/>
      <c r="DO203" s="366"/>
      <c r="DP203" s="366"/>
      <c r="DQ203" s="367"/>
      <c r="DR203" s="365">
        <f>SUM(DR204:ED204)</f>
        <v>75000</v>
      </c>
      <c r="DS203" s="366"/>
      <c r="DT203" s="366"/>
      <c r="DU203" s="366"/>
      <c r="DV203" s="366"/>
      <c r="DW203" s="366"/>
      <c r="DX203" s="366"/>
      <c r="DY203" s="366"/>
      <c r="DZ203" s="366"/>
      <c r="EA203" s="366"/>
      <c r="EB203" s="366"/>
      <c r="EC203" s="366"/>
      <c r="ED203" s="367"/>
      <c r="EE203" s="365"/>
      <c r="EF203" s="366"/>
      <c r="EG203" s="366"/>
      <c r="EH203" s="366"/>
      <c r="EI203" s="366"/>
      <c r="EJ203" s="366"/>
      <c r="EK203" s="366"/>
      <c r="EL203" s="366"/>
      <c r="EM203" s="366"/>
      <c r="EN203" s="366"/>
      <c r="EO203" s="366"/>
      <c r="EP203" s="366"/>
      <c r="EQ203" s="367"/>
      <c r="ER203" s="349"/>
      <c r="ES203" s="350"/>
      <c r="ET203" s="350"/>
      <c r="EU203" s="350"/>
      <c r="EV203" s="350"/>
      <c r="EW203" s="350"/>
      <c r="EX203" s="350"/>
      <c r="EY203" s="350"/>
      <c r="EZ203" s="350"/>
      <c r="FA203" s="350"/>
      <c r="FB203" s="351"/>
      <c r="FC203" s="352"/>
      <c r="FD203" s="353"/>
      <c r="FE203" s="353"/>
      <c r="FF203" s="353"/>
      <c r="FG203" s="353"/>
      <c r="FH203" s="353"/>
      <c r="FI203" s="353"/>
      <c r="FJ203" s="353"/>
      <c r="FK203" s="353"/>
      <c r="FL203" s="353"/>
      <c r="FO203" s="275"/>
      <c r="FP203" s="275"/>
      <c r="FQ203" s="275">
        <f t="shared" si="4"/>
        <v>75000</v>
      </c>
    </row>
    <row r="204" spans="1:173" ht="33" customHeight="1">
      <c r="A204" s="431" t="s">
        <v>1077</v>
      </c>
      <c r="B204" s="432"/>
      <c r="C204" s="432"/>
      <c r="D204" s="432"/>
      <c r="E204" s="432"/>
      <c r="F204" s="432"/>
      <c r="G204" s="432"/>
      <c r="H204" s="432"/>
      <c r="I204" s="432"/>
      <c r="J204" s="432"/>
      <c r="K204" s="432"/>
      <c r="L204" s="432"/>
      <c r="M204" s="432"/>
      <c r="N204" s="432"/>
      <c r="O204" s="432"/>
      <c r="P204" s="432"/>
      <c r="Q204" s="432"/>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c r="BB204" s="432"/>
      <c r="BC204" s="432"/>
      <c r="BD204" s="432"/>
      <c r="BE204" s="432"/>
      <c r="BF204" s="432"/>
      <c r="BG204" s="432"/>
      <c r="BH204" s="432"/>
      <c r="BI204" s="432"/>
      <c r="BJ204" s="432"/>
      <c r="BK204" s="433"/>
      <c r="BL204" s="392"/>
      <c r="BM204" s="393"/>
      <c r="BN204" s="393"/>
      <c r="BO204" s="393"/>
      <c r="BP204" s="393"/>
      <c r="BQ204" s="393"/>
      <c r="BR204" s="393"/>
      <c r="BS204" s="394"/>
      <c r="BT204" s="395" t="s">
        <v>1006</v>
      </c>
      <c r="BU204" s="396"/>
      <c r="BV204" s="396"/>
      <c r="BW204" s="396"/>
      <c r="BX204" s="396"/>
      <c r="BY204" s="396"/>
      <c r="BZ204" s="396"/>
      <c r="CA204" s="396"/>
      <c r="CB204" s="396"/>
      <c r="CC204" s="396"/>
      <c r="CD204" s="396"/>
      <c r="CE204" s="396"/>
      <c r="CF204" s="397"/>
      <c r="CG204" s="398" t="s">
        <v>1007</v>
      </c>
      <c r="CH204" s="393"/>
      <c r="CI204" s="393"/>
      <c r="CJ204" s="393"/>
      <c r="CK204" s="393"/>
      <c r="CL204" s="393"/>
      <c r="CM204" s="393"/>
      <c r="CN204" s="393"/>
      <c r="CO204" s="393"/>
      <c r="CP204" s="393"/>
      <c r="CQ204" s="394"/>
      <c r="CR204" s="398"/>
      <c r="CS204" s="393"/>
      <c r="CT204" s="393"/>
      <c r="CU204" s="393"/>
      <c r="CV204" s="393"/>
      <c r="CW204" s="393"/>
      <c r="CX204" s="393"/>
      <c r="CY204" s="393"/>
      <c r="CZ204" s="393"/>
      <c r="DA204" s="393"/>
      <c r="DB204" s="393"/>
      <c r="DC204" s="393"/>
      <c r="DD204" s="394"/>
      <c r="DE204" s="402">
        <v>0</v>
      </c>
      <c r="DF204" s="403"/>
      <c r="DG204" s="403"/>
      <c r="DH204" s="403"/>
      <c r="DI204" s="403"/>
      <c r="DJ204" s="403"/>
      <c r="DK204" s="403"/>
      <c r="DL204" s="403"/>
      <c r="DM204" s="403"/>
      <c r="DN204" s="403"/>
      <c r="DO204" s="403"/>
      <c r="DP204" s="403"/>
      <c r="DQ204" s="404"/>
      <c r="DR204" s="399">
        <v>75000</v>
      </c>
      <c r="DS204" s="400"/>
      <c r="DT204" s="400"/>
      <c r="DU204" s="400"/>
      <c r="DV204" s="400"/>
      <c r="DW204" s="400"/>
      <c r="DX204" s="400"/>
      <c r="DY204" s="400"/>
      <c r="DZ204" s="400"/>
      <c r="EA204" s="400"/>
      <c r="EB204" s="400"/>
      <c r="EC204" s="400"/>
      <c r="ED204" s="401"/>
      <c r="EE204" s="402"/>
      <c r="EF204" s="403"/>
      <c r="EG204" s="403"/>
      <c r="EH204" s="403"/>
      <c r="EI204" s="403"/>
      <c r="EJ204" s="403"/>
      <c r="EK204" s="403"/>
      <c r="EL204" s="403"/>
      <c r="EM204" s="403"/>
      <c r="EN204" s="403"/>
      <c r="EO204" s="403"/>
      <c r="EP204" s="403"/>
      <c r="EQ204" s="404"/>
      <c r="ER204" s="349"/>
      <c r="ES204" s="350"/>
      <c r="ET204" s="350"/>
      <c r="EU204" s="350"/>
      <c r="EV204" s="350"/>
      <c r="EW204" s="350"/>
      <c r="EX204" s="350"/>
      <c r="EY204" s="350"/>
      <c r="EZ204" s="350"/>
      <c r="FA204" s="350"/>
      <c r="FB204" s="351"/>
      <c r="FC204" s="352"/>
      <c r="FD204" s="353"/>
      <c r="FE204" s="353"/>
      <c r="FF204" s="353"/>
      <c r="FG204" s="353"/>
      <c r="FH204" s="353"/>
      <c r="FI204" s="353"/>
      <c r="FJ204" s="353"/>
      <c r="FK204" s="353"/>
      <c r="FL204" s="353"/>
      <c r="FO204" s="275">
        <v>75000</v>
      </c>
      <c r="FP204" s="275"/>
      <c r="FQ204" s="275">
        <f t="shared" si="4"/>
        <v>0</v>
      </c>
    </row>
    <row r="205" spans="1:173" ht="12" customHeight="1">
      <c r="A205" s="461" t="s">
        <v>209</v>
      </c>
      <c r="B205" s="462"/>
      <c r="C205" s="462"/>
      <c r="D205" s="462"/>
      <c r="E205" s="462"/>
      <c r="F205" s="462"/>
      <c r="G205" s="462"/>
      <c r="H205" s="462"/>
      <c r="I205" s="462"/>
      <c r="J205" s="462"/>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462"/>
      <c r="AG205" s="462"/>
      <c r="AH205" s="462"/>
      <c r="AI205" s="462"/>
      <c r="AJ205" s="462"/>
      <c r="AK205" s="462"/>
      <c r="AL205" s="462"/>
      <c r="AM205" s="462"/>
      <c r="AN205" s="462"/>
      <c r="AO205" s="462"/>
      <c r="AP205" s="462"/>
      <c r="AQ205" s="462"/>
      <c r="AR205" s="462"/>
      <c r="AS205" s="462"/>
      <c r="AT205" s="462"/>
      <c r="AU205" s="462"/>
      <c r="AV205" s="462"/>
      <c r="AW205" s="462"/>
      <c r="AX205" s="462"/>
      <c r="AY205" s="462"/>
      <c r="AZ205" s="462"/>
      <c r="BA205" s="462"/>
      <c r="BB205" s="462"/>
      <c r="BC205" s="462"/>
      <c r="BD205" s="462"/>
      <c r="BE205" s="462"/>
      <c r="BF205" s="462"/>
      <c r="BG205" s="462"/>
      <c r="BH205" s="462"/>
      <c r="BI205" s="462"/>
      <c r="BJ205" s="462"/>
      <c r="BK205" s="463"/>
      <c r="BL205" s="460" t="s">
        <v>1099</v>
      </c>
      <c r="BM205" s="363"/>
      <c r="BN205" s="363"/>
      <c r="BO205" s="363"/>
      <c r="BP205" s="363"/>
      <c r="BQ205" s="363"/>
      <c r="BR205" s="363"/>
      <c r="BS205" s="364"/>
      <c r="BT205" s="362" t="s">
        <v>109</v>
      </c>
      <c r="BU205" s="363"/>
      <c r="BV205" s="363"/>
      <c r="BW205" s="363"/>
      <c r="BX205" s="363"/>
      <c r="BY205" s="363"/>
      <c r="BZ205" s="363"/>
      <c r="CA205" s="363"/>
      <c r="CB205" s="363"/>
      <c r="CC205" s="363"/>
      <c r="CD205" s="363"/>
      <c r="CE205" s="363"/>
      <c r="CF205" s="364"/>
      <c r="CG205" s="362" t="s">
        <v>210</v>
      </c>
      <c r="CH205" s="363"/>
      <c r="CI205" s="363"/>
      <c r="CJ205" s="363"/>
      <c r="CK205" s="363"/>
      <c r="CL205" s="363"/>
      <c r="CM205" s="363"/>
      <c r="CN205" s="363"/>
      <c r="CO205" s="363"/>
      <c r="CP205" s="363"/>
      <c r="CQ205" s="364"/>
      <c r="CR205" s="362"/>
      <c r="CS205" s="363"/>
      <c r="CT205" s="363"/>
      <c r="CU205" s="363"/>
      <c r="CV205" s="363"/>
      <c r="CW205" s="363"/>
      <c r="CX205" s="363"/>
      <c r="CY205" s="363"/>
      <c r="CZ205" s="363"/>
      <c r="DA205" s="363"/>
      <c r="DB205" s="363"/>
      <c r="DC205" s="363"/>
      <c r="DD205" s="364"/>
      <c r="DE205" s="365">
        <f>SUM(DE206:DQ209)</f>
        <v>3361171.08</v>
      </c>
      <c r="DF205" s="366"/>
      <c r="DG205" s="366"/>
      <c r="DH205" s="366"/>
      <c r="DI205" s="366"/>
      <c r="DJ205" s="366"/>
      <c r="DK205" s="366"/>
      <c r="DL205" s="366"/>
      <c r="DM205" s="366"/>
      <c r="DN205" s="366"/>
      <c r="DO205" s="366"/>
      <c r="DP205" s="366"/>
      <c r="DQ205" s="367"/>
      <c r="DR205" s="365">
        <f>SUM(DR206:ED209)</f>
        <v>42733.22</v>
      </c>
      <c r="DS205" s="366"/>
      <c r="DT205" s="366"/>
      <c r="DU205" s="366"/>
      <c r="DV205" s="366"/>
      <c r="DW205" s="366"/>
      <c r="DX205" s="366"/>
      <c r="DY205" s="366"/>
      <c r="DZ205" s="366"/>
      <c r="EA205" s="366"/>
      <c r="EB205" s="366"/>
      <c r="EC205" s="366"/>
      <c r="ED205" s="367"/>
      <c r="EE205" s="365"/>
      <c r="EF205" s="366"/>
      <c r="EG205" s="366"/>
      <c r="EH205" s="366"/>
      <c r="EI205" s="366"/>
      <c r="EJ205" s="366"/>
      <c r="EK205" s="366"/>
      <c r="EL205" s="366"/>
      <c r="EM205" s="366"/>
      <c r="EN205" s="366"/>
      <c r="EO205" s="366"/>
      <c r="EP205" s="366"/>
      <c r="EQ205" s="367"/>
      <c r="ER205" s="349"/>
      <c r="ES205" s="350"/>
      <c r="ET205" s="350"/>
      <c r="EU205" s="350"/>
      <c r="EV205" s="350"/>
      <c r="EW205" s="350"/>
      <c r="EX205" s="350"/>
      <c r="EY205" s="350"/>
      <c r="EZ205" s="350"/>
      <c r="FA205" s="350"/>
      <c r="FB205" s="351"/>
      <c r="FC205" s="352"/>
      <c r="FD205" s="353"/>
      <c r="FE205" s="353"/>
      <c r="FF205" s="353"/>
      <c r="FG205" s="353"/>
      <c r="FH205" s="353"/>
      <c r="FI205" s="353"/>
      <c r="FJ205" s="353"/>
      <c r="FK205" s="353"/>
      <c r="FL205" s="353"/>
      <c r="FO205" s="275"/>
      <c r="FP205" s="275"/>
      <c r="FQ205" s="275">
        <f t="shared" si="4"/>
        <v>42733.22</v>
      </c>
    </row>
    <row r="206" spans="1:173" ht="12" hidden="1" customHeight="1">
      <c r="A206" s="336" t="s">
        <v>372</v>
      </c>
      <c r="B206" s="337"/>
      <c r="C206" s="337"/>
      <c r="D206" s="337"/>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37"/>
      <c r="AC206" s="337"/>
      <c r="AD206" s="337"/>
      <c r="AE206" s="337"/>
      <c r="AF206" s="337"/>
      <c r="AG206" s="337"/>
      <c r="AH206" s="337"/>
      <c r="AI206" s="337"/>
      <c r="AJ206" s="337"/>
      <c r="AK206" s="337"/>
      <c r="AL206" s="337"/>
      <c r="AM206" s="337"/>
      <c r="AN206" s="337"/>
      <c r="AO206" s="337"/>
      <c r="AP206" s="337"/>
      <c r="AQ206" s="337"/>
      <c r="AR206" s="337"/>
      <c r="AS206" s="337"/>
      <c r="AT206" s="337"/>
      <c r="AU206" s="337"/>
      <c r="AV206" s="337"/>
      <c r="AW206" s="337"/>
      <c r="AX206" s="337"/>
      <c r="AY206" s="337"/>
      <c r="AZ206" s="337"/>
      <c r="BA206" s="337"/>
      <c r="BB206" s="337"/>
      <c r="BC206" s="337"/>
      <c r="BD206" s="337"/>
      <c r="BE206" s="337"/>
      <c r="BF206" s="337"/>
      <c r="BG206" s="337"/>
      <c r="BH206" s="337"/>
      <c r="BI206" s="337"/>
      <c r="BJ206" s="337"/>
      <c r="BK206" s="338"/>
      <c r="BL206" s="339"/>
      <c r="BM206" s="340"/>
      <c r="BN206" s="340"/>
      <c r="BO206" s="340"/>
      <c r="BP206" s="340"/>
      <c r="BQ206" s="340"/>
      <c r="BR206" s="340"/>
      <c r="BS206" s="341"/>
      <c r="BT206" s="342" t="s">
        <v>784</v>
      </c>
      <c r="BU206" s="343"/>
      <c r="BV206" s="343"/>
      <c r="BW206" s="343"/>
      <c r="BX206" s="343"/>
      <c r="BY206" s="343"/>
      <c r="BZ206" s="343"/>
      <c r="CA206" s="343"/>
      <c r="CB206" s="343"/>
      <c r="CC206" s="343"/>
      <c r="CD206" s="343"/>
      <c r="CE206" s="343"/>
      <c r="CF206" s="344"/>
      <c r="CG206" s="345" t="s">
        <v>790</v>
      </c>
      <c r="CH206" s="340"/>
      <c r="CI206" s="340"/>
      <c r="CJ206" s="340"/>
      <c r="CK206" s="340"/>
      <c r="CL206" s="340"/>
      <c r="CM206" s="340"/>
      <c r="CN206" s="340"/>
      <c r="CO206" s="340"/>
      <c r="CP206" s="340"/>
      <c r="CQ206" s="341"/>
      <c r="CR206" s="345"/>
      <c r="CS206" s="340"/>
      <c r="CT206" s="340"/>
      <c r="CU206" s="340"/>
      <c r="CV206" s="340"/>
      <c r="CW206" s="340"/>
      <c r="CX206" s="340"/>
      <c r="CY206" s="340"/>
      <c r="CZ206" s="340"/>
      <c r="DA206" s="340"/>
      <c r="DB206" s="340"/>
      <c r="DC206" s="340"/>
      <c r="DD206" s="341"/>
      <c r="DE206" s="349">
        <f>2650282.28+259737.47</f>
        <v>2910019.75</v>
      </c>
      <c r="DF206" s="350"/>
      <c r="DG206" s="350"/>
      <c r="DH206" s="350"/>
      <c r="DI206" s="350"/>
      <c r="DJ206" s="350"/>
      <c r="DK206" s="350"/>
      <c r="DL206" s="350"/>
      <c r="DM206" s="350"/>
      <c r="DN206" s="350"/>
      <c r="DO206" s="350"/>
      <c r="DP206" s="350"/>
      <c r="DQ206" s="351"/>
      <c r="DR206" s="349">
        <v>0</v>
      </c>
      <c r="DS206" s="350"/>
      <c r="DT206" s="350"/>
      <c r="DU206" s="350"/>
      <c r="DV206" s="350"/>
      <c r="DW206" s="350"/>
      <c r="DX206" s="350"/>
      <c r="DY206" s="350"/>
      <c r="DZ206" s="350"/>
      <c r="EA206" s="350"/>
      <c r="EB206" s="350"/>
      <c r="EC206" s="350"/>
      <c r="ED206" s="351"/>
      <c r="EE206" s="349"/>
      <c r="EF206" s="350"/>
      <c r="EG206" s="350"/>
      <c r="EH206" s="350"/>
      <c r="EI206" s="350"/>
      <c r="EJ206" s="350"/>
      <c r="EK206" s="350"/>
      <c r="EL206" s="350"/>
      <c r="EM206" s="350"/>
      <c r="EN206" s="350"/>
      <c r="EO206" s="350"/>
      <c r="EP206" s="350"/>
      <c r="EQ206" s="351"/>
      <c r="ER206" s="349"/>
      <c r="ES206" s="350"/>
      <c r="ET206" s="350"/>
      <c r="EU206" s="350"/>
      <c r="EV206" s="350"/>
      <c r="EW206" s="350"/>
      <c r="EX206" s="350"/>
      <c r="EY206" s="350"/>
      <c r="EZ206" s="350"/>
      <c r="FA206" s="350"/>
      <c r="FB206" s="351"/>
      <c r="FC206" s="352"/>
      <c r="FD206" s="353"/>
      <c r="FE206" s="353"/>
      <c r="FF206" s="353"/>
      <c r="FG206" s="353"/>
      <c r="FH206" s="353"/>
      <c r="FI206" s="353"/>
      <c r="FJ206" s="353"/>
      <c r="FK206" s="353"/>
      <c r="FL206" s="353"/>
      <c r="FO206" s="275"/>
      <c r="FP206" s="275"/>
      <c r="FQ206" s="275">
        <f t="shared" ref="FQ206:FQ269" si="6">DR206-FO206-FP206</f>
        <v>0</v>
      </c>
    </row>
    <row r="207" spans="1:173" ht="12" customHeight="1">
      <c r="A207" s="336" t="s">
        <v>373</v>
      </c>
      <c r="B207" s="337"/>
      <c r="C207" s="337"/>
      <c r="D207" s="337"/>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337"/>
      <c r="AD207" s="337"/>
      <c r="AE207" s="337"/>
      <c r="AF207" s="337"/>
      <c r="AG207" s="337"/>
      <c r="AH207" s="337"/>
      <c r="AI207" s="337"/>
      <c r="AJ207" s="337"/>
      <c r="AK207" s="337"/>
      <c r="AL207" s="337"/>
      <c r="AM207" s="337"/>
      <c r="AN207" s="337"/>
      <c r="AO207" s="337"/>
      <c r="AP207" s="337"/>
      <c r="AQ207" s="337"/>
      <c r="AR207" s="337"/>
      <c r="AS207" s="337"/>
      <c r="AT207" s="337"/>
      <c r="AU207" s="337"/>
      <c r="AV207" s="337"/>
      <c r="AW207" s="337"/>
      <c r="AX207" s="337"/>
      <c r="AY207" s="337"/>
      <c r="AZ207" s="337"/>
      <c r="BA207" s="337"/>
      <c r="BB207" s="337"/>
      <c r="BC207" s="337"/>
      <c r="BD207" s="337"/>
      <c r="BE207" s="337"/>
      <c r="BF207" s="337"/>
      <c r="BG207" s="337"/>
      <c r="BH207" s="337"/>
      <c r="BI207" s="337"/>
      <c r="BJ207" s="337"/>
      <c r="BK207" s="338"/>
      <c r="BL207" s="339"/>
      <c r="BM207" s="340"/>
      <c r="BN207" s="340"/>
      <c r="BO207" s="340"/>
      <c r="BP207" s="340"/>
      <c r="BQ207" s="340"/>
      <c r="BR207" s="340"/>
      <c r="BS207" s="341"/>
      <c r="BT207" s="342" t="s">
        <v>784</v>
      </c>
      <c r="BU207" s="343"/>
      <c r="BV207" s="343"/>
      <c r="BW207" s="343"/>
      <c r="BX207" s="343"/>
      <c r="BY207" s="343"/>
      <c r="BZ207" s="343"/>
      <c r="CA207" s="343"/>
      <c r="CB207" s="343"/>
      <c r="CC207" s="343"/>
      <c r="CD207" s="343"/>
      <c r="CE207" s="343"/>
      <c r="CF207" s="344"/>
      <c r="CG207" s="345" t="s">
        <v>791</v>
      </c>
      <c r="CH207" s="340"/>
      <c r="CI207" s="340"/>
      <c r="CJ207" s="340"/>
      <c r="CK207" s="340"/>
      <c r="CL207" s="340"/>
      <c r="CM207" s="340"/>
      <c r="CN207" s="340"/>
      <c r="CO207" s="340"/>
      <c r="CP207" s="340"/>
      <c r="CQ207" s="341"/>
      <c r="CR207" s="345"/>
      <c r="CS207" s="340"/>
      <c r="CT207" s="340"/>
      <c r="CU207" s="340"/>
      <c r="CV207" s="340"/>
      <c r="CW207" s="340"/>
      <c r="CX207" s="340"/>
      <c r="CY207" s="340"/>
      <c r="CZ207" s="340"/>
      <c r="DA207" s="340"/>
      <c r="DB207" s="340"/>
      <c r="DC207" s="340"/>
      <c r="DD207" s="341"/>
      <c r="DE207" s="349">
        <f>37131.18+1417.8</f>
        <v>38548.980000000003</v>
      </c>
      <c r="DF207" s="350"/>
      <c r="DG207" s="350"/>
      <c r="DH207" s="350"/>
      <c r="DI207" s="350"/>
      <c r="DJ207" s="350"/>
      <c r="DK207" s="350"/>
      <c r="DL207" s="350"/>
      <c r="DM207" s="350"/>
      <c r="DN207" s="350"/>
      <c r="DO207" s="350"/>
      <c r="DP207" s="350"/>
      <c r="DQ207" s="351"/>
      <c r="DR207" s="349">
        <f>42733.22</f>
        <v>42733.22</v>
      </c>
      <c r="DS207" s="350"/>
      <c r="DT207" s="350"/>
      <c r="DU207" s="350"/>
      <c r="DV207" s="350"/>
      <c r="DW207" s="350"/>
      <c r="DX207" s="350"/>
      <c r="DY207" s="350"/>
      <c r="DZ207" s="350"/>
      <c r="EA207" s="350"/>
      <c r="EB207" s="350"/>
      <c r="EC207" s="350"/>
      <c r="ED207" s="351"/>
      <c r="EE207" s="349"/>
      <c r="EF207" s="350"/>
      <c r="EG207" s="350"/>
      <c r="EH207" s="350"/>
      <c r="EI207" s="350"/>
      <c r="EJ207" s="350"/>
      <c r="EK207" s="350"/>
      <c r="EL207" s="350"/>
      <c r="EM207" s="350"/>
      <c r="EN207" s="350"/>
      <c r="EO207" s="350"/>
      <c r="EP207" s="350"/>
      <c r="EQ207" s="351"/>
      <c r="ER207" s="349"/>
      <c r="ES207" s="350"/>
      <c r="ET207" s="350"/>
      <c r="EU207" s="350"/>
      <c r="EV207" s="350"/>
      <c r="EW207" s="350"/>
      <c r="EX207" s="350"/>
      <c r="EY207" s="350"/>
      <c r="EZ207" s="350"/>
      <c r="FA207" s="350"/>
      <c r="FB207" s="351"/>
      <c r="FC207" s="352"/>
      <c r="FD207" s="353"/>
      <c r="FE207" s="353"/>
      <c r="FF207" s="353"/>
      <c r="FG207" s="353"/>
      <c r="FH207" s="353"/>
      <c r="FI207" s="353"/>
      <c r="FJ207" s="353"/>
      <c r="FK207" s="353"/>
      <c r="FL207" s="353"/>
      <c r="FO207" s="275">
        <v>25000</v>
      </c>
      <c r="FP207" s="275"/>
      <c r="FQ207" s="275">
        <f t="shared" si="6"/>
        <v>17733.22</v>
      </c>
    </row>
    <row r="208" spans="1:173" ht="12" hidden="1" customHeight="1">
      <c r="A208" s="336" t="s">
        <v>792</v>
      </c>
      <c r="B208" s="337"/>
      <c r="C208" s="337"/>
      <c r="D208" s="337"/>
      <c r="E208" s="337"/>
      <c r="F208" s="337"/>
      <c r="G208" s="337"/>
      <c r="H208" s="337"/>
      <c r="I208" s="337"/>
      <c r="J208" s="337"/>
      <c r="K208" s="337"/>
      <c r="L208" s="337"/>
      <c r="M208" s="337"/>
      <c r="N208" s="337"/>
      <c r="O208" s="337"/>
      <c r="P208" s="337"/>
      <c r="Q208" s="337"/>
      <c r="R208" s="337"/>
      <c r="S208" s="337"/>
      <c r="T208" s="337"/>
      <c r="U208" s="337"/>
      <c r="V208" s="337"/>
      <c r="W208" s="337"/>
      <c r="X208" s="337"/>
      <c r="Y208" s="337"/>
      <c r="Z208" s="337"/>
      <c r="AA208" s="337"/>
      <c r="AB208" s="337"/>
      <c r="AC208" s="337"/>
      <c r="AD208" s="337"/>
      <c r="AE208" s="337"/>
      <c r="AF208" s="337"/>
      <c r="AG208" s="337"/>
      <c r="AH208" s="337"/>
      <c r="AI208" s="337"/>
      <c r="AJ208" s="337"/>
      <c r="AK208" s="337"/>
      <c r="AL208" s="337"/>
      <c r="AM208" s="337"/>
      <c r="AN208" s="337"/>
      <c r="AO208" s="337"/>
      <c r="AP208" s="337"/>
      <c r="AQ208" s="337"/>
      <c r="AR208" s="337"/>
      <c r="AS208" s="337"/>
      <c r="AT208" s="337"/>
      <c r="AU208" s="337"/>
      <c r="AV208" s="337"/>
      <c r="AW208" s="337"/>
      <c r="AX208" s="337"/>
      <c r="AY208" s="337"/>
      <c r="AZ208" s="337"/>
      <c r="BA208" s="337"/>
      <c r="BB208" s="337"/>
      <c r="BC208" s="337"/>
      <c r="BD208" s="337"/>
      <c r="BE208" s="337"/>
      <c r="BF208" s="337"/>
      <c r="BG208" s="337"/>
      <c r="BH208" s="337"/>
      <c r="BI208" s="337"/>
      <c r="BJ208" s="337"/>
      <c r="BK208" s="338"/>
      <c r="BL208" s="339"/>
      <c r="BM208" s="340"/>
      <c r="BN208" s="340"/>
      <c r="BO208" s="340"/>
      <c r="BP208" s="340"/>
      <c r="BQ208" s="340"/>
      <c r="BR208" s="340"/>
      <c r="BS208" s="341"/>
      <c r="BT208" s="342" t="s">
        <v>784</v>
      </c>
      <c r="BU208" s="343"/>
      <c r="BV208" s="343"/>
      <c r="BW208" s="343"/>
      <c r="BX208" s="343"/>
      <c r="BY208" s="343"/>
      <c r="BZ208" s="343"/>
      <c r="CA208" s="343"/>
      <c r="CB208" s="343"/>
      <c r="CC208" s="343"/>
      <c r="CD208" s="343"/>
      <c r="CE208" s="343"/>
      <c r="CF208" s="344"/>
      <c r="CG208" s="345" t="s">
        <v>794</v>
      </c>
      <c r="CH208" s="340"/>
      <c r="CI208" s="340"/>
      <c r="CJ208" s="340"/>
      <c r="CK208" s="340"/>
      <c r="CL208" s="340"/>
      <c r="CM208" s="340"/>
      <c r="CN208" s="340"/>
      <c r="CO208" s="340"/>
      <c r="CP208" s="340"/>
      <c r="CQ208" s="341"/>
      <c r="CR208" s="345"/>
      <c r="CS208" s="340"/>
      <c r="CT208" s="340"/>
      <c r="CU208" s="340"/>
      <c r="CV208" s="340"/>
      <c r="CW208" s="340"/>
      <c r="CX208" s="340"/>
      <c r="CY208" s="340"/>
      <c r="CZ208" s="340"/>
      <c r="DA208" s="340"/>
      <c r="DB208" s="340"/>
      <c r="DC208" s="340"/>
      <c r="DD208" s="341"/>
      <c r="DE208" s="349">
        <f>311189.76+12433.28</f>
        <v>323623.04000000004</v>
      </c>
      <c r="DF208" s="350"/>
      <c r="DG208" s="350"/>
      <c r="DH208" s="350"/>
      <c r="DI208" s="350"/>
      <c r="DJ208" s="350"/>
      <c r="DK208" s="350"/>
      <c r="DL208" s="350"/>
      <c r="DM208" s="350"/>
      <c r="DN208" s="350"/>
      <c r="DO208" s="350"/>
      <c r="DP208" s="350"/>
      <c r="DQ208" s="351"/>
      <c r="DR208" s="349">
        <v>0</v>
      </c>
      <c r="DS208" s="350"/>
      <c r="DT208" s="350"/>
      <c r="DU208" s="350"/>
      <c r="DV208" s="350"/>
      <c r="DW208" s="350"/>
      <c r="DX208" s="350"/>
      <c r="DY208" s="350"/>
      <c r="DZ208" s="350"/>
      <c r="EA208" s="350"/>
      <c r="EB208" s="350"/>
      <c r="EC208" s="350"/>
      <c r="ED208" s="351"/>
      <c r="EE208" s="349"/>
      <c r="EF208" s="350"/>
      <c r="EG208" s="350"/>
      <c r="EH208" s="350"/>
      <c r="EI208" s="350"/>
      <c r="EJ208" s="350"/>
      <c r="EK208" s="350"/>
      <c r="EL208" s="350"/>
      <c r="EM208" s="350"/>
      <c r="EN208" s="350"/>
      <c r="EO208" s="350"/>
      <c r="EP208" s="350"/>
      <c r="EQ208" s="351"/>
      <c r="ER208" s="349"/>
      <c r="ES208" s="350"/>
      <c r="ET208" s="350"/>
      <c r="EU208" s="350"/>
      <c r="EV208" s="350"/>
      <c r="EW208" s="350"/>
      <c r="EX208" s="350"/>
      <c r="EY208" s="350"/>
      <c r="EZ208" s="350"/>
      <c r="FA208" s="350"/>
      <c r="FB208" s="351"/>
      <c r="FC208" s="352"/>
      <c r="FD208" s="353"/>
      <c r="FE208" s="353"/>
      <c r="FF208" s="353"/>
      <c r="FG208" s="353"/>
      <c r="FH208" s="353"/>
      <c r="FI208" s="353"/>
      <c r="FJ208" s="353"/>
      <c r="FK208" s="353"/>
      <c r="FL208" s="353"/>
      <c r="FO208" s="275"/>
      <c r="FP208" s="275"/>
      <c r="FQ208" s="275">
        <f t="shared" si="6"/>
        <v>0</v>
      </c>
    </row>
    <row r="209" spans="1:173" ht="12" hidden="1" customHeight="1">
      <c r="A209" s="336" t="s">
        <v>793</v>
      </c>
      <c r="B209" s="337"/>
      <c r="C209" s="337"/>
      <c r="D209" s="337"/>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37"/>
      <c r="AE209" s="337"/>
      <c r="AF209" s="337"/>
      <c r="AG209" s="337"/>
      <c r="AH209" s="337"/>
      <c r="AI209" s="337"/>
      <c r="AJ209" s="337"/>
      <c r="AK209" s="337"/>
      <c r="AL209" s="337"/>
      <c r="AM209" s="337"/>
      <c r="AN209" s="337"/>
      <c r="AO209" s="337"/>
      <c r="AP209" s="337"/>
      <c r="AQ209" s="337"/>
      <c r="AR209" s="337"/>
      <c r="AS209" s="337"/>
      <c r="AT209" s="337"/>
      <c r="AU209" s="337"/>
      <c r="AV209" s="337"/>
      <c r="AW209" s="337"/>
      <c r="AX209" s="337"/>
      <c r="AY209" s="337"/>
      <c r="AZ209" s="337"/>
      <c r="BA209" s="337"/>
      <c r="BB209" s="337"/>
      <c r="BC209" s="337"/>
      <c r="BD209" s="337"/>
      <c r="BE209" s="337"/>
      <c r="BF209" s="337"/>
      <c r="BG209" s="337"/>
      <c r="BH209" s="337"/>
      <c r="BI209" s="337"/>
      <c r="BJ209" s="337"/>
      <c r="BK209" s="338"/>
      <c r="BL209" s="339"/>
      <c r="BM209" s="340"/>
      <c r="BN209" s="340"/>
      <c r="BO209" s="340"/>
      <c r="BP209" s="340"/>
      <c r="BQ209" s="340"/>
      <c r="BR209" s="340"/>
      <c r="BS209" s="341"/>
      <c r="BT209" s="342" t="s">
        <v>784</v>
      </c>
      <c r="BU209" s="343"/>
      <c r="BV209" s="343"/>
      <c r="BW209" s="343"/>
      <c r="BX209" s="343"/>
      <c r="BY209" s="343"/>
      <c r="BZ209" s="343"/>
      <c r="CA209" s="343"/>
      <c r="CB209" s="343"/>
      <c r="CC209" s="343"/>
      <c r="CD209" s="343"/>
      <c r="CE209" s="343"/>
      <c r="CF209" s="344"/>
      <c r="CG209" s="345" t="s">
        <v>794</v>
      </c>
      <c r="CH209" s="340"/>
      <c r="CI209" s="340"/>
      <c r="CJ209" s="340"/>
      <c r="CK209" s="340"/>
      <c r="CL209" s="340"/>
      <c r="CM209" s="340"/>
      <c r="CN209" s="340"/>
      <c r="CO209" s="340"/>
      <c r="CP209" s="340"/>
      <c r="CQ209" s="341"/>
      <c r="CR209" s="345"/>
      <c r="CS209" s="340"/>
      <c r="CT209" s="340"/>
      <c r="CU209" s="340"/>
      <c r="CV209" s="340"/>
      <c r="CW209" s="340"/>
      <c r="CX209" s="340"/>
      <c r="CY209" s="340"/>
      <c r="CZ209" s="340"/>
      <c r="DA209" s="340"/>
      <c r="DB209" s="340"/>
      <c r="DC209" s="340"/>
      <c r="DD209" s="341"/>
      <c r="DE209" s="349">
        <v>88979.31</v>
      </c>
      <c r="DF209" s="350"/>
      <c r="DG209" s="350"/>
      <c r="DH209" s="350"/>
      <c r="DI209" s="350"/>
      <c r="DJ209" s="350"/>
      <c r="DK209" s="350"/>
      <c r="DL209" s="350"/>
      <c r="DM209" s="350"/>
      <c r="DN209" s="350"/>
      <c r="DO209" s="350"/>
      <c r="DP209" s="350"/>
      <c r="DQ209" s="351"/>
      <c r="DR209" s="349">
        <v>0</v>
      </c>
      <c r="DS209" s="350"/>
      <c r="DT209" s="350"/>
      <c r="DU209" s="350"/>
      <c r="DV209" s="350"/>
      <c r="DW209" s="350"/>
      <c r="DX209" s="350"/>
      <c r="DY209" s="350"/>
      <c r="DZ209" s="350"/>
      <c r="EA209" s="350"/>
      <c r="EB209" s="350"/>
      <c r="EC209" s="350"/>
      <c r="ED209" s="351"/>
      <c r="EE209" s="349"/>
      <c r="EF209" s="350"/>
      <c r="EG209" s="350"/>
      <c r="EH209" s="350"/>
      <c r="EI209" s="350"/>
      <c r="EJ209" s="350"/>
      <c r="EK209" s="350"/>
      <c r="EL209" s="350"/>
      <c r="EM209" s="350"/>
      <c r="EN209" s="350"/>
      <c r="EO209" s="350"/>
      <c r="EP209" s="350"/>
      <c r="EQ209" s="351"/>
      <c r="ER209" s="349"/>
      <c r="ES209" s="350"/>
      <c r="ET209" s="350"/>
      <c r="EU209" s="350"/>
      <c r="EV209" s="350"/>
      <c r="EW209" s="350"/>
      <c r="EX209" s="350"/>
      <c r="EY209" s="350"/>
      <c r="EZ209" s="350"/>
      <c r="FA209" s="350"/>
      <c r="FB209" s="351"/>
      <c r="FC209" s="352"/>
      <c r="FD209" s="353"/>
      <c r="FE209" s="353"/>
      <c r="FF209" s="353"/>
      <c r="FG209" s="353"/>
      <c r="FH209" s="353"/>
      <c r="FI209" s="353"/>
      <c r="FJ209" s="353"/>
      <c r="FK209" s="353"/>
      <c r="FL209" s="353"/>
      <c r="FO209" s="275"/>
      <c r="FP209" s="275"/>
      <c r="FQ209" s="275">
        <f t="shared" si="6"/>
        <v>0</v>
      </c>
    </row>
    <row r="210" spans="1:173" ht="12" customHeight="1">
      <c r="A210" s="468" t="s">
        <v>370</v>
      </c>
      <c r="B210" s="462"/>
      <c r="C210" s="462"/>
      <c r="D210" s="462"/>
      <c r="E210" s="462"/>
      <c r="F210" s="462"/>
      <c r="G210" s="462"/>
      <c r="H210" s="462"/>
      <c r="I210" s="462"/>
      <c r="J210" s="462"/>
      <c r="K210" s="462"/>
      <c r="L210" s="462"/>
      <c r="M210" s="462"/>
      <c r="N210" s="462"/>
      <c r="O210" s="462"/>
      <c r="P210" s="462"/>
      <c r="Q210" s="462"/>
      <c r="R210" s="462"/>
      <c r="S210" s="462"/>
      <c r="T210" s="462"/>
      <c r="U210" s="462"/>
      <c r="V210" s="462"/>
      <c r="W210" s="462"/>
      <c r="X210" s="462"/>
      <c r="Y210" s="462"/>
      <c r="Z210" s="462"/>
      <c r="AA210" s="462"/>
      <c r="AB210" s="462"/>
      <c r="AC210" s="462"/>
      <c r="AD210" s="462"/>
      <c r="AE210" s="462"/>
      <c r="AF210" s="462"/>
      <c r="AG210" s="462"/>
      <c r="AH210" s="462"/>
      <c r="AI210" s="462"/>
      <c r="AJ210" s="462"/>
      <c r="AK210" s="462"/>
      <c r="AL210" s="462"/>
      <c r="AM210" s="462"/>
      <c r="AN210" s="462"/>
      <c r="AO210" s="462"/>
      <c r="AP210" s="462"/>
      <c r="AQ210" s="462"/>
      <c r="AR210" s="462"/>
      <c r="AS210" s="462"/>
      <c r="AT210" s="462"/>
      <c r="AU210" s="462"/>
      <c r="AV210" s="462"/>
      <c r="AW210" s="462"/>
      <c r="AX210" s="462"/>
      <c r="AY210" s="462"/>
      <c r="AZ210" s="462"/>
      <c r="BA210" s="462"/>
      <c r="BB210" s="462"/>
      <c r="BC210" s="462"/>
      <c r="BD210" s="462"/>
      <c r="BE210" s="462"/>
      <c r="BF210" s="462"/>
      <c r="BG210" s="462"/>
      <c r="BH210" s="462"/>
      <c r="BI210" s="462"/>
      <c r="BJ210" s="462"/>
      <c r="BK210" s="463"/>
      <c r="BL210" s="460" t="s">
        <v>1100</v>
      </c>
      <c r="BM210" s="363"/>
      <c r="BN210" s="363"/>
      <c r="BO210" s="363"/>
      <c r="BP210" s="363"/>
      <c r="BQ210" s="363"/>
      <c r="BR210" s="363"/>
      <c r="BS210" s="364"/>
      <c r="BT210" s="362" t="s">
        <v>109</v>
      </c>
      <c r="BU210" s="363"/>
      <c r="BV210" s="363"/>
      <c r="BW210" s="363"/>
      <c r="BX210" s="363"/>
      <c r="BY210" s="363"/>
      <c r="BZ210" s="363"/>
      <c r="CA210" s="363"/>
      <c r="CB210" s="363"/>
      <c r="CC210" s="363"/>
      <c r="CD210" s="363"/>
      <c r="CE210" s="363"/>
      <c r="CF210" s="364"/>
      <c r="CG210" s="362" t="s">
        <v>371</v>
      </c>
      <c r="CH210" s="363"/>
      <c r="CI210" s="363"/>
      <c r="CJ210" s="363"/>
      <c r="CK210" s="363"/>
      <c r="CL210" s="363"/>
      <c r="CM210" s="363"/>
      <c r="CN210" s="363"/>
      <c r="CO210" s="363"/>
      <c r="CP210" s="363"/>
      <c r="CQ210" s="364"/>
      <c r="CR210" s="362"/>
      <c r="CS210" s="363"/>
      <c r="CT210" s="363"/>
      <c r="CU210" s="363"/>
      <c r="CV210" s="363"/>
      <c r="CW210" s="363"/>
      <c r="CX210" s="363"/>
      <c r="CY210" s="363"/>
      <c r="CZ210" s="363"/>
      <c r="DA210" s="363"/>
      <c r="DB210" s="363"/>
      <c r="DC210" s="363"/>
      <c r="DD210" s="364"/>
      <c r="DE210" s="365">
        <f>DE211+DE213</f>
        <v>0</v>
      </c>
      <c r="DF210" s="366"/>
      <c r="DG210" s="366"/>
      <c r="DH210" s="366"/>
      <c r="DI210" s="366"/>
      <c r="DJ210" s="366"/>
      <c r="DK210" s="366"/>
      <c r="DL210" s="366"/>
      <c r="DM210" s="366"/>
      <c r="DN210" s="366"/>
      <c r="DO210" s="366"/>
      <c r="DP210" s="366"/>
      <c r="DQ210" s="367"/>
      <c r="DR210" s="365">
        <f>DR211+DR213</f>
        <v>0</v>
      </c>
      <c r="DS210" s="366"/>
      <c r="DT210" s="366"/>
      <c r="DU210" s="366"/>
      <c r="DV210" s="366"/>
      <c r="DW210" s="366"/>
      <c r="DX210" s="366"/>
      <c r="DY210" s="366"/>
      <c r="DZ210" s="366"/>
      <c r="EA210" s="366"/>
      <c r="EB210" s="366"/>
      <c r="EC210" s="366"/>
      <c r="ED210" s="367"/>
      <c r="EE210" s="365"/>
      <c r="EF210" s="366"/>
      <c r="EG210" s="366"/>
      <c r="EH210" s="366"/>
      <c r="EI210" s="366"/>
      <c r="EJ210" s="366"/>
      <c r="EK210" s="366"/>
      <c r="EL210" s="366"/>
      <c r="EM210" s="366"/>
      <c r="EN210" s="366"/>
      <c r="EO210" s="366"/>
      <c r="EP210" s="366"/>
      <c r="EQ210" s="367"/>
      <c r="ER210" s="349"/>
      <c r="ES210" s="350"/>
      <c r="ET210" s="350"/>
      <c r="EU210" s="350"/>
      <c r="EV210" s="350"/>
      <c r="EW210" s="350"/>
      <c r="EX210" s="350"/>
      <c r="EY210" s="350"/>
      <c r="EZ210" s="350"/>
      <c r="FA210" s="350"/>
      <c r="FB210" s="351"/>
      <c r="FC210" s="352"/>
      <c r="FD210" s="353"/>
      <c r="FE210" s="353"/>
      <c r="FF210" s="353"/>
      <c r="FG210" s="353"/>
      <c r="FH210" s="353"/>
      <c r="FI210" s="353"/>
      <c r="FJ210" s="353"/>
      <c r="FK210" s="353"/>
      <c r="FL210" s="353"/>
      <c r="FO210" s="275"/>
      <c r="FP210" s="275"/>
      <c r="FQ210" s="275">
        <f t="shared" si="6"/>
        <v>0</v>
      </c>
    </row>
    <row r="211" spans="1:173" s="215" customFormat="1" ht="12" customHeight="1">
      <c r="A211" s="437" t="s">
        <v>1002</v>
      </c>
      <c r="B211" s="438"/>
      <c r="C211" s="438"/>
      <c r="D211" s="438"/>
      <c r="E211" s="438"/>
      <c r="F211" s="438"/>
      <c r="G211" s="438"/>
      <c r="H211" s="438"/>
      <c r="I211" s="438"/>
      <c r="J211" s="438"/>
      <c r="K211" s="438"/>
      <c r="L211" s="438"/>
      <c r="M211" s="438"/>
      <c r="N211" s="438"/>
      <c r="O211" s="438"/>
      <c r="P211" s="438"/>
      <c r="Q211" s="438"/>
      <c r="R211" s="438"/>
      <c r="S211" s="438"/>
      <c r="T211" s="438"/>
      <c r="U211" s="438"/>
      <c r="V211" s="438"/>
      <c r="W211" s="438"/>
      <c r="X211" s="438"/>
      <c r="Y211" s="438"/>
      <c r="Z211" s="438"/>
      <c r="AA211" s="438"/>
      <c r="AB211" s="438"/>
      <c r="AC211" s="438"/>
      <c r="AD211" s="438"/>
      <c r="AE211" s="438"/>
      <c r="AF211" s="438"/>
      <c r="AG211" s="438"/>
      <c r="AH211" s="438"/>
      <c r="AI211" s="438"/>
      <c r="AJ211" s="438"/>
      <c r="AK211" s="438"/>
      <c r="AL211" s="438"/>
      <c r="AM211" s="438"/>
      <c r="AN211" s="438"/>
      <c r="AO211" s="438"/>
      <c r="AP211" s="438"/>
      <c r="AQ211" s="438"/>
      <c r="AR211" s="438"/>
      <c r="AS211" s="438"/>
      <c r="AT211" s="438"/>
      <c r="AU211" s="438"/>
      <c r="AV211" s="438"/>
      <c r="AW211" s="438"/>
      <c r="AX211" s="438"/>
      <c r="AY211" s="438"/>
      <c r="AZ211" s="438"/>
      <c r="BA211" s="438"/>
      <c r="BB211" s="438"/>
      <c r="BC211" s="438"/>
      <c r="BD211" s="438"/>
      <c r="BE211" s="438"/>
      <c r="BF211" s="438"/>
      <c r="BG211" s="438"/>
      <c r="BH211" s="438"/>
      <c r="BI211" s="438"/>
      <c r="BJ211" s="438"/>
      <c r="BK211" s="439"/>
      <c r="BL211" s="464"/>
      <c r="BM211" s="465"/>
      <c r="BN211" s="465"/>
      <c r="BO211" s="465"/>
      <c r="BP211" s="465"/>
      <c r="BQ211" s="465"/>
      <c r="BR211" s="465"/>
      <c r="BS211" s="466"/>
      <c r="BT211" s="467"/>
      <c r="BU211" s="465"/>
      <c r="BV211" s="465"/>
      <c r="BW211" s="465"/>
      <c r="BX211" s="465"/>
      <c r="BY211" s="465"/>
      <c r="BZ211" s="465"/>
      <c r="CA211" s="465"/>
      <c r="CB211" s="465"/>
      <c r="CC211" s="465"/>
      <c r="CD211" s="465"/>
      <c r="CE211" s="465"/>
      <c r="CF211" s="466"/>
      <c r="CG211" s="467"/>
      <c r="CH211" s="465"/>
      <c r="CI211" s="465"/>
      <c r="CJ211" s="465"/>
      <c r="CK211" s="465"/>
      <c r="CL211" s="465"/>
      <c r="CM211" s="465"/>
      <c r="CN211" s="465"/>
      <c r="CO211" s="465"/>
      <c r="CP211" s="465"/>
      <c r="CQ211" s="466"/>
      <c r="CR211" s="467"/>
      <c r="CS211" s="465"/>
      <c r="CT211" s="465"/>
      <c r="CU211" s="465"/>
      <c r="CV211" s="465"/>
      <c r="CW211" s="465"/>
      <c r="CX211" s="465"/>
      <c r="CY211" s="465"/>
      <c r="CZ211" s="465"/>
      <c r="DA211" s="465"/>
      <c r="DB211" s="465"/>
      <c r="DC211" s="465"/>
      <c r="DD211" s="466"/>
      <c r="DE211" s="410">
        <f>DE212</f>
        <v>0</v>
      </c>
      <c r="DF211" s="411"/>
      <c r="DG211" s="411"/>
      <c r="DH211" s="411"/>
      <c r="DI211" s="411"/>
      <c r="DJ211" s="411"/>
      <c r="DK211" s="411"/>
      <c r="DL211" s="411"/>
      <c r="DM211" s="411"/>
      <c r="DN211" s="411"/>
      <c r="DO211" s="411"/>
      <c r="DP211" s="411"/>
      <c r="DQ211" s="412"/>
      <c r="DR211" s="410">
        <f>DR212</f>
        <v>0</v>
      </c>
      <c r="DS211" s="411"/>
      <c r="DT211" s="411"/>
      <c r="DU211" s="411"/>
      <c r="DV211" s="411"/>
      <c r="DW211" s="411"/>
      <c r="DX211" s="411"/>
      <c r="DY211" s="411"/>
      <c r="DZ211" s="411"/>
      <c r="EA211" s="411"/>
      <c r="EB211" s="411"/>
      <c r="EC211" s="411"/>
      <c r="ED211" s="412"/>
      <c r="EE211" s="410"/>
      <c r="EF211" s="411"/>
      <c r="EG211" s="411"/>
      <c r="EH211" s="411"/>
      <c r="EI211" s="411"/>
      <c r="EJ211" s="411"/>
      <c r="EK211" s="411"/>
      <c r="EL211" s="411"/>
      <c r="EM211" s="411"/>
      <c r="EN211" s="411"/>
      <c r="EO211" s="411"/>
      <c r="EP211" s="411"/>
      <c r="EQ211" s="412"/>
      <c r="ER211" s="410"/>
      <c r="ES211" s="411"/>
      <c r="ET211" s="411"/>
      <c r="EU211" s="411"/>
      <c r="EV211" s="411"/>
      <c r="EW211" s="411"/>
      <c r="EX211" s="411"/>
      <c r="EY211" s="411"/>
      <c r="EZ211" s="411"/>
      <c r="FA211" s="411"/>
      <c r="FB211" s="412"/>
      <c r="FC211" s="423"/>
      <c r="FD211" s="424"/>
      <c r="FE211" s="424"/>
      <c r="FF211" s="424"/>
      <c r="FG211" s="424"/>
      <c r="FH211" s="424"/>
      <c r="FI211" s="424"/>
      <c r="FJ211" s="424"/>
      <c r="FK211" s="424"/>
      <c r="FL211" s="424"/>
      <c r="FO211" s="278"/>
      <c r="FP211" s="278"/>
      <c r="FQ211" s="275">
        <f t="shared" si="6"/>
        <v>0</v>
      </c>
    </row>
    <row r="212" spans="1:173" ht="12" customHeight="1">
      <c r="A212" s="485"/>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c r="AS212" s="381"/>
      <c r="AT212" s="381"/>
      <c r="AU212" s="381"/>
      <c r="AV212" s="381"/>
      <c r="AW212" s="381"/>
      <c r="AX212" s="381"/>
      <c r="AY212" s="381"/>
      <c r="AZ212" s="381"/>
      <c r="BA212" s="381"/>
      <c r="BB212" s="381"/>
      <c r="BC212" s="381"/>
      <c r="BD212" s="381"/>
      <c r="BE212" s="381"/>
      <c r="BF212" s="381"/>
      <c r="BG212" s="381"/>
      <c r="BH212" s="381"/>
      <c r="BI212" s="381"/>
      <c r="BJ212" s="381"/>
      <c r="BK212" s="382"/>
      <c r="BL212" s="339"/>
      <c r="BM212" s="340"/>
      <c r="BN212" s="340"/>
      <c r="BO212" s="340"/>
      <c r="BP212" s="340"/>
      <c r="BQ212" s="340"/>
      <c r="BR212" s="340"/>
      <c r="BS212" s="341"/>
      <c r="BT212" s="345"/>
      <c r="BU212" s="340"/>
      <c r="BV212" s="340"/>
      <c r="BW212" s="340"/>
      <c r="BX212" s="340"/>
      <c r="BY212" s="340"/>
      <c r="BZ212" s="340"/>
      <c r="CA212" s="340"/>
      <c r="CB212" s="340"/>
      <c r="CC212" s="340"/>
      <c r="CD212" s="340"/>
      <c r="CE212" s="340"/>
      <c r="CF212" s="341"/>
      <c r="CG212" s="345"/>
      <c r="CH212" s="340"/>
      <c r="CI212" s="340"/>
      <c r="CJ212" s="340"/>
      <c r="CK212" s="340"/>
      <c r="CL212" s="340"/>
      <c r="CM212" s="340"/>
      <c r="CN212" s="340"/>
      <c r="CO212" s="340"/>
      <c r="CP212" s="340"/>
      <c r="CQ212" s="341"/>
      <c r="CR212" s="345"/>
      <c r="CS212" s="340"/>
      <c r="CT212" s="340"/>
      <c r="CU212" s="340"/>
      <c r="CV212" s="340"/>
      <c r="CW212" s="340"/>
      <c r="CX212" s="340"/>
      <c r="CY212" s="340"/>
      <c r="CZ212" s="340"/>
      <c r="DA212" s="340"/>
      <c r="DB212" s="340"/>
      <c r="DC212" s="340"/>
      <c r="DD212" s="341"/>
      <c r="DE212" s="349"/>
      <c r="DF212" s="350"/>
      <c r="DG212" s="350"/>
      <c r="DH212" s="350"/>
      <c r="DI212" s="350"/>
      <c r="DJ212" s="350"/>
      <c r="DK212" s="350"/>
      <c r="DL212" s="350"/>
      <c r="DM212" s="350"/>
      <c r="DN212" s="350"/>
      <c r="DO212" s="350"/>
      <c r="DP212" s="350"/>
      <c r="DQ212" s="351"/>
      <c r="DR212" s="349"/>
      <c r="DS212" s="350"/>
      <c r="DT212" s="350"/>
      <c r="DU212" s="350"/>
      <c r="DV212" s="350"/>
      <c r="DW212" s="350"/>
      <c r="DX212" s="350"/>
      <c r="DY212" s="350"/>
      <c r="DZ212" s="350"/>
      <c r="EA212" s="350"/>
      <c r="EB212" s="350"/>
      <c r="EC212" s="350"/>
      <c r="ED212" s="351"/>
      <c r="EE212" s="349"/>
      <c r="EF212" s="350"/>
      <c r="EG212" s="350"/>
      <c r="EH212" s="350"/>
      <c r="EI212" s="350"/>
      <c r="EJ212" s="350"/>
      <c r="EK212" s="350"/>
      <c r="EL212" s="350"/>
      <c r="EM212" s="350"/>
      <c r="EN212" s="350"/>
      <c r="EO212" s="350"/>
      <c r="EP212" s="350"/>
      <c r="EQ212" s="351"/>
      <c r="ER212" s="349"/>
      <c r="ES212" s="350"/>
      <c r="ET212" s="350"/>
      <c r="EU212" s="350"/>
      <c r="EV212" s="350"/>
      <c r="EW212" s="350"/>
      <c r="EX212" s="350"/>
      <c r="EY212" s="350"/>
      <c r="EZ212" s="350"/>
      <c r="FA212" s="350"/>
      <c r="FB212" s="351"/>
      <c r="FC212" s="352"/>
      <c r="FD212" s="353"/>
      <c r="FE212" s="353"/>
      <c r="FF212" s="353"/>
      <c r="FG212" s="353"/>
      <c r="FH212" s="353"/>
      <c r="FI212" s="353"/>
      <c r="FJ212" s="353"/>
      <c r="FK212" s="353"/>
      <c r="FL212" s="353"/>
      <c r="FO212" s="275"/>
      <c r="FP212" s="275"/>
      <c r="FQ212" s="275">
        <f t="shared" si="6"/>
        <v>0</v>
      </c>
    </row>
    <row r="213" spans="1:173" s="215" customFormat="1" ht="12" customHeight="1">
      <c r="A213" s="437" t="s">
        <v>1003</v>
      </c>
      <c r="B213" s="438"/>
      <c r="C213" s="438"/>
      <c r="D213" s="438"/>
      <c r="E213" s="438"/>
      <c r="F213" s="438"/>
      <c r="G213" s="438"/>
      <c r="H213" s="438"/>
      <c r="I213" s="438"/>
      <c r="J213" s="438"/>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c r="BF213" s="438"/>
      <c r="BG213" s="438"/>
      <c r="BH213" s="438"/>
      <c r="BI213" s="438"/>
      <c r="BJ213" s="438"/>
      <c r="BK213" s="439"/>
      <c r="BL213" s="464"/>
      <c r="BM213" s="465"/>
      <c r="BN213" s="465"/>
      <c r="BO213" s="465"/>
      <c r="BP213" s="465"/>
      <c r="BQ213" s="465"/>
      <c r="BR213" s="465"/>
      <c r="BS213" s="466"/>
      <c r="BT213" s="467"/>
      <c r="BU213" s="465"/>
      <c r="BV213" s="465"/>
      <c r="BW213" s="465"/>
      <c r="BX213" s="465"/>
      <c r="BY213" s="465"/>
      <c r="BZ213" s="465"/>
      <c r="CA213" s="465"/>
      <c r="CB213" s="465"/>
      <c r="CC213" s="465"/>
      <c r="CD213" s="465"/>
      <c r="CE213" s="465"/>
      <c r="CF213" s="466"/>
      <c r="CG213" s="467"/>
      <c r="CH213" s="465"/>
      <c r="CI213" s="465"/>
      <c r="CJ213" s="465"/>
      <c r="CK213" s="465"/>
      <c r="CL213" s="465"/>
      <c r="CM213" s="465"/>
      <c r="CN213" s="465"/>
      <c r="CO213" s="465"/>
      <c r="CP213" s="465"/>
      <c r="CQ213" s="466"/>
      <c r="CR213" s="467"/>
      <c r="CS213" s="465"/>
      <c r="CT213" s="465"/>
      <c r="CU213" s="465"/>
      <c r="CV213" s="465"/>
      <c r="CW213" s="465"/>
      <c r="CX213" s="465"/>
      <c r="CY213" s="465"/>
      <c r="CZ213" s="465"/>
      <c r="DA213" s="465"/>
      <c r="DB213" s="465"/>
      <c r="DC213" s="465"/>
      <c r="DD213" s="466"/>
      <c r="DE213" s="410">
        <f>DE214</f>
        <v>0</v>
      </c>
      <c r="DF213" s="411"/>
      <c r="DG213" s="411"/>
      <c r="DH213" s="411"/>
      <c r="DI213" s="411"/>
      <c r="DJ213" s="411"/>
      <c r="DK213" s="411"/>
      <c r="DL213" s="411"/>
      <c r="DM213" s="411"/>
      <c r="DN213" s="411"/>
      <c r="DO213" s="411"/>
      <c r="DP213" s="411"/>
      <c r="DQ213" s="412"/>
      <c r="DR213" s="410">
        <f>DR214</f>
        <v>0</v>
      </c>
      <c r="DS213" s="411"/>
      <c r="DT213" s="411"/>
      <c r="DU213" s="411"/>
      <c r="DV213" s="411"/>
      <c r="DW213" s="411"/>
      <c r="DX213" s="411"/>
      <c r="DY213" s="411"/>
      <c r="DZ213" s="411"/>
      <c r="EA213" s="411"/>
      <c r="EB213" s="411"/>
      <c r="EC213" s="411"/>
      <c r="ED213" s="412"/>
      <c r="EE213" s="410"/>
      <c r="EF213" s="411"/>
      <c r="EG213" s="411"/>
      <c r="EH213" s="411"/>
      <c r="EI213" s="411"/>
      <c r="EJ213" s="411"/>
      <c r="EK213" s="411"/>
      <c r="EL213" s="411"/>
      <c r="EM213" s="411"/>
      <c r="EN213" s="411"/>
      <c r="EO213" s="411"/>
      <c r="EP213" s="411"/>
      <c r="EQ213" s="412"/>
      <c r="ER213" s="410"/>
      <c r="ES213" s="411"/>
      <c r="ET213" s="411"/>
      <c r="EU213" s="411"/>
      <c r="EV213" s="411"/>
      <c r="EW213" s="411"/>
      <c r="EX213" s="411"/>
      <c r="EY213" s="411"/>
      <c r="EZ213" s="411"/>
      <c r="FA213" s="411"/>
      <c r="FB213" s="412"/>
      <c r="FC213" s="423"/>
      <c r="FD213" s="424"/>
      <c r="FE213" s="424"/>
      <c r="FF213" s="424"/>
      <c r="FG213" s="424"/>
      <c r="FH213" s="424"/>
      <c r="FI213" s="424"/>
      <c r="FJ213" s="424"/>
      <c r="FK213" s="424"/>
      <c r="FL213" s="424"/>
      <c r="FO213" s="278"/>
      <c r="FP213" s="278"/>
      <c r="FQ213" s="275">
        <f t="shared" si="6"/>
        <v>0</v>
      </c>
    </row>
    <row r="214" spans="1:173" s="174" customFormat="1" ht="38.4" customHeight="1">
      <c r="A214" s="431" t="s">
        <v>1004</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2"/>
      <c r="AY214" s="432"/>
      <c r="AZ214" s="432"/>
      <c r="BA214" s="432"/>
      <c r="BB214" s="432"/>
      <c r="BC214" s="432"/>
      <c r="BD214" s="432"/>
      <c r="BE214" s="432"/>
      <c r="BF214" s="432"/>
      <c r="BG214" s="432"/>
      <c r="BH214" s="432"/>
      <c r="BI214" s="432"/>
      <c r="BJ214" s="432"/>
      <c r="BK214" s="433"/>
      <c r="BL214" s="392"/>
      <c r="BM214" s="393"/>
      <c r="BN214" s="393"/>
      <c r="BO214" s="393"/>
      <c r="BP214" s="393"/>
      <c r="BQ214" s="393"/>
      <c r="BR214" s="393"/>
      <c r="BS214" s="394"/>
      <c r="BT214" s="395" t="s">
        <v>1006</v>
      </c>
      <c r="BU214" s="396"/>
      <c r="BV214" s="396"/>
      <c r="BW214" s="396"/>
      <c r="BX214" s="396"/>
      <c r="BY214" s="396"/>
      <c r="BZ214" s="396"/>
      <c r="CA214" s="396"/>
      <c r="CB214" s="396"/>
      <c r="CC214" s="396"/>
      <c r="CD214" s="396"/>
      <c r="CE214" s="396"/>
      <c r="CF214" s="397"/>
      <c r="CG214" s="398" t="s">
        <v>1007</v>
      </c>
      <c r="CH214" s="393"/>
      <c r="CI214" s="393"/>
      <c r="CJ214" s="393"/>
      <c r="CK214" s="393"/>
      <c r="CL214" s="393"/>
      <c r="CM214" s="393"/>
      <c r="CN214" s="393"/>
      <c r="CO214" s="393"/>
      <c r="CP214" s="393"/>
      <c r="CQ214" s="394"/>
      <c r="CR214" s="398"/>
      <c r="CS214" s="393"/>
      <c r="CT214" s="393"/>
      <c r="CU214" s="393"/>
      <c r="CV214" s="393"/>
      <c r="CW214" s="393"/>
      <c r="CX214" s="393"/>
      <c r="CY214" s="393"/>
      <c r="CZ214" s="393"/>
      <c r="DA214" s="393"/>
      <c r="DB214" s="393"/>
      <c r="DC214" s="393"/>
      <c r="DD214" s="394"/>
      <c r="DE214" s="402">
        <v>0</v>
      </c>
      <c r="DF214" s="403"/>
      <c r="DG214" s="403"/>
      <c r="DH214" s="403"/>
      <c r="DI214" s="403"/>
      <c r="DJ214" s="403"/>
      <c r="DK214" s="403"/>
      <c r="DL214" s="403"/>
      <c r="DM214" s="403"/>
      <c r="DN214" s="403"/>
      <c r="DO214" s="403"/>
      <c r="DP214" s="403"/>
      <c r="DQ214" s="404"/>
      <c r="DR214" s="399">
        <f>75000-75000</f>
        <v>0</v>
      </c>
      <c r="DS214" s="400"/>
      <c r="DT214" s="400"/>
      <c r="DU214" s="400"/>
      <c r="DV214" s="400"/>
      <c r="DW214" s="400"/>
      <c r="DX214" s="400"/>
      <c r="DY214" s="400"/>
      <c r="DZ214" s="400"/>
      <c r="EA214" s="400"/>
      <c r="EB214" s="400"/>
      <c r="EC214" s="400"/>
      <c r="ED214" s="401"/>
      <c r="EE214" s="402"/>
      <c r="EF214" s="403"/>
      <c r="EG214" s="403"/>
      <c r="EH214" s="403"/>
      <c r="EI214" s="403"/>
      <c r="EJ214" s="403"/>
      <c r="EK214" s="403"/>
      <c r="EL214" s="403"/>
      <c r="EM214" s="403"/>
      <c r="EN214" s="403"/>
      <c r="EO214" s="403"/>
      <c r="EP214" s="403"/>
      <c r="EQ214" s="404"/>
      <c r="ER214" s="402"/>
      <c r="ES214" s="403"/>
      <c r="ET214" s="403"/>
      <c r="EU214" s="403"/>
      <c r="EV214" s="403"/>
      <c r="EW214" s="403"/>
      <c r="EX214" s="403"/>
      <c r="EY214" s="403"/>
      <c r="EZ214" s="403"/>
      <c r="FA214" s="403"/>
      <c r="FB214" s="404"/>
      <c r="FC214" s="408"/>
      <c r="FD214" s="409"/>
      <c r="FE214" s="409"/>
      <c r="FF214" s="409"/>
      <c r="FG214" s="409"/>
      <c r="FH214" s="409"/>
      <c r="FI214" s="409"/>
      <c r="FJ214" s="409"/>
      <c r="FK214" s="409"/>
      <c r="FL214" s="409"/>
      <c r="FO214" s="279"/>
      <c r="FP214" s="279"/>
      <c r="FQ214" s="275">
        <f t="shared" si="6"/>
        <v>0</v>
      </c>
    </row>
    <row r="215" spans="1:173" ht="12" customHeight="1">
      <c r="A215" s="461" t="s">
        <v>212</v>
      </c>
      <c r="B215" s="462"/>
      <c r="C215" s="462"/>
      <c r="D215" s="462"/>
      <c r="E215" s="462"/>
      <c r="F215" s="462"/>
      <c r="G215" s="462"/>
      <c r="H215" s="462"/>
      <c r="I215" s="462"/>
      <c r="J215" s="462"/>
      <c r="K215" s="462"/>
      <c r="L215" s="462"/>
      <c r="M215" s="462"/>
      <c r="N215" s="462"/>
      <c r="O215" s="462"/>
      <c r="P215" s="462"/>
      <c r="Q215" s="462"/>
      <c r="R215" s="462"/>
      <c r="S215" s="462"/>
      <c r="T215" s="462"/>
      <c r="U215" s="462"/>
      <c r="V215" s="462"/>
      <c r="W215" s="462"/>
      <c r="X215" s="462"/>
      <c r="Y215" s="462"/>
      <c r="Z215" s="462"/>
      <c r="AA215" s="462"/>
      <c r="AB215" s="462"/>
      <c r="AC215" s="462"/>
      <c r="AD215" s="462"/>
      <c r="AE215" s="462"/>
      <c r="AF215" s="462"/>
      <c r="AG215" s="462"/>
      <c r="AH215" s="462"/>
      <c r="AI215" s="462"/>
      <c r="AJ215" s="462"/>
      <c r="AK215" s="462"/>
      <c r="AL215" s="462"/>
      <c r="AM215" s="462"/>
      <c r="AN215" s="462"/>
      <c r="AO215" s="462"/>
      <c r="AP215" s="462"/>
      <c r="AQ215" s="462"/>
      <c r="AR215" s="462"/>
      <c r="AS215" s="462"/>
      <c r="AT215" s="462"/>
      <c r="AU215" s="462"/>
      <c r="AV215" s="462"/>
      <c r="AW215" s="462"/>
      <c r="AX215" s="462"/>
      <c r="AY215" s="462"/>
      <c r="AZ215" s="462"/>
      <c r="BA215" s="462"/>
      <c r="BB215" s="462"/>
      <c r="BC215" s="462"/>
      <c r="BD215" s="462"/>
      <c r="BE215" s="462"/>
      <c r="BF215" s="462"/>
      <c r="BG215" s="462"/>
      <c r="BH215" s="462"/>
      <c r="BI215" s="462"/>
      <c r="BJ215" s="462"/>
      <c r="BK215" s="463"/>
      <c r="BL215" s="460" t="s">
        <v>1101</v>
      </c>
      <c r="BM215" s="363"/>
      <c r="BN215" s="363"/>
      <c r="BO215" s="363"/>
      <c r="BP215" s="363"/>
      <c r="BQ215" s="363"/>
      <c r="BR215" s="363"/>
      <c r="BS215" s="364"/>
      <c r="BT215" s="362" t="s">
        <v>109</v>
      </c>
      <c r="BU215" s="363"/>
      <c r="BV215" s="363"/>
      <c r="BW215" s="363"/>
      <c r="BX215" s="363"/>
      <c r="BY215" s="363"/>
      <c r="BZ215" s="363"/>
      <c r="CA215" s="363"/>
      <c r="CB215" s="363"/>
      <c r="CC215" s="363"/>
      <c r="CD215" s="363"/>
      <c r="CE215" s="363"/>
      <c r="CF215" s="364"/>
      <c r="CG215" s="362" t="s">
        <v>211</v>
      </c>
      <c r="CH215" s="363"/>
      <c r="CI215" s="363"/>
      <c r="CJ215" s="363"/>
      <c r="CK215" s="363"/>
      <c r="CL215" s="363"/>
      <c r="CM215" s="363"/>
      <c r="CN215" s="363"/>
      <c r="CO215" s="363"/>
      <c r="CP215" s="363"/>
      <c r="CQ215" s="364"/>
      <c r="CR215" s="362"/>
      <c r="CS215" s="363"/>
      <c r="CT215" s="363"/>
      <c r="CU215" s="363"/>
      <c r="CV215" s="363"/>
      <c r="CW215" s="363"/>
      <c r="CX215" s="363"/>
      <c r="CY215" s="363"/>
      <c r="CZ215" s="363"/>
      <c r="DA215" s="363"/>
      <c r="DB215" s="363"/>
      <c r="DC215" s="363"/>
      <c r="DD215" s="364"/>
      <c r="DE215" s="365">
        <f>DE216+DE243+DE257</f>
        <v>880070.09999999986</v>
      </c>
      <c r="DF215" s="366"/>
      <c r="DG215" s="366"/>
      <c r="DH215" s="366"/>
      <c r="DI215" s="366"/>
      <c r="DJ215" s="366"/>
      <c r="DK215" s="366"/>
      <c r="DL215" s="366"/>
      <c r="DM215" s="366"/>
      <c r="DN215" s="366"/>
      <c r="DO215" s="366"/>
      <c r="DP215" s="366"/>
      <c r="DQ215" s="367"/>
      <c r="DR215" s="365">
        <f>DR216+DR243+DR257</f>
        <v>2066792.45</v>
      </c>
      <c r="DS215" s="366"/>
      <c r="DT215" s="366"/>
      <c r="DU215" s="366"/>
      <c r="DV215" s="366"/>
      <c r="DW215" s="366"/>
      <c r="DX215" s="366"/>
      <c r="DY215" s="366"/>
      <c r="DZ215" s="366"/>
      <c r="EA215" s="366"/>
      <c r="EB215" s="366"/>
      <c r="EC215" s="366"/>
      <c r="ED215" s="367"/>
      <c r="EE215" s="365"/>
      <c r="EF215" s="366"/>
      <c r="EG215" s="366"/>
      <c r="EH215" s="366"/>
      <c r="EI215" s="366"/>
      <c r="EJ215" s="366"/>
      <c r="EK215" s="366"/>
      <c r="EL215" s="366"/>
      <c r="EM215" s="366"/>
      <c r="EN215" s="366"/>
      <c r="EO215" s="366"/>
      <c r="EP215" s="366"/>
      <c r="EQ215" s="367"/>
      <c r="ER215" s="349"/>
      <c r="ES215" s="350"/>
      <c r="ET215" s="350"/>
      <c r="EU215" s="350"/>
      <c r="EV215" s="350"/>
      <c r="EW215" s="350"/>
      <c r="EX215" s="350"/>
      <c r="EY215" s="350"/>
      <c r="EZ215" s="350"/>
      <c r="FA215" s="350"/>
      <c r="FB215" s="351"/>
      <c r="FC215" s="352"/>
      <c r="FD215" s="353"/>
      <c r="FE215" s="353"/>
      <c r="FF215" s="353"/>
      <c r="FG215" s="353"/>
      <c r="FH215" s="353"/>
      <c r="FI215" s="353"/>
      <c r="FJ215" s="353"/>
      <c r="FK215" s="353"/>
      <c r="FL215" s="353"/>
      <c r="FO215" s="275"/>
      <c r="FP215" s="275"/>
      <c r="FQ215" s="275">
        <f t="shared" si="6"/>
        <v>2066792.45</v>
      </c>
    </row>
    <row r="216" spans="1:173" s="215" customFormat="1" ht="12" customHeight="1">
      <c r="A216" s="437" t="s">
        <v>928</v>
      </c>
      <c r="B216" s="438"/>
      <c r="C216" s="438"/>
      <c r="D216" s="438"/>
      <c r="E216" s="438"/>
      <c r="F216" s="438"/>
      <c r="G216" s="438"/>
      <c r="H216" s="438"/>
      <c r="I216" s="438"/>
      <c r="J216" s="438"/>
      <c r="K216" s="438"/>
      <c r="L216" s="438"/>
      <c r="M216" s="438"/>
      <c r="N216" s="438"/>
      <c r="O216" s="438"/>
      <c r="P216" s="438"/>
      <c r="Q216" s="438"/>
      <c r="R216" s="438"/>
      <c r="S216" s="438"/>
      <c r="T216" s="438"/>
      <c r="U216" s="438"/>
      <c r="V216" s="438"/>
      <c r="W216" s="438"/>
      <c r="X216" s="438"/>
      <c r="Y216" s="438"/>
      <c r="Z216" s="438"/>
      <c r="AA216" s="438"/>
      <c r="AB216" s="438"/>
      <c r="AC216" s="438"/>
      <c r="AD216" s="438"/>
      <c r="AE216" s="438"/>
      <c r="AF216" s="438"/>
      <c r="AG216" s="438"/>
      <c r="AH216" s="438"/>
      <c r="AI216" s="438"/>
      <c r="AJ216" s="438"/>
      <c r="AK216" s="438"/>
      <c r="AL216" s="438"/>
      <c r="AM216" s="438"/>
      <c r="AN216" s="438"/>
      <c r="AO216" s="438"/>
      <c r="AP216" s="438"/>
      <c r="AQ216" s="438"/>
      <c r="AR216" s="438"/>
      <c r="AS216" s="438"/>
      <c r="AT216" s="438"/>
      <c r="AU216" s="438"/>
      <c r="AV216" s="438"/>
      <c r="AW216" s="438"/>
      <c r="AX216" s="438"/>
      <c r="AY216" s="438"/>
      <c r="AZ216" s="438"/>
      <c r="BA216" s="438"/>
      <c r="BB216" s="438"/>
      <c r="BC216" s="438"/>
      <c r="BD216" s="438"/>
      <c r="BE216" s="438"/>
      <c r="BF216" s="438"/>
      <c r="BG216" s="438"/>
      <c r="BH216" s="438"/>
      <c r="BI216" s="438"/>
      <c r="BJ216" s="438"/>
      <c r="BK216" s="439"/>
      <c r="BL216" s="440"/>
      <c r="BM216" s="414"/>
      <c r="BN216" s="414"/>
      <c r="BO216" s="414"/>
      <c r="BP216" s="414"/>
      <c r="BQ216" s="414"/>
      <c r="BR216" s="414"/>
      <c r="BS216" s="415"/>
      <c r="BT216" s="413" t="s">
        <v>109</v>
      </c>
      <c r="BU216" s="414"/>
      <c r="BV216" s="414"/>
      <c r="BW216" s="414"/>
      <c r="BX216" s="414"/>
      <c r="BY216" s="414"/>
      <c r="BZ216" s="414"/>
      <c r="CA216" s="414"/>
      <c r="CB216" s="414"/>
      <c r="CC216" s="414"/>
      <c r="CD216" s="414"/>
      <c r="CE216" s="414"/>
      <c r="CF216" s="415"/>
      <c r="CG216" s="413" t="s">
        <v>211</v>
      </c>
      <c r="CH216" s="414"/>
      <c r="CI216" s="414"/>
      <c r="CJ216" s="414"/>
      <c r="CK216" s="414"/>
      <c r="CL216" s="414"/>
      <c r="CM216" s="414"/>
      <c r="CN216" s="414"/>
      <c r="CO216" s="414"/>
      <c r="CP216" s="414"/>
      <c r="CQ216" s="415"/>
      <c r="CR216" s="413"/>
      <c r="CS216" s="414"/>
      <c r="CT216" s="414"/>
      <c r="CU216" s="414"/>
      <c r="CV216" s="414"/>
      <c r="CW216" s="414"/>
      <c r="CX216" s="414"/>
      <c r="CY216" s="414"/>
      <c r="CZ216" s="414"/>
      <c r="DA216" s="414"/>
      <c r="DB216" s="414"/>
      <c r="DC216" s="414"/>
      <c r="DD216" s="415"/>
      <c r="DE216" s="428">
        <f>SUM(DE217:DQ242)</f>
        <v>771551.98999999987</v>
      </c>
      <c r="DF216" s="429"/>
      <c r="DG216" s="429"/>
      <c r="DH216" s="429"/>
      <c r="DI216" s="429"/>
      <c r="DJ216" s="429"/>
      <c r="DK216" s="429"/>
      <c r="DL216" s="429"/>
      <c r="DM216" s="429"/>
      <c r="DN216" s="429"/>
      <c r="DO216" s="429"/>
      <c r="DP216" s="429"/>
      <c r="DQ216" s="430"/>
      <c r="DR216" s="428">
        <f>SUM(DR217:ED242)</f>
        <v>925142.45</v>
      </c>
      <c r="DS216" s="429"/>
      <c r="DT216" s="429"/>
      <c r="DU216" s="429"/>
      <c r="DV216" s="429"/>
      <c r="DW216" s="429"/>
      <c r="DX216" s="429"/>
      <c r="DY216" s="429"/>
      <c r="DZ216" s="429"/>
      <c r="EA216" s="429"/>
      <c r="EB216" s="429"/>
      <c r="EC216" s="429"/>
      <c r="ED216" s="430"/>
      <c r="EE216" s="428"/>
      <c r="EF216" s="429"/>
      <c r="EG216" s="429"/>
      <c r="EH216" s="429"/>
      <c r="EI216" s="429"/>
      <c r="EJ216" s="429"/>
      <c r="EK216" s="429"/>
      <c r="EL216" s="429"/>
      <c r="EM216" s="429"/>
      <c r="EN216" s="429"/>
      <c r="EO216" s="429"/>
      <c r="EP216" s="429"/>
      <c r="EQ216" s="430"/>
      <c r="ER216" s="410"/>
      <c r="ES216" s="411"/>
      <c r="ET216" s="411"/>
      <c r="EU216" s="411"/>
      <c r="EV216" s="411"/>
      <c r="EW216" s="411"/>
      <c r="EX216" s="411"/>
      <c r="EY216" s="411"/>
      <c r="EZ216" s="411"/>
      <c r="FA216" s="411"/>
      <c r="FB216" s="412"/>
      <c r="FC216" s="423"/>
      <c r="FD216" s="424"/>
      <c r="FE216" s="424"/>
      <c r="FF216" s="424"/>
      <c r="FG216" s="424"/>
      <c r="FH216" s="424"/>
      <c r="FI216" s="424"/>
      <c r="FJ216" s="424"/>
      <c r="FK216" s="424"/>
      <c r="FL216" s="424"/>
      <c r="FO216" s="278"/>
      <c r="FP216" s="278"/>
      <c r="FQ216" s="275">
        <f t="shared" si="6"/>
        <v>925142.45</v>
      </c>
    </row>
    <row r="217" spans="1:173" ht="15" customHeight="1">
      <c r="A217" s="336" t="s">
        <v>795</v>
      </c>
      <c r="B217" s="337"/>
      <c r="C217" s="337"/>
      <c r="D217" s="337"/>
      <c r="E217" s="337"/>
      <c r="F217" s="337"/>
      <c r="G217" s="337"/>
      <c r="H217" s="337"/>
      <c r="I217" s="337"/>
      <c r="J217" s="337"/>
      <c r="K217" s="337"/>
      <c r="L217" s="337"/>
      <c r="M217" s="337"/>
      <c r="N217" s="337"/>
      <c r="O217" s="337"/>
      <c r="P217" s="337"/>
      <c r="Q217" s="337"/>
      <c r="R217" s="337"/>
      <c r="S217" s="337"/>
      <c r="T217" s="337"/>
      <c r="U217" s="337"/>
      <c r="V217" s="337"/>
      <c r="W217" s="337"/>
      <c r="X217" s="337"/>
      <c r="Y217" s="337"/>
      <c r="Z217" s="337"/>
      <c r="AA217" s="337"/>
      <c r="AB217" s="337"/>
      <c r="AC217" s="337"/>
      <c r="AD217" s="337"/>
      <c r="AE217" s="337"/>
      <c r="AF217" s="337"/>
      <c r="AG217" s="337"/>
      <c r="AH217" s="337"/>
      <c r="AI217" s="337"/>
      <c r="AJ217" s="337"/>
      <c r="AK217" s="337"/>
      <c r="AL217" s="337"/>
      <c r="AM217" s="337"/>
      <c r="AN217" s="337"/>
      <c r="AO217" s="337"/>
      <c r="AP217" s="337"/>
      <c r="AQ217" s="337"/>
      <c r="AR217" s="337"/>
      <c r="AS217" s="337"/>
      <c r="AT217" s="337"/>
      <c r="AU217" s="337"/>
      <c r="AV217" s="337"/>
      <c r="AW217" s="337"/>
      <c r="AX217" s="337"/>
      <c r="AY217" s="337"/>
      <c r="AZ217" s="337"/>
      <c r="BA217" s="337"/>
      <c r="BB217" s="337"/>
      <c r="BC217" s="337"/>
      <c r="BD217" s="337"/>
      <c r="BE217" s="337"/>
      <c r="BF217" s="337"/>
      <c r="BG217" s="337"/>
      <c r="BH217" s="337"/>
      <c r="BI217" s="337"/>
      <c r="BJ217" s="337"/>
      <c r="BK217" s="338"/>
      <c r="BL217" s="339"/>
      <c r="BM217" s="340"/>
      <c r="BN217" s="340"/>
      <c r="BO217" s="340"/>
      <c r="BP217" s="340"/>
      <c r="BQ217" s="340"/>
      <c r="BR217" s="340"/>
      <c r="BS217" s="341"/>
      <c r="BT217" s="342" t="s">
        <v>784</v>
      </c>
      <c r="BU217" s="343"/>
      <c r="BV217" s="343"/>
      <c r="BW217" s="343"/>
      <c r="BX217" s="343"/>
      <c r="BY217" s="343"/>
      <c r="BZ217" s="343"/>
      <c r="CA217" s="343"/>
      <c r="CB217" s="343"/>
      <c r="CC217" s="343"/>
      <c r="CD217" s="343"/>
      <c r="CE217" s="343"/>
      <c r="CF217" s="344"/>
      <c r="CG217" s="345" t="s">
        <v>808</v>
      </c>
      <c r="CH217" s="340"/>
      <c r="CI217" s="340"/>
      <c r="CJ217" s="340"/>
      <c r="CK217" s="340"/>
      <c r="CL217" s="340"/>
      <c r="CM217" s="340"/>
      <c r="CN217" s="340"/>
      <c r="CO217" s="340"/>
      <c r="CP217" s="340"/>
      <c r="CQ217" s="341"/>
      <c r="CR217" s="345"/>
      <c r="CS217" s="340"/>
      <c r="CT217" s="340"/>
      <c r="CU217" s="340"/>
      <c r="CV217" s="340"/>
      <c r="CW217" s="340"/>
      <c r="CX217" s="340"/>
      <c r="CY217" s="340"/>
      <c r="CZ217" s="340"/>
      <c r="DA217" s="340"/>
      <c r="DB217" s="340"/>
      <c r="DC217" s="340"/>
      <c r="DD217" s="341"/>
      <c r="DE217" s="346">
        <f>16302.84-3105.48+1.66</f>
        <v>13199.02</v>
      </c>
      <c r="DF217" s="347"/>
      <c r="DG217" s="347"/>
      <c r="DH217" s="347"/>
      <c r="DI217" s="347"/>
      <c r="DJ217" s="347"/>
      <c r="DK217" s="347"/>
      <c r="DL217" s="347"/>
      <c r="DM217" s="347"/>
      <c r="DN217" s="347"/>
      <c r="DO217" s="347"/>
      <c r="DP217" s="347"/>
      <c r="DQ217" s="348"/>
      <c r="DR217" s="346">
        <v>23600</v>
      </c>
      <c r="DS217" s="347"/>
      <c r="DT217" s="347"/>
      <c r="DU217" s="347"/>
      <c r="DV217" s="347"/>
      <c r="DW217" s="347"/>
      <c r="DX217" s="347"/>
      <c r="DY217" s="347"/>
      <c r="DZ217" s="347"/>
      <c r="EA217" s="347"/>
      <c r="EB217" s="347"/>
      <c r="EC217" s="347"/>
      <c r="ED217" s="348"/>
      <c r="EE217" s="346"/>
      <c r="EF217" s="347"/>
      <c r="EG217" s="347"/>
      <c r="EH217" s="347"/>
      <c r="EI217" s="347"/>
      <c r="EJ217" s="347"/>
      <c r="EK217" s="347"/>
      <c r="EL217" s="347"/>
      <c r="EM217" s="347"/>
      <c r="EN217" s="347"/>
      <c r="EO217" s="347"/>
      <c r="EP217" s="347"/>
      <c r="EQ217" s="348"/>
      <c r="ER217" s="349"/>
      <c r="ES217" s="350"/>
      <c r="ET217" s="350"/>
      <c r="EU217" s="350"/>
      <c r="EV217" s="350"/>
      <c r="EW217" s="350"/>
      <c r="EX217" s="350"/>
      <c r="EY217" s="350"/>
      <c r="EZ217" s="350"/>
      <c r="FA217" s="350"/>
      <c r="FB217" s="351"/>
      <c r="FC217" s="352"/>
      <c r="FD217" s="353"/>
      <c r="FE217" s="353"/>
      <c r="FF217" s="353"/>
      <c r="FG217" s="353"/>
      <c r="FH217" s="353"/>
      <c r="FI217" s="353"/>
      <c r="FJ217" s="353"/>
      <c r="FK217" s="353"/>
      <c r="FL217" s="353"/>
      <c r="FO217" s="275">
        <v>20666.689999999999</v>
      </c>
      <c r="FP217" s="275"/>
      <c r="FQ217" s="275">
        <f t="shared" si="6"/>
        <v>2933.3100000000013</v>
      </c>
    </row>
    <row r="218" spans="1:173" ht="15" customHeight="1">
      <c r="A218" s="336" t="s">
        <v>374</v>
      </c>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c r="AC218" s="337"/>
      <c r="AD218" s="337"/>
      <c r="AE218" s="337"/>
      <c r="AF218" s="337"/>
      <c r="AG218" s="337"/>
      <c r="AH218" s="337"/>
      <c r="AI218" s="337"/>
      <c r="AJ218" s="337"/>
      <c r="AK218" s="337"/>
      <c r="AL218" s="337"/>
      <c r="AM218" s="337"/>
      <c r="AN218" s="337"/>
      <c r="AO218" s="337"/>
      <c r="AP218" s="337"/>
      <c r="AQ218" s="337"/>
      <c r="AR218" s="337"/>
      <c r="AS218" s="337"/>
      <c r="AT218" s="337"/>
      <c r="AU218" s="337"/>
      <c r="AV218" s="337"/>
      <c r="AW218" s="337"/>
      <c r="AX218" s="337"/>
      <c r="AY218" s="337"/>
      <c r="AZ218" s="337"/>
      <c r="BA218" s="337"/>
      <c r="BB218" s="337"/>
      <c r="BC218" s="337"/>
      <c r="BD218" s="337"/>
      <c r="BE218" s="337"/>
      <c r="BF218" s="337"/>
      <c r="BG218" s="337"/>
      <c r="BH218" s="337"/>
      <c r="BI218" s="337"/>
      <c r="BJ218" s="337"/>
      <c r="BK218" s="338"/>
      <c r="BL218" s="339"/>
      <c r="BM218" s="340"/>
      <c r="BN218" s="340"/>
      <c r="BO218" s="340"/>
      <c r="BP218" s="340"/>
      <c r="BQ218" s="340"/>
      <c r="BR218" s="340"/>
      <c r="BS218" s="341"/>
      <c r="BT218" s="342" t="s">
        <v>784</v>
      </c>
      <c r="BU218" s="343"/>
      <c r="BV218" s="343"/>
      <c r="BW218" s="343"/>
      <c r="BX218" s="343"/>
      <c r="BY218" s="343"/>
      <c r="BZ218" s="343"/>
      <c r="CA218" s="343"/>
      <c r="CB218" s="343"/>
      <c r="CC218" s="343"/>
      <c r="CD218" s="343"/>
      <c r="CE218" s="343"/>
      <c r="CF218" s="344"/>
      <c r="CG218" s="345" t="s">
        <v>808</v>
      </c>
      <c r="CH218" s="340"/>
      <c r="CI218" s="340"/>
      <c r="CJ218" s="340"/>
      <c r="CK218" s="340"/>
      <c r="CL218" s="340"/>
      <c r="CM218" s="340"/>
      <c r="CN218" s="340"/>
      <c r="CO218" s="340"/>
      <c r="CP218" s="340"/>
      <c r="CQ218" s="341"/>
      <c r="CR218" s="345"/>
      <c r="CS218" s="340"/>
      <c r="CT218" s="340"/>
      <c r="CU218" s="340"/>
      <c r="CV218" s="340"/>
      <c r="CW218" s="340"/>
      <c r="CX218" s="340"/>
      <c r="CY218" s="340"/>
      <c r="CZ218" s="340"/>
      <c r="DA218" s="340"/>
      <c r="DB218" s="340"/>
      <c r="DC218" s="340"/>
      <c r="DD218" s="341"/>
      <c r="DE218" s="346">
        <f>6000-346.2</f>
        <v>5653.8</v>
      </c>
      <c r="DF218" s="347"/>
      <c r="DG218" s="347"/>
      <c r="DH218" s="347"/>
      <c r="DI218" s="347"/>
      <c r="DJ218" s="347"/>
      <c r="DK218" s="347"/>
      <c r="DL218" s="347"/>
      <c r="DM218" s="347"/>
      <c r="DN218" s="347"/>
      <c r="DO218" s="347"/>
      <c r="DP218" s="347"/>
      <c r="DQ218" s="348"/>
      <c r="DR218" s="346">
        <v>11800</v>
      </c>
      <c r="DS218" s="347"/>
      <c r="DT218" s="347"/>
      <c r="DU218" s="347"/>
      <c r="DV218" s="347"/>
      <c r="DW218" s="347"/>
      <c r="DX218" s="347"/>
      <c r="DY218" s="347"/>
      <c r="DZ218" s="347"/>
      <c r="EA218" s="347"/>
      <c r="EB218" s="347"/>
      <c r="EC218" s="347"/>
      <c r="ED218" s="348"/>
      <c r="EE218" s="346"/>
      <c r="EF218" s="347"/>
      <c r="EG218" s="347"/>
      <c r="EH218" s="347"/>
      <c r="EI218" s="347"/>
      <c r="EJ218" s="347"/>
      <c r="EK218" s="347"/>
      <c r="EL218" s="347"/>
      <c r="EM218" s="347"/>
      <c r="EN218" s="347"/>
      <c r="EO218" s="347"/>
      <c r="EP218" s="347"/>
      <c r="EQ218" s="348"/>
      <c r="ER218" s="349"/>
      <c r="ES218" s="350"/>
      <c r="ET218" s="350"/>
      <c r="EU218" s="350"/>
      <c r="EV218" s="350"/>
      <c r="EW218" s="350"/>
      <c r="EX218" s="350"/>
      <c r="EY218" s="350"/>
      <c r="EZ218" s="350"/>
      <c r="FA218" s="350"/>
      <c r="FB218" s="351"/>
      <c r="FC218" s="352"/>
      <c r="FD218" s="353"/>
      <c r="FE218" s="353"/>
      <c r="FF218" s="353"/>
      <c r="FG218" s="353"/>
      <c r="FH218" s="353"/>
      <c r="FI218" s="353"/>
      <c r="FJ218" s="353"/>
      <c r="FK218" s="353"/>
      <c r="FL218" s="353"/>
      <c r="FO218" s="275"/>
      <c r="FP218" s="275"/>
      <c r="FQ218" s="275">
        <f t="shared" si="6"/>
        <v>11800</v>
      </c>
    </row>
    <row r="219" spans="1:173" ht="15" customHeight="1">
      <c r="A219" s="336" t="s">
        <v>796</v>
      </c>
      <c r="B219" s="337"/>
      <c r="C219" s="337"/>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c r="AC219" s="337"/>
      <c r="AD219" s="337"/>
      <c r="AE219" s="337"/>
      <c r="AF219" s="337"/>
      <c r="AG219" s="337"/>
      <c r="AH219" s="337"/>
      <c r="AI219" s="337"/>
      <c r="AJ219" s="337"/>
      <c r="AK219" s="337"/>
      <c r="AL219" s="337"/>
      <c r="AM219" s="337"/>
      <c r="AN219" s="337"/>
      <c r="AO219" s="337"/>
      <c r="AP219" s="337"/>
      <c r="AQ219" s="337"/>
      <c r="AR219" s="337"/>
      <c r="AS219" s="337"/>
      <c r="AT219" s="337"/>
      <c r="AU219" s="337"/>
      <c r="AV219" s="337"/>
      <c r="AW219" s="337"/>
      <c r="AX219" s="337"/>
      <c r="AY219" s="337"/>
      <c r="AZ219" s="337"/>
      <c r="BA219" s="337"/>
      <c r="BB219" s="337"/>
      <c r="BC219" s="337"/>
      <c r="BD219" s="337"/>
      <c r="BE219" s="337"/>
      <c r="BF219" s="337"/>
      <c r="BG219" s="337"/>
      <c r="BH219" s="337"/>
      <c r="BI219" s="337"/>
      <c r="BJ219" s="337"/>
      <c r="BK219" s="338"/>
      <c r="BL219" s="339"/>
      <c r="BM219" s="340"/>
      <c r="BN219" s="340"/>
      <c r="BO219" s="340"/>
      <c r="BP219" s="340"/>
      <c r="BQ219" s="340"/>
      <c r="BR219" s="340"/>
      <c r="BS219" s="341"/>
      <c r="BT219" s="342" t="s">
        <v>784</v>
      </c>
      <c r="BU219" s="343"/>
      <c r="BV219" s="343"/>
      <c r="BW219" s="343"/>
      <c r="BX219" s="343"/>
      <c r="BY219" s="343"/>
      <c r="BZ219" s="343"/>
      <c r="CA219" s="343"/>
      <c r="CB219" s="343"/>
      <c r="CC219" s="343"/>
      <c r="CD219" s="343"/>
      <c r="CE219" s="343"/>
      <c r="CF219" s="344"/>
      <c r="CG219" s="345" t="s">
        <v>808</v>
      </c>
      <c r="CH219" s="340"/>
      <c r="CI219" s="340"/>
      <c r="CJ219" s="340"/>
      <c r="CK219" s="340"/>
      <c r="CL219" s="340"/>
      <c r="CM219" s="340"/>
      <c r="CN219" s="340"/>
      <c r="CO219" s="340"/>
      <c r="CP219" s="340"/>
      <c r="CQ219" s="341"/>
      <c r="CR219" s="345"/>
      <c r="CS219" s="340"/>
      <c r="CT219" s="340"/>
      <c r="CU219" s="340"/>
      <c r="CV219" s="340"/>
      <c r="CW219" s="340"/>
      <c r="CX219" s="340"/>
      <c r="CY219" s="340"/>
      <c r="CZ219" s="340"/>
      <c r="DA219" s="340"/>
      <c r="DB219" s="340"/>
      <c r="DC219" s="340"/>
      <c r="DD219" s="341"/>
      <c r="DE219" s="346">
        <f>181622.4-19464.9-50276.11-4993-292.57</f>
        <v>106595.81999999999</v>
      </c>
      <c r="DF219" s="347"/>
      <c r="DG219" s="347"/>
      <c r="DH219" s="347"/>
      <c r="DI219" s="347"/>
      <c r="DJ219" s="347"/>
      <c r="DK219" s="347"/>
      <c r="DL219" s="347"/>
      <c r="DM219" s="347"/>
      <c r="DN219" s="347"/>
      <c r="DO219" s="347"/>
      <c r="DP219" s="347"/>
      <c r="DQ219" s="348"/>
      <c r="DR219" s="346">
        <f>155719</f>
        <v>155719</v>
      </c>
      <c r="DS219" s="347"/>
      <c r="DT219" s="347"/>
      <c r="DU219" s="347"/>
      <c r="DV219" s="347"/>
      <c r="DW219" s="347"/>
      <c r="DX219" s="347"/>
      <c r="DY219" s="347"/>
      <c r="DZ219" s="347"/>
      <c r="EA219" s="347"/>
      <c r="EB219" s="347"/>
      <c r="EC219" s="347"/>
      <c r="ED219" s="348"/>
      <c r="EE219" s="346"/>
      <c r="EF219" s="347"/>
      <c r="EG219" s="347"/>
      <c r="EH219" s="347"/>
      <c r="EI219" s="347"/>
      <c r="EJ219" s="347"/>
      <c r="EK219" s="347"/>
      <c r="EL219" s="347"/>
      <c r="EM219" s="347"/>
      <c r="EN219" s="347"/>
      <c r="EO219" s="347"/>
      <c r="EP219" s="347"/>
      <c r="EQ219" s="348"/>
      <c r="ER219" s="349"/>
      <c r="ES219" s="350"/>
      <c r="ET219" s="350"/>
      <c r="EU219" s="350"/>
      <c r="EV219" s="350"/>
      <c r="EW219" s="350"/>
      <c r="EX219" s="350"/>
      <c r="EY219" s="350"/>
      <c r="EZ219" s="350"/>
      <c r="FA219" s="350"/>
      <c r="FB219" s="351"/>
      <c r="FC219" s="352"/>
      <c r="FD219" s="353"/>
      <c r="FE219" s="353"/>
      <c r="FF219" s="353"/>
      <c r="FG219" s="353"/>
      <c r="FH219" s="353"/>
      <c r="FI219" s="353"/>
      <c r="FJ219" s="353"/>
      <c r="FK219" s="353"/>
      <c r="FL219" s="353"/>
      <c r="FO219" s="275">
        <f>14973+14973+11229.75</f>
        <v>41175.75</v>
      </c>
      <c r="FP219" s="275"/>
      <c r="FQ219" s="275">
        <f t="shared" si="6"/>
        <v>114543.25</v>
      </c>
    </row>
    <row r="220" spans="1:173" ht="15" customHeight="1">
      <c r="A220" s="336" t="s">
        <v>882</v>
      </c>
      <c r="B220" s="337"/>
      <c r="C220" s="337"/>
      <c r="D220" s="337"/>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7"/>
      <c r="AY220" s="337"/>
      <c r="AZ220" s="337"/>
      <c r="BA220" s="337"/>
      <c r="BB220" s="337"/>
      <c r="BC220" s="337"/>
      <c r="BD220" s="337"/>
      <c r="BE220" s="337"/>
      <c r="BF220" s="337"/>
      <c r="BG220" s="337"/>
      <c r="BH220" s="337"/>
      <c r="BI220" s="337"/>
      <c r="BJ220" s="337"/>
      <c r="BK220" s="338"/>
      <c r="BL220" s="339"/>
      <c r="BM220" s="340"/>
      <c r="BN220" s="340"/>
      <c r="BO220" s="340"/>
      <c r="BP220" s="340"/>
      <c r="BQ220" s="340"/>
      <c r="BR220" s="340"/>
      <c r="BS220" s="341"/>
      <c r="BT220" s="342" t="s">
        <v>784</v>
      </c>
      <c r="BU220" s="343"/>
      <c r="BV220" s="343"/>
      <c r="BW220" s="343"/>
      <c r="BX220" s="343"/>
      <c r="BY220" s="343"/>
      <c r="BZ220" s="343"/>
      <c r="CA220" s="343"/>
      <c r="CB220" s="343"/>
      <c r="CC220" s="343"/>
      <c r="CD220" s="343"/>
      <c r="CE220" s="343"/>
      <c r="CF220" s="344"/>
      <c r="CG220" s="345" t="s">
        <v>808</v>
      </c>
      <c r="CH220" s="340"/>
      <c r="CI220" s="340"/>
      <c r="CJ220" s="340"/>
      <c r="CK220" s="340"/>
      <c r="CL220" s="340"/>
      <c r="CM220" s="340"/>
      <c r="CN220" s="340"/>
      <c r="CO220" s="340"/>
      <c r="CP220" s="340"/>
      <c r="CQ220" s="341"/>
      <c r="CR220" s="345"/>
      <c r="CS220" s="340"/>
      <c r="CT220" s="340"/>
      <c r="CU220" s="340"/>
      <c r="CV220" s="340"/>
      <c r="CW220" s="340"/>
      <c r="CX220" s="340"/>
      <c r="CY220" s="340"/>
      <c r="CZ220" s="340"/>
      <c r="DA220" s="340"/>
      <c r="DB220" s="340"/>
      <c r="DC220" s="340"/>
      <c r="DD220" s="341"/>
      <c r="DE220" s="346">
        <f>3500-1.66</f>
        <v>3498.34</v>
      </c>
      <c r="DF220" s="347"/>
      <c r="DG220" s="347"/>
      <c r="DH220" s="347"/>
      <c r="DI220" s="347"/>
      <c r="DJ220" s="347"/>
      <c r="DK220" s="347"/>
      <c r="DL220" s="347"/>
      <c r="DM220" s="347"/>
      <c r="DN220" s="347"/>
      <c r="DO220" s="347"/>
      <c r="DP220" s="347"/>
      <c r="DQ220" s="348"/>
      <c r="DR220" s="346">
        <v>3773.19</v>
      </c>
      <c r="DS220" s="347"/>
      <c r="DT220" s="347"/>
      <c r="DU220" s="347"/>
      <c r="DV220" s="347"/>
      <c r="DW220" s="347"/>
      <c r="DX220" s="347"/>
      <c r="DY220" s="347"/>
      <c r="DZ220" s="347"/>
      <c r="EA220" s="347"/>
      <c r="EB220" s="347"/>
      <c r="EC220" s="347"/>
      <c r="ED220" s="348"/>
      <c r="EE220" s="346"/>
      <c r="EF220" s="347"/>
      <c r="EG220" s="347"/>
      <c r="EH220" s="347"/>
      <c r="EI220" s="347"/>
      <c r="EJ220" s="347"/>
      <c r="EK220" s="347"/>
      <c r="EL220" s="347"/>
      <c r="EM220" s="347"/>
      <c r="EN220" s="347"/>
      <c r="EO220" s="347"/>
      <c r="EP220" s="347"/>
      <c r="EQ220" s="348"/>
      <c r="ER220" s="349"/>
      <c r="ES220" s="350"/>
      <c r="ET220" s="350"/>
      <c r="EU220" s="350"/>
      <c r="EV220" s="350"/>
      <c r="EW220" s="350"/>
      <c r="EX220" s="350"/>
      <c r="EY220" s="350"/>
      <c r="EZ220" s="350"/>
      <c r="FA220" s="350"/>
      <c r="FB220" s="351"/>
      <c r="FC220" s="352"/>
      <c r="FD220" s="353"/>
      <c r="FE220" s="353"/>
      <c r="FF220" s="353"/>
      <c r="FG220" s="353"/>
      <c r="FH220" s="353"/>
      <c r="FI220" s="353"/>
      <c r="FJ220" s="353"/>
      <c r="FK220" s="353"/>
      <c r="FL220" s="353"/>
      <c r="FO220" s="275"/>
      <c r="FP220" s="275"/>
      <c r="FQ220" s="275">
        <f t="shared" si="6"/>
        <v>3773.19</v>
      </c>
    </row>
    <row r="221" spans="1:173" ht="15" customHeight="1">
      <c r="A221" s="336" t="s">
        <v>923</v>
      </c>
      <c r="B221" s="418"/>
      <c r="C221" s="418"/>
      <c r="D221" s="418"/>
      <c r="E221" s="418"/>
      <c r="F221" s="418"/>
      <c r="G221" s="418"/>
      <c r="H221" s="418"/>
      <c r="I221" s="418"/>
      <c r="J221" s="418"/>
      <c r="K221" s="418"/>
      <c r="L221" s="418"/>
      <c r="M221" s="418"/>
      <c r="N221" s="418"/>
      <c r="O221" s="418"/>
      <c r="P221" s="418"/>
      <c r="Q221" s="418"/>
      <c r="R221" s="418"/>
      <c r="S221" s="418"/>
      <c r="T221" s="418"/>
      <c r="U221" s="418"/>
      <c r="V221" s="418"/>
      <c r="W221" s="418"/>
      <c r="X221" s="418"/>
      <c r="Y221" s="418"/>
      <c r="Z221" s="418"/>
      <c r="AA221" s="418"/>
      <c r="AB221" s="418"/>
      <c r="AC221" s="418"/>
      <c r="AD221" s="418"/>
      <c r="AE221" s="418"/>
      <c r="AF221" s="418"/>
      <c r="AG221" s="418"/>
      <c r="AH221" s="418"/>
      <c r="AI221" s="418"/>
      <c r="AJ221" s="418"/>
      <c r="AK221" s="418"/>
      <c r="AL221" s="418"/>
      <c r="AM221" s="418"/>
      <c r="AN221" s="418"/>
      <c r="AO221" s="418"/>
      <c r="AP221" s="418"/>
      <c r="AQ221" s="418"/>
      <c r="AR221" s="418"/>
      <c r="AS221" s="418"/>
      <c r="AT221" s="418"/>
      <c r="AU221" s="418"/>
      <c r="AV221" s="418"/>
      <c r="AW221" s="418"/>
      <c r="AX221" s="418"/>
      <c r="AY221" s="418"/>
      <c r="AZ221" s="418"/>
      <c r="BA221" s="418"/>
      <c r="BB221" s="418"/>
      <c r="BC221" s="418"/>
      <c r="BD221" s="418"/>
      <c r="BE221" s="418"/>
      <c r="BF221" s="418"/>
      <c r="BG221" s="418"/>
      <c r="BH221" s="418"/>
      <c r="BI221" s="418"/>
      <c r="BJ221" s="418"/>
      <c r="BK221" s="419"/>
      <c r="BL221" s="339"/>
      <c r="BM221" s="340"/>
      <c r="BN221" s="340"/>
      <c r="BO221" s="340"/>
      <c r="BP221" s="340"/>
      <c r="BQ221" s="340"/>
      <c r="BR221" s="340"/>
      <c r="BS221" s="341"/>
      <c r="BT221" s="342" t="s">
        <v>784</v>
      </c>
      <c r="BU221" s="343"/>
      <c r="BV221" s="343"/>
      <c r="BW221" s="343"/>
      <c r="BX221" s="343"/>
      <c r="BY221" s="343"/>
      <c r="BZ221" s="343"/>
      <c r="CA221" s="343"/>
      <c r="CB221" s="343"/>
      <c r="CC221" s="343"/>
      <c r="CD221" s="343"/>
      <c r="CE221" s="343"/>
      <c r="CF221" s="344"/>
      <c r="CG221" s="345" t="s">
        <v>809</v>
      </c>
      <c r="CH221" s="340"/>
      <c r="CI221" s="340"/>
      <c r="CJ221" s="340"/>
      <c r="CK221" s="340"/>
      <c r="CL221" s="340"/>
      <c r="CM221" s="340"/>
      <c r="CN221" s="340"/>
      <c r="CO221" s="340"/>
      <c r="CP221" s="340"/>
      <c r="CQ221" s="341"/>
      <c r="CR221" s="345"/>
      <c r="CS221" s="340"/>
      <c r="CT221" s="340"/>
      <c r="CU221" s="340"/>
      <c r="CV221" s="340"/>
      <c r="CW221" s="340"/>
      <c r="CX221" s="340"/>
      <c r="CY221" s="340"/>
      <c r="CZ221" s="340"/>
      <c r="DA221" s="340"/>
      <c r="DB221" s="340"/>
      <c r="DC221" s="340"/>
      <c r="DD221" s="341"/>
      <c r="DE221" s="346">
        <f>6600-6600</f>
        <v>0</v>
      </c>
      <c r="DF221" s="347"/>
      <c r="DG221" s="347"/>
      <c r="DH221" s="347"/>
      <c r="DI221" s="347"/>
      <c r="DJ221" s="347"/>
      <c r="DK221" s="347"/>
      <c r="DL221" s="347"/>
      <c r="DM221" s="347"/>
      <c r="DN221" s="347"/>
      <c r="DO221" s="347"/>
      <c r="DP221" s="347"/>
      <c r="DQ221" s="348"/>
      <c r="DR221" s="346">
        <v>6900</v>
      </c>
      <c r="DS221" s="347"/>
      <c r="DT221" s="347"/>
      <c r="DU221" s="347"/>
      <c r="DV221" s="347"/>
      <c r="DW221" s="347"/>
      <c r="DX221" s="347"/>
      <c r="DY221" s="347"/>
      <c r="DZ221" s="347"/>
      <c r="EA221" s="347"/>
      <c r="EB221" s="347"/>
      <c r="EC221" s="347"/>
      <c r="ED221" s="348"/>
      <c r="EE221" s="346"/>
      <c r="EF221" s="347"/>
      <c r="EG221" s="347"/>
      <c r="EH221" s="347"/>
      <c r="EI221" s="347"/>
      <c r="EJ221" s="347"/>
      <c r="EK221" s="347"/>
      <c r="EL221" s="347"/>
      <c r="EM221" s="347"/>
      <c r="EN221" s="347"/>
      <c r="EO221" s="347"/>
      <c r="EP221" s="347"/>
      <c r="EQ221" s="348"/>
      <c r="ER221" s="349"/>
      <c r="ES221" s="350"/>
      <c r="ET221" s="350"/>
      <c r="EU221" s="350"/>
      <c r="EV221" s="350"/>
      <c r="EW221" s="350"/>
      <c r="EX221" s="350"/>
      <c r="EY221" s="350"/>
      <c r="EZ221" s="350"/>
      <c r="FA221" s="350"/>
      <c r="FB221" s="351"/>
      <c r="FC221" s="352"/>
      <c r="FD221" s="353"/>
      <c r="FE221" s="353"/>
      <c r="FF221" s="353"/>
      <c r="FG221" s="353"/>
      <c r="FH221" s="353"/>
      <c r="FI221" s="353"/>
      <c r="FJ221" s="353"/>
      <c r="FK221" s="353"/>
      <c r="FL221" s="353"/>
      <c r="FO221" s="275"/>
      <c r="FP221" s="275"/>
      <c r="FQ221" s="275">
        <f t="shared" si="6"/>
        <v>6900</v>
      </c>
    </row>
    <row r="222" spans="1:173" ht="15" hidden="1" customHeight="1">
      <c r="A222" s="336" t="s">
        <v>797</v>
      </c>
      <c r="B222" s="418"/>
      <c r="C222" s="418"/>
      <c r="D222" s="418"/>
      <c r="E222" s="418"/>
      <c r="F222" s="418"/>
      <c r="G222" s="418"/>
      <c r="H222" s="418"/>
      <c r="I222" s="418"/>
      <c r="J222" s="418"/>
      <c r="K222" s="418"/>
      <c r="L222" s="418"/>
      <c r="M222" s="418"/>
      <c r="N222" s="418"/>
      <c r="O222" s="418"/>
      <c r="P222" s="418"/>
      <c r="Q222" s="418"/>
      <c r="R222" s="418"/>
      <c r="S222" s="418"/>
      <c r="T222" s="418"/>
      <c r="U222" s="418"/>
      <c r="V222" s="418"/>
      <c r="W222" s="418"/>
      <c r="X222" s="418"/>
      <c r="Y222" s="418"/>
      <c r="Z222" s="418"/>
      <c r="AA222" s="418"/>
      <c r="AB222" s="418"/>
      <c r="AC222" s="418"/>
      <c r="AD222" s="418"/>
      <c r="AE222" s="418"/>
      <c r="AF222" s="418"/>
      <c r="AG222" s="418"/>
      <c r="AH222" s="418"/>
      <c r="AI222" s="418"/>
      <c r="AJ222" s="418"/>
      <c r="AK222" s="418"/>
      <c r="AL222" s="418"/>
      <c r="AM222" s="418"/>
      <c r="AN222" s="418"/>
      <c r="AO222" s="418"/>
      <c r="AP222" s="418"/>
      <c r="AQ222" s="418"/>
      <c r="AR222" s="418"/>
      <c r="AS222" s="418"/>
      <c r="AT222" s="418"/>
      <c r="AU222" s="418"/>
      <c r="AV222" s="418"/>
      <c r="AW222" s="418"/>
      <c r="AX222" s="418"/>
      <c r="AY222" s="418"/>
      <c r="AZ222" s="418"/>
      <c r="BA222" s="418"/>
      <c r="BB222" s="418"/>
      <c r="BC222" s="418"/>
      <c r="BD222" s="418"/>
      <c r="BE222" s="418"/>
      <c r="BF222" s="418"/>
      <c r="BG222" s="418"/>
      <c r="BH222" s="418"/>
      <c r="BI222" s="418"/>
      <c r="BJ222" s="418"/>
      <c r="BK222" s="419"/>
      <c r="BL222" s="339"/>
      <c r="BM222" s="340"/>
      <c r="BN222" s="340"/>
      <c r="BO222" s="340"/>
      <c r="BP222" s="340"/>
      <c r="BQ222" s="340"/>
      <c r="BR222" s="340"/>
      <c r="BS222" s="341"/>
      <c r="BT222" s="342" t="s">
        <v>784</v>
      </c>
      <c r="BU222" s="343"/>
      <c r="BV222" s="343"/>
      <c r="BW222" s="343"/>
      <c r="BX222" s="343"/>
      <c r="BY222" s="343"/>
      <c r="BZ222" s="343"/>
      <c r="CA222" s="343"/>
      <c r="CB222" s="343"/>
      <c r="CC222" s="343"/>
      <c r="CD222" s="343"/>
      <c r="CE222" s="343"/>
      <c r="CF222" s="344"/>
      <c r="CG222" s="345" t="s">
        <v>809</v>
      </c>
      <c r="CH222" s="340"/>
      <c r="CI222" s="340"/>
      <c r="CJ222" s="340"/>
      <c r="CK222" s="340"/>
      <c r="CL222" s="340"/>
      <c r="CM222" s="340"/>
      <c r="CN222" s="340"/>
      <c r="CO222" s="340"/>
      <c r="CP222" s="340"/>
      <c r="CQ222" s="341"/>
      <c r="CR222" s="345"/>
      <c r="CS222" s="340"/>
      <c r="CT222" s="340"/>
      <c r="CU222" s="340"/>
      <c r="CV222" s="340"/>
      <c r="CW222" s="340"/>
      <c r="CX222" s="340"/>
      <c r="CY222" s="340"/>
      <c r="CZ222" s="340"/>
      <c r="DA222" s="340"/>
      <c r="DB222" s="340"/>
      <c r="DC222" s="340"/>
      <c r="DD222" s="341"/>
      <c r="DE222" s="346">
        <f>22452-12</f>
        <v>22440</v>
      </c>
      <c r="DF222" s="347"/>
      <c r="DG222" s="347"/>
      <c r="DH222" s="347"/>
      <c r="DI222" s="347"/>
      <c r="DJ222" s="347"/>
      <c r="DK222" s="347"/>
      <c r="DL222" s="347"/>
      <c r="DM222" s="347"/>
      <c r="DN222" s="347"/>
      <c r="DO222" s="347"/>
      <c r="DP222" s="347"/>
      <c r="DQ222" s="348"/>
      <c r="DR222" s="346">
        <v>0</v>
      </c>
      <c r="DS222" s="347"/>
      <c r="DT222" s="347"/>
      <c r="DU222" s="347"/>
      <c r="DV222" s="347"/>
      <c r="DW222" s="347"/>
      <c r="DX222" s="347"/>
      <c r="DY222" s="347"/>
      <c r="DZ222" s="347"/>
      <c r="EA222" s="347"/>
      <c r="EB222" s="347"/>
      <c r="EC222" s="347"/>
      <c r="ED222" s="348"/>
      <c r="EE222" s="346"/>
      <c r="EF222" s="347"/>
      <c r="EG222" s="347"/>
      <c r="EH222" s="347"/>
      <c r="EI222" s="347"/>
      <c r="EJ222" s="347"/>
      <c r="EK222" s="347"/>
      <c r="EL222" s="347"/>
      <c r="EM222" s="347"/>
      <c r="EN222" s="347"/>
      <c r="EO222" s="347"/>
      <c r="EP222" s="347"/>
      <c r="EQ222" s="348"/>
      <c r="ER222" s="349"/>
      <c r="ES222" s="350"/>
      <c r="ET222" s="350"/>
      <c r="EU222" s="350"/>
      <c r="EV222" s="350"/>
      <c r="EW222" s="350"/>
      <c r="EX222" s="350"/>
      <c r="EY222" s="350"/>
      <c r="EZ222" s="350"/>
      <c r="FA222" s="350"/>
      <c r="FB222" s="351"/>
      <c r="FC222" s="352"/>
      <c r="FD222" s="353"/>
      <c r="FE222" s="353"/>
      <c r="FF222" s="353"/>
      <c r="FG222" s="353"/>
      <c r="FH222" s="353"/>
      <c r="FI222" s="353"/>
      <c r="FJ222" s="353"/>
      <c r="FK222" s="353"/>
      <c r="FL222" s="353"/>
      <c r="FO222" s="275"/>
      <c r="FP222" s="275"/>
      <c r="FQ222" s="275">
        <f t="shared" si="6"/>
        <v>0</v>
      </c>
    </row>
    <row r="223" spans="1:173" ht="15" customHeight="1">
      <c r="A223" s="336" t="s">
        <v>798</v>
      </c>
      <c r="B223" s="418"/>
      <c r="C223" s="418"/>
      <c r="D223" s="418"/>
      <c r="E223" s="418"/>
      <c r="F223" s="418"/>
      <c r="G223" s="418"/>
      <c r="H223" s="418"/>
      <c r="I223" s="418"/>
      <c r="J223" s="418"/>
      <c r="K223" s="418"/>
      <c r="L223" s="418"/>
      <c r="M223" s="418"/>
      <c r="N223" s="418"/>
      <c r="O223" s="418"/>
      <c r="P223" s="418"/>
      <c r="Q223" s="418"/>
      <c r="R223" s="418"/>
      <c r="S223" s="418"/>
      <c r="T223" s="418"/>
      <c r="U223" s="418"/>
      <c r="V223" s="418"/>
      <c r="W223" s="418"/>
      <c r="X223" s="418"/>
      <c r="Y223" s="418"/>
      <c r="Z223" s="418"/>
      <c r="AA223" s="418"/>
      <c r="AB223" s="418"/>
      <c r="AC223" s="418"/>
      <c r="AD223" s="418"/>
      <c r="AE223" s="418"/>
      <c r="AF223" s="418"/>
      <c r="AG223" s="418"/>
      <c r="AH223" s="418"/>
      <c r="AI223" s="418"/>
      <c r="AJ223" s="418"/>
      <c r="AK223" s="418"/>
      <c r="AL223" s="418"/>
      <c r="AM223" s="418"/>
      <c r="AN223" s="418"/>
      <c r="AO223" s="418"/>
      <c r="AP223" s="418"/>
      <c r="AQ223" s="418"/>
      <c r="AR223" s="418"/>
      <c r="AS223" s="418"/>
      <c r="AT223" s="418"/>
      <c r="AU223" s="418"/>
      <c r="AV223" s="418"/>
      <c r="AW223" s="418"/>
      <c r="AX223" s="418"/>
      <c r="AY223" s="418"/>
      <c r="AZ223" s="418"/>
      <c r="BA223" s="418"/>
      <c r="BB223" s="418"/>
      <c r="BC223" s="418"/>
      <c r="BD223" s="418"/>
      <c r="BE223" s="418"/>
      <c r="BF223" s="418"/>
      <c r="BG223" s="418"/>
      <c r="BH223" s="418"/>
      <c r="BI223" s="418"/>
      <c r="BJ223" s="418"/>
      <c r="BK223" s="419"/>
      <c r="BL223" s="339"/>
      <c r="BM223" s="340"/>
      <c r="BN223" s="340"/>
      <c r="BO223" s="340"/>
      <c r="BP223" s="340"/>
      <c r="BQ223" s="340"/>
      <c r="BR223" s="340"/>
      <c r="BS223" s="341"/>
      <c r="BT223" s="342" t="s">
        <v>784</v>
      </c>
      <c r="BU223" s="343"/>
      <c r="BV223" s="343"/>
      <c r="BW223" s="343"/>
      <c r="BX223" s="343"/>
      <c r="BY223" s="343"/>
      <c r="BZ223" s="343"/>
      <c r="CA223" s="343"/>
      <c r="CB223" s="343"/>
      <c r="CC223" s="343"/>
      <c r="CD223" s="343"/>
      <c r="CE223" s="343"/>
      <c r="CF223" s="344"/>
      <c r="CG223" s="345" t="s">
        <v>809</v>
      </c>
      <c r="CH223" s="340"/>
      <c r="CI223" s="340"/>
      <c r="CJ223" s="340"/>
      <c r="CK223" s="340"/>
      <c r="CL223" s="340"/>
      <c r="CM223" s="340"/>
      <c r="CN223" s="340"/>
      <c r="CO223" s="340"/>
      <c r="CP223" s="340"/>
      <c r="CQ223" s="341"/>
      <c r="CR223" s="345"/>
      <c r="CS223" s="340"/>
      <c r="CT223" s="340"/>
      <c r="CU223" s="340"/>
      <c r="CV223" s="340"/>
      <c r="CW223" s="340"/>
      <c r="CX223" s="340"/>
      <c r="CY223" s="340"/>
      <c r="CZ223" s="340"/>
      <c r="DA223" s="340"/>
      <c r="DB223" s="340"/>
      <c r="DC223" s="340"/>
      <c r="DD223" s="341"/>
      <c r="DE223" s="346">
        <f>21900-6845</f>
        <v>15055</v>
      </c>
      <c r="DF223" s="347"/>
      <c r="DG223" s="347"/>
      <c r="DH223" s="347"/>
      <c r="DI223" s="347"/>
      <c r="DJ223" s="347"/>
      <c r="DK223" s="347"/>
      <c r="DL223" s="347"/>
      <c r="DM223" s="347"/>
      <c r="DN223" s="347"/>
      <c r="DO223" s="347"/>
      <c r="DP223" s="347"/>
      <c r="DQ223" s="348"/>
      <c r="DR223" s="346">
        <v>26100</v>
      </c>
      <c r="DS223" s="347"/>
      <c r="DT223" s="347"/>
      <c r="DU223" s="347"/>
      <c r="DV223" s="347"/>
      <c r="DW223" s="347"/>
      <c r="DX223" s="347"/>
      <c r="DY223" s="347"/>
      <c r="DZ223" s="347"/>
      <c r="EA223" s="347"/>
      <c r="EB223" s="347"/>
      <c r="EC223" s="347"/>
      <c r="ED223" s="348"/>
      <c r="EE223" s="346"/>
      <c r="EF223" s="347"/>
      <c r="EG223" s="347"/>
      <c r="EH223" s="347"/>
      <c r="EI223" s="347"/>
      <c r="EJ223" s="347"/>
      <c r="EK223" s="347"/>
      <c r="EL223" s="347"/>
      <c r="EM223" s="347"/>
      <c r="EN223" s="347"/>
      <c r="EO223" s="347"/>
      <c r="EP223" s="347"/>
      <c r="EQ223" s="348"/>
      <c r="ER223" s="349"/>
      <c r="ES223" s="350"/>
      <c r="ET223" s="350"/>
      <c r="EU223" s="350"/>
      <c r="EV223" s="350"/>
      <c r="EW223" s="350"/>
      <c r="EX223" s="350"/>
      <c r="EY223" s="350"/>
      <c r="EZ223" s="350"/>
      <c r="FA223" s="350"/>
      <c r="FB223" s="351"/>
      <c r="FC223" s="352"/>
      <c r="FD223" s="353"/>
      <c r="FE223" s="353"/>
      <c r="FF223" s="353"/>
      <c r="FG223" s="353"/>
      <c r="FH223" s="353"/>
      <c r="FI223" s="353"/>
      <c r="FJ223" s="353"/>
      <c r="FK223" s="353"/>
      <c r="FL223" s="353"/>
      <c r="FO223" s="275"/>
      <c r="FP223" s="275"/>
      <c r="FQ223" s="275">
        <f t="shared" si="6"/>
        <v>26100</v>
      </c>
    </row>
    <row r="224" spans="1:173" ht="20.399999999999999" customHeight="1">
      <c r="A224" s="336" t="s">
        <v>799</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418"/>
      <c r="AE224" s="418"/>
      <c r="AF224" s="418"/>
      <c r="AG224" s="418"/>
      <c r="AH224" s="418"/>
      <c r="AI224" s="418"/>
      <c r="AJ224" s="418"/>
      <c r="AK224" s="418"/>
      <c r="AL224" s="418"/>
      <c r="AM224" s="418"/>
      <c r="AN224" s="418"/>
      <c r="AO224" s="418"/>
      <c r="AP224" s="418"/>
      <c r="AQ224" s="418"/>
      <c r="AR224" s="418"/>
      <c r="AS224" s="418"/>
      <c r="AT224" s="418"/>
      <c r="AU224" s="418"/>
      <c r="AV224" s="418"/>
      <c r="AW224" s="418"/>
      <c r="AX224" s="418"/>
      <c r="AY224" s="418"/>
      <c r="AZ224" s="418"/>
      <c r="BA224" s="418"/>
      <c r="BB224" s="418"/>
      <c r="BC224" s="418"/>
      <c r="BD224" s="418"/>
      <c r="BE224" s="418"/>
      <c r="BF224" s="418"/>
      <c r="BG224" s="418"/>
      <c r="BH224" s="418"/>
      <c r="BI224" s="418"/>
      <c r="BJ224" s="418"/>
      <c r="BK224" s="419"/>
      <c r="BL224" s="339"/>
      <c r="BM224" s="340"/>
      <c r="BN224" s="340"/>
      <c r="BO224" s="340"/>
      <c r="BP224" s="340"/>
      <c r="BQ224" s="340"/>
      <c r="BR224" s="340"/>
      <c r="BS224" s="341"/>
      <c r="BT224" s="342" t="s">
        <v>784</v>
      </c>
      <c r="BU224" s="343"/>
      <c r="BV224" s="343"/>
      <c r="BW224" s="343"/>
      <c r="BX224" s="343"/>
      <c r="BY224" s="343"/>
      <c r="BZ224" s="343"/>
      <c r="CA224" s="343"/>
      <c r="CB224" s="343"/>
      <c r="CC224" s="343"/>
      <c r="CD224" s="343"/>
      <c r="CE224" s="343"/>
      <c r="CF224" s="344"/>
      <c r="CG224" s="345" t="s">
        <v>809</v>
      </c>
      <c r="CH224" s="340"/>
      <c r="CI224" s="340"/>
      <c r="CJ224" s="340"/>
      <c r="CK224" s="340"/>
      <c r="CL224" s="340"/>
      <c r="CM224" s="340"/>
      <c r="CN224" s="340"/>
      <c r="CO224" s="340"/>
      <c r="CP224" s="340"/>
      <c r="CQ224" s="341"/>
      <c r="CR224" s="345"/>
      <c r="CS224" s="340"/>
      <c r="CT224" s="340"/>
      <c r="CU224" s="340"/>
      <c r="CV224" s="340"/>
      <c r="CW224" s="340"/>
      <c r="CX224" s="340"/>
      <c r="CY224" s="340"/>
      <c r="CZ224" s="340"/>
      <c r="DA224" s="340"/>
      <c r="DB224" s="340"/>
      <c r="DC224" s="340"/>
      <c r="DD224" s="341"/>
      <c r="DE224" s="346">
        <f>34715-11</f>
        <v>34704</v>
      </c>
      <c r="DF224" s="347"/>
      <c r="DG224" s="347"/>
      <c r="DH224" s="347"/>
      <c r="DI224" s="347"/>
      <c r="DJ224" s="347"/>
      <c r="DK224" s="347"/>
      <c r="DL224" s="347"/>
      <c r="DM224" s="347"/>
      <c r="DN224" s="347"/>
      <c r="DO224" s="347"/>
      <c r="DP224" s="347"/>
      <c r="DQ224" s="348"/>
      <c r="DR224" s="346">
        <v>36780</v>
      </c>
      <c r="DS224" s="347"/>
      <c r="DT224" s="347"/>
      <c r="DU224" s="347"/>
      <c r="DV224" s="347"/>
      <c r="DW224" s="347"/>
      <c r="DX224" s="347"/>
      <c r="DY224" s="347"/>
      <c r="DZ224" s="347"/>
      <c r="EA224" s="347"/>
      <c r="EB224" s="347"/>
      <c r="EC224" s="347"/>
      <c r="ED224" s="348"/>
      <c r="EE224" s="346"/>
      <c r="EF224" s="347"/>
      <c r="EG224" s="347"/>
      <c r="EH224" s="347"/>
      <c r="EI224" s="347"/>
      <c r="EJ224" s="347"/>
      <c r="EK224" s="347"/>
      <c r="EL224" s="347"/>
      <c r="EM224" s="347"/>
      <c r="EN224" s="347"/>
      <c r="EO224" s="347"/>
      <c r="EP224" s="347"/>
      <c r="EQ224" s="348"/>
      <c r="ER224" s="349"/>
      <c r="ES224" s="350"/>
      <c r="ET224" s="350"/>
      <c r="EU224" s="350"/>
      <c r="EV224" s="350"/>
      <c r="EW224" s="350"/>
      <c r="EX224" s="350"/>
      <c r="EY224" s="350"/>
      <c r="EZ224" s="350"/>
      <c r="FA224" s="350"/>
      <c r="FB224" s="351"/>
      <c r="FC224" s="352"/>
      <c r="FD224" s="353"/>
      <c r="FE224" s="353"/>
      <c r="FF224" s="353"/>
      <c r="FG224" s="353"/>
      <c r="FH224" s="353"/>
      <c r="FI224" s="353"/>
      <c r="FJ224" s="353"/>
      <c r="FK224" s="353"/>
      <c r="FL224" s="353"/>
      <c r="FO224" s="275">
        <v>36780</v>
      </c>
      <c r="FP224" s="275"/>
      <c r="FQ224" s="275">
        <f t="shared" si="6"/>
        <v>0</v>
      </c>
    </row>
    <row r="225" spans="1:174" ht="15" customHeight="1">
      <c r="A225" s="336" t="s">
        <v>800</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418"/>
      <c r="AE225" s="418"/>
      <c r="AF225" s="418"/>
      <c r="AG225" s="418"/>
      <c r="AH225" s="418"/>
      <c r="AI225" s="418"/>
      <c r="AJ225" s="418"/>
      <c r="AK225" s="418"/>
      <c r="AL225" s="418"/>
      <c r="AM225" s="418"/>
      <c r="AN225" s="418"/>
      <c r="AO225" s="418"/>
      <c r="AP225" s="418"/>
      <c r="AQ225" s="418"/>
      <c r="AR225" s="418"/>
      <c r="AS225" s="418"/>
      <c r="AT225" s="418"/>
      <c r="AU225" s="418"/>
      <c r="AV225" s="418"/>
      <c r="AW225" s="418"/>
      <c r="AX225" s="418"/>
      <c r="AY225" s="418"/>
      <c r="AZ225" s="418"/>
      <c r="BA225" s="418"/>
      <c r="BB225" s="418"/>
      <c r="BC225" s="418"/>
      <c r="BD225" s="418"/>
      <c r="BE225" s="418"/>
      <c r="BF225" s="418"/>
      <c r="BG225" s="418"/>
      <c r="BH225" s="418"/>
      <c r="BI225" s="418"/>
      <c r="BJ225" s="418"/>
      <c r="BK225" s="419"/>
      <c r="BL225" s="339"/>
      <c r="BM225" s="340"/>
      <c r="BN225" s="340"/>
      <c r="BO225" s="340"/>
      <c r="BP225" s="340"/>
      <c r="BQ225" s="340"/>
      <c r="BR225" s="340"/>
      <c r="BS225" s="341"/>
      <c r="BT225" s="342" t="s">
        <v>784</v>
      </c>
      <c r="BU225" s="343"/>
      <c r="BV225" s="343"/>
      <c r="BW225" s="343"/>
      <c r="BX225" s="343"/>
      <c r="BY225" s="343"/>
      <c r="BZ225" s="343"/>
      <c r="CA225" s="343"/>
      <c r="CB225" s="343"/>
      <c r="CC225" s="343"/>
      <c r="CD225" s="343"/>
      <c r="CE225" s="343"/>
      <c r="CF225" s="344"/>
      <c r="CG225" s="345" t="s">
        <v>809</v>
      </c>
      <c r="CH225" s="340"/>
      <c r="CI225" s="340"/>
      <c r="CJ225" s="340"/>
      <c r="CK225" s="340"/>
      <c r="CL225" s="340"/>
      <c r="CM225" s="340"/>
      <c r="CN225" s="340"/>
      <c r="CO225" s="340"/>
      <c r="CP225" s="340"/>
      <c r="CQ225" s="341"/>
      <c r="CR225" s="345"/>
      <c r="CS225" s="340"/>
      <c r="CT225" s="340"/>
      <c r="CU225" s="340"/>
      <c r="CV225" s="340"/>
      <c r="CW225" s="340"/>
      <c r="CX225" s="340"/>
      <c r="CY225" s="340"/>
      <c r="CZ225" s="340"/>
      <c r="DA225" s="340"/>
      <c r="DB225" s="340"/>
      <c r="DC225" s="340"/>
      <c r="DD225" s="341"/>
      <c r="DE225" s="346">
        <v>49059</v>
      </c>
      <c r="DF225" s="347"/>
      <c r="DG225" s="347"/>
      <c r="DH225" s="347"/>
      <c r="DI225" s="347"/>
      <c r="DJ225" s="347"/>
      <c r="DK225" s="347"/>
      <c r="DL225" s="347"/>
      <c r="DM225" s="347"/>
      <c r="DN225" s="347"/>
      <c r="DO225" s="347"/>
      <c r="DP225" s="347"/>
      <c r="DQ225" s="348"/>
      <c r="DR225" s="346">
        <v>51996</v>
      </c>
      <c r="DS225" s="347"/>
      <c r="DT225" s="347"/>
      <c r="DU225" s="347"/>
      <c r="DV225" s="347"/>
      <c r="DW225" s="347"/>
      <c r="DX225" s="347"/>
      <c r="DY225" s="347"/>
      <c r="DZ225" s="347"/>
      <c r="EA225" s="347"/>
      <c r="EB225" s="347"/>
      <c r="EC225" s="347"/>
      <c r="ED225" s="348"/>
      <c r="EE225" s="346"/>
      <c r="EF225" s="347"/>
      <c r="EG225" s="347"/>
      <c r="EH225" s="347"/>
      <c r="EI225" s="347"/>
      <c r="EJ225" s="347"/>
      <c r="EK225" s="347"/>
      <c r="EL225" s="347"/>
      <c r="EM225" s="347"/>
      <c r="EN225" s="347"/>
      <c r="EO225" s="347"/>
      <c r="EP225" s="347"/>
      <c r="EQ225" s="348"/>
      <c r="ER225" s="349"/>
      <c r="ES225" s="350"/>
      <c r="ET225" s="350"/>
      <c r="EU225" s="350"/>
      <c r="EV225" s="350"/>
      <c r="EW225" s="350"/>
      <c r="EX225" s="350"/>
      <c r="EY225" s="350"/>
      <c r="EZ225" s="350"/>
      <c r="FA225" s="350"/>
      <c r="FB225" s="351"/>
      <c r="FC225" s="352"/>
      <c r="FD225" s="353"/>
      <c r="FE225" s="353"/>
      <c r="FF225" s="353"/>
      <c r="FG225" s="353"/>
      <c r="FH225" s="353"/>
      <c r="FI225" s="353"/>
      <c r="FJ225" s="353"/>
      <c r="FK225" s="353"/>
      <c r="FL225" s="353"/>
      <c r="FO225" s="275">
        <v>51996</v>
      </c>
      <c r="FP225" s="275"/>
      <c r="FQ225" s="275">
        <f t="shared" si="6"/>
        <v>0</v>
      </c>
    </row>
    <row r="226" spans="1:174" ht="15" customHeight="1">
      <c r="A226" s="336" t="s">
        <v>801</v>
      </c>
      <c r="B226" s="418"/>
      <c r="C226" s="418"/>
      <c r="D226" s="418"/>
      <c r="E226" s="418"/>
      <c r="F226" s="418"/>
      <c r="G226" s="418"/>
      <c r="H226" s="418"/>
      <c r="I226" s="418"/>
      <c r="J226" s="418"/>
      <c r="K226" s="418"/>
      <c r="L226" s="418"/>
      <c r="M226" s="418"/>
      <c r="N226" s="418"/>
      <c r="O226" s="418"/>
      <c r="P226" s="418"/>
      <c r="Q226" s="418"/>
      <c r="R226" s="418"/>
      <c r="S226" s="418"/>
      <c r="T226" s="418"/>
      <c r="U226" s="418"/>
      <c r="V226" s="418"/>
      <c r="W226" s="418"/>
      <c r="X226" s="418"/>
      <c r="Y226" s="418"/>
      <c r="Z226" s="418"/>
      <c r="AA226" s="418"/>
      <c r="AB226" s="418"/>
      <c r="AC226" s="418"/>
      <c r="AD226" s="418"/>
      <c r="AE226" s="418"/>
      <c r="AF226" s="418"/>
      <c r="AG226" s="418"/>
      <c r="AH226" s="418"/>
      <c r="AI226" s="418"/>
      <c r="AJ226" s="418"/>
      <c r="AK226" s="418"/>
      <c r="AL226" s="418"/>
      <c r="AM226" s="418"/>
      <c r="AN226" s="418"/>
      <c r="AO226" s="418"/>
      <c r="AP226" s="418"/>
      <c r="AQ226" s="418"/>
      <c r="AR226" s="418"/>
      <c r="AS226" s="418"/>
      <c r="AT226" s="418"/>
      <c r="AU226" s="418"/>
      <c r="AV226" s="418"/>
      <c r="AW226" s="418"/>
      <c r="AX226" s="418"/>
      <c r="AY226" s="418"/>
      <c r="AZ226" s="418"/>
      <c r="BA226" s="418"/>
      <c r="BB226" s="418"/>
      <c r="BC226" s="418"/>
      <c r="BD226" s="418"/>
      <c r="BE226" s="418"/>
      <c r="BF226" s="418"/>
      <c r="BG226" s="418"/>
      <c r="BH226" s="418"/>
      <c r="BI226" s="418"/>
      <c r="BJ226" s="418"/>
      <c r="BK226" s="419"/>
      <c r="BL226" s="339"/>
      <c r="BM226" s="340"/>
      <c r="BN226" s="340"/>
      <c r="BO226" s="340"/>
      <c r="BP226" s="340"/>
      <c r="BQ226" s="340"/>
      <c r="BR226" s="340"/>
      <c r="BS226" s="341"/>
      <c r="BT226" s="342" t="s">
        <v>784</v>
      </c>
      <c r="BU226" s="343"/>
      <c r="BV226" s="343"/>
      <c r="BW226" s="343"/>
      <c r="BX226" s="343"/>
      <c r="BY226" s="343"/>
      <c r="BZ226" s="343"/>
      <c r="CA226" s="343"/>
      <c r="CB226" s="343"/>
      <c r="CC226" s="343"/>
      <c r="CD226" s="343"/>
      <c r="CE226" s="343"/>
      <c r="CF226" s="344"/>
      <c r="CG226" s="345" t="s">
        <v>809</v>
      </c>
      <c r="CH226" s="340"/>
      <c r="CI226" s="340"/>
      <c r="CJ226" s="340"/>
      <c r="CK226" s="340"/>
      <c r="CL226" s="340"/>
      <c r="CM226" s="340"/>
      <c r="CN226" s="340"/>
      <c r="CO226" s="340"/>
      <c r="CP226" s="340"/>
      <c r="CQ226" s="341"/>
      <c r="CR226" s="345"/>
      <c r="CS226" s="340"/>
      <c r="CT226" s="340"/>
      <c r="CU226" s="340"/>
      <c r="CV226" s="340"/>
      <c r="CW226" s="340"/>
      <c r="CX226" s="340"/>
      <c r="CY226" s="340"/>
      <c r="CZ226" s="340"/>
      <c r="DA226" s="340"/>
      <c r="DB226" s="340"/>
      <c r="DC226" s="340"/>
      <c r="DD226" s="341"/>
      <c r="DE226" s="346">
        <v>6000</v>
      </c>
      <c r="DF226" s="347"/>
      <c r="DG226" s="347"/>
      <c r="DH226" s="347"/>
      <c r="DI226" s="347"/>
      <c r="DJ226" s="347"/>
      <c r="DK226" s="347"/>
      <c r="DL226" s="347"/>
      <c r="DM226" s="347"/>
      <c r="DN226" s="347"/>
      <c r="DO226" s="347"/>
      <c r="DP226" s="347"/>
      <c r="DQ226" s="348"/>
      <c r="DR226" s="346">
        <v>6360</v>
      </c>
      <c r="DS226" s="347"/>
      <c r="DT226" s="347"/>
      <c r="DU226" s="347"/>
      <c r="DV226" s="347"/>
      <c r="DW226" s="347"/>
      <c r="DX226" s="347"/>
      <c r="DY226" s="347"/>
      <c r="DZ226" s="347"/>
      <c r="EA226" s="347"/>
      <c r="EB226" s="347"/>
      <c r="EC226" s="347"/>
      <c r="ED226" s="348"/>
      <c r="EE226" s="346"/>
      <c r="EF226" s="347"/>
      <c r="EG226" s="347"/>
      <c r="EH226" s="347"/>
      <c r="EI226" s="347"/>
      <c r="EJ226" s="347"/>
      <c r="EK226" s="347"/>
      <c r="EL226" s="347"/>
      <c r="EM226" s="347"/>
      <c r="EN226" s="347"/>
      <c r="EO226" s="347"/>
      <c r="EP226" s="347"/>
      <c r="EQ226" s="348"/>
      <c r="ER226" s="349"/>
      <c r="ES226" s="350"/>
      <c r="ET226" s="350"/>
      <c r="EU226" s="350"/>
      <c r="EV226" s="350"/>
      <c r="EW226" s="350"/>
      <c r="EX226" s="350"/>
      <c r="EY226" s="350"/>
      <c r="EZ226" s="350"/>
      <c r="FA226" s="350"/>
      <c r="FB226" s="351"/>
      <c r="FC226" s="352"/>
      <c r="FD226" s="353"/>
      <c r="FE226" s="353"/>
      <c r="FF226" s="353"/>
      <c r="FG226" s="353"/>
      <c r="FH226" s="353"/>
      <c r="FI226" s="353"/>
      <c r="FJ226" s="353"/>
      <c r="FK226" s="353"/>
      <c r="FL226" s="353"/>
      <c r="FO226" s="275">
        <v>6360</v>
      </c>
      <c r="FP226" s="275"/>
      <c r="FQ226" s="275">
        <f t="shared" si="6"/>
        <v>0</v>
      </c>
    </row>
    <row r="227" spans="1:174" ht="15" customHeight="1">
      <c r="A227" s="336" t="s">
        <v>815</v>
      </c>
      <c r="B227" s="418"/>
      <c r="C227" s="418"/>
      <c r="D227" s="418"/>
      <c r="E227" s="418"/>
      <c r="F227" s="418"/>
      <c r="G227" s="418"/>
      <c r="H227" s="418"/>
      <c r="I227" s="418"/>
      <c r="J227" s="418"/>
      <c r="K227" s="418"/>
      <c r="L227" s="418"/>
      <c r="M227" s="418"/>
      <c r="N227" s="418"/>
      <c r="O227" s="418"/>
      <c r="P227" s="418"/>
      <c r="Q227" s="418"/>
      <c r="R227" s="418"/>
      <c r="S227" s="418"/>
      <c r="T227" s="418"/>
      <c r="U227" s="418"/>
      <c r="V227" s="418"/>
      <c r="W227" s="418"/>
      <c r="X227" s="418"/>
      <c r="Y227" s="418"/>
      <c r="Z227" s="418"/>
      <c r="AA227" s="418"/>
      <c r="AB227" s="418"/>
      <c r="AC227" s="418"/>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8"/>
      <c r="AY227" s="418"/>
      <c r="AZ227" s="418"/>
      <c r="BA227" s="418"/>
      <c r="BB227" s="418"/>
      <c r="BC227" s="418"/>
      <c r="BD227" s="418"/>
      <c r="BE227" s="418"/>
      <c r="BF227" s="418"/>
      <c r="BG227" s="418"/>
      <c r="BH227" s="418"/>
      <c r="BI227" s="418"/>
      <c r="BJ227" s="418"/>
      <c r="BK227" s="419"/>
      <c r="BL227" s="339"/>
      <c r="BM227" s="340"/>
      <c r="BN227" s="340"/>
      <c r="BO227" s="340"/>
      <c r="BP227" s="340"/>
      <c r="BQ227" s="340"/>
      <c r="BR227" s="340"/>
      <c r="BS227" s="341"/>
      <c r="BT227" s="342" t="s">
        <v>784</v>
      </c>
      <c r="BU227" s="343"/>
      <c r="BV227" s="343"/>
      <c r="BW227" s="343"/>
      <c r="BX227" s="343"/>
      <c r="BY227" s="343"/>
      <c r="BZ227" s="343"/>
      <c r="CA227" s="343"/>
      <c r="CB227" s="343"/>
      <c r="CC227" s="343"/>
      <c r="CD227" s="343"/>
      <c r="CE227" s="343"/>
      <c r="CF227" s="344"/>
      <c r="CG227" s="345" t="s">
        <v>809</v>
      </c>
      <c r="CH227" s="340"/>
      <c r="CI227" s="340"/>
      <c r="CJ227" s="340"/>
      <c r="CK227" s="340"/>
      <c r="CL227" s="340"/>
      <c r="CM227" s="340"/>
      <c r="CN227" s="340"/>
      <c r="CO227" s="340"/>
      <c r="CP227" s="340"/>
      <c r="CQ227" s="341"/>
      <c r="CR227" s="345"/>
      <c r="CS227" s="340"/>
      <c r="CT227" s="340"/>
      <c r="CU227" s="340"/>
      <c r="CV227" s="340"/>
      <c r="CW227" s="340"/>
      <c r="CX227" s="340"/>
      <c r="CY227" s="340"/>
      <c r="CZ227" s="340"/>
      <c r="DA227" s="340"/>
      <c r="DB227" s="340"/>
      <c r="DC227" s="340"/>
      <c r="DD227" s="341"/>
      <c r="DE227" s="346">
        <v>12000</v>
      </c>
      <c r="DF227" s="347"/>
      <c r="DG227" s="347"/>
      <c r="DH227" s="347"/>
      <c r="DI227" s="347"/>
      <c r="DJ227" s="347"/>
      <c r="DK227" s="347"/>
      <c r="DL227" s="347"/>
      <c r="DM227" s="347"/>
      <c r="DN227" s="347"/>
      <c r="DO227" s="347"/>
      <c r="DP227" s="347"/>
      <c r="DQ227" s="348"/>
      <c r="DR227" s="346">
        <v>10800</v>
      </c>
      <c r="DS227" s="347"/>
      <c r="DT227" s="347"/>
      <c r="DU227" s="347"/>
      <c r="DV227" s="347"/>
      <c r="DW227" s="347"/>
      <c r="DX227" s="347"/>
      <c r="DY227" s="347"/>
      <c r="DZ227" s="347"/>
      <c r="EA227" s="347"/>
      <c r="EB227" s="347"/>
      <c r="EC227" s="347"/>
      <c r="ED227" s="348"/>
      <c r="EE227" s="346"/>
      <c r="EF227" s="347"/>
      <c r="EG227" s="347"/>
      <c r="EH227" s="347"/>
      <c r="EI227" s="347"/>
      <c r="EJ227" s="347"/>
      <c r="EK227" s="347"/>
      <c r="EL227" s="347"/>
      <c r="EM227" s="347"/>
      <c r="EN227" s="347"/>
      <c r="EO227" s="347"/>
      <c r="EP227" s="347"/>
      <c r="EQ227" s="348"/>
      <c r="ER227" s="349"/>
      <c r="ES227" s="350"/>
      <c r="ET227" s="350"/>
      <c r="EU227" s="350"/>
      <c r="EV227" s="350"/>
      <c r="EW227" s="350"/>
      <c r="EX227" s="350"/>
      <c r="EY227" s="350"/>
      <c r="EZ227" s="350"/>
      <c r="FA227" s="350"/>
      <c r="FB227" s="351"/>
      <c r="FC227" s="352"/>
      <c r="FD227" s="353"/>
      <c r="FE227" s="353"/>
      <c r="FF227" s="353"/>
      <c r="FG227" s="353"/>
      <c r="FH227" s="353"/>
      <c r="FI227" s="353"/>
      <c r="FJ227" s="353"/>
      <c r="FK227" s="353"/>
      <c r="FL227" s="353"/>
      <c r="FO227" s="275"/>
      <c r="FP227" s="275"/>
      <c r="FQ227" s="275">
        <f t="shared" si="6"/>
        <v>10800</v>
      </c>
    </row>
    <row r="228" spans="1:174" ht="15" customHeight="1">
      <c r="A228" s="336" t="s">
        <v>816</v>
      </c>
      <c r="B228" s="337"/>
      <c r="C228" s="337"/>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c r="AC228" s="337"/>
      <c r="AD228" s="337"/>
      <c r="AE228" s="337"/>
      <c r="AF228" s="337"/>
      <c r="AG228" s="337"/>
      <c r="AH228" s="337"/>
      <c r="AI228" s="337"/>
      <c r="AJ228" s="337"/>
      <c r="AK228" s="337"/>
      <c r="AL228" s="337"/>
      <c r="AM228" s="337"/>
      <c r="AN228" s="337"/>
      <c r="AO228" s="337"/>
      <c r="AP228" s="337"/>
      <c r="AQ228" s="337"/>
      <c r="AR228" s="337"/>
      <c r="AS228" s="337"/>
      <c r="AT228" s="337"/>
      <c r="AU228" s="337"/>
      <c r="AV228" s="337"/>
      <c r="AW228" s="337"/>
      <c r="AX228" s="337"/>
      <c r="AY228" s="337"/>
      <c r="AZ228" s="337"/>
      <c r="BA228" s="337"/>
      <c r="BB228" s="337"/>
      <c r="BC228" s="337"/>
      <c r="BD228" s="337"/>
      <c r="BE228" s="337"/>
      <c r="BF228" s="337"/>
      <c r="BG228" s="337"/>
      <c r="BH228" s="337"/>
      <c r="BI228" s="337"/>
      <c r="BJ228" s="337"/>
      <c r="BK228" s="338"/>
      <c r="BL228" s="339"/>
      <c r="BM228" s="340"/>
      <c r="BN228" s="340"/>
      <c r="BO228" s="340"/>
      <c r="BP228" s="340"/>
      <c r="BQ228" s="340"/>
      <c r="BR228" s="340"/>
      <c r="BS228" s="341"/>
      <c r="BT228" s="342" t="s">
        <v>784</v>
      </c>
      <c r="BU228" s="343"/>
      <c r="BV228" s="343"/>
      <c r="BW228" s="343"/>
      <c r="BX228" s="343"/>
      <c r="BY228" s="343"/>
      <c r="BZ228" s="343"/>
      <c r="CA228" s="343"/>
      <c r="CB228" s="343"/>
      <c r="CC228" s="343"/>
      <c r="CD228" s="343"/>
      <c r="CE228" s="343"/>
      <c r="CF228" s="344"/>
      <c r="CG228" s="345" t="s">
        <v>809</v>
      </c>
      <c r="CH228" s="340"/>
      <c r="CI228" s="340"/>
      <c r="CJ228" s="340"/>
      <c r="CK228" s="340"/>
      <c r="CL228" s="340"/>
      <c r="CM228" s="340"/>
      <c r="CN228" s="340"/>
      <c r="CO228" s="340"/>
      <c r="CP228" s="340"/>
      <c r="CQ228" s="341"/>
      <c r="CR228" s="345"/>
      <c r="CS228" s="340"/>
      <c r="CT228" s="340"/>
      <c r="CU228" s="340"/>
      <c r="CV228" s="340"/>
      <c r="CW228" s="340"/>
      <c r="CX228" s="340"/>
      <c r="CY228" s="340"/>
      <c r="CZ228" s="340"/>
      <c r="DA228" s="340"/>
      <c r="DB228" s="340"/>
      <c r="DC228" s="340"/>
      <c r="DD228" s="341"/>
      <c r="DE228" s="346">
        <v>4800</v>
      </c>
      <c r="DF228" s="347"/>
      <c r="DG228" s="347"/>
      <c r="DH228" s="347"/>
      <c r="DI228" s="347"/>
      <c r="DJ228" s="347"/>
      <c r="DK228" s="347"/>
      <c r="DL228" s="347"/>
      <c r="DM228" s="347"/>
      <c r="DN228" s="347"/>
      <c r="DO228" s="347"/>
      <c r="DP228" s="347"/>
      <c r="DQ228" s="348"/>
      <c r="DR228" s="346">
        <v>5088</v>
      </c>
      <c r="DS228" s="347"/>
      <c r="DT228" s="347"/>
      <c r="DU228" s="347"/>
      <c r="DV228" s="347"/>
      <c r="DW228" s="347"/>
      <c r="DX228" s="347"/>
      <c r="DY228" s="347"/>
      <c r="DZ228" s="347"/>
      <c r="EA228" s="347"/>
      <c r="EB228" s="347"/>
      <c r="EC228" s="347"/>
      <c r="ED228" s="348"/>
      <c r="EE228" s="346"/>
      <c r="EF228" s="347"/>
      <c r="EG228" s="347"/>
      <c r="EH228" s="347"/>
      <c r="EI228" s="347"/>
      <c r="EJ228" s="347"/>
      <c r="EK228" s="347"/>
      <c r="EL228" s="347"/>
      <c r="EM228" s="347"/>
      <c r="EN228" s="347"/>
      <c r="EO228" s="347"/>
      <c r="EP228" s="347"/>
      <c r="EQ228" s="348"/>
      <c r="ER228" s="349"/>
      <c r="ES228" s="350"/>
      <c r="ET228" s="350"/>
      <c r="EU228" s="350"/>
      <c r="EV228" s="350"/>
      <c r="EW228" s="350"/>
      <c r="EX228" s="350"/>
      <c r="EY228" s="350"/>
      <c r="EZ228" s="350"/>
      <c r="FA228" s="350"/>
      <c r="FB228" s="351"/>
      <c r="FC228" s="352"/>
      <c r="FD228" s="353"/>
      <c r="FE228" s="353"/>
      <c r="FF228" s="353"/>
      <c r="FG228" s="353"/>
      <c r="FH228" s="353"/>
      <c r="FI228" s="353"/>
      <c r="FJ228" s="353"/>
      <c r="FK228" s="353"/>
      <c r="FL228" s="353"/>
      <c r="FO228" s="275">
        <v>5088</v>
      </c>
      <c r="FP228" s="275"/>
      <c r="FQ228" s="275">
        <f t="shared" si="6"/>
        <v>0</v>
      </c>
    </row>
    <row r="229" spans="1:174" ht="12.6" customHeight="1">
      <c r="A229" s="336" t="s">
        <v>802</v>
      </c>
      <c r="B229" s="337"/>
      <c r="C229" s="337"/>
      <c r="D229" s="337"/>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c r="AC229" s="337"/>
      <c r="AD229" s="337"/>
      <c r="AE229" s="337"/>
      <c r="AF229" s="337"/>
      <c r="AG229" s="337"/>
      <c r="AH229" s="337"/>
      <c r="AI229" s="337"/>
      <c r="AJ229" s="337"/>
      <c r="AK229" s="337"/>
      <c r="AL229" s="337"/>
      <c r="AM229" s="337"/>
      <c r="AN229" s="337"/>
      <c r="AO229" s="337"/>
      <c r="AP229" s="337"/>
      <c r="AQ229" s="337"/>
      <c r="AR229" s="337"/>
      <c r="AS229" s="337"/>
      <c r="AT229" s="337"/>
      <c r="AU229" s="337"/>
      <c r="AV229" s="337"/>
      <c r="AW229" s="337"/>
      <c r="AX229" s="337"/>
      <c r="AY229" s="337"/>
      <c r="AZ229" s="337"/>
      <c r="BA229" s="337"/>
      <c r="BB229" s="337"/>
      <c r="BC229" s="337"/>
      <c r="BD229" s="337"/>
      <c r="BE229" s="337"/>
      <c r="BF229" s="337"/>
      <c r="BG229" s="337"/>
      <c r="BH229" s="337"/>
      <c r="BI229" s="337"/>
      <c r="BJ229" s="337"/>
      <c r="BK229" s="338"/>
      <c r="BL229" s="339"/>
      <c r="BM229" s="340"/>
      <c r="BN229" s="340"/>
      <c r="BO229" s="340"/>
      <c r="BP229" s="340"/>
      <c r="BQ229" s="340"/>
      <c r="BR229" s="340"/>
      <c r="BS229" s="341"/>
      <c r="BT229" s="342" t="s">
        <v>784</v>
      </c>
      <c r="BU229" s="343"/>
      <c r="BV229" s="343"/>
      <c r="BW229" s="343"/>
      <c r="BX229" s="343"/>
      <c r="BY229" s="343"/>
      <c r="BZ229" s="343"/>
      <c r="CA229" s="343"/>
      <c r="CB229" s="343"/>
      <c r="CC229" s="343"/>
      <c r="CD229" s="343"/>
      <c r="CE229" s="343"/>
      <c r="CF229" s="344"/>
      <c r="CG229" s="345" t="s">
        <v>812</v>
      </c>
      <c r="CH229" s="340"/>
      <c r="CI229" s="340"/>
      <c r="CJ229" s="340"/>
      <c r="CK229" s="340"/>
      <c r="CL229" s="340"/>
      <c r="CM229" s="340"/>
      <c r="CN229" s="340"/>
      <c r="CO229" s="340"/>
      <c r="CP229" s="340"/>
      <c r="CQ229" s="341"/>
      <c r="CR229" s="345"/>
      <c r="CS229" s="340"/>
      <c r="CT229" s="340"/>
      <c r="CU229" s="340"/>
      <c r="CV229" s="340"/>
      <c r="CW229" s="340"/>
      <c r="CX229" s="340"/>
      <c r="CY229" s="340"/>
      <c r="CZ229" s="340"/>
      <c r="DA229" s="340"/>
      <c r="DB229" s="340"/>
      <c r="DC229" s="340"/>
      <c r="DD229" s="341"/>
      <c r="DE229" s="346">
        <f>229152-12535.1-16000-16000-3640.35</f>
        <v>180976.55</v>
      </c>
      <c r="DF229" s="347"/>
      <c r="DG229" s="347"/>
      <c r="DH229" s="347"/>
      <c r="DI229" s="347"/>
      <c r="DJ229" s="347"/>
      <c r="DK229" s="347"/>
      <c r="DL229" s="347"/>
      <c r="DM229" s="347"/>
      <c r="DN229" s="347"/>
      <c r="DO229" s="347"/>
      <c r="DP229" s="347"/>
      <c r="DQ229" s="348"/>
      <c r="DR229" s="346">
        <f>234743</f>
        <v>234743</v>
      </c>
      <c r="DS229" s="347"/>
      <c r="DT229" s="347"/>
      <c r="DU229" s="347"/>
      <c r="DV229" s="347"/>
      <c r="DW229" s="347"/>
      <c r="DX229" s="347"/>
      <c r="DY229" s="347"/>
      <c r="DZ229" s="347"/>
      <c r="EA229" s="347"/>
      <c r="EB229" s="347"/>
      <c r="EC229" s="347"/>
      <c r="ED229" s="348"/>
      <c r="EE229" s="346"/>
      <c r="EF229" s="347"/>
      <c r="EG229" s="347"/>
      <c r="EH229" s="347"/>
      <c r="EI229" s="347"/>
      <c r="EJ229" s="347"/>
      <c r="EK229" s="347"/>
      <c r="EL229" s="347"/>
      <c r="EM229" s="347"/>
      <c r="EN229" s="347"/>
      <c r="EO229" s="347"/>
      <c r="EP229" s="347"/>
      <c r="EQ229" s="348"/>
      <c r="ER229" s="349"/>
      <c r="ES229" s="350"/>
      <c r="ET229" s="350"/>
      <c r="EU229" s="350"/>
      <c r="EV229" s="350"/>
      <c r="EW229" s="350"/>
      <c r="EX229" s="350"/>
      <c r="EY229" s="350"/>
      <c r="EZ229" s="350"/>
      <c r="FA229" s="350"/>
      <c r="FB229" s="351"/>
      <c r="FC229" s="352"/>
      <c r="FD229" s="353"/>
      <c r="FE229" s="353"/>
      <c r="FF229" s="353"/>
      <c r="FG229" s="353"/>
      <c r="FH229" s="353"/>
      <c r="FI229" s="353"/>
      <c r="FJ229" s="353"/>
      <c r="FK229" s="353"/>
      <c r="FL229" s="353"/>
      <c r="FO229" s="275">
        <f>21352.8+20519.52+21352.8</f>
        <v>63225.119999999995</v>
      </c>
      <c r="FP229" s="275"/>
      <c r="FQ229" s="275">
        <f t="shared" si="6"/>
        <v>171517.88</v>
      </c>
    </row>
    <row r="230" spans="1:174" ht="15" customHeight="1">
      <c r="A230" s="336" t="s">
        <v>803</v>
      </c>
      <c r="B230" s="337"/>
      <c r="C230" s="337"/>
      <c r="D230" s="337"/>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c r="AC230" s="337"/>
      <c r="AD230" s="337"/>
      <c r="AE230" s="337"/>
      <c r="AF230" s="337"/>
      <c r="AG230" s="337"/>
      <c r="AH230" s="337"/>
      <c r="AI230" s="337"/>
      <c r="AJ230" s="337"/>
      <c r="AK230" s="337"/>
      <c r="AL230" s="337"/>
      <c r="AM230" s="337"/>
      <c r="AN230" s="337"/>
      <c r="AO230" s="337"/>
      <c r="AP230" s="337"/>
      <c r="AQ230" s="337"/>
      <c r="AR230" s="337"/>
      <c r="AS230" s="337"/>
      <c r="AT230" s="337"/>
      <c r="AU230" s="337"/>
      <c r="AV230" s="337"/>
      <c r="AW230" s="337"/>
      <c r="AX230" s="337"/>
      <c r="AY230" s="337"/>
      <c r="AZ230" s="337"/>
      <c r="BA230" s="337"/>
      <c r="BB230" s="337"/>
      <c r="BC230" s="337"/>
      <c r="BD230" s="337"/>
      <c r="BE230" s="337"/>
      <c r="BF230" s="337"/>
      <c r="BG230" s="337"/>
      <c r="BH230" s="337"/>
      <c r="BI230" s="337"/>
      <c r="BJ230" s="337"/>
      <c r="BK230" s="338"/>
      <c r="BL230" s="339"/>
      <c r="BM230" s="340"/>
      <c r="BN230" s="340"/>
      <c r="BO230" s="340"/>
      <c r="BP230" s="340"/>
      <c r="BQ230" s="340"/>
      <c r="BR230" s="340"/>
      <c r="BS230" s="341"/>
      <c r="BT230" s="342" t="s">
        <v>784</v>
      </c>
      <c r="BU230" s="343"/>
      <c r="BV230" s="343"/>
      <c r="BW230" s="343"/>
      <c r="BX230" s="343"/>
      <c r="BY230" s="343"/>
      <c r="BZ230" s="343"/>
      <c r="CA230" s="343"/>
      <c r="CB230" s="343"/>
      <c r="CC230" s="343"/>
      <c r="CD230" s="343"/>
      <c r="CE230" s="343"/>
      <c r="CF230" s="344"/>
      <c r="CG230" s="345" t="s">
        <v>812</v>
      </c>
      <c r="CH230" s="340"/>
      <c r="CI230" s="340"/>
      <c r="CJ230" s="340"/>
      <c r="CK230" s="340"/>
      <c r="CL230" s="340"/>
      <c r="CM230" s="340"/>
      <c r="CN230" s="340"/>
      <c r="CO230" s="340"/>
      <c r="CP230" s="340"/>
      <c r="CQ230" s="341"/>
      <c r="CR230" s="345"/>
      <c r="CS230" s="340"/>
      <c r="CT230" s="340"/>
      <c r="CU230" s="340"/>
      <c r="CV230" s="340"/>
      <c r="CW230" s="340"/>
      <c r="CX230" s="340"/>
      <c r="CY230" s="340"/>
      <c r="CZ230" s="340"/>
      <c r="DA230" s="340"/>
      <c r="DB230" s="340"/>
      <c r="DC230" s="340"/>
      <c r="DD230" s="341"/>
      <c r="DE230" s="346">
        <f>48400-483.51-6505.29-3320.7</f>
        <v>38090.5</v>
      </c>
      <c r="DF230" s="347"/>
      <c r="DG230" s="347"/>
      <c r="DH230" s="347"/>
      <c r="DI230" s="347"/>
      <c r="DJ230" s="347"/>
      <c r="DK230" s="347"/>
      <c r="DL230" s="347"/>
      <c r="DM230" s="347"/>
      <c r="DN230" s="347"/>
      <c r="DO230" s="347"/>
      <c r="DP230" s="347"/>
      <c r="DQ230" s="348"/>
      <c r="DR230" s="425">
        <f>45800-3000-816.74</f>
        <v>41983.26</v>
      </c>
      <c r="DS230" s="426"/>
      <c r="DT230" s="426"/>
      <c r="DU230" s="426"/>
      <c r="DV230" s="426"/>
      <c r="DW230" s="426"/>
      <c r="DX230" s="426"/>
      <c r="DY230" s="426"/>
      <c r="DZ230" s="426"/>
      <c r="EA230" s="426"/>
      <c r="EB230" s="426"/>
      <c r="EC230" s="426"/>
      <c r="ED230" s="427"/>
      <c r="EE230" s="346"/>
      <c r="EF230" s="347"/>
      <c r="EG230" s="347"/>
      <c r="EH230" s="347"/>
      <c r="EI230" s="347"/>
      <c r="EJ230" s="347"/>
      <c r="EK230" s="347"/>
      <c r="EL230" s="347"/>
      <c r="EM230" s="347"/>
      <c r="EN230" s="347"/>
      <c r="EO230" s="347"/>
      <c r="EP230" s="347"/>
      <c r="EQ230" s="348"/>
      <c r="ER230" s="349"/>
      <c r="ES230" s="350"/>
      <c r="ET230" s="350"/>
      <c r="EU230" s="350"/>
      <c r="EV230" s="350"/>
      <c r="EW230" s="350"/>
      <c r="EX230" s="350"/>
      <c r="EY230" s="350"/>
      <c r="EZ230" s="350"/>
      <c r="FA230" s="350"/>
      <c r="FB230" s="351"/>
      <c r="FC230" s="352"/>
      <c r="FD230" s="353"/>
      <c r="FE230" s="353"/>
      <c r="FF230" s="353"/>
      <c r="FG230" s="353"/>
      <c r="FH230" s="353"/>
      <c r="FI230" s="353"/>
      <c r="FJ230" s="353"/>
      <c r="FK230" s="353"/>
      <c r="FL230" s="353"/>
      <c r="FO230" s="275">
        <v>41983.26</v>
      </c>
      <c r="FP230" s="275"/>
      <c r="FQ230" s="275">
        <f t="shared" si="6"/>
        <v>0</v>
      </c>
    </row>
    <row r="231" spans="1:174" ht="17.399999999999999" customHeight="1">
      <c r="A231" s="336" t="s">
        <v>804</v>
      </c>
      <c r="B231" s="418"/>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9"/>
      <c r="BL231" s="339"/>
      <c r="BM231" s="340"/>
      <c r="BN231" s="340"/>
      <c r="BO231" s="340"/>
      <c r="BP231" s="340"/>
      <c r="BQ231" s="340"/>
      <c r="BR231" s="340"/>
      <c r="BS231" s="341"/>
      <c r="BT231" s="342" t="s">
        <v>784</v>
      </c>
      <c r="BU231" s="343"/>
      <c r="BV231" s="343"/>
      <c r="BW231" s="343"/>
      <c r="BX231" s="343"/>
      <c r="BY231" s="343"/>
      <c r="BZ231" s="343"/>
      <c r="CA231" s="343"/>
      <c r="CB231" s="343"/>
      <c r="CC231" s="343"/>
      <c r="CD231" s="343"/>
      <c r="CE231" s="343"/>
      <c r="CF231" s="344"/>
      <c r="CG231" s="345" t="s">
        <v>812</v>
      </c>
      <c r="CH231" s="340"/>
      <c r="CI231" s="340"/>
      <c r="CJ231" s="340"/>
      <c r="CK231" s="340"/>
      <c r="CL231" s="340"/>
      <c r="CM231" s="340"/>
      <c r="CN231" s="340"/>
      <c r="CO231" s="340"/>
      <c r="CP231" s="340"/>
      <c r="CQ231" s="341"/>
      <c r="CR231" s="345"/>
      <c r="CS231" s="340"/>
      <c r="CT231" s="340"/>
      <c r="CU231" s="340"/>
      <c r="CV231" s="340"/>
      <c r="CW231" s="340"/>
      <c r="CX231" s="340"/>
      <c r="CY231" s="340"/>
      <c r="CZ231" s="340"/>
      <c r="DA231" s="340"/>
      <c r="DB231" s="340"/>
      <c r="DC231" s="340"/>
      <c r="DD231" s="341"/>
      <c r="DE231" s="346">
        <v>53168.76</v>
      </c>
      <c r="DF231" s="347"/>
      <c r="DG231" s="347"/>
      <c r="DH231" s="347"/>
      <c r="DI231" s="347"/>
      <c r="DJ231" s="347"/>
      <c r="DK231" s="347"/>
      <c r="DL231" s="347"/>
      <c r="DM231" s="347"/>
      <c r="DN231" s="347"/>
      <c r="DO231" s="347"/>
      <c r="DP231" s="347"/>
      <c r="DQ231" s="348"/>
      <c r="DR231" s="346">
        <v>48000</v>
      </c>
      <c r="DS231" s="347"/>
      <c r="DT231" s="347"/>
      <c r="DU231" s="347"/>
      <c r="DV231" s="347"/>
      <c r="DW231" s="347"/>
      <c r="DX231" s="347"/>
      <c r="DY231" s="347"/>
      <c r="DZ231" s="347"/>
      <c r="EA231" s="347"/>
      <c r="EB231" s="347"/>
      <c r="EC231" s="347"/>
      <c r="ED231" s="348"/>
      <c r="EE231" s="346"/>
      <c r="EF231" s="347"/>
      <c r="EG231" s="347"/>
      <c r="EH231" s="347"/>
      <c r="EI231" s="347"/>
      <c r="EJ231" s="347"/>
      <c r="EK231" s="347"/>
      <c r="EL231" s="347"/>
      <c r="EM231" s="347"/>
      <c r="EN231" s="347"/>
      <c r="EO231" s="347"/>
      <c r="EP231" s="347"/>
      <c r="EQ231" s="348"/>
      <c r="ER231" s="349"/>
      <c r="ES231" s="350"/>
      <c r="ET231" s="350"/>
      <c r="EU231" s="350"/>
      <c r="EV231" s="350"/>
      <c r="EW231" s="350"/>
      <c r="EX231" s="350"/>
      <c r="EY231" s="350"/>
      <c r="EZ231" s="350"/>
      <c r="FA231" s="350"/>
      <c r="FB231" s="351"/>
      <c r="FC231" s="352"/>
      <c r="FD231" s="353"/>
      <c r="FE231" s="353"/>
      <c r="FF231" s="353"/>
      <c r="FG231" s="353"/>
      <c r="FH231" s="353"/>
      <c r="FI231" s="353"/>
      <c r="FJ231" s="353"/>
      <c r="FK231" s="353"/>
      <c r="FL231" s="353"/>
      <c r="FO231" s="275">
        <v>48000</v>
      </c>
      <c r="FP231" s="275"/>
      <c r="FQ231" s="275">
        <f t="shared" si="6"/>
        <v>0</v>
      </c>
    </row>
    <row r="232" spans="1:174" ht="19.95" customHeight="1">
      <c r="A232" s="336" t="s">
        <v>805</v>
      </c>
      <c r="B232" s="418"/>
      <c r="C232" s="418"/>
      <c r="D232" s="418"/>
      <c r="E232" s="418"/>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8"/>
      <c r="AC232" s="418"/>
      <c r="AD232" s="418"/>
      <c r="AE232" s="418"/>
      <c r="AF232" s="418"/>
      <c r="AG232" s="418"/>
      <c r="AH232" s="418"/>
      <c r="AI232" s="418"/>
      <c r="AJ232" s="418"/>
      <c r="AK232" s="418"/>
      <c r="AL232" s="418"/>
      <c r="AM232" s="418"/>
      <c r="AN232" s="418"/>
      <c r="AO232" s="418"/>
      <c r="AP232" s="418"/>
      <c r="AQ232" s="418"/>
      <c r="AR232" s="418"/>
      <c r="AS232" s="418"/>
      <c r="AT232" s="418"/>
      <c r="AU232" s="418"/>
      <c r="AV232" s="418"/>
      <c r="AW232" s="418"/>
      <c r="AX232" s="418"/>
      <c r="AY232" s="418"/>
      <c r="AZ232" s="418"/>
      <c r="BA232" s="418"/>
      <c r="BB232" s="418"/>
      <c r="BC232" s="418"/>
      <c r="BD232" s="418"/>
      <c r="BE232" s="418"/>
      <c r="BF232" s="418"/>
      <c r="BG232" s="418"/>
      <c r="BH232" s="418"/>
      <c r="BI232" s="418"/>
      <c r="BJ232" s="418"/>
      <c r="BK232" s="419"/>
      <c r="BL232" s="339"/>
      <c r="BM232" s="340"/>
      <c r="BN232" s="340"/>
      <c r="BO232" s="340"/>
      <c r="BP232" s="340"/>
      <c r="BQ232" s="340"/>
      <c r="BR232" s="340"/>
      <c r="BS232" s="341"/>
      <c r="BT232" s="342" t="s">
        <v>784</v>
      </c>
      <c r="BU232" s="343"/>
      <c r="BV232" s="343"/>
      <c r="BW232" s="343"/>
      <c r="BX232" s="343"/>
      <c r="BY232" s="343"/>
      <c r="BZ232" s="343"/>
      <c r="CA232" s="343"/>
      <c r="CB232" s="343"/>
      <c r="CC232" s="343"/>
      <c r="CD232" s="343"/>
      <c r="CE232" s="343"/>
      <c r="CF232" s="344"/>
      <c r="CG232" s="345" t="s">
        <v>812</v>
      </c>
      <c r="CH232" s="340"/>
      <c r="CI232" s="340"/>
      <c r="CJ232" s="340"/>
      <c r="CK232" s="340"/>
      <c r="CL232" s="340"/>
      <c r="CM232" s="340"/>
      <c r="CN232" s="340"/>
      <c r="CO232" s="340"/>
      <c r="CP232" s="340"/>
      <c r="CQ232" s="341"/>
      <c r="CR232" s="345"/>
      <c r="CS232" s="340"/>
      <c r="CT232" s="340"/>
      <c r="CU232" s="340"/>
      <c r="CV232" s="340"/>
      <c r="CW232" s="340"/>
      <c r="CX232" s="340"/>
      <c r="CY232" s="340"/>
      <c r="CZ232" s="340"/>
      <c r="DA232" s="340"/>
      <c r="DB232" s="340"/>
      <c r="DC232" s="340"/>
      <c r="DD232" s="341"/>
      <c r="DE232" s="346">
        <f>44000-315.85-6672.95</f>
        <v>37011.200000000004</v>
      </c>
      <c r="DF232" s="347"/>
      <c r="DG232" s="347"/>
      <c r="DH232" s="347"/>
      <c r="DI232" s="347"/>
      <c r="DJ232" s="347"/>
      <c r="DK232" s="347"/>
      <c r="DL232" s="347"/>
      <c r="DM232" s="347"/>
      <c r="DN232" s="347"/>
      <c r="DO232" s="347"/>
      <c r="DP232" s="347"/>
      <c r="DQ232" s="348"/>
      <c r="DR232" s="346">
        <v>38800</v>
      </c>
      <c r="DS232" s="347"/>
      <c r="DT232" s="347"/>
      <c r="DU232" s="347"/>
      <c r="DV232" s="347"/>
      <c r="DW232" s="347"/>
      <c r="DX232" s="347"/>
      <c r="DY232" s="347"/>
      <c r="DZ232" s="347"/>
      <c r="EA232" s="347"/>
      <c r="EB232" s="347"/>
      <c r="EC232" s="347"/>
      <c r="ED232" s="348"/>
      <c r="EE232" s="346"/>
      <c r="EF232" s="347"/>
      <c r="EG232" s="347"/>
      <c r="EH232" s="347"/>
      <c r="EI232" s="347"/>
      <c r="EJ232" s="347"/>
      <c r="EK232" s="347"/>
      <c r="EL232" s="347"/>
      <c r="EM232" s="347"/>
      <c r="EN232" s="347"/>
      <c r="EO232" s="347"/>
      <c r="EP232" s="347"/>
      <c r="EQ232" s="348"/>
      <c r="ER232" s="349"/>
      <c r="ES232" s="350"/>
      <c r="ET232" s="350"/>
      <c r="EU232" s="350"/>
      <c r="EV232" s="350"/>
      <c r="EW232" s="350"/>
      <c r="EX232" s="350"/>
      <c r="EY232" s="350"/>
      <c r="EZ232" s="350"/>
      <c r="FA232" s="350"/>
      <c r="FB232" s="351"/>
      <c r="FC232" s="352"/>
      <c r="FD232" s="353"/>
      <c r="FE232" s="353"/>
      <c r="FF232" s="353"/>
      <c r="FG232" s="353"/>
      <c r="FH232" s="353"/>
      <c r="FI232" s="353"/>
      <c r="FJ232" s="353"/>
      <c r="FK232" s="353"/>
      <c r="FL232" s="353"/>
      <c r="FO232" s="275"/>
      <c r="FP232" s="275"/>
      <c r="FQ232" s="275">
        <f t="shared" si="6"/>
        <v>38800</v>
      </c>
    </row>
    <row r="233" spans="1:174" ht="18.600000000000001" customHeight="1">
      <c r="A233" s="336" t="s">
        <v>806</v>
      </c>
      <c r="B233" s="418"/>
      <c r="C233" s="418"/>
      <c r="D233" s="418"/>
      <c r="E233" s="418"/>
      <c r="F233" s="418"/>
      <c r="G233" s="418"/>
      <c r="H233" s="418"/>
      <c r="I233" s="418"/>
      <c r="J233" s="418"/>
      <c r="K233" s="418"/>
      <c r="L233" s="418"/>
      <c r="M233" s="418"/>
      <c r="N233" s="418"/>
      <c r="O233" s="418"/>
      <c r="P233" s="418"/>
      <c r="Q233" s="418"/>
      <c r="R233" s="418"/>
      <c r="S233" s="418"/>
      <c r="T233" s="418"/>
      <c r="U233" s="418"/>
      <c r="V233" s="418"/>
      <c r="W233" s="418"/>
      <c r="X233" s="418"/>
      <c r="Y233" s="418"/>
      <c r="Z233" s="418"/>
      <c r="AA233" s="418"/>
      <c r="AB233" s="418"/>
      <c r="AC233" s="418"/>
      <c r="AD233" s="418"/>
      <c r="AE233" s="418"/>
      <c r="AF233" s="418"/>
      <c r="AG233" s="418"/>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8"/>
      <c r="BC233" s="418"/>
      <c r="BD233" s="418"/>
      <c r="BE233" s="418"/>
      <c r="BF233" s="418"/>
      <c r="BG233" s="418"/>
      <c r="BH233" s="418"/>
      <c r="BI233" s="418"/>
      <c r="BJ233" s="418"/>
      <c r="BK233" s="419"/>
      <c r="BL233" s="339"/>
      <c r="BM233" s="340"/>
      <c r="BN233" s="340"/>
      <c r="BO233" s="340"/>
      <c r="BP233" s="340"/>
      <c r="BQ233" s="340"/>
      <c r="BR233" s="340"/>
      <c r="BS233" s="341"/>
      <c r="BT233" s="342" t="s">
        <v>784</v>
      </c>
      <c r="BU233" s="343"/>
      <c r="BV233" s="343"/>
      <c r="BW233" s="343"/>
      <c r="BX233" s="343"/>
      <c r="BY233" s="343"/>
      <c r="BZ233" s="343"/>
      <c r="CA233" s="343"/>
      <c r="CB233" s="343"/>
      <c r="CC233" s="343"/>
      <c r="CD233" s="343"/>
      <c r="CE233" s="343"/>
      <c r="CF233" s="344"/>
      <c r="CG233" s="345" t="s">
        <v>812</v>
      </c>
      <c r="CH233" s="340"/>
      <c r="CI233" s="340"/>
      <c r="CJ233" s="340"/>
      <c r="CK233" s="340"/>
      <c r="CL233" s="340"/>
      <c r="CM233" s="340"/>
      <c r="CN233" s="340"/>
      <c r="CO233" s="340"/>
      <c r="CP233" s="340"/>
      <c r="CQ233" s="341"/>
      <c r="CR233" s="345"/>
      <c r="CS233" s="340"/>
      <c r="CT233" s="340"/>
      <c r="CU233" s="340"/>
      <c r="CV233" s="340"/>
      <c r="CW233" s="340"/>
      <c r="CX233" s="340"/>
      <c r="CY233" s="340"/>
      <c r="CZ233" s="340"/>
      <c r="DA233" s="340"/>
      <c r="DB233" s="340"/>
      <c r="DC233" s="340"/>
      <c r="DD233" s="341"/>
      <c r="DE233" s="346">
        <v>50000</v>
      </c>
      <c r="DF233" s="347"/>
      <c r="DG233" s="347"/>
      <c r="DH233" s="347"/>
      <c r="DI233" s="347"/>
      <c r="DJ233" s="347"/>
      <c r="DK233" s="347"/>
      <c r="DL233" s="347"/>
      <c r="DM233" s="347"/>
      <c r="DN233" s="347"/>
      <c r="DO233" s="347"/>
      <c r="DP233" s="347"/>
      <c r="DQ233" s="348"/>
      <c r="DR233" s="346">
        <v>52000</v>
      </c>
      <c r="DS233" s="347"/>
      <c r="DT233" s="347"/>
      <c r="DU233" s="347"/>
      <c r="DV233" s="347"/>
      <c r="DW233" s="347"/>
      <c r="DX233" s="347"/>
      <c r="DY233" s="347"/>
      <c r="DZ233" s="347"/>
      <c r="EA233" s="347"/>
      <c r="EB233" s="347"/>
      <c r="EC233" s="347"/>
      <c r="ED233" s="348"/>
      <c r="EE233" s="346"/>
      <c r="EF233" s="347"/>
      <c r="EG233" s="347"/>
      <c r="EH233" s="347"/>
      <c r="EI233" s="347"/>
      <c r="EJ233" s="347"/>
      <c r="EK233" s="347"/>
      <c r="EL233" s="347"/>
      <c r="EM233" s="347"/>
      <c r="EN233" s="347"/>
      <c r="EO233" s="347"/>
      <c r="EP233" s="347"/>
      <c r="EQ233" s="348"/>
      <c r="ER233" s="349"/>
      <c r="ES233" s="350"/>
      <c r="ET233" s="350"/>
      <c r="EU233" s="350"/>
      <c r="EV233" s="350"/>
      <c r="EW233" s="350"/>
      <c r="EX233" s="350"/>
      <c r="EY233" s="350"/>
      <c r="EZ233" s="350"/>
      <c r="FA233" s="350"/>
      <c r="FB233" s="351"/>
      <c r="FC233" s="352"/>
      <c r="FD233" s="353"/>
      <c r="FE233" s="353"/>
      <c r="FF233" s="353"/>
      <c r="FG233" s="353"/>
      <c r="FH233" s="353"/>
      <c r="FI233" s="353"/>
      <c r="FJ233" s="353"/>
      <c r="FK233" s="353"/>
      <c r="FL233" s="353"/>
      <c r="FO233" s="275"/>
      <c r="FP233" s="275"/>
      <c r="FQ233" s="275">
        <f t="shared" si="6"/>
        <v>52000</v>
      </c>
      <c r="FR233" s="173"/>
    </row>
    <row r="234" spans="1:174" ht="17.399999999999999" customHeight="1">
      <c r="A234" s="336" t="s">
        <v>807</v>
      </c>
      <c r="B234" s="418"/>
      <c r="C234" s="418"/>
      <c r="D234" s="418"/>
      <c r="E234" s="418"/>
      <c r="F234" s="418"/>
      <c r="G234" s="418"/>
      <c r="H234" s="418"/>
      <c r="I234" s="418"/>
      <c r="J234" s="418"/>
      <c r="K234" s="418"/>
      <c r="L234" s="418"/>
      <c r="M234" s="418"/>
      <c r="N234" s="418"/>
      <c r="O234" s="418"/>
      <c r="P234" s="418"/>
      <c r="Q234" s="418"/>
      <c r="R234" s="418"/>
      <c r="S234" s="418"/>
      <c r="T234" s="418"/>
      <c r="U234" s="418"/>
      <c r="V234" s="418"/>
      <c r="W234" s="418"/>
      <c r="X234" s="418"/>
      <c r="Y234" s="418"/>
      <c r="Z234" s="418"/>
      <c r="AA234" s="418"/>
      <c r="AB234" s="418"/>
      <c r="AC234" s="418"/>
      <c r="AD234" s="418"/>
      <c r="AE234" s="418"/>
      <c r="AF234" s="418"/>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418"/>
      <c r="BE234" s="418"/>
      <c r="BF234" s="418"/>
      <c r="BG234" s="418"/>
      <c r="BH234" s="418"/>
      <c r="BI234" s="418"/>
      <c r="BJ234" s="418"/>
      <c r="BK234" s="419"/>
      <c r="BL234" s="339"/>
      <c r="BM234" s="340"/>
      <c r="BN234" s="340"/>
      <c r="BO234" s="340"/>
      <c r="BP234" s="340"/>
      <c r="BQ234" s="340"/>
      <c r="BR234" s="340"/>
      <c r="BS234" s="341"/>
      <c r="BT234" s="342" t="s">
        <v>784</v>
      </c>
      <c r="BU234" s="343"/>
      <c r="BV234" s="343"/>
      <c r="BW234" s="343"/>
      <c r="BX234" s="343"/>
      <c r="BY234" s="343"/>
      <c r="BZ234" s="343"/>
      <c r="CA234" s="343"/>
      <c r="CB234" s="343"/>
      <c r="CC234" s="343"/>
      <c r="CD234" s="343"/>
      <c r="CE234" s="343"/>
      <c r="CF234" s="344"/>
      <c r="CG234" s="345" t="s">
        <v>812</v>
      </c>
      <c r="CH234" s="340"/>
      <c r="CI234" s="340"/>
      <c r="CJ234" s="340"/>
      <c r="CK234" s="340"/>
      <c r="CL234" s="340"/>
      <c r="CM234" s="340"/>
      <c r="CN234" s="340"/>
      <c r="CO234" s="340"/>
      <c r="CP234" s="340"/>
      <c r="CQ234" s="341"/>
      <c r="CR234" s="345"/>
      <c r="CS234" s="340"/>
      <c r="CT234" s="340"/>
      <c r="CU234" s="340"/>
      <c r="CV234" s="340"/>
      <c r="CW234" s="340"/>
      <c r="CX234" s="340"/>
      <c r="CY234" s="340"/>
      <c r="CZ234" s="340"/>
      <c r="DA234" s="340"/>
      <c r="DB234" s="340"/>
      <c r="DC234" s="340"/>
      <c r="DD234" s="341"/>
      <c r="DE234" s="346">
        <v>35000</v>
      </c>
      <c r="DF234" s="347"/>
      <c r="DG234" s="347"/>
      <c r="DH234" s="347"/>
      <c r="DI234" s="347"/>
      <c r="DJ234" s="347"/>
      <c r="DK234" s="347"/>
      <c r="DL234" s="347"/>
      <c r="DM234" s="347"/>
      <c r="DN234" s="347"/>
      <c r="DO234" s="347"/>
      <c r="DP234" s="347"/>
      <c r="DQ234" s="348"/>
      <c r="DR234" s="346">
        <v>36400</v>
      </c>
      <c r="DS234" s="347"/>
      <c r="DT234" s="347"/>
      <c r="DU234" s="347"/>
      <c r="DV234" s="347"/>
      <c r="DW234" s="347"/>
      <c r="DX234" s="347"/>
      <c r="DY234" s="347"/>
      <c r="DZ234" s="347"/>
      <c r="EA234" s="347"/>
      <c r="EB234" s="347"/>
      <c r="EC234" s="347"/>
      <c r="ED234" s="348"/>
      <c r="EE234" s="346"/>
      <c r="EF234" s="347"/>
      <c r="EG234" s="347"/>
      <c r="EH234" s="347"/>
      <c r="EI234" s="347"/>
      <c r="EJ234" s="347"/>
      <c r="EK234" s="347"/>
      <c r="EL234" s="347"/>
      <c r="EM234" s="347"/>
      <c r="EN234" s="347"/>
      <c r="EO234" s="347"/>
      <c r="EP234" s="347"/>
      <c r="EQ234" s="348"/>
      <c r="ER234" s="349"/>
      <c r="ES234" s="350"/>
      <c r="ET234" s="350"/>
      <c r="EU234" s="350"/>
      <c r="EV234" s="350"/>
      <c r="EW234" s="350"/>
      <c r="EX234" s="350"/>
      <c r="EY234" s="350"/>
      <c r="EZ234" s="350"/>
      <c r="FA234" s="350"/>
      <c r="FB234" s="351"/>
      <c r="FC234" s="352"/>
      <c r="FD234" s="353"/>
      <c r="FE234" s="353"/>
      <c r="FF234" s="353"/>
      <c r="FG234" s="353"/>
      <c r="FH234" s="353"/>
      <c r="FI234" s="353"/>
      <c r="FJ234" s="353"/>
      <c r="FK234" s="353"/>
      <c r="FL234" s="353"/>
      <c r="FO234" s="275"/>
      <c r="FP234" s="275"/>
      <c r="FQ234" s="275">
        <f t="shared" si="6"/>
        <v>36400</v>
      </c>
      <c r="FR234" s="173"/>
    </row>
    <row r="235" spans="1:174" ht="22.2" customHeight="1">
      <c r="A235" s="336" t="s">
        <v>1016</v>
      </c>
      <c r="B235" s="418"/>
      <c r="C235" s="418"/>
      <c r="D235" s="418"/>
      <c r="E235" s="418"/>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18"/>
      <c r="AC235" s="418"/>
      <c r="AD235" s="418"/>
      <c r="AE235" s="418"/>
      <c r="AF235" s="418"/>
      <c r="AG235" s="418"/>
      <c r="AH235" s="418"/>
      <c r="AI235" s="418"/>
      <c r="AJ235" s="418"/>
      <c r="AK235" s="418"/>
      <c r="AL235" s="418"/>
      <c r="AM235" s="418"/>
      <c r="AN235" s="418"/>
      <c r="AO235" s="418"/>
      <c r="AP235" s="418"/>
      <c r="AQ235" s="418"/>
      <c r="AR235" s="418"/>
      <c r="AS235" s="418"/>
      <c r="AT235" s="418"/>
      <c r="AU235" s="418"/>
      <c r="AV235" s="418"/>
      <c r="AW235" s="418"/>
      <c r="AX235" s="418"/>
      <c r="AY235" s="418"/>
      <c r="AZ235" s="418"/>
      <c r="BA235" s="418"/>
      <c r="BB235" s="418"/>
      <c r="BC235" s="418"/>
      <c r="BD235" s="418"/>
      <c r="BE235" s="418"/>
      <c r="BF235" s="418"/>
      <c r="BG235" s="418"/>
      <c r="BH235" s="418"/>
      <c r="BI235" s="418"/>
      <c r="BJ235" s="418"/>
      <c r="BK235" s="419"/>
      <c r="BL235" s="339"/>
      <c r="BM235" s="340"/>
      <c r="BN235" s="340"/>
      <c r="BO235" s="340"/>
      <c r="BP235" s="340"/>
      <c r="BQ235" s="340"/>
      <c r="BR235" s="340"/>
      <c r="BS235" s="341"/>
      <c r="BT235" s="342" t="s">
        <v>784</v>
      </c>
      <c r="BU235" s="343"/>
      <c r="BV235" s="343"/>
      <c r="BW235" s="343"/>
      <c r="BX235" s="343"/>
      <c r="BY235" s="343"/>
      <c r="BZ235" s="343"/>
      <c r="CA235" s="343"/>
      <c r="CB235" s="343"/>
      <c r="CC235" s="343"/>
      <c r="CD235" s="343"/>
      <c r="CE235" s="343"/>
      <c r="CF235" s="344"/>
      <c r="CG235" s="345" t="s">
        <v>812</v>
      </c>
      <c r="CH235" s="340"/>
      <c r="CI235" s="340"/>
      <c r="CJ235" s="340"/>
      <c r="CK235" s="340"/>
      <c r="CL235" s="340"/>
      <c r="CM235" s="340"/>
      <c r="CN235" s="340"/>
      <c r="CO235" s="340"/>
      <c r="CP235" s="340"/>
      <c r="CQ235" s="341"/>
      <c r="CR235" s="345"/>
      <c r="CS235" s="340"/>
      <c r="CT235" s="340"/>
      <c r="CU235" s="340"/>
      <c r="CV235" s="340"/>
      <c r="CW235" s="340"/>
      <c r="CX235" s="340"/>
      <c r="CY235" s="340"/>
      <c r="CZ235" s="340"/>
      <c r="DA235" s="340"/>
      <c r="DB235" s="340"/>
      <c r="DC235" s="340"/>
      <c r="DD235" s="341"/>
      <c r="DE235" s="346">
        <f>300</f>
        <v>300</v>
      </c>
      <c r="DF235" s="347"/>
      <c r="DG235" s="347"/>
      <c r="DH235" s="347"/>
      <c r="DI235" s="347"/>
      <c r="DJ235" s="347"/>
      <c r="DK235" s="347"/>
      <c r="DL235" s="347"/>
      <c r="DM235" s="347"/>
      <c r="DN235" s="347"/>
      <c r="DO235" s="347"/>
      <c r="DP235" s="347"/>
      <c r="DQ235" s="348"/>
      <c r="DR235" s="346">
        <v>1000</v>
      </c>
      <c r="DS235" s="347"/>
      <c r="DT235" s="347"/>
      <c r="DU235" s="347"/>
      <c r="DV235" s="347"/>
      <c r="DW235" s="347"/>
      <c r="DX235" s="347"/>
      <c r="DY235" s="347"/>
      <c r="DZ235" s="347"/>
      <c r="EA235" s="347"/>
      <c r="EB235" s="347"/>
      <c r="EC235" s="347"/>
      <c r="ED235" s="348"/>
      <c r="EE235" s="346"/>
      <c r="EF235" s="347"/>
      <c r="EG235" s="347"/>
      <c r="EH235" s="347"/>
      <c r="EI235" s="347"/>
      <c r="EJ235" s="347"/>
      <c r="EK235" s="347"/>
      <c r="EL235" s="347"/>
      <c r="EM235" s="347"/>
      <c r="EN235" s="347"/>
      <c r="EO235" s="347"/>
      <c r="EP235" s="347"/>
      <c r="EQ235" s="348"/>
      <c r="ER235" s="349"/>
      <c r="ES235" s="350"/>
      <c r="ET235" s="350"/>
      <c r="EU235" s="350"/>
      <c r="EV235" s="350"/>
      <c r="EW235" s="350"/>
      <c r="EX235" s="350"/>
      <c r="EY235" s="350"/>
      <c r="EZ235" s="350"/>
      <c r="FA235" s="350"/>
      <c r="FB235" s="351"/>
      <c r="FC235" s="352"/>
      <c r="FD235" s="353"/>
      <c r="FE235" s="353"/>
      <c r="FF235" s="353"/>
      <c r="FG235" s="353"/>
      <c r="FH235" s="353"/>
      <c r="FI235" s="353"/>
      <c r="FJ235" s="353"/>
      <c r="FK235" s="353"/>
      <c r="FL235" s="353"/>
      <c r="FO235" s="275"/>
      <c r="FP235" s="275"/>
      <c r="FQ235" s="275">
        <f t="shared" si="6"/>
        <v>1000</v>
      </c>
      <c r="FR235" s="173"/>
    </row>
    <row r="236" spans="1:174" ht="15" customHeight="1">
      <c r="A236" s="336" t="s">
        <v>1017</v>
      </c>
      <c r="B236" s="418"/>
      <c r="C236" s="418"/>
      <c r="D236" s="418"/>
      <c r="E236" s="418"/>
      <c r="F236" s="418"/>
      <c r="G236" s="418"/>
      <c r="H236" s="418"/>
      <c r="I236" s="418"/>
      <c r="J236" s="418"/>
      <c r="K236" s="418"/>
      <c r="L236" s="418"/>
      <c r="M236" s="418"/>
      <c r="N236" s="418"/>
      <c r="O236" s="418"/>
      <c r="P236" s="418"/>
      <c r="Q236" s="418"/>
      <c r="R236" s="418"/>
      <c r="S236" s="418"/>
      <c r="T236" s="418"/>
      <c r="U236" s="418"/>
      <c r="V236" s="418"/>
      <c r="W236" s="418"/>
      <c r="X236" s="418"/>
      <c r="Y236" s="418"/>
      <c r="Z236" s="418"/>
      <c r="AA236" s="418"/>
      <c r="AB236" s="418"/>
      <c r="AC236" s="418"/>
      <c r="AD236" s="418"/>
      <c r="AE236" s="418"/>
      <c r="AF236" s="418"/>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9"/>
      <c r="BL236" s="339"/>
      <c r="BM236" s="340"/>
      <c r="BN236" s="340"/>
      <c r="BO236" s="340"/>
      <c r="BP236" s="340"/>
      <c r="BQ236" s="340"/>
      <c r="BR236" s="340"/>
      <c r="BS236" s="341"/>
      <c r="BT236" s="342" t="s">
        <v>784</v>
      </c>
      <c r="BU236" s="343"/>
      <c r="BV236" s="343"/>
      <c r="BW236" s="343"/>
      <c r="BX236" s="343"/>
      <c r="BY236" s="343"/>
      <c r="BZ236" s="343"/>
      <c r="CA236" s="343"/>
      <c r="CB236" s="343"/>
      <c r="CC236" s="343"/>
      <c r="CD236" s="343"/>
      <c r="CE236" s="343"/>
      <c r="CF236" s="344"/>
      <c r="CG236" s="345" t="s">
        <v>812</v>
      </c>
      <c r="CH236" s="340"/>
      <c r="CI236" s="340"/>
      <c r="CJ236" s="340"/>
      <c r="CK236" s="340"/>
      <c r="CL236" s="340"/>
      <c r="CM236" s="340"/>
      <c r="CN236" s="340"/>
      <c r="CO236" s="340"/>
      <c r="CP236" s="340"/>
      <c r="CQ236" s="341"/>
      <c r="CR236" s="345"/>
      <c r="CS236" s="340"/>
      <c r="CT236" s="340"/>
      <c r="CU236" s="340"/>
      <c r="CV236" s="340"/>
      <c r="CW236" s="340"/>
      <c r="CX236" s="340"/>
      <c r="CY236" s="340"/>
      <c r="CZ236" s="340"/>
      <c r="DA236" s="340"/>
      <c r="DB236" s="340"/>
      <c r="DC236" s="340"/>
      <c r="DD236" s="341"/>
      <c r="DE236" s="346">
        <v>0</v>
      </c>
      <c r="DF236" s="347"/>
      <c r="DG236" s="347"/>
      <c r="DH236" s="347"/>
      <c r="DI236" s="347"/>
      <c r="DJ236" s="347"/>
      <c r="DK236" s="347"/>
      <c r="DL236" s="347"/>
      <c r="DM236" s="347"/>
      <c r="DN236" s="347"/>
      <c r="DO236" s="347"/>
      <c r="DP236" s="347"/>
      <c r="DQ236" s="348"/>
      <c r="DR236" s="346">
        <v>30000</v>
      </c>
      <c r="DS236" s="347"/>
      <c r="DT236" s="347"/>
      <c r="DU236" s="347"/>
      <c r="DV236" s="347"/>
      <c r="DW236" s="347"/>
      <c r="DX236" s="347"/>
      <c r="DY236" s="347"/>
      <c r="DZ236" s="347"/>
      <c r="EA236" s="347"/>
      <c r="EB236" s="347"/>
      <c r="EC236" s="347"/>
      <c r="ED236" s="348"/>
      <c r="EE236" s="346"/>
      <c r="EF236" s="347"/>
      <c r="EG236" s="347"/>
      <c r="EH236" s="347"/>
      <c r="EI236" s="347"/>
      <c r="EJ236" s="347"/>
      <c r="EK236" s="347"/>
      <c r="EL236" s="347"/>
      <c r="EM236" s="347"/>
      <c r="EN236" s="347"/>
      <c r="EO236" s="347"/>
      <c r="EP236" s="347"/>
      <c r="EQ236" s="348"/>
      <c r="ER236" s="349"/>
      <c r="ES236" s="350"/>
      <c r="ET236" s="350"/>
      <c r="EU236" s="350"/>
      <c r="EV236" s="350"/>
      <c r="EW236" s="350"/>
      <c r="EX236" s="350"/>
      <c r="EY236" s="350"/>
      <c r="EZ236" s="350"/>
      <c r="FA236" s="350"/>
      <c r="FB236" s="351"/>
      <c r="FC236" s="352"/>
      <c r="FD236" s="353"/>
      <c r="FE236" s="353"/>
      <c r="FF236" s="353"/>
      <c r="FG236" s="353"/>
      <c r="FH236" s="353"/>
      <c r="FI236" s="353"/>
      <c r="FJ236" s="353"/>
      <c r="FK236" s="353"/>
      <c r="FL236" s="353"/>
      <c r="FO236" s="275"/>
      <c r="FP236" s="275"/>
      <c r="FQ236" s="275">
        <f t="shared" si="6"/>
        <v>30000</v>
      </c>
      <c r="FR236" s="173"/>
    </row>
    <row r="237" spans="1:174" ht="13.2" customHeight="1">
      <c r="A237" s="451" t="s">
        <v>1012</v>
      </c>
      <c r="B237" s="679"/>
      <c r="C237" s="679"/>
      <c r="D237" s="679"/>
      <c r="E237" s="679"/>
      <c r="F237" s="679"/>
      <c r="G237" s="679"/>
      <c r="H237" s="679"/>
      <c r="I237" s="679"/>
      <c r="J237" s="679"/>
      <c r="K237" s="679"/>
      <c r="L237" s="679"/>
      <c r="M237" s="679"/>
      <c r="N237" s="679"/>
      <c r="O237" s="679"/>
      <c r="P237" s="679"/>
      <c r="Q237" s="679"/>
      <c r="R237" s="679"/>
      <c r="S237" s="679"/>
      <c r="T237" s="679"/>
      <c r="U237" s="679"/>
      <c r="V237" s="679"/>
      <c r="W237" s="679"/>
      <c r="X237" s="679"/>
      <c r="Y237" s="679"/>
      <c r="Z237" s="679"/>
      <c r="AA237" s="679"/>
      <c r="AB237" s="679"/>
      <c r="AC237" s="679"/>
      <c r="AD237" s="679"/>
      <c r="AE237" s="679"/>
      <c r="AF237" s="679"/>
      <c r="AG237" s="679"/>
      <c r="AH237" s="679"/>
      <c r="AI237" s="679"/>
      <c r="AJ237" s="679"/>
      <c r="AK237" s="679"/>
      <c r="AL237" s="679"/>
      <c r="AM237" s="679"/>
      <c r="AN237" s="679"/>
      <c r="AO237" s="679"/>
      <c r="AP237" s="679"/>
      <c r="AQ237" s="679"/>
      <c r="AR237" s="679"/>
      <c r="AS237" s="679"/>
      <c r="AT237" s="679"/>
      <c r="AU237" s="679"/>
      <c r="AV237" s="679"/>
      <c r="AW237" s="679"/>
      <c r="AX237" s="679"/>
      <c r="AY237" s="679"/>
      <c r="AZ237" s="679"/>
      <c r="BA237" s="679"/>
      <c r="BB237" s="679"/>
      <c r="BC237" s="679"/>
      <c r="BD237" s="679"/>
      <c r="BE237" s="679"/>
      <c r="BF237" s="679"/>
      <c r="BG237" s="679"/>
      <c r="BH237" s="679"/>
      <c r="BI237" s="679"/>
      <c r="BJ237" s="679"/>
      <c r="BK237" s="680"/>
      <c r="BL237" s="370"/>
      <c r="BM237" s="371"/>
      <c r="BN237" s="371"/>
      <c r="BO237" s="371"/>
      <c r="BP237" s="371"/>
      <c r="BQ237" s="371"/>
      <c r="BR237" s="371"/>
      <c r="BS237" s="372"/>
      <c r="BT237" s="342" t="s">
        <v>784</v>
      </c>
      <c r="BU237" s="343"/>
      <c r="BV237" s="343"/>
      <c r="BW237" s="343"/>
      <c r="BX237" s="343"/>
      <c r="BY237" s="343"/>
      <c r="BZ237" s="343"/>
      <c r="CA237" s="343"/>
      <c r="CB237" s="343"/>
      <c r="CC237" s="343"/>
      <c r="CD237" s="343"/>
      <c r="CE237" s="343"/>
      <c r="CF237" s="344"/>
      <c r="CG237" s="373" t="s">
        <v>810</v>
      </c>
      <c r="CH237" s="371"/>
      <c r="CI237" s="371"/>
      <c r="CJ237" s="371"/>
      <c r="CK237" s="371"/>
      <c r="CL237" s="371"/>
      <c r="CM237" s="371"/>
      <c r="CN237" s="371"/>
      <c r="CO237" s="371"/>
      <c r="CP237" s="371"/>
      <c r="CQ237" s="372"/>
      <c r="CR237" s="373"/>
      <c r="CS237" s="371"/>
      <c r="CT237" s="371"/>
      <c r="CU237" s="371"/>
      <c r="CV237" s="371"/>
      <c r="CW237" s="371"/>
      <c r="CX237" s="371"/>
      <c r="CY237" s="371"/>
      <c r="CZ237" s="371"/>
      <c r="DA237" s="371"/>
      <c r="DB237" s="371"/>
      <c r="DC237" s="371"/>
      <c r="DD237" s="372"/>
      <c r="DE237" s="346">
        <f>6845-45+6800</f>
        <v>13600</v>
      </c>
      <c r="DF237" s="347"/>
      <c r="DG237" s="347"/>
      <c r="DH237" s="347"/>
      <c r="DI237" s="347"/>
      <c r="DJ237" s="347"/>
      <c r="DK237" s="347"/>
      <c r="DL237" s="347"/>
      <c r="DM237" s="347"/>
      <c r="DN237" s="347"/>
      <c r="DO237" s="347"/>
      <c r="DP237" s="347"/>
      <c r="DQ237" s="348"/>
      <c r="DR237" s="346">
        <v>16500</v>
      </c>
      <c r="DS237" s="347"/>
      <c r="DT237" s="347"/>
      <c r="DU237" s="347"/>
      <c r="DV237" s="347"/>
      <c r="DW237" s="347"/>
      <c r="DX237" s="347"/>
      <c r="DY237" s="347"/>
      <c r="DZ237" s="347"/>
      <c r="EA237" s="347"/>
      <c r="EB237" s="347"/>
      <c r="EC237" s="347"/>
      <c r="ED237" s="348"/>
      <c r="EE237" s="346"/>
      <c r="EF237" s="347"/>
      <c r="EG237" s="347"/>
      <c r="EH237" s="347"/>
      <c r="EI237" s="347"/>
      <c r="EJ237" s="347"/>
      <c r="EK237" s="347"/>
      <c r="EL237" s="347"/>
      <c r="EM237" s="347"/>
      <c r="EN237" s="347"/>
      <c r="EO237" s="347"/>
      <c r="EP237" s="347"/>
      <c r="EQ237" s="348"/>
      <c r="ER237" s="349"/>
      <c r="ES237" s="350"/>
      <c r="ET237" s="350"/>
      <c r="EU237" s="350"/>
      <c r="EV237" s="350"/>
      <c r="EW237" s="350"/>
      <c r="EX237" s="350"/>
      <c r="EY237" s="350"/>
      <c r="EZ237" s="350"/>
      <c r="FA237" s="350"/>
      <c r="FB237" s="351"/>
      <c r="FC237" s="352"/>
      <c r="FD237" s="353"/>
      <c r="FE237" s="353"/>
      <c r="FF237" s="353"/>
      <c r="FG237" s="353"/>
      <c r="FH237" s="353"/>
      <c r="FI237" s="353"/>
      <c r="FJ237" s="353"/>
      <c r="FK237" s="353"/>
      <c r="FL237" s="353"/>
      <c r="FO237" s="275"/>
      <c r="FP237" s="275"/>
      <c r="FQ237" s="275">
        <f t="shared" si="6"/>
        <v>16500</v>
      </c>
    </row>
    <row r="238" spans="1:174" ht="13.2" hidden="1" customHeight="1">
      <c r="A238" s="451" t="s">
        <v>956</v>
      </c>
      <c r="B238" s="679"/>
      <c r="C238" s="679"/>
      <c r="D238" s="679"/>
      <c r="E238" s="679"/>
      <c r="F238" s="679"/>
      <c r="G238" s="679"/>
      <c r="H238" s="679"/>
      <c r="I238" s="679"/>
      <c r="J238" s="679"/>
      <c r="K238" s="679"/>
      <c r="L238" s="679"/>
      <c r="M238" s="679"/>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79"/>
      <c r="AK238" s="679"/>
      <c r="AL238" s="679"/>
      <c r="AM238" s="679"/>
      <c r="AN238" s="679"/>
      <c r="AO238" s="679"/>
      <c r="AP238" s="679"/>
      <c r="AQ238" s="679"/>
      <c r="AR238" s="679"/>
      <c r="AS238" s="679"/>
      <c r="AT238" s="679"/>
      <c r="AU238" s="679"/>
      <c r="AV238" s="679"/>
      <c r="AW238" s="679"/>
      <c r="AX238" s="679"/>
      <c r="AY238" s="679"/>
      <c r="AZ238" s="679"/>
      <c r="BA238" s="679"/>
      <c r="BB238" s="679"/>
      <c r="BC238" s="679"/>
      <c r="BD238" s="679"/>
      <c r="BE238" s="679"/>
      <c r="BF238" s="679"/>
      <c r="BG238" s="679"/>
      <c r="BH238" s="679"/>
      <c r="BI238" s="679"/>
      <c r="BJ238" s="679"/>
      <c r="BK238" s="680"/>
      <c r="BL238" s="370"/>
      <c r="BM238" s="371"/>
      <c r="BN238" s="371"/>
      <c r="BO238" s="371"/>
      <c r="BP238" s="371"/>
      <c r="BQ238" s="371"/>
      <c r="BR238" s="371"/>
      <c r="BS238" s="372"/>
      <c r="BT238" s="420" t="s">
        <v>784</v>
      </c>
      <c r="BU238" s="421"/>
      <c r="BV238" s="421"/>
      <c r="BW238" s="421"/>
      <c r="BX238" s="421"/>
      <c r="BY238" s="421"/>
      <c r="BZ238" s="421"/>
      <c r="CA238" s="421"/>
      <c r="CB238" s="421"/>
      <c r="CC238" s="421"/>
      <c r="CD238" s="421"/>
      <c r="CE238" s="421"/>
      <c r="CF238" s="422"/>
      <c r="CG238" s="373" t="s">
        <v>812</v>
      </c>
      <c r="CH238" s="371"/>
      <c r="CI238" s="371"/>
      <c r="CJ238" s="371"/>
      <c r="CK238" s="371"/>
      <c r="CL238" s="371"/>
      <c r="CM238" s="371"/>
      <c r="CN238" s="371"/>
      <c r="CO238" s="371"/>
      <c r="CP238" s="371"/>
      <c r="CQ238" s="372"/>
      <c r="CR238" s="373"/>
      <c r="CS238" s="371"/>
      <c r="CT238" s="371"/>
      <c r="CU238" s="371"/>
      <c r="CV238" s="371"/>
      <c r="CW238" s="371"/>
      <c r="CX238" s="371"/>
      <c r="CY238" s="371"/>
      <c r="CZ238" s="371"/>
      <c r="DA238" s="371"/>
      <c r="DB238" s="371"/>
      <c r="DC238" s="371"/>
      <c r="DD238" s="372"/>
      <c r="DE238" s="346">
        <f>74400</f>
        <v>74400</v>
      </c>
      <c r="DF238" s="347"/>
      <c r="DG238" s="347"/>
      <c r="DH238" s="347"/>
      <c r="DI238" s="347"/>
      <c r="DJ238" s="347"/>
      <c r="DK238" s="347"/>
      <c r="DL238" s="347"/>
      <c r="DM238" s="347"/>
      <c r="DN238" s="347"/>
      <c r="DO238" s="347"/>
      <c r="DP238" s="347"/>
      <c r="DQ238" s="348"/>
      <c r="DR238" s="346">
        <v>0</v>
      </c>
      <c r="DS238" s="347"/>
      <c r="DT238" s="347"/>
      <c r="DU238" s="347"/>
      <c r="DV238" s="347"/>
      <c r="DW238" s="347"/>
      <c r="DX238" s="347"/>
      <c r="DY238" s="347"/>
      <c r="DZ238" s="347"/>
      <c r="EA238" s="347"/>
      <c r="EB238" s="347"/>
      <c r="EC238" s="347"/>
      <c r="ED238" s="348"/>
      <c r="EE238" s="346"/>
      <c r="EF238" s="347"/>
      <c r="EG238" s="347"/>
      <c r="EH238" s="347"/>
      <c r="EI238" s="347"/>
      <c r="EJ238" s="347"/>
      <c r="EK238" s="347"/>
      <c r="EL238" s="347"/>
      <c r="EM238" s="347"/>
      <c r="EN238" s="347"/>
      <c r="EO238" s="347"/>
      <c r="EP238" s="347"/>
      <c r="EQ238" s="348"/>
      <c r="ER238" s="349"/>
      <c r="ES238" s="350"/>
      <c r="ET238" s="350"/>
      <c r="EU238" s="350"/>
      <c r="EV238" s="350"/>
      <c r="EW238" s="350"/>
      <c r="EX238" s="350"/>
      <c r="EY238" s="350"/>
      <c r="EZ238" s="350"/>
      <c r="FA238" s="350"/>
      <c r="FB238" s="351"/>
      <c r="FC238" s="352"/>
      <c r="FD238" s="353"/>
      <c r="FE238" s="353"/>
      <c r="FF238" s="353"/>
      <c r="FG238" s="353"/>
      <c r="FH238" s="353"/>
      <c r="FI238" s="353"/>
      <c r="FJ238" s="353"/>
      <c r="FK238" s="353"/>
      <c r="FL238" s="353"/>
      <c r="FO238" s="275"/>
      <c r="FP238" s="275"/>
      <c r="FQ238" s="275">
        <f t="shared" si="6"/>
        <v>0</v>
      </c>
    </row>
    <row r="239" spans="1:174" ht="13.2" hidden="1" customHeight="1">
      <c r="A239" s="451" t="s">
        <v>974</v>
      </c>
      <c r="B239" s="679"/>
      <c r="C239" s="679"/>
      <c r="D239" s="679"/>
      <c r="E239" s="679"/>
      <c r="F239" s="679"/>
      <c r="G239" s="679"/>
      <c r="H239" s="679"/>
      <c r="I239" s="679"/>
      <c r="J239" s="679"/>
      <c r="K239" s="679"/>
      <c r="L239" s="679"/>
      <c r="M239" s="679"/>
      <c r="N239" s="679"/>
      <c r="O239" s="679"/>
      <c r="P239" s="679"/>
      <c r="Q239" s="679"/>
      <c r="R239" s="679"/>
      <c r="S239" s="679"/>
      <c r="T239" s="679"/>
      <c r="U239" s="679"/>
      <c r="V239" s="679"/>
      <c r="W239" s="679"/>
      <c r="X239" s="679"/>
      <c r="Y239" s="679"/>
      <c r="Z239" s="679"/>
      <c r="AA239" s="679"/>
      <c r="AB239" s="679"/>
      <c r="AC239" s="679"/>
      <c r="AD239" s="679"/>
      <c r="AE239" s="679"/>
      <c r="AF239" s="679"/>
      <c r="AG239" s="679"/>
      <c r="AH239" s="679"/>
      <c r="AI239" s="679"/>
      <c r="AJ239" s="679"/>
      <c r="AK239" s="679"/>
      <c r="AL239" s="679"/>
      <c r="AM239" s="679"/>
      <c r="AN239" s="679"/>
      <c r="AO239" s="679"/>
      <c r="AP239" s="679"/>
      <c r="AQ239" s="679"/>
      <c r="AR239" s="679"/>
      <c r="AS239" s="679"/>
      <c r="AT239" s="679"/>
      <c r="AU239" s="679"/>
      <c r="AV239" s="679"/>
      <c r="AW239" s="679"/>
      <c r="AX239" s="679"/>
      <c r="AY239" s="679"/>
      <c r="AZ239" s="679"/>
      <c r="BA239" s="679"/>
      <c r="BB239" s="679"/>
      <c r="BC239" s="679"/>
      <c r="BD239" s="679"/>
      <c r="BE239" s="679"/>
      <c r="BF239" s="679"/>
      <c r="BG239" s="679"/>
      <c r="BH239" s="679"/>
      <c r="BI239" s="679"/>
      <c r="BJ239" s="679"/>
      <c r="BK239" s="680"/>
      <c r="BL239" s="370"/>
      <c r="BM239" s="371"/>
      <c r="BN239" s="371"/>
      <c r="BO239" s="371"/>
      <c r="BP239" s="371"/>
      <c r="BQ239" s="371"/>
      <c r="BR239" s="371"/>
      <c r="BS239" s="372"/>
      <c r="BT239" s="420" t="s">
        <v>784</v>
      </c>
      <c r="BU239" s="421"/>
      <c r="BV239" s="421"/>
      <c r="BW239" s="421"/>
      <c r="BX239" s="421"/>
      <c r="BY239" s="421"/>
      <c r="BZ239" s="421"/>
      <c r="CA239" s="421"/>
      <c r="CB239" s="421"/>
      <c r="CC239" s="421"/>
      <c r="CD239" s="421"/>
      <c r="CE239" s="421"/>
      <c r="CF239" s="422"/>
      <c r="CG239" s="373" t="s">
        <v>812</v>
      </c>
      <c r="CH239" s="371"/>
      <c r="CI239" s="371"/>
      <c r="CJ239" s="371"/>
      <c r="CK239" s="371"/>
      <c r="CL239" s="371"/>
      <c r="CM239" s="371"/>
      <c r="CN239" s="371"/>
      <c r="CO239" s="371"/>
      <c r="CP239" s="371"/>
      <c r="CQ239" s="372"/>
      <c r="CR239" s="373"/>
      <c r="CS239" s="371"/>
      <c r="CT239" s="371"/>
      <c r="CU239" s="371"/>
      <c r="CV239" s="371"/>
      <c r="CW239" s="371"/>
      <c r="CX239" s="371"/>
      <c r="CY239" s="371"/>
      <c r="CZ239" s="371"/>
      <c r="DA239" s="371"/>
      <c r="DB239" s="371"/>
      <c r="DC239" s="371"/>
      <c r="DD239" s="372"/>
      <c r="DE239" s="346">
        <v>16000</v>
      </c>
      <c r="DF239" s="347"/>
      <c r="DG239" s="347"/>
      <c r="DH239" s="347"/>
      <c r="DI239" s="347"/>
      <c r="DJ239" s="347"/>
      <c r="DK239" s="347"/>
      <c r="DL239" s="347"/>
      <c r="DM239" s="347"/>
      <c r="DN239" s="347"/>
      <c r="DO239" s="347"/>
      <c r="DP239" s="347"/>
      <c r="DQ239" s="348"/>
      <c r="DR239" s="346">
        <v>0</v>
      </c>
      <c r="DS239" s="347"/>
      <c r="DT239" s="347"/>
      <c r="DU239" s="347"/>
      <c r="DV239" s="347"/>
      <c r="DW239" s="347"/>
      <c r="DX239" s="347"/>
      <c r="DY239" s="347"/>
      <c r="DZ239" s="347"/>
      <c r="EA239" s="347"/>
      <c r="EB239" s="347"/>
      <c r="EC239" s="347"/>
      <c r="ED239" s="348"/>
      <c r="EE239" s="346"/>
      <c r="EF239" s="347"/>
      <c r="EG239" s="347"/>
      <c r="EH239" s="347"/>
      <c r="EI239" s="347"/>
      <c r="EJ239" s="347"/>
      <c r="EK239" s="347"/>
      <c r="EL239" s="347"/>
      <c r="EM239" s="347"/>
      <c r="EN239" s="347"/>
      <c r="EO239" s="347"/>
      <c r="EP239" s="347"/>
      <c r="EQ239" s="348"/>
      <c r="ER239" s="349"/>
      <c r="ES239" s="350"/>
      <c r="ET239" s="350"/>
      <c r="EU239" s="350"/>
      <c r="EV239" s="350"/>
      <c r="EW239" s="350"/>
      <c r="EX239" s="350"/>
      <c r="EY239" s="350"/>
      <c r="EZ239" s="350"/>
      <c r="FA239" s="350"/>
      <c r="FB239" s="351"/>
      <c r="FC239" s="352"/>
      <c r="FD239" s="353"/>
      <c r="FE239" s="353"/>
      <c r="FF239" s="353"/>
      <c r="FG239" s="353"/>
      <c r="FH239" s="353"/>
      <c r="FI239" s="353"/>
      <c r="FJ239" s="353"/>
      <c r="FK239" s="353"/>
      <c r="FL239" s="353"/>
      <c r="FO239" s="275"/>
      <c r="FP239" s="275"/>
      <c r="FQ239" s="275">
        <f t="shared" si="6"/>
        <v>0</v>
      </c>
    </row>
    <row r="240" spans="1:174" ht="13.2" customHeight="1">
      <c r="A240" s="336" t="s">
        <v>1011</v>
      </c>
      <c r="B240" s="418"/>
      <c r="C240" s="418"/>
      <c r="D240" s="418"/>
      <c r="E240" s="418"/>
      <c r="F240" s="418"/>
      <c r="G240" s="418"/>
      <c r="H240" s="418"/>
      <c r="I240" s="418"/>
      <c r="J240" s="418"/>
      <c r="K240" s="418"/>
      <c r="L240" s="418"/>
      <c r="M240" s="418"/>
      <c r="N240" s="418"/>
      <c r="O240" s="418"/>
      <c r="P240" s="418"/>
      <c r="Q240" s="418"/>
      <c r="R240" s="418"/>
      <c r="S240" s="418"/>
      <c r="T240" s="418"/>
      <c r="U240" s="418"/>
      <c r="V240" s="418"/>
      <c r="W240" s="418"/>
      <c r="X240" s="418"/>
      <c r="Y240" s="418"/>
      <c r="Z240" s="418"/>
      <c r="AA240" s="418"/>
      <c r="AB240" s="418"/>
      <c r="AC240" s="418"/>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8"/>
      <c r="AY240" s="418"/>
      <c r="AZ240" s="418"/>
      <c r="BA240" s="418"/>
      <c r="BB240" s="418"/>
      <c r="BC240" s="418"/>
      <c r="BD240" s="418"/>
      <c r="BE240" s="418"/>
      <c r="BF240" s="418"/>
      <c r="BG240" s="418"/>
      <c r="BH240" s="418"/>
      <c r="BI240" s="418"/>
      <c r="BJ240" s="418"/>
      <c r="BK240" s="419"/>
      <c r="BL240" s="370"/>
      <c r="BM240" s="371"/>
      <c r="BN240" s="371"/>
      <c r="BO240" s="371"/>
      <c r="BP240" s="371"/>
      <c r="BQ240" s="371"/>
      <c r="BR240" s="371"/>
      <c r="BS240" s="372"/>
      <c r="BT240" s="420" t="s">
        <v>784</v>
      </c>
      <c r="BU240" s="421"/>
      <c r="BV240" s="421"/>
      <c r="BW240" s="421"/>
      <c r="BX240" s="421"/>
      <c r="BY240" s="421"/>
      <c r="BZ240" s="421"/>
      <c r="CA240" s="421"/>
      <c r="CB240" s="421"/>
      <c r="CC240" s="421"/>
      <c r="CD240" s="421"/>
      <c r="CE240" s="421"/>
      <c r="CF240" s="422"/>
      <c r="CG240" s="373" t="s">
        <v>812</v>
      </c>
      <c r="CH240" s="371"/>
      <c r="CI240" s="371"/>
      <c r="CJ240" s="371"/>
      <c r="CK240" s="371"/>
      <c r="CL240" s="371"/>
      <c r="CM240" s="371"/>
      <c r="CN240" s="371"/>
      <c r="CO240" s="371"/>
      <c r="CP240" s="371"/>
      <c r="CQ240" s="372"/>
      <c r="CR240" s="373"/>
      <c r="CS240" s="371"/>
      <c r="CT240" s="371"/>
      <c r="CU240" s="371"/>
      <c r="CV240" s="371"/>
      <c r="CW240" s="371"/>
      <c r="CX240" s="371"/>
      <c r="CY240" s="371"/>
      <c r="CZ240" s="371"/>
      <c r="DA240" s="371"/>
      <c r="DB240" s="371"/>
      <c r="DC240" s="371"/>
      <c r="DD240" s="372"/>
      <c r="DE240" s="346">
        <v>0</v>
      </c>
      <c r="DF240" s="347"/>
      <c r="DG240" s="347"/>
      <c r="DH240" s="347"/>
      <c r="DI240" s="347"/>
      <c r="DJ240" s="347"/>
      <c r="DK240" s="347"/>
      <c r="DL240" s="347"/>
      <c r="DM240" s="347"/>
      <c r="DN240" s="347"/>
      <c r="DO240" s="347"/>
      <c r="DP240" s="347"/>
      <c r="DQ240" s="348"/>
      <c r="DR240" s="346">
        <v>60800</v>
      </c>
      <c r="DS240" s="347"/>
      <c r="DT240" s="347"/>
      <c r="DU240" s="347"/>
      <c r="DV240" s="347"/>
      <c r="DW240" s="347"/>
      <c r="DX240" s="347"/>
      <c r="DY240" s="347"/>
      <c r="DZ240" s="347"/>
      <c r="EA240" s="347"/>
      <c r="EB240" s="347"/>
      <c r="EC240" s="347"/>
      <c r="ED240" s="348"/>
      <c r="EE240" s="346"/>
      <c r="EF240" s="347"/>
      <c r="EG240" s="347"/>
      <c r="EH240" s="347"/>
      <c r="EI240" s="347"/>
      <c r="EJ240" s="347"/>
      <c r="EK240" s="347"/>
      <c r="EL240" s="347"/>
      <c r="EM240" s="347"/>
      <c r="EN240" s="347"/>
      <c r="EO240" s="347"/>
      <c r="EP240" s="347"/>
      <c r="EQ240" s="348"/>
      <c r="ER240" s="349"/>
      <c r="ES240" s="350"/>
      <c r="ET240" s="350"/>
      <c r="EU240" s="350"/>
      <c r="EV240" s="350"/>
      <c r="EW240" s="350"/>
      <c r="EX240" s="350"/>
      <c r="EY240" s="350"/>
      <c r="EZ240" s="350"/>
      <c r="FA240" s="350"/>
      <c r="FB240" s="351"/>
      <c r="FC240" s="352"/>
      <c r="FD240" s="353"/>
      <c r="FE240" s="353"/>
      <c r="FF240" s="353"/>
      <c r="FG240" s="353"/>
      <c r="FH240" s="353"/>
      <c r="FI240" s="353"/>
      <c r="FJ240" s="353"/>
      <c r="FK240" s="353"/>
      <c r="FL240" s="353"/>
      <c r="FO240" s="275"/>
      <c r="FP240" s="275"/>
      <c r="FQ240" s="275">
        <f t="shared" si="6"/>
        <v>60800</v>
      </c>
    </row>
    <row r="241" spans="1:173" ht="13.2" customHeight="1">
      <c r="A241" s="336" t="s">
        <v>1018</v>
      </c>
      <c r="B241" s="418"/>
      <c r="C241" s="418"/>
      <c r="D241" s="418"/>
      <c r="E241" s="418"/>
      <c r="F241" s="418"/>
      <c r="G241" s="418"/>
      <c r="H241" s="418"/>
      <c r="I241" s="418"/>
      <c r="J241" s="418"/>
      <c r="K241" s="418"/>
      <c r="L241" s="418"/>
      <c r="M241" s="418"/>
      <c r="N241" s="418"/>
      <c r="O241" s="418"/>
      <c r="P241" s="418"/>
      <c r="Q241" s="418"/>
      <c r="R241" s="418"/>
      <c r="S241" s="418"/>
      <c r="T241" s="418"/>
      <c r="U241" s="418"/>
      <c r="V241" s="418"/>
      <c r="W241" s="418"/>
      <c r="X241" s="418"/>
      <c r="Y241" s="418"/>
      <c r="Z241" s="418"/>
      <c r="AA241" s="418"/>
      <c r="AB241" s="418"/>
      <c r="AC241" s="418"/>
      <c r="AD241" s="418"/>
      <c r="AE241" s="418"/>
      <c r="AF241" s="418"/>
      <c r="AG241" s="418"/>
      <c r="AH241" s="418"/>
      <c r="AI241" s="418"/>
      <c r="AJ241" s="418"/>
      <c r="AK241" s="418"/>
      <c r="AL241" s="418"/>
      <c r="AM241" s="418"/>
      <c r="AN241" s="418"/>
      <c r="AO241" s="418"/>
      <c r="AP241" s="418"/>
      <c r="AQ241" s="418"/>
      <c r="AR241" s="418"/>
      <c r="AS241" s="418"/>
      <c r="AT241" s="418"/>
      <c r="AU241" s="418"/>
      <c r="AV241" s="418"/>
      <c r="AW241" s="418"/>
      <c r="AX241" s="418"/>
      <c r="AY241" s="418"/>
      <c r="AZ241" s="418"/>
      <c r="BA241" s="418"/>
      <c r="BB241" s="418"/>
      <c r="BC241" s="418"/>
      <c r="BD241" s="418"/>
      <c r="BE241" s="418"/>
      <c r="BF241" s="418"/>
      <c r="BG241" s="418"/>
      <c r="BH241" s="418"/>
      <c r="BI241" s="418"/>
      <c r="BJ241" s="418"/>
      <c r="BK241" s="419"/>
      <c r="BL241" s="370"/>
      <c r="BM241" s="371"/>
      <c r="BN241" s="371"/>
      <c r="BO241" s="371"/>
      <c r="BP241" s="371"/>
      <c r="BQ241" s="371"/>
      <c r="BR241" s="371"/>
      <c r="BS241" s="372"/>
      <c r="BT241" s="420" t="s">
        <v>784</v>
      </c>
      <c r="BU241" s="421"/>
      <c r="BV241" s="421"/>
      <c r="BW241" s="421"/>
      <c r="BX241" s="421"/>
      <c r="BY241" s="421"/>
      <c r="BZ241" s="421"/>
      <c r="CA241" s="421"/>
      <c r="CB241" s="421"/>
      <c r="CC241" s="421"/>
      <c r="CD241" s="421"/>
      <c r="CE241" s="421"/>
      <c r="CF241" s="422"/>
      <c r="CG241" s="373" t="s">
        <v>812</v>
      </c>
      <c r="CH241" s="371"/>
      <c r="CI241" s="371"/>
      <c r="CJ241" s="371"/>
      <c r="CK241" s="371"/>
      <c r="CL241" s="371"/>
      <c r="CM241" s="371"/>
      <c r="CN241" s="371"/>
      <c r="CO241" s="371"/>
      <c r="CP241" s="371"/>
      <c r="CQ241" s="372"/>
      <c r="CR241" s="373"/>
      <c r="CS241" s="371"/>
      <c r="CT241" s="371"/>
      <c r="CU241" s="371"/>
      <c r="CV241" s="371"/>
      <c r="CW241" s="371"/>
      <c r="CX241" s="371"/>
      <c r="CY241" s="371"/>
      <c r="CZ241" s="371"/>
      <c r="DA241" s="371"/>
      <c r="DB241" s="371"/>
      <c r="DC241" s="371"/>
      <c r="DD241" s="372"/>
      <c r="DE241" s="346">
        <v>0</v>
      </c>
      <c r="DF241" s="347"/>
      <c r="DG241" s="347"/>
      <c r="DH241" s="347"/>
      <c r="DI241" s="347"/>
      <c r="DJ241" s="347"/>
      <c r="DK241" s="347"/>
      <c r="DL241" s="347"/>
      <c r="DM241" s="347"/>
      <c r="DN241" s="347"/>
      <c r="DO241" s="347"/>
      <c r="DP241" s="347"/>
      <c r="DQ241" s="348"/>
      <c r="DR241" s="346">
        <v>26000</v>
      </c>
      <c r="DS241" s="347"/>
      <c r="DT241" s="347"/>
      <c r="DU241" s="347"/>
      <c r="DV241" s="347"/>
      <c r="DW241" s="347"/>
      <c r="DX241" s="347"/>
      <c r="DY241" s="347"/>
      <c r="DZ241" s="347"/>
      <c r="EA241" s="347"/>
      <c r="EB241" s="347"/>
      <c r="EC241" s="347"/>
      <c r="ED241" s="348"/>
      <c r="EE241" s="346"/>
      <c r="EF241" s="347"/>
      <c r="EG241" s="347"/>
      <c r="EH241" s="347"/>
      <c r="EI241" s="347"/>
      <c r="EJ241" s="347"/>
      <c r="EK241" s="347"/>
      <c r="EL241" s="347"/>
      <c r="EM241" s="347"/>
      <c r="EN241" s="347"/>
      <c r="EO241" s="347"/>
      <c r="EP241" s="347"/>
      <c r="EQ241" s="348"/>
      <c r="ER241" s="349"/>
      <c r="ES241" s="350"/>
      <c r="ET241" s="350"/>
      <c r="EU241" s="350"/>
      <c r="EV241" s="350"/>
      <c r="EW241" s="350"/>
      <c r="EX241" s="350"/>
      <c r="EY241" s="350"/>
      <c r="EZ241" s="350"/>
      <c r="FA241" s="350"/>
      <c r="FB241" s="351"/>
      <c r="FC241" s="352"/>
      <c r="FD241" s="353"/>
      <c r="FE241" s="353"/>
      <c r="FF241" s="353"/>
      <c r="FG241" s="353"/>
      <c r="FH241" s="353"/>
      <c r="FI241" s="353"/>
      <c r="FJ241" s="353"/>
      <c r="FK241" s="353"/>
      <c r="FL241" s="353"/>
      <c r="FO241" s="275"/>
      <c r="FP241" s="275"/>
      <c r="FQ241" s="275">
        <f t="shared" si="6"/>
        <v>26000</v>
      </c>
    </row>
    <row r="242" spans="1:173" ht="13.2" customHeight="1">
      <c r="A242" s="444"/>
      <c r="B242" s="458"/>
      <c r="C242" s="458"/>
      <c r="D242" s="458"/>
      <c r="E242" s="458"/>
      <c r="F242" s="458"/>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8"/>
      <c r="AC242" s="458"/>
      <c r="AD242" s="458"/>
      <c r="AE242" s="458"/>
      <c r="AF242" s="458"/>
      <c r="AG242" s="458"/>
      <c r="AH242" s="458"/>
      <c r="AI242" s="458"/>
      <c r="AJ242" s="458"/>
      <c r="AK242" s="458"/>
      <c r="AL242" s="458"/>
      <c r="AM242" s="458"/>
      <c r="AN242" s="458"/>
      <c r="AO242" s="458"/>
      <c r="AP242" s="458"/>
      <c r="AQ242" s="458"/>
      <c r="AR242" s="458"/>
      <c r="AS242" s="458"/>
      <c r="AT242" s="458"/>
      <c r="AU242" s="458"/>
      <c r="AV242" s="458"/>
      <c r="AW242" s="458"/>
      <c r="AX242" s="458"/>
      <c r="AY242" s="458"/>
      <c r="AZ242" s="458"/>
      <c r="BA242" s="458"/>
      <c r="BB242" s="458"/>
      <c r="BC242" s="458"/>
      <c r="BD242" s="458"/>
      <c r="BE242" s="458"/>
      <c r="BF242" s="458"/>
      <c r="BG242" s="458"/>
      <c r="BH242" s="458"/>
      <c r="BI242" s="458"/>
      <c r="BJ242" s="458"/>
      <c r="BK242" s="459"/>
      <c r="BL242" s="370"/>
      <c r="BM242" s="371"/>
      <c r="BN242" s="371"/>
      <c r="BO242" s="371"/>
      <c r="BP242" s="371"/>
      <c r="BQ242" s="371"/>
      <c r="BR242" s="371"/>
      <c r="BS242" s="372"/>
      <c r="BT242" s="420"/>
      <c r="BU242" s="421"/>
      <c r="BV242" s="421"/>
      <c r="BW242" s="421"/>
      <c r="BX242" s="421"/>
      <c r="BY242" s="421"/>
      <c r="BZ242" s="421"/>
      <c r="CA242" s="421"/>
      <c r="CB242" s="421"/>
      <c r="CC242" s="421"/>
      <c r="CD242" s="421"/>
      <c r="CE242" s="421"/>
      <c r="CF242" s="422"/>
      <c r="CG242" s="373"/>
      <c r="CH242" s="371"/>
      <c r="CI242" s="371"/>
      <c r="CJ242" s="371"/>
      <c r="CK242" s="371"/>
      <c r="CL242" s="371"/>
      <c r="CM242" s="371"/>
      <c r="CN242" s="371"/>
      <c r="CO242" s="371"/>
      <c r="CP242" s="371"/>
      <c r="CQ242" s="372"/>
      <c r="CR242" s="373"/>
      <c r="CS242" s="371"/>
      <c r="CT242" s="371"/>
      <c r="CU242" s="371"/>
      <c r="CV242" s="371"/>
      <c r="CW242" s="371"/>
      <c r="CX242" s="371"/>
      <c r="CY242" s="371"/>
      <c r="CZ242" s="371"/>
      <c r="DA242" s="371"/>
      <c r="DB242" s="371"/>
      <c r="DC242" s="371"/>
      <c r="DD242" s="372"/>
      <c r="DE242" s="346"/>
      <c r="DF242" s="347"/>
      <c r="DG242" s="347"/>
      <c r="DH242" s="347"/>
      <c r="DI242" s="347"/>
      <c r="DJ242" s="347"/>
      <c r="DK242" s="347"/>
      <c r="DL242" s="347"/>
      <c r="DM242" s="347"/>
      <c r="DN242" s="347"/>
      <c r="DO242" s="347"/>
      <c r="DP242" s="347"/>
      <c r="DQ242" s="348"/>
      <c r="DR242" s="346"/>
      <c r="DS242" s="347"/>
      <c r="DT242" s="347"/>
      <c r="DU242" s="347"/>
      <c r="DV242" s="347"/>
      <c r="DW242" s="347"/>
      <c r="DX242" s="347"/>
      <c r="DY242" s="347"/>
      <c r="DZ242" s="347"/>
      <c r="EA242" s="347"/>
      <c r="EB242" s="347"/>
      <c r="EC242" s="347"/>
      <c r="ED242" s="348"/>
      <c r="EE242" s="346"/>
      <c r="EF242" s="347"/>
      <c r="EG242" s="347"/>
      <c r="EH242" s="347"/>
      <c r="EI242" s="347"/>
      <c r="EJ242" s="347"/>
      <c r="EK242" s="347"/>
      <c r="EL242" s="347"/>
      <c r="EM242" s="347"/>
      <c r="EN242" s="347"/>
      <c r="EO242" s="347"/>
      <c r="EP242" s="347"/>
      <c r="EQ242" s="348"/>
      <c r="ER242" s="349"/>
      <c r="ES242" s="350"/>
      <c r="ET242" s="350"/>
      <c r="EU242" s="350"/>
      <c r="EV242" s="350"/>
      <c r="EW242" s="350"/>
      <c r="EX242" s="350"/>
      <c r="EY242" s="350"/>
      <c r="EZ242" s="350"/>
      <c r="FA242" s="350"/>
      <c r="FB242" s="351"/>
      <c r="FC242" s="352"/>
      <c r="FD242" s="353"/>
      <c r="FE242" s="353"/>
      <c r="FF242" s="353"/>
      <c r="FG242" s="353"/>
      <c r="FH242" s="353"/>
      <c r="FI242" s="353"/>
      <c r="FJ242" s="353"/>
      <c r="FK242" s="353"/>
      <c r="FL242" s="353"/>
      <c r="FO242" s="275"/>
      <c r="FP242" s="275"/>
      <c r="FQ242" s="275">
        <f t="shared" si="6"/>
        <v>0</v>
      </c>
    </row>
    <row r="243" spans="1:173" s="215" customFormat="1" ht="12" customHeight="1">
      <c r="A243" s="437" t="s">
        <v>929</v>
      </c>
      <c r="B243" s="438"/>
      <c r="C243" s="438"/>
      <c r="D243" s="438"/>
      <c r="E243" s="438"/>
      <c r="F243" s="438"/>
      <c r="G243" s="438"/>
      <c r="H243" s="438"/>
      <c r="I243" s="438"/>
      <c r="J243" s="438"/>
      <c r="K243" s="438"/>
      <c r="L243" s="438"/>
      <c r="M243" s="438"/>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c r="BF243" s="438"/>
      <c r="BG243" s="438"/>
      <c r="BH243" s="438"/>
      <c r="BI243" s="438"/>
      <c r="BJ243" s="438"/>
      <c r="BK243" s="439"/>
      <c r="BL243" s="440"/>
      <c r="BM243" s="414"/>
      <c r="BN243" s="414"/>
      <c r="BO243" s="414"/>
      <c r="BP243" s="414"/>
      <c r="BQ243" s="414"/>
      <c r="BR243" s="414"/>
      <c r="BS243" s="415"/>
      <c r="BT243" s="413" t="s">
        <v>109</v>
      </c>
      <c r="BU243" s="414"/>
      <c r="BV243" s="414"/>
      <c r="BW243" s="414"/>
      <c r="BX243" s="414"/>
      <c r="BY243" s="414"/>
      <c r="BZ243" s="414"/>
      <c r="CA243" s="414"/>
      <c r="CB243" s="414"/>
      <c r="CC243" s="414"/>
      <c r="CD243" s="414"/>
      <c r="CE243" s="414"/>
      <c r="CF243" s="415"/>
      <c r="CG243" s="413" t="s">
        <v>211</v>
      </c>
      <c r="CH243" s="414"/>
      <c r="CI243" s="414"/>
      <c r="CJ243" s="414"/>
      <c r="CK243" s="414"/>
      <c r="CL243" s="414"/>
      <c r="CM243" s="414"/>
      <c r="CN243" s="414"/>
      <c r="CO243" s="414"/>
      <c r="CP243" s="414"/>
      <c r="CQ243" s="415"/>
      <c r="CR243" s="413"/>
      <c r="CS243" s="414"/>
      <c r="CT243" s="414"/>
      <c r="CU243" s="414"/>
      <c r="CV243" s="414"/>
      <c r="CW243" s="414"/>
      <c r="CX243" s="414"/>
      <c r="CY243" s="414"/>
      <c r="CZ243" s="414"/>
      <c r="DA243" s="414"/>
      <c r="DB243" s="414"/>
      <c r="DC243" s="414"/>
      <c r="DD243" s="415"/>
      <c r="DE243" s="428">
        <f>DE244+DE249</f>
        <v>90000</v>
      </c>
      <c r="DF243" s="429"/>
      <c r="DG243" s="429"/>
      <c r="DH243" s="429"/>
      <c r="DI243" s="429"/>
      <c r="DJ243" s="429"/>
      <c r="DK243" s="429"/>
      <c r="DL243" s="429"/>
      <c r="DM243" s="429"/>
      <c r="DN243" s="429"/>
      <c r="DO243" s="429"/>
      <c r="DP243" s="429"/>
      <c r="DQ243" s="430"/>
      <c r="DR243" s="428">
        <f>DR244+DR249</f>
        <v>1000000</v>
      </c>
      <c r="DS243" s="429"/>
      <c r="DT243" s="429"/>
      <c r="DU243" s="429"/>
      <c r="DV243" s="429"/>
      <c r="DW243" s="429"/>
      <c r="DX243" s="429"/>
      <c r="DY243" s="429"/>
      <c r="DZ243" s="429"/>
      <c r="EA243" s="429"/>
      <c r="EB243" s="429"/>
      <c r="EC243" s="429"/>
      <c r="ED243" s="430"/>
      <c r="EE243" s="428"/>
      <c r="EF243" s="429"/>
      <c r="EG243" s="429"/>
      <c r="EH243" s="429"/>
      <c r="EI243" s="429"/>
      <c r="EJ243" s="429"/>
      <c r="EK243" s="429"/>
      <c r="EL243" s="429"/>
      <c r="EM243" s="429"/>
      <c r="EN243" s="429"/>
      <c r="EO243" s="429"/>
      <c r="EP243" s="429"/>
      <c r="EQ243" s="430"/>
      <c r="ER243" s="410"/>
      <c r="ES243" s="411"/>
      <c r="ET243" s="411"/>
      <c r="EU243" s="411"/>
      <c r="EV243" s="411"/>
      <c r="EW243" s="411"/>
      <c r="EX243" s="411"/>
      <c r="EY243" s="411"/>
      <c r="EZ243" s="411"/>
      <c r="FA243" s="411"/>
      <c r="FB243" s="412"/>
      <c r="FC243" s="423"/>
      <c r="FD243" s="424"/>
      <c r="FE243" s="424"/>
      <c r="FF243" s="424"/>
      <c r="FG243" s="424"/>
      <c r="FH243" s="424"/>
      <c r="FI243" s="424"/>
      <c r="FJ243" s="424"/>
      <c r="FK243" s="424"/>
      <c r="FL243" s="424"/>
      <c r="FO243" s="278"/>
      <c r="FP243" s="278"/>
      <c r="FQ243" s="275">
        <f t="shared" si="6"/>
        <v>1000000</v>
      </c>
    </row>
    <row r="244" spans="1:173" s="215" customFormat="1" ht="12" customHeight="1">
      <c r="A244" s="437" t="s">
        <v>930</v>
      </c>
      <c r="B244" s="438"/>
      <c r="C244" s="438"/>
      <c r="D244" s="438"/>
      <c r="E244" s="438"/>
      <c r="F244" s="438"/>
      <c r="G244" s="438"/>
      <c r="H244" s="438"/>
      <c r="I244" s="438"/>
      <c r="J244" s="438"/>
      <c r="K244" s="438"/>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c r="BF244" s="438"/>
      <c r="BG244" s="438"/>
      <c r="BH244" s="438"/>
      <c r="BI244" s="438"/>
      <c r="BJ244" s="438"/>
      <c r="BK244" s="439"/>
      <c r="BL244" s="440"/>
      <c r="BM244" s="414"/>
      <c r="BN244" s="414"/>
      <c r="BO244" s="414"/>
      <c r="BP244" s="414"/>
      <c r="BQ244" s="414"/>
      <c r="BR244" s="414"/>
      <c r="BS244" s="415"/>
      <c r="BT244" s="413" t="s">
        <v>109</v>
      </c>
      <c r="BU244" s="414"/>
      <c r="BV244" s="414"/>
      <c r="BW244" s="414"/>
      <c r="BX244" s="414"/>
      <c r="BY244" s="414"/>
      <c r="BZ244" s="414"/>
      <c r="CA244" s="414"/>
      <c r="CB244" s="414"/>
      <c r="CC244" s="414"/>
      <c r="CD244" s="414"/>
      <c r="CE244" s="414"/>
      <c r="CF244" s="415"/>
      <c r="CG244" s="413" t="s">
        <v>211</v>
      </c>
      <c r="CH244" s="414"/>
      <c r="CI244" s="414"/>
      <c r="CJ244" s="414"/>
      <c r="CK244" s="414"/>
      <c r="CL244" s="414"/>
      <c r="CM244" s="414"/>
      <c r="CN244" s="414"/>
      <c r="CO244" s="414"/>
      <c r="CP244" s="414"/>
      <c r="CQ244" s="415"/>
      <c r="CR244" s="413"/>
      <c r="CS244" s="414"/>
      <c r="CT244" s="414"/>
      <c r="CU244" s="414"/>
      <c r="CV244" s="414"/>
      <c r="CW244" s="414"/>
      <c r="CX244" s="414"/>
      <c r="CY244" s="414"/>
      <c r="CZ244" s="414"/>
      <c r="DA244" s="414"/>
      <c r="DB244" s="414"/>
      <c r="DC244" s="414"/>
      <c r="DD244" s="415"/>
      <c r="DE244" s="428">
        <f>SUM(DE245:DQ248)</f>
        <v>0</v>
      </c>
      <c r="DF244" s="429"/>
      <c r="DG244" s="429"/>
      <c r="DH244" s="429"/>
      <c r="DI244" s="429"/>
      <c r="DJ244" s="429"/>
      <c r="DK244" s="429"/>
      <c r="DL244" s="429"/>
      <c r="DM244" s="429"/>
      <c r="DN244" s="429"/>
      <c r="DO244" s="429"/>
      <c r="DP244" s="429"/>
      <c r="DQ244" s="430"/>
      <c r="DR244" s="428">
        <f>SUM(DR245:ED248)</f>
        <v>0</v>
      </c>
      <c r="DS244" s="429"/>
      <c r="DT244" s="429"/>
      <c r="DU244" s="429"/>
      <c r="DV244" s="429"/>
      <c r="DW244" s="429"/>
      <c r="DX244" s="429"/>
      <c r="DY244" s="429"/>
      <c r="DZ244" s="429"/>
      <c r="EA244" s="429"/>
      <c r="EB244" s="429"/>
      <c r="EC244" s="429"/>
      <c r="ED244" s="430"/>
      <c r="EE244" s="428"/>
      <c r="EF244" s="429"/>
      <c r="EG244" s="429"/>
      <c r="EH244" s="429"/>
      <c r="EI244" s="429"/>
      <c r="EJ244" s="429"/>
      <c r="EK244" s="429"/>
      <c r="EL244" s="429"/>
      <c r="EM244" s="429"/>
      <c r="EN244" s="429"/>
      <c r="EO244" s="429"/>
      <c r="EP244" s="429"/>
      <c r="EQ244" s="430"/>
      <c r="ER244" s="410"/>
      <c r="ES244" s="411"/>
      <c r="ET244" s="411"/>
      <c r="EU244" s="411"/>
      <c r="EV244" s="411"/>
      <c r="EW244" s="411"/>
      <c r="EX244" s="411"/>
      <c r="EY244" s="411"/>
      <c r="EZ244" s="411"/>
      <c r="FA244" s="411"/>
      <c r="FB244" s="412"/>
      <c r="FC244" s="423"/>
      <c r="FD244" s="424"/>
      <c r="FE244" s="424"/>
      <c r="FF244" s="424"/>
      <c r="FG244" s="424"/>
      <c r="FH244" s="424"/>
      <c r="FI244" s="424"/>
      <c r="FJ244" s="424"/>
      <c r="FK244" s="424"/>
      <c r="FL244" s="424"/>
      <c r="FO244" s="278"/>
      <c r="FP244" s="278"/>
      <c r="FQ244" s="275">
        <f t="shared" si="6"/>
        <v>0</v>
      </c>
    </row>
    <row r="245" spans="1:173" ht="15" hidden="1" customHeight="1">
      <c r="A245" s="336"/>
      <c r="B245" s="418"/>
      <c r="C245" s="418"/>
      <c r="D245" s="418"/>
      <c r="E245" s="418"/>
      <c r="F245" s="418"/>
      <c r="G245" s="418"/>
      <c r="H245" s="418"/>
      <c r="I245" s="418"/>
      <c r="J245" s="418"/>
      <c r="K245" s="418"/>
      <c r="L245" s="418"/>
      <c r="M245" s="418"/>
      <c r="N245" s="418"/>
      <c r="O245" s="418"/>
      <c r="P245" s="418"/>
      <c r="Q245" s="418"/>
      <c r="R245" s="418"/>
      <c r="S245" s="418"/>
      <c r="T245" s="418"/>
      <c r="U245" s="418"/>
      <c r="V245" s="418"/>
      <c r="W245" s="418"/>
      <c r="X245" s="418"/>
      <c r="Y245" s="418"/>
      <c r="Z245" s="418"/>
      <c r="AA245" s="418"/>
      <c r="AB245" s="418"/>
      <c r="AC245" s="418"/>
      <c r="AD245" s="418"/>
      <c r="AE245" s="418"/>
      <c r="AF245" s="418"/>
      <c r="AG245" s="418"/>
      <c r="AH245" s="418"/>
      <c r="AI245" s="418"/>
      <c r="AJ245" s="418"/>
      <c r="AK245" s="418"/>
      <c r="AL245" s="418"/>
      <c r="AM245" s="418"/>
      <c r="AN245" s="418"/>
      <c r="AO245" s="418"/>
      <c r="AP245" s="418"/>
      <c r="AQ245" s="418"/>
      <c r="AR245" s="418"/>
      <c r="AS245" s="418"/>
      <c r="AT245" s="418"/>
      <c r="AU245" s="418"/>
      <c r="AV245" s="418"/>
      <c r="AW245" s="418"/>
      <c r="AX245" s="418"/>
      <c r="AY245" s="418"/>
      <c r="AZ245" s="418"/>
      <c r="BA245" s="418"/>
      <c r="BB245" s="418"/>
      <c r="BC245" s="418"/>
      <c r="BD245" s="418"/>
      <c r="BE245" s="418"/>
      <c r="BF245" s="418"/>
      <c r="BG245" s="418"/>
      <c r="BH245" s="418"/>
      <c r="BI245" s="418"/>
      <c r="BJ245" s="418"/>
      <c r="BK245" s="419"/>
      <c r="BL245" s="339"/>
      <c r="BM245" s="340"/>
      <c r="BN245" s="340"/>
      <c r="BO245" s="340"/>
      <c r="BP245" s="340"/>
      <c r="BQ245" s="340"/>
      <c r="BR245" s="340"/>
      <c r="BS245" s="341"/>
      <c r="BT245" s="342"/>
      <c r="BU245" s="343"/>
      <c r="BV245" s="343"/>
      <c r="BW245" s="343"/>
      <c r="BX245" s="343"/>
      <c r="BY245" s="343"/>
      <c r="BZ245" s="343"/>
      <c r="CA245" s="343"/>
      <c r="CB245" s="343"/>
      <c r="CC245" s="343"/>
      <c r="CD245" s="343"/>
      <c r="CE245" s="343"/>
      <c r="CF245" s="344"/>
      <c r="CG245" s="345"/>
      <c r="CH245" s="340"/>
      <c r="CI245" s="340"/>
      <c r="CJ245" s="340"/>
      <c r="CK245" s="340"/>
      <c r="CL245" s="340"/>
      <c r="CM245" s="340"/>
      <c r="CN245" s="340"/>
      <c r="CO245" s="340"/>
      <c r="CP245" s="340"/>
      <c r="CQ245" s="341"/>
      <c r="CR245" s="345"/>
      <c r="CS245" s="340"/>
      <c r="CT245" s="340"/>
      <c r="CU245" s="340"/>
      <c r="CV245" s="340"/>
      <c r="CW245" s="340"/>
      <c r="CX245" s="340"/>
      <c r="CY245" s="340"/>
      <c r="CZ245" s="340"/>
      <c r="DA245" s="340"/>
      <c r="DB245" s="340"/>
      <c r="DC245" s="340"/>
      <c r="DD245" s="341"/>
      <c r="DE245" s="349"/>
      <c r="DF245" s="350"/>
      <c r="DG245" s="350"/>
      <c r="DH245" s="350"/>
      <c r="DI245" s="350"/>
      <c r="DJ245" s="350"/>
      <c r="DK245" s="350"/>
      <c r="DL245" s="350"/>
      <c r="DM245" s="350"/>
      <c r="DN245" s="350"/>
      <c r="DO245" s="350"/>
      <c r="DP245" s="350"/>
      <c r="DQ245" s="351"/>
      <c r="DR245" s="349"/>
      <c r="DS245" s="350"/>
      <c r="DT245" s="350"/>
      <c r="DU245" s="350"/>
      <c r="DV245" s="350"/>
      <c r="DW245" s="350"/>
      <c r="DX245" s="350"/>
      <c r="DY245" s="350"/>
      <c r="DZ245" s="350"/>
      <c r="EA245" s="350"/>
      <c r="EB245" s="350"/>
      <c r="EC245" s="350"/>
      <c r="ED245" s="351"/>
      <c r="EE245" s="349"/>
      <c r="EF245" s="350"/>
      <c r="EG245" s="350"/>
      <c r="EH245" s="350"/>
      <c r="EI245" s="350"/>
      <c r="EJ245" s="350"/>
      <c r="EK245" s="350"/>
      <c r="EL245" s="350"/>
      <c r="EM245" s="350"/>
      <c r="EN245" s="350"/>
      <c r="EO245" s="350"/>
      <c r="EP245" s="350"/>
      <c r="EQ245" s="351"/>
      <c r="ER245" s="349"/>
      <c r="ES245" s="350"/>
      <c r="ET245" s="350"/>
      <c r="EU245" s="350"/>
      <c r="EV245" s="350"/>
      <c r="EW245" s="350"/>
      <c r="EX245" s="350"/>
      <c r="EY245" s="350"/>
      <c r="EZ245" s="350"/>
      <c r="FA245" s="350"/>
      <c r="FB245" s="351"/>
      <c r="FC245" s="352"/>
      <c r="FD245" s="353"/>
      <c r="FE245" s="353"/>
      <c r="FF245" s="353"/>
      <c r="FG245" s="353"/>
      <c r="FH245" s="353"/>
      <c r="FI245" s="353"/>
      <c r="FJ245" s="353"/>
      <c r="FK245" s="353"/>
      <c r="FL245" s="353"/>
      <c r="FO245" s="275"/>
      <c r="FP245" s="275"/>
      <c r="FQ245" s="275">
        <f t="shared" si="6"/>
        <v>0</v>
      </c>
    </row>
    <row r="246" spans="1:173" ht="15" hidden="1" customHeight="1">
      <c r="A246" s="336"/>
      <c r="B246" s="337"/>
      <c r="C246" s="337"/>
      <c r="D246" s="337"/>
      <c r="E246" s="337"/>
      <c r="F246" s="337"/>
      <c r="G246" s="337"/>
      <c r="H246" s="337"/>
      <c r="I246" s="337"/>
      <c r="J246" s="337"/>
      <c r="K246" s="337"/>
      <c r="L246" s="337"/>
      <c r="M246" s="337"/>
      <c r="N246" s="337"/>
      <c r="O246" s="337"/>
      <c r="P246" s="337"/>
      <c r="Q246" s="337"/>
      <c r="R246" s="337"/>
      <c r="S246" s="337"/>
      <c r="T246" s="337"/>
      <c r="U246" s="337"/>
      <c r="V246" s="337"/>
      <c r="W246" s="337"/>
      <c r="X246" s="337"/>
      <c r="Y246" s="337"/>
      <c r="Z246" s="337"/>
      <c r="AA246" s="337"/>
      <c r="AB246" s="337"/>
      <c r="AC246" s="337"/>
      <c r="AD246" s="337"/>
      <c r="AE246" s="337"/>
      <c r="AF246" s="337"/>
      <c r="AG246" s="337"/>
      <c r="AH246" s="337"/>
      <c r="AI246" s="337"/>
      <c r="AJ246" s="337"/>
      <c r="AK246" s="337"/>
      <c r="AL246" s="337"/>
      <c r="AM246" s="337"/>
      <c r="AN246" s="337"/>
      <c r="AO246" s="337"/>
      <c r="AP246" s="337"/>
      <c r="AQ246" s="337"/>
      <c r="AR246" s="337"/>
      <c r="AS246" s="337"/>
      <c r="AT246" s="337"/>
      <c r="AU246" s="337"/>
      <c r="AV246" s="337"/>
      <c r="AW246" s="337"/>
      <c r="AX246" s="337"/>
      <c r="AY246" s="337"/>
      <c r="AZ246" s="337"/>
      <c r="BA246" s="337"/>
      <c r="BB246" s="337"/>
      <c r="BC246" s="337"/>
      <c r="BD246" s="337"/>
      <c r="BE246" s="337"/>
      <c r="BF246" s="337"/>
      <c r="BG246" s="337"/>
      <c r="BH246" s="337"/>
      <c r="BI246" s="337"/>
      <c r="BJ246" s="337"/>
      <c r="BK246" s="338"/>
      <c r="BL246" s="339"/>
      <c r="BM246" s="340"/>
      <c r="BN246" s="340"/>
      <c r="BO246" s="340"/>
      <c r="BP246" s="340"/>
      <c r="BQ246" s="340"/>
      <c r="BR246" s="340"/>
      <c r="BS246" s="341"/>
      <c r="BT246" s="342"/>
      <c r="BU246" s="343"/>
      <c r="BV246" s="343"/>
      <c r="BW246" s="343"/>
      <c r="BX246" s="343"/>
      <c r="BY246" s="343"/>
      <c r="BZ246" s="343"/>
      <c r="CA246" s="343"/>
      <c r="CB246" s="343"/>
      <c r="CC246" s="343"/>
      <c r="CD246" s="343"/>
      <c r="CE246" s="343"/>
      <c r="CF246" s="344"/>
      <c r="CG246" s="345"/>
      <c r="CH246" s="340"/>
      <c r="CI246" s="340"/>
      <c r="CJ246" s="340"/>
      <c r="CK246" s="340"/>
      <c r="CL246" s="340"/>
      <c r="CM246" s="340"/>
      <c r="CN246" s="340"/>
      <c r="CO246" s="340"/>
      <c r="CP246" s="340"/>
      <c r="CQ246" s="341"/>
      <c r="CR246" s="345"/>
      <c r="CS246" s="340"/>
      <c r="CT246" s="340"/>
      <c r="CU246" s="340"/>
      <c r="CV246" s="340"/>
      <c r="CW246" s="340"/>
      <c r="CX246" s="340"/>
      <c r="CY246" s="340"/>
      <c r="CZ246" s="340"/>
      <c r="DA246" s="340"/>
      <c r="DB246" s="340"/>
      <c r="DC246" s="340"/>
      <c r="DD246" s="341"/>
      <c r="DE246" s="349"/>
      <c r="DF246" s="350"/>
      <c r="DG246" s="350"/>
      <c r="DH246" s="350"/>
      <c r="DI246" s="350"/>
      <c r="DJ246" s="350"/>
      <c r="DK246" s="350"/>
      <c r="DL246" s="350"/>
      <c r="DM246" s="350"/>
      <c r="DN246" s="350"/>
      <c r="DO246" s="350"/>
      <c r="DP246" s="350"/>
      <c r="DQ246" s="351"/>
      <c r="DR246" s="349"/>
      <c r="DS246" s="350"/>
      <c r="DT246" s="350"/>
      <c r="DU246" s="350"/>
      <c r="DV246" s="350"/>
      <c r="DW246" s="350"/>
      <c r="DX246" s="350"/>
      <c r="DY246" s="350"/>
      <c r="DZ246" s="350"/>
      <c r="EA246" s="350"/>
      <c r="EB246" s="350"/>
      <c r="EC246" s="350"/>
      <c r="ED246" s="351"/>
      <c r="EE246" s="349"/>
      <c r="EF246" s="350"/>
      <c r="EG246" s="350"/>
      <c r="EH246" s="350"/>
      <c r="EI246" s="350"/>
      <c r="EJ246" s="350"/>
      <c r="EK246" s="350"/>
      <c r="EL246" s="350"/>
      <c r="EM246" s="350"/>
      <c r="EN246" s="350"/>
      <c r="EO246" s="350"/>
      <c r="EP246" s="350"/>
      <c r="EQ246" s="351"/>
      <c r="ER246" s="349"/>
      <c r="ES246" s="350"/>
      <c r="ET246" s="350"/>
      <c r="EU246" s="350"/>
      <c r="EV246" s="350"/>
      <c r="EW246" s="350"/>
      <c r="EX246" s="350"/>
      <c r="EY246" s="350"/>
      <c r="EZ246" s="350"/>
      <c r="FA246" s="350"/>
      <c r="FB246" s="351"/>
      <c r="FC246" s="352"/>
      <c r="FD246" s="353"/>
      <c r="FE246" s="353"/>
      <c r="FF246" s="353"/>
      <c r="FG246" s="353"/>
      <c r="FH246" s="353"/>
      <c r="FI246" s="353"/>
      <c r="FJ246" s="353"/>
      <c r="FK246" s="353"/>
      <c r="FL246" s="353"/>
      <c r="FO246" s="275"/>
      <c r="FP246" s="275"/>
      <c r="FQ246" s="275">
        <f t="shared" si="6"/>
        <v>0</v>
      </c>
    </row>
    <row r="247" spans="1:173" ht="15" hidden="1" customHeight="1">
      <c r="A247" s="336"/>
      <c r="B247" s="337"/>
      <c r="C247" s="337"/>
      <c r="D247" s="337"/>
      <c r="E247" s="337"/>
      <c r="F247" s="337"/>
      <c r="G247" s="337"/>
      <c r="H247" s="337"/>
      <c r="I247" s="337"/>
      <c r="J247" s="337"/>
      <c r="K247" s="337"/>
      <c r="L247" s="337"/>
      <c r="M247" s="337"/>
      <c r="N247" s="337"/>
      <c r="O247" s="337"/>
      <c r="P247" s="337"/>
      <c r="Q247" s="337"/>
      <c r="R247" s="337"/>
      <c r="S247" s="337"/>
      <c r="T247" s="337"/>
      <c r="U247" s="337"/>
      <c r="V247" s="337"/>
      <c r="W247" s="337"/>
      <c r="X247" s="337"/>
      <c r="Y247" s="337"/>
      <c r="Z247" s="337"/>
      <c r="AA247" s="337"/>
      <c r="AB247" s="337"/>
      <c r="AC247" s="337"/>
      <c r="AD247" s="337"/>
      <c r="AE247" s="337"/>
      <c r="AF247" s="337"/>
      <c r="AG247" s="337"/>
      <c r="AH247" s="337"/>
      <c r="AI247" s="337"/>
      <c r="AJ247" s="337"/>
      <c r="AK247" s="337"/>
      <c r="AL247" s="337"/>
      <c r="AM247" s="337"/>
      <c r="AN247" s="337"/>
      <c r="AO247" s="337"/>
      <c r="AP247" s="337"/>
      <c r="AQ247" s="337"/>
      <c r="AR247" s="337"/>
      <c r="AS247" s="337"/>
      <c r="AT247" s="337"/>
      <c r="AU247" s="337"/>
      <c r="AV247" s="337"/>
      <c r="AW247" s="337"/>
      <c r="AX247" s="337"/>
      <c r="AY247" s="337"/>
      <c r="AZ247" s="337"/>
      <c r="BA247" s="337"/>
      <c r="BB247" s="337"/>
      <c r="BC247" s="337"/>
      <c r="BD247" s="337"/>
      <c r="BE247" s="337"/>
      <c r="BF247" s="337"/>
      <c r="BG247" s="337"/>
      <c r="BH247" s="337"/>
      <c r="BI247" s="337"/>
      <c r="BJ247" s="337"/>
      <c r="BK247" s="338"/>
      <c r="BL247" s="339"/>
      <c r="BM247" s="340"/>
      <c r="BN247" s="340"/>
      <c r="BO247" s="340"/>
      <c r="BP247" s="340"/>
      <c r="BQ247" s="340"/>
      <c r="BR247" s="340"/>
      <c r="BS247" s="341"/>
      <c r="BT247" s="345"/>
      <c r="BU247" s="340"/>
      <c r="BV247" s="340"/>
      <c r="BW247" s="340"/>
      <c r="BX247" s="340"/>
      <c r="BY247" s="340"/>
      <c r="BZ247" s="340"/>
      <c r="CA247" s="340"/>
      <c r="CB247" s="340"/>
      <c r="CC247" s="340"/>
      <c r="CD247" s="340"/>
      <c r="CE247" s="340"/>
      <c r="CF247" s="341"/>
      <c r="CG247" s="345"/>
      <c r="CH247" s="340"/>
      <c r="CI247" s="340"/>
      <c r="CJ247" s="340"/>
      <c r="CK247" s="340"/>
      <c r="CL247" s="340"/>
      <c r="CM247" s="340"/>
      <c r="CN247" s="340"/>
      <c r="CO247" s="340"/>
      <c r="CP247" s="340"/>
      <c r="CQ247" s="341"/>
      <c r="CR247" s="345"/>
      <c r="CS247" s="340"/>
      <c r="CT247" s="340"/>
      <c r="CU247" s="340"/>
      <c r="CV247" s="340"/>
      <c r="CW247" s="340"/>
      <c r="CX247" s="340"/>
      <c r="CY247" s="340"/>
      <c r="CZ247" s="340"/>
      <c r="DA247" s="340"/>
      <c r="DB247" s="340"/>
      <c r="DC247" s="340"/>
      <c r="DD247" s="341"/>
      <c r="DE247" s="349"/>
      <c r="DF247" s="350"/>
      <c r="DG247" s="350"/>
      <c r="DH247" s="350"/>
      <c r="DI247" s="350"/>
      <c r="DJ247" s="350"/>
      <c r="DK247" s="350"/>
      <c r="DL247" s="350"/>
      <c r="DM247" s="350"/>
      <c r="DN247" s="350"/>
      <c r="DO247" s="350"/>
      <c r="DP247" s="350"/>
      <c r="DQ247" s="351"/>
      <c r="DR247" s="349"/>
      <c r="DS247" s="350"/>
      <c r="DT247" s="350"/>
      <c r="DU247" s="350"/>
      <c r="DV247" s="350"/>
      <c r="DW247" s="350"/>
      <c r="DX247" s="350"/>
      <c r="DY247" s="350"/>
      <c r="DZ247" s="350"/>
      <c r="EA247" s="350"/>
      <c r="EB247" s="350"/>
      <c r="EC247" s="350"/>
      <c r="ED247" s="351"/>
      <c r="EE247" s="349"/>
      <c r="EF247" s="350"/>
      <c r="EG247" s="350"/>
      <c r="EH247" s="350"/>
      <c r="EI247" s="350"/>
      <c r="EJ247" s="350"/>
      <c r="EK247" s="350"/>
      <c r="EL247" s="350"/>
      <c r="EM247" s="350"/>
      <c r="EN247" s="350"/>
      <c r="EO247" s="350"/>
      <c r="EP247" s="350"/>
      <c r="EQ247" s="351"/>
      <c r="ER247" s="349"/>
      <c r="ES247" s="350"/>
      <c r="ET247" s="350"/>
      <c r="EU247" s="350"/>
      <c r="EV247" s="350"/>
      <c r="EW247" s="350"/>
      <c r="EX247" s="350"/>
      <c r="EY247" s="350"/>
      <c r="EZ247" s="350"/>
      <c r="FA247" s="350"/>
      <c r="FB247" s="351"/>
      <c r="FC247" s="352"/>
      <c r="FD247" s="353"/>
      <c r="FE247" s="353"/>
      <c r="FF247" s="353"/>
      <c r="FG247" s="353"/>
      <c r="FH247" s="353"/>
      <c r="FI247" s="353"/>
      <c r="FJ247" s="353"/>
      <c r="FK247" s="353"/>
      <c r="FL247" s="353"/>
      <c r="FO247" s="275"/>
      <c r="FP247" s="275"/>
      <c r="FQ247" s="275">
        <f t="shared" si="6"/>
        <v>0</v>
      </c>
    </row>
    <row r="248" spans="1:173" ht="15" hidden="1" customHeight="1">
      <c r="A248" s="336"/>
      <c r="B248" s="418"/>
      <c r="C248" s="418"/>
      <c r="D248" s="418"/>
      <c r="E248" s="418"/>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18"/>
      <c r="AY248" s="418"/>
      <c r="AZ248" s="418"/>
      <c r="BA248" s="418"/>
      <c r="BB248" s="418"/>
      <c r="BC248" s="418"/>
      <c r="BD248" s="418"/>
      <c r="BE248" s="418"/>
      <c r="BF248" s="418"/>
      <c r="BG248" s="418"/>
      <c r="BH248" s="418"/>
      <c r="BI248" s="418"/>
      <c r="BJ248" s="418"/>
      <c r="BK248" s="419"/>
      <c r="BL248" s="339"/>
      <c r="BM248" s="340"/>
      <c r="BN248" s="340"/>
      <c r="BO248" s="340"/>
      <c r="BP248" s="340"/>
      <c r="BQ248" s="340"/>
      <c r="BR248" s="340"/>
      <c r="BS248" s="341"/>
      <c r="BT248" s="342"/>
      <c r="BU248" s="343"/>
      <c r="BV248" s="343"/>
      <c r="BW248" s="343"/>
      <c r="BX248" s="343"/>
      <c r="BY248" s="343"/>
      <c r="BZ248" s="343"/>
      <c r="CA248" s="343"/>
      <c r="CB248" s="343"/>
      <c r="CC248" s="343"/>
      <c r="CD248" s="343"/>
      <c r="CE248" s="343"/>
      <c r="CF248" s="344"/>
      <c r="CG248" s="345"/>
      <c r="CH248" s="340"/>
      <c r="CI248" s="340"/>
      <c r="CJ248" s="340"/>
      <c r="CK248" s="340"/>
      <c r="CL248" s="340"/>
      <c r="CM248" s="340"/>
      <c r="CN248" s="340"/>
      <c r="CO248" s="340"/>
      <c r="CP248" s="340"/>
      <c r="CQ248" s="341"/>
      <c r="CR248" s="345"/>
      <c r="CS248" s="340"/>
      <c r="CT248" s="340"/>
      <c r="CU248" s="340"/>
      <c r="CV248" s="340"/>
      <c r="CW248" s="340"/>
      <c r="CX248" s="340"/>
      <c r="CY248" s="340"/>
      <c r="CZ248" s="340"/>
      <c r="DA248" s="340"/>
      <c r="DB248" s="340"/>
      <c r="DC248" s="340"/>
      <c r="DD248" s="341"/>
      <c r="DE248" s="349"/>
      <c r="DF248" s="350"/>
      <c r="DG248" s="350"/>
      <c r="DH248" s="350"/>
      <c r="DI248" s="350"/>
      <c r="DJ248" s="350"/>
      <c r="DK248" s="350"/>
      <c r="DL248" s="350"/>
      <c r="DM248" s="350"/>
      <c r="DN248" s="350"/>
      <c r="DO248" s="350"/>
      <c r="DP248" s="350"/>
      <c r="DQ248" s="351"/>
      <c r="DR248" s="349"/>
      <c r="DS248" s="350"/>
      <c r="DT248" s="350"/>
      <c r="DU248" s="350"/>
      <c r="DV248" s="350"/>
      <c r="DW248" s="350"/>
      <c r="DX248" s="350"/>
      <c r="DY248" s="350"/>
      <c r="DZ248" s="350"/>
      <c r="EA248" s="350"/>
      <c r="EB248" s="350"/>
      <c r="EC248" s="350"/>
      <c r="ED248" s="351"/>
      <c r="EE248" s="349"/>
      <c r="EF248" s="350"/>
      <c r="EG248" s="350"/>
      <c r="EH248" s="350"/>
      <c r="EI248" s="350"/>
      <c r="EJ248" s="350"/>
      <c r="EK248" s="350"/>
      <c r="EL248" s="350"/>
      <c r="EM248" s="350"/>
      <c r="EN248" s="350"/>
      <c r="EO248" s="350"/>
      <c r="EP248" s="350"/>
      <c r="EQ248" s="351"/>
      <c r="ER248" s="349"/>
      <c r="ES248" s="350"/>
      <c r="ET248" s="350"/>
      <c r="EU248" s="350"/>
      <c r="EV248" s="350"/>
      <c r="EW248" s="350"/>
      <c r="EX248" s="350"/>
      <c r="EY248" s="350"/>
      <c r="EZ248" s="350"/>
      <c r="FA248" s="350"/>
      <c r="FB248" s="351"/>
      <c r="FC248" s="352"/>
      <c r="FD248" s="353"/>
      <c r="FE248" s="353"/>
      <c r="FF248" s="353"/>
      <c r="FG248" s="353"/>
      <c r="FH248" s="353"/>
      <c r="FI248" s="353"/>
      <c r="FJ248" s="353"/>
      <c r="FK248" s="353"/>
      <c r="FL248" s="353"/>
      <c r="FO248" s="275"/>
      <c r="FP248" s="275"/>
      <c r="FQ248" s="275">
        <f t="shared" si="6"/>
        <v>0</v>
      </c>
    </row>
    <row r="249" spans="1:173" s="215" customFormat="1" ht="12" customHeight="1">
      <c r="A249" s="437" t="s">
        <v>931</v>
      </c>
      <c r="B249" s="438"/>
      <c r="C249" s="438"/>
      <c r="D249" s="438"/>
      <c r="E249" s="438"/>
      <c r="F249" s="438"/>
      <c r="G249" s="438"/>
      <c r="H249" s="438"/>
      <c r="I249" s="438"/>
      <c r="J249" s="438"/>
      <c r="K249" s="438"/>
      <c r="L249" s="438"/>
      <c r="M249" s="438"/>
      <c r="N249" s="438"/>
      <c r="O249" s="438"/>
      <c r="P249" s="438"/>
      <c r="Q249" s="438"/>
      <c r="R249" s="438"/>
      <c r="S249" s="438"/>
      <c r="T249" s="438"/>
      <c r="U249" s="438"/>
      <c r="V249" s="438"/>
      <c r="W249" s="438"/>
      <c r="X249" s="438"/>
      <c r="Y249" s="438"/>
      <c r="Z249" s="438"/>
      <c r="AA249" s="438"/>
      <c r="AB249" s="438"/>
      <c r="AC249" s="438"/>
      <c r="AD249" s="438"/>
      <c r="AE249" s="438"/>
      <c r="AF249" s="438"/>
      <c r="AG249" s="438"/>
      <c r="AH249" s="438"/>
      <c r="AI249" s="438"/>
      <c r="AJ249" s="438"/>
      <c r="AK249" s="438"/>
      <c r="AL249" s="438"/>
      <c r="AM249" s="438"/>
      <c r="AN249" s="438"/>
      <c r="AO249" s="438"/>
      <c r="AP249" s="438"/>
      <c r="AQ249" s="438"/>
      <c r="AR249" s="438"/>
      <c r="AS249" s="438"/>
      <c r="AT249" s="438"/>
      <c r="AU249" s="438"/>
      <c r="AV249" s="438"/>
      <c r="AW249" s="438"/>
      <c r="AX249" s="438"/>
      <c r="AY249" s="438"/>
      <c r="AZ249" s="438"/>
      <c r="BA249" s="438"/>
      <c r="BB249" s="438"/>
      <c r="BC249" s="438"/>
      <c r="BD249" s="438"/>
      <c r="BE249" s="438"/>
      <c r="BF249" s="438"/>
      <c r="BG249" s="438"/>
      <c r="BH249" s="438"/>
      <c r="BI249" s="438"/>
      <c r="BJ249" s="438"/>
      <c r="BK249" s="439"/>
      <c r="BL249" s="440"/>
      <c r="BM249" s="414"/>
      <c r="BN249" s="414"/>
      <c r="BO249" s="414"/>
      <c r="BP249" s="414"/>
      <c r="BQ249" s="414"/>
      <c r="BR249" s="414"/>
      <c r="BS249" s="415"/>
      <c r="BT249" s="413" t="s">
        <v>109</v>
      </c>
      <c r="BU249" s="414"/>
      <c r="BV249" s="414"/>
      <c r="BW249" s="414"/>
      <c r="BX249" s="414"/>
      <c r="BY249" s="414"/>
      <c r="BZ249" s="414"/>
      <c r="CA249" s="414"/>
      <c r="CB249" s="414"/>
      <c r="CC249" s="414"/>
      <c r="CD249" s="414"/>
      <c r="CE249" s="414"/>
      <c r="CF249" s="415"/>
      <c r="CG249" s="413" t="s">
        <v>211</v>
      </c>
      <c r="CH249" s="414"/>
      <c r="CI249" s="414"/>
      <c r="CJ249" s="414"/>
      <c r="CK249" s="414"/>
      <c r="CL249" s="414"/>
      <c r="CM249" s="414"/>
      <c r="CN249" s="414"/>
      <c r="CO249" s="414"/>
      <c r="CP249" s="414"/>
      <c r="CQ249" s="415"/>
      <c r="CR249" s="413"/>
      <c r="CS249" s="414"/>
      <c r="CT249" s="414"/>
      <c r="CU249" s="414"/>
      <c r="CV249" s="414"/>
      <c r="CW249" s="414"/>
      <c r="CX249" s="414"/>
      <c r="CY249" s="414"/>
      <c r="CZ249" s="414"/>
      <c r="DA249" s="414"/>
      <c r="DB249" s="414"/>
      <c r="DC249" s="414"/>
      <c r="DD249" s="415"/>
      <c r="DE249" s="428">
        <f>SUM(DE250:DQ256)</f>
        <v>90000</v>
      </c>
      <c r="DF249" s="429"/>
      <c r="DG249" s="429"/>
      <c r="DH249" s="429"/>
      <c r="DI249" s="429"/>
      <c r="DJ249" s="429"/>
      <c r="DK249" s="429"/>
      <c r="DL249" s="429"/>
      <c r="DM249" s="429"/>
      <c r="DN249" s="429"/>
      <c r="DO249" s="429"/>
      <c r="DP249" s="429"/>
      <c r="DQ249" s="430"/>
      <c r="DR249" s="428">
        <f>SUM(DR250:ED256)</f>
        <v>1000000</v>
      </c>
      <c r="DS249" s="429"/>
      <c r="DT249" s="429"/>
      <c r="DU249" s="429"/>
      <c r="DV249" s="429"/>
      <c r="DW249" s="429"/>
      <c r="DX249" s="429"/>
      <c r="DY249" s="429"/>
      <c r="DZ249" s="429"/>
      <c r="EA249" s="429"/>
      <c r="EB249" s="429"/>
      <c r="EC249" s="429"/>
      <c r="ED249" s="430"/>
      <c r="EE249" s="428"/>
      <c r="EF249" s="429"/>
      <c r="EG249" s="429"/>
      <c r="EH249" s="429"/>
      <c r="EI249" s="429"/>
      <c r="EJ249" s="429"/>
      <c r="EK249" s="429"/>
      <c r="EL249" s="429"/>
      <c r="EM249" s="429"/>
      <c r="EN249" s="429"/>
      <c r="EO249" s="429"/>
      <c r="EP249" s="429"/>
      <c r="EQ249" s="430"/>
      <c r="ER249" s="410"/>
      <c r="ES249" s="411"/>
      <c r="ET249" s="411"/>
      <c r="EU249" s="411"/>
      <c r="EV249" s="411"/>
      <c r="EW249" s="411"/>
      <c r="EX249" s="411"/>
      <c r="EY249" s="411"/>
      <c r="EZ249" s="411"/>
      <c r="FA249" s="411"/>
      <c r="FB249" s="412"/>
      <c r="FC249" s="423"/>
      <c r="FD249" s="424"/>
      <c r="FE249" s="424"/>
      <c r="FF249" s="424"/>
      <c r="FG249" s="424"/>
      <c r="FH249" s="424"/>
      <c r="FI249" s="424"/>
      <c r="FJ249" s="424"/>
      <c r="FK249" s="424"/>
      <c r="FL249" s="424"/>
      <c r="FO249" s="278"/>
      <c r="FP249" s="278"/>
      <c r="FQ249" s="275">
        <f t="shared" si="6"/>
        <v>1000000</v>
      </c>
    </row>
    <row r="250" spans="1:173" s="174" customFormat="1" ht="25.8" hidden="1" customHeight="1">
      <c r="A250" s="441" t="s">
        <v>817</v>
      </c>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c r="AG250" s="442"/>
      <c r="AH250" s="442"/>
      <c r="AI250" s="442"/>
      <c r="AJ250" s="442"/>
      <c r="AK250" s="442"/>
      <c r="AL250" s="442"/>
      <c r="AM250" s="442"/>
      <c r="AN250" s="442"/>
      <c r="AO250" s="442"/>
      <c r="AP250" s="442"/>
      <c r="AQ250" s="442"/>
      <c r="AR250" s="442"/>
      <c r="AS250" s="442"/>
      <c r="AT250" s="442"/>
      <c r="AU250" s="442"/>
      <c r="AV250" s="442"/>
      <c r="AW250" s="442"/>
      <c r="AX250" s="442"/>
      <c r="AY250" s="442"/>
      <c r="AZ250" s="442"/>
      <c r="BA250" s="442"/>
      <c r="BB250" s="442"/>
      <c r="BC250" s="442"/>
      <c r="BD250" s="442"/>
      <c r="BE250" s="442"/>
      <c r="BF250" s="442"/>
      <c r="BG250" s="442"/>
      <c r="BH250" s="442"/>
      <c r="BI250" s="442"/>
      <c r="BJ250" s="442"/>
      <c r="BK250" s="443"/>
      <c r="BL250" s="392"/>
      <c r="BM250" s="393"/>
      <c r="BN250" s="393"/>
      <c r="BO250" s="393"/>
      <c r="BP250" s="393"/>
      <c r="BQ250" s="393"/>
      <c r="BR250" s="393"/>
      <c r="BS250" s="394"/>
      <c r="BT250" s="395" t="s">
        <v>819</v>
      </c>
      <c r="BU250" s="396"/>
      <c r="BV250" s="396"/>
      <c r="BW250" s="396"/>
      <c r="BX250" s="396"/>
      <c r="BY250" s="396"/>
      <c r="BZ250" s="396"/>
      <c r="CA250" s="396"/>
      <c r="CB250" s="396"/>
      <c r="CC250" s="396"/>
      <c r="CD250" s="396"/>
      <c r="CE250" s="396"/>
      <c r="CF250" s="397"/>
      <c r="CG250" s="398" t="s">
        <v>811</v>
      </c>
      <c r="CH250" s="393"/>
      <c r="CI250" s="393"/>
      <c r="CJ250" s="393"/>
      <c r="CK250" s="393"/>
      <c r="CL250" s="393"/>
      <c r="CM250" s="393"/>
      <c r="CN250" s="393"/>
      <c r="CO250" s="393"/>
      <c r="CP250" s="393"/>
      <c r="CQ250" s="394"/>
      <c r="CR250" s="398"/>
      <c r="CS250" s="393"/>
      <c r="CT250" s="393"/>
      <c r="CU250" s="393"/>
      <c r="CV250" s="393"/>
      <c r="CW250" s="393"/>
      <c r="CX250" s="393"/>
      <c r="CY250" s="393"/>
      <c r="CZ250" s="393"/>
      <c r="DA250" s="393"/>
      <c r="DB250" s="393"/>
      <c r="DC250" s="393"/>
      <c r="DD250" s="394"/>
      <c r="DE250" s="405">
        <f>100000-100000</f>
        <v>0</v>
      </c>
      <c r="DF250" s="406"/>
      <c r="DG250" s="406"/>
      <c r="DH250" s="406"/>
      <c r="DI250" s="406"/>
      <c r="DJ250" s="406"/>
      <c r="DK250" s="406"/>
      <c r="DL250" s="406"/>
      <c r="DM250" s="406"/>
      <c r="DN250" s="406"/>
      <c r="DO250" s="406"/>
      <c r="DP250" s="406"/>
      <c r="DQ250" s="407"/>
      <c r="DR250" s="405">
        <v>0</v>
      </c>
      <c r="DS250" s="406"/>
      <c r="DT250" s="406"/>
      <c r="DU250" s="406"/>
      <c r="DV250" s="406"/>
      <c r="DW250" s="406"/>
      <c r="DX250" s="406"/>
      <c r="DY250" s="406"/>
      <c r="DZ250" s="406"/>
      <c r="EA250" s="406"/>
      <c r="EB250" s="406"/>
      <c r="EC250" s="406"/>
      <c r="ED250" s="407"/>
      <c r="EE250" s="405"/>
      <c r="EF250" s="406"/>
      <c r="EG250" s="406"/>
      <c r="EH250" s="406"/>
      <c r="EI250" s="406"/>
      <c r="EJ250" s="406"/>
      <c r="EK250" s="406"/>
      <c r="EL250" s="406"/>
      <c r="EM250" s="406"/>
      <c r="EN250" s="406"/>
      <c r="EO250" s="406"/>
      <c r="EP250" s="406"/>
      <c r="EQ250" s="407"/>
      <c r="ER250" s="402"/>
      <c r="ES250" s="403"/>
      <c r="ET250" s="403"/>
      <c r="EU250" s="403"/>
      <c r="EV250" s="403"/>
      <c r="EW250" s="403"/>
      <c r="EX250" s="403"/>
      <c r="EY250" s="403"/>
      <c r="EZ250" s="403"/>
      <c r="FA250" s="403"/>
      <c r="FB250" s="404"/>
      <c r="FC250" s="408"/>
      <c r="FD250" s="409"/>
      <c r="FE250" s="409"/>
      <c r="FF250" s="409"/>
      <c r="FG250" s="409"/>
      <c r="FH250" s="409"/>
      <c r="FI250" s="409"/>
      <c r="FJ250" s="409"/>
      <c r="FK250" s="409"/>
      <c r="FL250" s="409"/>
      <c r="FO250" s="279"/>
      <c r="FP250" s="279"/>
      <c r="FQ250" s="275">
        <f t="shared" si="6"/>
        <v>0</v>
      </c>
    </row>
    <row r="251" spans="1:173" s="174" customFormat="1" ht="12" hidden="1" customHeight="1">
      <c r="A251" s="441" t="s">
        <v>847</v>
      </c>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c r="AG251" s="442"/>
      <c r="AH251" s="442"/>
      <c r="AI251" s="442"/>
      <c r="AJ251" s="442"/>
      <c r="AK251" s="442"/>
      <c r="AL251" s="442"/>
      <c r="AM251" s="442"/>
      <c r="AN251" s="442"/>
      <c r="AO251" s="442"/>
      <c r="AP251" s="442"/>
      <c r="AQ251" s="442"/>
      <c r="AR251" s="442"/>
      <c r="AS251" s="442"/>
      <c r="AT251" s="442"/>
      <c r="AU251" s="442"/>
      <c r="AV251" s="442"/>
      <c r="AW251" s="442"/>
      <c r="AX251" s="442"/>
      <c r="AY251" s="442"/>
      <c r="AZ251" s="442"/>
      <c r="BA251" s="442"/>
      <c r="BB251" s="442"/>
      <c r="BC251" s="442"/>
      <c r="BD251" s="442"/>
      <c r="BE251" s="442"/>
      <c r="BF251" s="442"/>
      <c r="BG251" s="442"/>
      <c r="BH251" s="442"/>
      <c r="BI251" s="442"/>
      <c r="BJ251" s="442"/>
      <c r="BK251" s="443"/>
      <c r="BL251" s="392"/>
      <c r="BM251" s="393"/>
      <c r="BN251" s="393"/>
      <c r="BO251" s="393"/>
      <c r="BP251" s="393"/>
      <c r="BQ251" s="393"/>
      <c r="BR251" s="393"/>
      <c r="BS251" s="394"/>
      <c r="BT251" s="395" t="s">
        <v>821</v>
      </c>
      <c r="BU251" s="396"/>
      <c r="BV251" s="396"/>
      <c r="BW251" s="396"/>
      <c r="BX251" s="396"/>
      <c r="BY251" s="396"/>
      <c r="BZ251" s="396"/>
      <c r="CA251" s="396"/>
      <c r="CB251" s="396"/>
      <c r="CC251" s="396"/>
      <c r="CD251" s="396"/>
      <c r="CE251" s="396"/>
      <c r="CF251" s="397"/>
      <c r="CG251" s="398" t="s">
        <v>812</v>
      </c>
      <c r="CH251" s="393"/>
      <c r="CI251" s="393"/>
      <c r="CJ251" s="393"/>
      <c r="CK251" s="393"/>
      <c r="CL251" s="393"/>
      <c r="CM251" s="393"/>
      <c r="CN251" s="393"/>
      <c r="CO251" s="393"/>
      <c r="CP251" s="393"/>
      <c r="CQ251" s="394"/>
      <c r="CR251" s="398"/>
      <c r="CS251" s="393"/>
      <c r="CT251" s="393"/>
      <c r="CU251" s="393"/>
      <c r="CV251" s="393"/>
      <c r="CW251" s="393"/>
      <c r="CX251" s="393"/>
      <c r="CY251" s="393"/>
      <c r="CZ251" s="393"/>
      <c r="DA251" s="393"/>
      <c r="DB251" s="393"/>
      <c r="DC251" s="393"/>
      <c r="DD251" s="394"/>
      <c r="DE251" s="405">
        <f>92000-2000</f>
        <v>90000</v>
      </c>
      <c r="DF251" s="406"/>
      <c r="DG251" s="406"/>
      <c r="DH251" s="406"/>
      <c r="DI251" s="406"/>
      <c r="DJ251" s="406"/>
      <c r="DK251" s="406"/>
      <c r="DL251" s="406"/>
      <c r="DM251" s="406"/>
      <c r="DN251" s="406"/>
      <c r="DO251" s="406"/>
      <c r="DP251" s="406"/>
      <c r="DQ251" s="407"/>
      <c r="DR251" s="405">
        <v>0</v>
      </c>
      <c r="DS251" s="406"/>
      <c r="DT251" s="406"/>
      <c r="DU251" s="406"/>
      <c r="DV251" s="406"/>
      <c r="DW251" s="406"/>
      <c r="DX251" s="406"/>
      <c r="DY251" s="406"/>
      <c r="DZ251" s="406"/>
      <c r="EA251" s="406"/>
      <c r="EB251" s="406"/>
      <c r="EC251" s="406"/>
      <c r="ED251" s="407"/>
      <c r="EE251" s="405"/>
      <c r="EF251" s="406"/>
      <c r="EG251" s="406"/>
      <c r="EH251" s="406"/>
      <c r="EI251" s="406"/>
      <c r="EJ251" s="406"/>
      <c r="EK251" s="406"/>
      <c r="EL251" s="406"/>
      <c r="EM251" s="406"/>
      <c r="EN251" s="406"/>
      <c r="EO251" s="406"/>
      <c r="EP251" s="406"/>
      <c r="EQ251" s="407"/>
      <c r="ER251" s="402"/>
      <c r="ES251" s="403"/>
      <c r="ET251" s="403"/>
      <c r="EU251" s="403"/>
      <c r="EV251" s="403"/>
      <c r="EW251" s="403"/>
      <c r="EX251" s="403"/>
      <c r="EY251" s="403"/>
      <c r="EZ251" s="403"/>
      <c r="FA251" s="403"/>
      <c r="FB251" s="404"/>
      <c r="FC251" s="408"/>
      <c r="FD251" s="409"/>
      <c r="FE251" s="409"/>
      <c r="FF251" s="409"/>
      <c r="FG251" s="409"/>
      <c r="FH251" s="409"/>
      <c r="FI251" s="409"/>
      <c r="FJ251" s="409"/>
      <c r="FK251" s="409"/>
      <c r="FL251" s="409"/>
      <c r="FO251" s="279"/>
      <c r="FP251" s="279"/>
      <c r="FQ251" s="275">
        <f t="shared" si="6"/>
        <v>0</v>
      </c>
    </row>
    <row r="252" spans="1:173" s="174" customFormat="1" ht="15" customHeight="1">
      <c r="A252" s="441" t="s">
        <v>1059</v>
      </c>
      <c r="B252" s="447"/>
      <c r="C252" s="447"/>
      <c r="D252" s="447"/>
      <c r="E252" s="447"/>
      <c r="F252" s="447"/>
      <c r="G252" s="447"/>
      <c r="H252" s="447"/>
      <c r="I252" s="447"/>
      <c r="J252" s="447"/>
      <c r="K252" s="447"/>
      <c r="L252" s="447"/>
      <c r="M252" s="447"/>
      <c r="N252" s="447"/>
      <c r="O252" s="447"/>
      <c r="P252" s="447"/>
      <c r="Q252" s="447"/>
      <c r="R252" s="447"/>
      <c r="S252" s="447"/>
      <c r="T252" s="447"/>
      <c r="U252" s="447"/>
      <c r="V252" s="447"/>
      <c r="W252" s="447"/>
      <c r="X252" s="447"/>
      <c r="Y252" s="447"/>
      <c r="Z252" s="447"/>
      <c r="AA252" s="447"/>
      <c r="AB252" s="447"/>
      <c r="AC252" s="447"/>
      <c r="AD252" s="447"/>
      <c r="AE252" s="447"/>
      <c r="AF252" s="447"/>
      <c r="AG252" s="447"/>
      <c r="AH252" s="447"/>
      <c r="AI252" s="447"/>
      <c r="AJ252" s="447"/>
      <c r="AK252" s="447"/>
      <c r="AL252" s="447"/>
      <c r="AM252" s="447"/>
      <c r="AN252" s="447"/>
      <c r="AO252" s="447"/>
      <c r="AP252" s="447"/>
      <c r="AQ252" s="447"/>
      <c r="AR252" s="447"/>
      <c r="AS252" s="447"/>
      <c r="AT252" s="447"/>
      <c r="AU252" s="447"/>
      <c r="AV252" s="447"/>
      <c r="AW252" s="447"/>
      <c r="AX252" s="447"/>
      <c r="AY252" s="447"/>
      <c r="AZ252" s="447"/>
      <c r="BA252" s="447"/>
      <c r="BB252" s="447"/>
      <c r="BC252" s="447"/>
      <c r="BD252" s="447"/>
      <c r="BE252" s="447"/>
      <c r="BF252" s="447"/>
      <c r="BG252" s="447"/>
      <c r="BH252" s="447"/>
      <c r="BI252" s="447"/>
      <c r="BJ252" s="447"/>
      <c r="BK252" s="448"/>
      <c r="BL252" s="392"/>
      <c r="BM252" s="393"/>
      <c r="BN252" s="393"/>
      <c r="BO252" s="393"/>
      <c r="BP252" s="393"/>
      <c r="BQ252" s="393"/>
      <c r="BR252" s="393"/>
      <c r="BS252" s="394"/>
      <c r="BT252" s="395" t="s">
        <v>854</v>
      </c>
      <c r="BU252" s="396"/>
      <c r="BV252" s="396"/>
      <c r="BW252" s="396"/>
      <c r="BX252" s="396"/>
      <c r="BY252" s="396"/>
      <c r="BZ252" s="396"/>
      <c r="CA252" s="396"/>
      <c r="CB252" s="396"/>
      <c r="CC252" s="396"/>
      <c r="CD252" s="396"/>
      <c r="CE252" s="396"/>
      <c r="CF252" s="397"/>
      <c r="CG252" s="398" t="s">
        <v>811</v>
      </c>
      <c r="CH252" s="393"/>
      <c r="CI252" s="393"/>
      <c r="CJ252" s="393"/>
      <c r="CK252" s="393"/>
      <c r="CL252" s="393"/>
      <c r="CM252" s="393"/>
      <c r="CN252" s="393"/>
      <c r="CO252" s="393"/>
      <c r="CP252" s="393"/>
      <c r="CQ252" s="394"/>
      <c r="CR252" s="398"/>
      <c r="CS252" s="393"/>
      <c r="CT252" s="393"/>
      <c r="CU252" s="393"/>
      <c r="CV252" s="393"/>
      <c r="CW252" s="393"/>
      <c r="CX252" s="393"/>
      <c r="CY252" s="393"/>
      <c r="CZ252" s="393"/>
      <c r="DA252" s="393"/>
      <c r="DB252" s="393"/>
      <c r="DC252" s="393"/>
      <c r="DD252" s="394"/>
      <c r="DE252" s="402">
        <v>0</v>
      </c>
      <c r="DF252" s="403"/>
      <c r="DG252" s="403"/>
      <c r="DH252" s="403"/>
      <c r="DI252" s="403"/>
      <c r="DJ252" s="403"/>
      <c r="DK252" s="403"/>
      <c r="DL252" s="403"/>
      <c r="DM252" s="403"/>
      <c r="DN252" s="403"/>
      <c r="DO252" s="403"/>
      <c r="DP252" s="403"/>
      <c r="DQ252" s="404"/>
      <c r="DR252" s="402">
        <v>1000000</v>
      </c>
      <c r="DS252" s="403"/>
      <c r="DT252" s="403"/>
      <c r="DU252" s="403"/>
      <c r="DV252" s="403"/>
      <c r="DW252" s="403"/>
      <c r="DX252" s="403"/>
      <c r="DY252" s="403"/>
      <c r="DZ252" s="403"/>
      <c r="EA252" s="403"/>
      <c r="EB252" s="403"/>
      <c r="EC252" s="403"/>
      <c r="ED252" s="404"/>
      <c r="EE252" s="402"/>
      <c r="EF252" s="403"/>
      <c r="EG252" s="403"/>
      <c r="EH252" s="403"/>
      <c r="EI252" s="403"/>
      <c r="EJ252" s="403"/>
      <c r="EK252" s="403"/>
      <c r="EL252" s="403"/>
      <c r="EM252" s="403"/>
      <c r="EN252" s="403"/>
      <c r="EO252" s="403"/>
      <c r="EP252" s="403"/>
      <c r="EQ252" s="404"/>
      <c r="ER252" s="402"/>
      <c r="ES252" s="403"/>
      <c r="ET252" s="403"/>
      <c r="EU252" s="403"/>
      <c r="EV252" s="403"/>
      <c r="EW252" s="403"/>
      <c r="EX252" s="403"/>
      <c r="EY252" s="403"/>
      <c r="EZ252" s="403"/>
      <c r="FA252" s="403"/>
      <c r="FB252" s="404"/>
      <c r="FC252" s="408"/>
      <c r="FD252" s="409"/>
      <c r="FE252" s="409"/>
      <c r="FF252" s="409"/>
      <c r="FG252" s="409"/>
      <c r="FH252" s="409"/>
      <c r="FI252" s="409"/>
      <c r="FJ252" s="409"/>
      <c r="FK252" s="409"/>
      <c r="FL252" s="409"/>
      <c r="FO252" s="279"/>
      <c r="FP252" s="279"/>
      <c r="FQ252" s="275">
        <f t="shared" si="6"/>
        <v>1000000</v>
      </c>
    </row>
    <row r="253" spans="1:173" s="174" customFormat="1" ht="15" hidden="1" customHeight="1">
      <c r="A253" s="441"/>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2"/>
      <c r="AY253" s="442"/>
      <c r="AZ253" s="442"/>
      <c r="BA253" s="442"/>
      <c r="BB253" s="442"/>
      <c r="BC253" s="442"/>
      <c r="BD253" s="442"/>
      <c r="BE253" s="442"/>
      <c r="BF253" s="442"/>
      <c r="BG253" s="442"/>
      <c r="BH253" s="442"/>
      <c r="BI253" s="442"/>
      <c r="BJ253" s="442"/>
      <c r="BK253" s="443"/>
      <c r="BL253" s="392"/>
      <c r="BM253" s="393"/>
      <c r="BN253" s="393"/>
      <c r="BO253" s="393"/>
      <c r="BP253" s="393"/>
      <c r="BQ253" s="393"/>
      <c r="BR253" s="393"/>
      <c r="BS253" s="394"/>
      <c r="BT253" s="395"/>
      <c r="BU253" s="396"/>
      <c r="BV253" s="396"/>
      <c r="BW253" s="396"/>
      <c r="BX253" s="396"/>
      <c r="BY253" s="396"/>
      <c r="BZ253" s="396"/>
      <c r="CA253" s="396"/>
      <c r="CB253" s="396"/>
      <c r="CC253" s="396"/>
      <c r="CD253" s="396"/>
      <c r="CE253" s="396"/>
      <c r="CF253" s="397"/>
      <c r="CG253" s="398"/>
      <c r="CH253" s="393"/>
      <c r="CI253" s="393"/>
      <c r="CJ253" s="393"/>
      <c r="CK253" s="393"/>
      <c r="CL253" s="393"/>
      <c r="CM253" s="393"/>
      <c r="CN253" s="393"/>
      <c r="CO253" s="393"/>
      <c r="CP253" s="393"/>
      <c r="CQ253" s="394"/>
      <c r="CR253" s="398"/>
      <c r="CS253" s="393"/>
      <c r="CT253" s="393"/>
      <c r="CU253" s="393"/>
      <c r="CV253" s="393"/>
      <c r="CW253" s="393"/>
      <c r="CX253" s="393"/>
      <c r="CY253" s="393"/>
      <c r="CZ253" s="393"/>
      <c r="DA253" s="393"/>
      <c r="DB253" s="393"/>
      <c r="DC253" s="393"/>
      <c r="DD253" s="394"/>
      <c r="DE253" s="402"/>
      <c r="DF253" s="403"/>
      <c r="DG253" s="403"/>
      <c r="DH253" s="403"/>
      <c r="DI253" s="403"/>
      <c r="DJ253" s="403"/>
      <c r="DK253" s="403"/>
      <c r="DL253" s="403"/>
      <c r="DM253" s="403"/>
      <c r="DN253" s="403"/>
      <c r="DO253" s="403"/>
      <c r="DP253" s="403"/>
      <c r="DQ253" s="404"/>
      <c r="DR253" s="402"/>
      <c r="DS253" s="403"/>
      <c r="DT253" s="403"/>
      <c r="DU253" s="403"/>
      <c r="DV253" s="403"/>
      <c r="DW253" s="403"/>
      <c r="DX253" s="403"/>
      <c r="DY253" s="403"/>
      <c r="DZ253" s="403"/>
      <c r="EA253" s="403"/>
      <c r="EB253" s="403"/>
      <c r="EC253" s="403"/>
      <c r="ED253" s="404"/>
      <c r="EE253" s="402"/>
      <c r="EF253" s="403"/>
      <c r="EG253" s="403"/>
      <c r="EH253" s="403"/>
      <c r="EI253" s="403"/>
      <c r="EJ253" s="403"/>
      <c r="EK253" s="403"/>
      <c r="EL253" s="403"/>
      <c r="EM253" s="403"/>
      <c r="EN253" s="403"/>
      <c r="EO253" s="403"/>
      <c r="EP253" s="403"/>
      <c r="EQ253" s="404"/>
      <c r="ER253" s="402"/>
      <c r="ES253" s="403"/>
      <c r="ET253" s="403"/>
      <c r="EU253" s="403"/>
      <c r="EV253" s="403"/>
      <c r="EW253" s="403"/>
      <c r="EX253" s="403"/>
      <c r="EY253" s="403"/>
      <c r="EZ253" s="403"/>
      <c r="FA253" s="403"/>
      <c r="FB253" s="404"/>
      <c r="FC253" s="408"/>
      <c r="FD253" s="409"/>
      <c r="FE253" s="409"/>
      <c r="FF253" s="409"/>
      <c r="FG253" s="409"/>
      <c r="FH253" s="409"/>
      <c r="FI253" s="409"/>
      <c r="FJ253" s="409"/>
      <c r="FK253" s="409"/>
      <c r="FL253" s="409"/>
      <c r="FO253" s="279"/>
      <c r="FP253" s="279"/>
      <c r="FQ253" s="275">
        <f t="shared" si="6"/>
        <v>0</v>
      </c>
    </row>
    <row r="254" spans="1:173" s="174" customFormat="1" ht="15" hidden="1" customHeight="1">
      <c r="A254" s="441"/>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c r="AG254" s="442"/>
      <c r="AH254" s="442"/>
      <c r="AI254" s="442"/>
      <c r="AJ254" s="442"/>
      <c r="AK254" s="442"/>
      <c r="AL254" s="442"/>
      <c r="AM254" s="442"/>
      <c r="AN254" s="442"/>
      <c r="AO254" s="442"/>
      <c r="AP254" s="442"/>
      <c r="AQ254" s="442"/>
      <c r="AR254" s="442"/>
      <c r="AS254" s="442"/>
      <c r="AT254" s="442"/>
      <c r="AU254" s="442"/>
      <c r="AV254" s="442"/>
      <c r="AW254" s="442"/>
      <c r="AX254" s="442"/>
      <c r="AY254" s="442"/>
      <c r="AZ254" s="442"/>
      <c r="BA254" s="442"/>
      <c r="BB254" s="442"/>
      <c r="BC254" s="442"/>
      <c r="BD254" s="442"/>
      <c r="BE254" s="442"/>
      <c r="BF254" s="442"/>
      <c r="BG254" s="442"/>
      <c r="BH254" s="442"/>
      <c r="BI254" s="442"/>
      <c r="BJ254" s="442"/>
      <c r="BK254" s="443"/>
      <c r="BL254" s="392"/>
      <c r="BM254" s="393"/>
      <c r="BN254" s="393"/>
      <c r="BO254" s="393"/>
      <c r="BP254" s="393"/>
      <c r="BQ254" s="393"/>
      <c r="BR254" s="393"/>
      <c r="BS254" s="394"/>
      <c r="BT254" s="398"/>
      <c r="BU254" s="393"/>
      <c r="BV254" s="393"/>
      <c r="BW254" s="393"/>
      <c r="BX254" s="393"/>
      <c r="BY254" s="393"/>
      <c r="BZ254" s="393"/>
      <c r="CA254" s="393"/>
      <c r="CB254" s="393"/>
      <c r="CC254" s="393"/>
      <c r="CD254" s="393"/>
      <c r="CE254" s="393"/>
      <c r="CF254" s="394"/>
      <c r="CG254" s="398"/>
      <c r="CH254" s="393"/>
      <c r="CI254" s="393"/>
      <c r="CJ254" s="393"/>
      <c r="CK254" s="393"/>
      <c r="CL254" s="393"/>
      <c r="CM254" s="393"/>
      <c r="CN254" s="393"/>
      <c r="CO254" s="393"/>
      <c r="CP254" s="393"/>
      <c r="CQ254" s="394"/>
      <c r="CR254" s="398"/>
      <c r="CS254" s="393"/>
      <c r="CT254" s="393"/>
      <c r="CU254" s="393"/>
      <c r="CV254" s="393"/>
      <c r="CW254" s="393"/>
      <c r="CX254" s="393"/>
      <c r="CY254" s="393"/>
      <c r="CZ254" s="393"/>
      <c r="DA254" s="393"/>
      <c r="DB254" s="393"/>
      <c r="DC254" s="393"/>
      <c r="DD254" s="394"/>
      <c r="DE254" s="402"/>
      <c r="DF254" s="403"/>
      <c r="DG254" s="403"/>
      <c r="DH254" s="403"/>
      <c r="DI254" s="403"/>
      <c r="DJ254" s="403"/>
      <c r="DK254" s="403"/>
      <c r="DL254" s="403"/>
      <c r="DM254" s="403"/>
      <c r="DN254" s="403"/>
      <c r="DO254" s="403"/>
      <c r="DP254" s="403"/>
      <c r="DQ254" s="404"/>
      <c r="DR254" s="402"/>
      <c r="DS254" s="403"/>
      <c r="DT254" s="403"/>
      <c r="DU254" s="403"/>
      <c r="DV254" s="403"/>
      <c r="DW254" s="403"/>
      <c r="DX254" s="403"/>
      <c r="DY254" s="403"/>
      <c r="DZ254" s="403"/>
      <c r="EA254" s="403"/>
      <c r="EB254" s="403"/>
      <c r="EC254" s="403"/>
      <c r="ED254" s="404"/>
      <c r="EE254" s="402"/>
      <c r="EF254" s="403"/>
      <c r="EG254" s="403"/>
      <c r="EH254" s="403"/>
      <c r="EI254" s="403"/>
      <c r="EJ254" s="403"/>
      <c r="EK254" s="403"/>
      <c r="EL254" s="403"/>
      <c r="EM254" s="403"/>
      <c r="EN254" s="403"/>
      <c r="EO254" s="403"/>
      <c r="EP254" s="403"/>
      <c r="EQ254" s="404"/>
      <c r="ER254" s="402"/>
      <c r="ES254" s="403"/>
      <c r="ET254" s="403"/>
      <c r="EU254" s="403"/>
      <c r="EV254" s="403"/>
      <c r="EW254" s="403"/>
      <c r="EX254" s="403"/>
      <c r="EY254" s="403"/>
      <c r="EZ254" s="403"/>
      <c r="FA254" s="403"/>
      <c r="FB254" s="404"/>
      <c r="FC254" s="408"/>
      <c r="FD254" s="409"/>
      <c r="FE254" s="409"/>
      <c r="FF254" s="409"/>
      <c r="FG254" s="409"/>
      <c r="FH254" s="409"/>
      <c r="FI254" s="409"/>
      <c r="FJ254" s="409"/>
      <c r="FK254" s="409"/>
      <c r="FL254" s="409"/>
      <c r="FO254" s="279"/>
      <c r="FP254" s="279"/>
      <c r="FQ254" s="275">
        <f t="shared" si="6"/>
        <v>0</v>
      </c>
    </row>
    <row r="255" spans="1:173" s="174" customFormat="1" ht="15" hidden="1" customHeight="1">
      <c r="A255" s="441"/>
      <c r="B255" s="447"/>
      <c r="C255" s="447"/>
      <c r="D255" s="447"/>
      <c r="E255" s="447"/>
      <c r="F255" s="447"/>
      <c r="G255" s="447"/>
      <c r="H255" s="447"/>
      <c r="I255" s="447"/>
      <c r="J255" s="447"/>
      <c r="K255" s="447"/>
      <c r="L255" s="447"/>
      <c r="M255" s="447"/>
      <c r="N255" s="447"/>
      <c r="O255" s="447"/>
      <c r="P255" s="447"/>
      <c r="Q255" s="447"/>
      <c r="R255" s="447"/>
      <c r="S255" s="447"/>
      <c r="T255" s="447"/>
      <c r="U255" s="447"/>
      <c r="V255" s="447"/>
      <c r="W255" s="447"/>
      <c r="X255" s="447"/>
      <c r="Y255" s="447"/>
      <c r="Z255" s="447"/>
      <c r="AA255" s="447"/>
      <c r="AB255" s="447"/>
      <c r="AC255" s="447"/>
      <c r="AD255" s="447"/>
      <c r="AE255" s="447"/>
      <c r="AF255" s="447"/>
      <c r="AG255" s="447"/>
      <c r="AH255" s="447"/>
      <c r="AI255" s="447"/>
      <c r="AJ255" s="447"/>
      <c r="AK255" s="447"/>
      <c r="AL255" s="447"/>
      <c r="AM255" s="447"/>
      <c r="AN255" s="447"/>
      <c r="AO255" s="447"/>
      <c r="AP255" s="447"/>
      <c r="AQ255" s="447"/>
      <c r="AR255" s="447"/>
      <c r="AS255" s="447"/>
      <c r="AT255" s="447"/>
      <c r="AU255" s="447"/>
      <c r="AV255" s="447"/>
      <c r="AW255" s="447"/>
      <c r="AX255" s="447"/>
      <c r="AY255" s="447"/>
      <c r="AZ255" s="447"/>
      <c r="BA255" s="447"/>
      <c r="BB255" s="447"/>
      <c r="BC255" s="447"/>
      <c r="BD255" s="447"/>
      <c r="BE255" s="447"/>
      <c r="BF255" s="447"/>
      <c r="BG255" s="447"/>
      <c r="BH255" s="447"/>
      <c r="BI255" s="447"/>
      <c r="BJ255" s="447"/>
      <c r="BK255" s="448"/>
      <c r="BL255" s="392"/>
      <c r="BM255" s="393"/>
      <c r="BN255" s="393"/>
      <c r="BO255" s="393"/>
      <c r="BP255" s="393"/>
      <c r="BQ255" s="393"/>
      <c r="BR255" s="393"/>
      <c r="BS255" s="394"/>
      <c r="BT255" s="395"/>
      <c r="BU255" s="396"/>
      <c r="BV255" s="396"/>
      <c r="BW255" s="396"/>
      <c r="BX255" s="396"/>
      <c r="BY255" s="396"/>
      <c r="BZ255" s="396"/>
      <c r="CA255" s="396"/>
      <c r="CB255" s="396"/>
      <c r="CC255" s="396"/>
      <c r="CD255" s="396"/>
      <c r="CE255" s="396"/>
      <c r="CF255" s="397"/>
      <c r="CG255" s="398"/>
      <c r="CH255" s="393"/>
      <c r="CI255" s="393"/>
      <c r="CJ255" s="393"/>
      <c r="CK255" s="393"/>
      <c r="CL255" s="393"/>
      <c r="CM255" s="393"/>
      <c r="CN255" s="393"/>
      <c r="CO255" s="393"/>
      <c r="CP255" s="393"/>
      <c r="CQ255" s="394"/>
      <c r="CR255" s="398"/>
      <c r="CS255" s="393"/>
      <c r="CT255" s="393"/>
      <c r="CU255" s="393"/>
      <c r="CV255" s="393"/>
      <c r="CW255" s="393"/>
      <c r="CX255" s="393"/>
      <c r="CY255" s="393"/>
      <c r="CZ255" s="393"/>
      <c r="DA255" s="393"/>
      <c r="DB255" s="393"/>
      <c r="DC255" s="393"/>
      <c r="DD255" s="394"/>
      <c r="DE255" s="402"/>
      <c r="DF255" s="403"/>
      <c r="DG255" s="403"/>
      <c r="DH255" s="403"/>
      <c r="DI255" s="403"/>
      <c r="DJ255" s="403"/>
      <c r="DK255" s="403"/>
      <c r="DL255" s="403"/>
      <c r="DM255" s="403"/>
      <c r="DN255" s="403"/>
      <c r="DO255" s="403"/>
      <c r="DP255" s="403"/>
      <c r="DQ255" s="404"/>
      <c r="DR255" s="402"/>
      <c r="DS255" s="403"/>
      <c r="DT255" s="403"/>
      <c r="DU255" s="403"/>
      <c r="DV255" s="403"/>
      <c r="DW255" s="403"/>
      <c r="DX255" s="403"/>
      <c r="DY255" s="403"/>
      <c r="DZ255" s="403"/>
      <c r="EA255" s="403"/>
      <c r="EB255" s="403"/>
      <c r="EC255" s="403"/>
      <c r="ED255" s="404"/>
      <c r="EE255" s="402"/>
      <c r="EF255" s="403"/>
      <c r="EG255" s="403"/>
      <c r="EH255" s="403"/>
      <c r="EI255" s="403"/>
      <c r="EJ255" s="403"/>
      <c r="EK255" s="403"/>
      <c r="EL255" s="403"/>
      <c r="EM255" s="403"/>
      <c r="EN255" s="403"/>
      <c r="EO255" s="403"/>
      <c r="EP255" s="403"/>
      <c r="EQ255" s="404"/>
      <c r="ER255" s="402"/>
      <c r="ES255" s="403"/>
      <c r="ET255" s="403"/>
      <c r="EU255" s="403"/>
      <c r="EV255" s="403"/>
      <c r="EW255" s="403"/>
      <c r="EX255" s="403"/>
      <c r="EY255" s="403"/>
      <c r="EZ255" s="403"/>
      <c r="FA255" s="403"/>
      <c r="FB255" s="404"/>
      <c r="FC255" s="408"/>
      <c r="FD255" s="409"/>
      <c r="FE255" s="409"/>
      <c r="FF255" s="409"/>
      <c r="FG255" s="409"/>
      <c r="FH255" s="409"/>
      <c r="FI255" s="409"/>
      <c r="FJ255" s="409"/>
      <c r="FK255" s="409"/>
      <c r="FL255" s="409"/>
      <c r="FO255" s="279"/>
      <c r="FP255" s="279"/>
      <c r="FQ255" s="275">
        <f t="shared" si="6"/>
        <v>0</v>
      </c>
    </row>
    <row r="256" spans="1:173" s="174" customFormat="1" ht="15" hidden="1" customHeight="1">
      <c r="A256" s="441"/>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c r="AG256" s="442"/>
      <c r="AH256" s="442"/>
      <c r="AI256" s="442"/>
      <c r="AJ256" s="442"/>
      <c r="AK256" s="442"/>
      <c r="AL256" s="442"/>
      <c r="AM256" s="442"/>
      <c r="AN256" s="442"/>
      <c r="AO256" s="442"/>
      <c r="AP256" s="442"/>
      <c r="AQ256" s="442"/>
      <c r="AR256" s="442"/>
      <c r="AS256" s="442"/>
      <c r="AT256" s="442"/>
      <c r="AU256" s="442"/>
      <c r="AV256" s="442"/>
      <c r="AW256" s="442"/>
      <c r="AX256" s="442"/>
      <c r="AY256" s="442"/>
      <c r="AZ256" s="442"/>
      <c r="BA256" s="442"/>
      <c r="BB256" s="442"/>
      <c r="BC256" s="442"/>
      <c r="BD256" s="442"/>
      <c r="BE256" s="442"/>
      <c r="BF256" s="442"/>
      <c r="BG256" s="442"/>
      <c r="BH256" s="442"/>
      <c r="BI256" s="442"/>
      <c r="BJ256" s="442"/>
      <c r="BK256" s="443"/>
      <c r="BL256" s="392"/>
      <c r="BM256" s="393"/>
      <c r="BN256" s="393"/>
      <c r="BO256" s="393"/>
      <c r="BP256" s="393"/>
      <c r="BQ256" s="393"/>
      <c r="BR256" s="393"/>
      <c r="BS256" s="394"/>
      <c r="BT256" s="395"/>
      <c r="BU256" s="396"/>
      <c r="BV256" s="396"/>
      <c r="BW256" s="396"/>
      <c r="BX256" s="396"/>
      <c r="BY256" s="396"/>
      <c r="BZ256" s="396"/>
      <c r="CA256" s="396"/>
      <c r="CB256" s="396"/>
      <c r="CC256" s="396"/>
      <c r="CD256" s="396"/>
      <c r="CE256" s="396"/>
      <c r="CF256" s="397"/>
      <c r="CG256" s="398"/>
      <c r="CH256" s="393"/>
      <c r="CI256" s="393"/>
      <c r="CJ256" s="393"/>
      <c r="CK256" s="393"/>
      <c r="CL256" s="393"/>
      <c r="CM256" s="393"/>
      <c r="CN256" s="393"/>
      <c r="CO256" s="393"/>
      <c r="CP256" s="393"/>
      <c r="CQ256" s="394"/>
      <c r="CR256" s="398"/>
      <c r="CS256" s="393"/>
      <c r="CT256" s="393"/>
      <c r="CU256" s="393"/>
      <c r="CV256" s="393"/>
      <c r="CW256" s="393"/>
      <c r="CX256" s="393"/>
      <c r="CY256" s="393"/>
      <c r="CZ256" s="393"/>
      <c r="DA256" s="393"/>
      <c r="DB256" s="393"/>
      <c r="DC256" s="393"/>
      <c r="DD256" s="394"/>
      <c r="DE256" s="402"/>
      <c r="DF256" s="403"/>
      <c r="DG256" s="403"/>
      <c r="DH256" s="403"/>
      <c r="DI256" s="403"/>
      <c r="DJ256" s="403"/>
      <c r="DK256" s="403"/>
      <c r="DL256" s="403"/>
      <c r="DM256" s="403"/>
      <c r="DN256" s="403"/>
      <c r="DO256" s="403"/>
      <c r="DP256" s="403"/>
      <c r="DQ256" s="404"/>
      <c r="DR256" s="402"/>
      <c r="DS256" s="403"/>
      <c r="DT256" s="403"/>
      <c r="DU256" s="403"/>
      <c r="DV256" s="403"/>
      <c r="DW256" s="403"/>
      <c r="DX256" s="403"/>
      <c r="DY256" s="403"/>
      <c r="DZ256" s="403"/>
      <c r="EA256" s="403"/>
      <c r="EB256" s="403"/>
      <c r="EC256" s="403"/>
      <c r="ED256" s="404"/>
      <c r="EE256" s="402"/>
      <c r="EF256" s="403"/>
      <c r="EG256" s="403"/>
      <c r="EH256" s="403"/>
      <c r="EI256" s="403"/>
      <c r="EJ256" s="403"/>
      <c r="EK256" s="403"/>
      <c r="EL256" s="403"/>
      <c r="EM256" s="403"/>
      <c r="EN256" s="403"/>
      <c r="EO256" s="403"/>
      <c r="EP256" s="403"/>
      <c r="EQ256" s="404"/>
      <c r="ER256" s="402"/>
      <c r="ES256" s="403"/>
      <c r="ET256" s="403"/>
      <c r="EU256" s="403"/>
      <c r="EV256" s="403"/>
      <c r="EW256" s="403"/>
      <c r="EX256" s="403"/>
      <c r="EY256" s="403"/>
      <c r="EZ256" s="403"/>
      <c r="FA256" s="403"/>
      <c r="FB256" s="404"/>
      <c r="FC256" s="408"/>
      <c r="FD256" s="409"/>
      <c r="FE256" s="409"/>
      <c r="FF256" s="409"/>
      <c r="FG256" s="409"/>
      <c r="FH256" s="409"/>
      <c r="FI256" s="409"/>
      <c r="FJ256" s="409"/>
      <c r="FK256" s="409"/>
      <c r="FL256" s="409"/>
      <c r="FO256" s="279"/>
      <c r="FP256" s="279"/>
      <c r="FQ256" s="275">
        <f t="shared" si="6"/>
        <v>0</v>
      </c>
    </row>
    <row r="257" spans="1:173" s="215" customFormat="1" ht="12" customHeight="1">
      <c r="A257" s="437" t="s">
        <v>932</v>
      </c>
      <c r="B257" s="438"/>
      <c r="C257" s="438"/>
      <c r="D257" s="438"/>
      <c r="E257" s="438"/>
      <c r="F257" s="438"/>
      <c r="G257" s="438"/>
      <c r="H257" s="438"/>
      <c r="I257" s="438"/>
      <c r="J257" s="438"/>
      <c r="K257" s="438"/>
      <c r="L257" s="438"/>
      <c r="M257" s="438"/>
      <c r="N257" s="438"/>
      <c r="O257" s="438"/>
      <c r="P257" s="438"/>
      <c r="Q257" s="438"/>
      <c r="R257" s="438"/>
      <c r="S257" s="438"/>
      <c r="T257" s="438"/>
      <c r="U257" s="438"/>
      <c r="V257" s="438"/>
      <c r="W257" s="438"/>
      <c r="X257" s="438"/>
      <c r="Y257" s="438"/>
      <c r="Z257" s="438"/>
      <c r="AA257" s="438"/>
      <c r="AB257" s="438"/>
      <c r="AC257" s="438"/>
      <c r="AD257" s="438"/>
      <c r="AE257" s="438"/>
      <c r="AF257" s="438"/>
      <c r="AG257" s="438"/>
      <c r="AH257" s="438"/>
      <c r="AI257" s="438"/>
      <c r="AJ257" s="438"/>
      <c r="AK257" s="438"/>
      <c r="AL257" s="438"/>
      <c r="AM257" s="438"/>
      <c r="AN257" s="438"/>
      <c r="AO257" s="438"/>
      <c r="AP257" s="438"/>
      <c r="AQ257" s="438"/>
      <c r="AR257" s="438"/>
      <c r="AS257" s="438"/>
      <c r="AT257" s="438"/>
      <c r="AU257" s="438"/>
      <c r="AV257" s="438"/>
      <c r="AW257" s="438"/>
      <c r="AX257" s="438"/>
      <c r="AY257" s="438"/>
      <c r="AZ257" s="438"/>
      <c r="BA257" s="438"/>
      <c r="BB257" s="438"/>
      <c r="BC257" s="438"/>
      <c r="BD257" s="438"/>
      <c r="BE257" s="438"/>
      <c r="BF257" s="438"/>
      <c r="BG257" s="438"/>
      <c r="BH257" s="438"/>
      <c r="BI257" s="438"/>
      <c r="BJ257" s="438"/>
      <c r="BK257" s="439"/>
      <c r="BL257" s="440"/>
      <c r="BM257" s="414"/>
      <c r="BN257" s="414"/>
      <c r="BO257" s="414"/>
      <c r="BP257" s="414"/>
      <c r="BQ257" s="414"/>
      <c r="BR257" s="414"/>
      <c r="BS257" s="415"/>
      <c r="BT257" s="413" t="s">
        <v>109</v>
      </c>
      <c r="BU257" s="414"/>
      <c r="BV257" s="414"/>
      <c r="BW257" s="414"/>
      <c r="BX257" s="414"/>
      <c r="BY257" s="414"/>
      <c r="BZ257" s="414"/>
      <c r="CA257" s="414"/>
      <c r="CB257" s="414"/>
      <c r="CC257" s="414"/>
      <c r="CD257" s="414"/>
      <c r="CE257" s="414"/>
      <c r="CF257" s="415"/>
      <c r="CG257" s="413" t="s">
        <v>211</v>
      </c>
      <c r="CH257" s="414"/>
      <c r="CI257" s="414"/>
      <c r="CJ257" s="414"/>
      <c r="CK257" s="414"/>
      <c r="CL257" s="414"/>
      <c r="CM257" s="414"/>
      <c r="CN257" s="414"/>
      <c r="CO257" s="414"/>
      <c r="CP257" s="414"/>
      <c r="CQ257" s="415"/>
      <c r="CR257" s="413"/>
      <c r="CS257" s="414"/>
      <c r="CT257" s="414"/>
      <c r="CU257" s="414"/>
      <c r="CV257" s="414"/>
      <c r="CW257" s="414"/>
      <c r="CX257" s="414"/>
      <c r="CY257" s="414"/>
      <c r="CZ257" s="414"/>
      <c r="DA257" s="414"/>
      <c r="DB257" s="414"/>
      <c r="DC257" s="414"/>
      <c r="DD257" s="415"/>
      <c r="DE257" s="428">
        <f>SUM(DE258:DQ271)</f>
        <v>18518.109999999997</v>
      </c>
      <c r="DF257" s="429"/>
      <c r="DG257" s="429"/>
      <c r="DH257" s="429"/>
      <c r="DI257" s="429"/>
      <c r="DJ257" s="429"/>
      <c r="DK257" s="429"/>
      <c r="DL257" s="429"/>
      <c r="DM257" s="429"/>
      <c r="DN257" s="429"/>
      <c r="DO257" s="429"/>
      <c r="DP257" s="429"/>
      <c r="DQ257" s="430"/>
      <c r="DR257" s="428">
        <f>SUM(DR258:ED271)</f>
        <v>141650</v>
      </c>
      <c r="DS257" s="429"/>
      <c r="DT257" s="429"/>
      <c r="DU257" s="429"/>
      <c r="DV257" s="429"/>
      <c r="DW257" s="429"/>
      <c r="DX257" s="429"/>
      <c r="DY257" s="429"/>
      <c r="DZ257" s="429"/>
      <c r="EA257" s="429"/>
      <c r="EB257" s="429"/>
      <c r="EC257" s="429"/>
      <c r="ED257" s="430"/>
      <c r="EE257" s="428"/>
      <c r="EF257" s="429"/>
      <c r="EG257" s="429"/>
      <c r="EH257" s="429"/>
      <c r="EI257" s="429"/>
      <c r="EJ257" s="429"/>
      <c r="EK257" s="429"/>
      <c r="EL257" s="429"/>
      <c r="EM257" s="429"/>
      <c r="EN257" s="429"/>
      <c r="EO257" s="429"/>
      <c r="EP257" s="429"/>
      <c r="EQ257" s="430"/>
      <c r="ER257" s="410"/>
      <c r="ES257" s="411"/>
      <c r="ET257" s="411"/>
      <c r="EU257" s="411"/>
      <c r="EV257" s="411"/>
      <c r="EW257" s="411"/>
      <c r="EX257" s="411"/>
      <c r="EY257" s="411"/>
      <c r="EZ257" s="411"/>
      <c r="FA257" s="411"/>
      <c r="FB257" s="412"/>
      <c r="FC257" s="423"/>
      <c r="FD257" s="424"/>
      <c r="FE257" s="424"/>
      <c r="FF257" s="424"/>
      <c r="FG257" s="424"/>
      <c r="FH257" s="424"/>
      <c r="FI257" s="424"/>
      <c r="FJ257" s="424"/>
      <c r="FK257" s="424"/>
      <c r="FL257" s="424"/>
      <c r="FO257" s="278"/>
      <c r="FP257" s="278"/>
      <c r="FQ257" s="275">
        <f t="shared" si="6"/>
        <v>141650</v>
      </c>
    </row>
    <row r="258" spans="1:173" ht="15" customHeight="1">
      <c r="A258" s="336" t="s">
        <v>813</v>
      </c>
      <c r="B258" s="337"/>
      <c r="C258" s="337"/>
      <c r="D258" s="337"/>
      <c r="E258" s="337"/>
      <c r="F258" s="337"/>
      <c r="G258" s="337"/>
      <c r="H258" s="337"/>
      <c r="I258" s="337"/>
      <c r="J258" s="337"/>
      <c r="K258" s="337"/>
      <c r="L258" s="337"/>
      <c r="M258" s="337"/>
      <c r="N258" s="337"/>
      <c r="O258" s="337"/>
      <c r="P258" s="337"/>
      <c r="Q258" s="337"/>
      <c r="R258" s="337"/>
      <c r="S258" s="337"/>
      <c r="T258" s="337"/>
      <c r="U258" s="337"/>
      <c r="V258" s="337"/>
      <c r="W258" s="337"/>
      <c r="X258" s="337"/>
      <c r="Y258" s="337"/>
      <c r="Z258" s="337"/>
      <c r="AA258" s="337"/>
      <c r="AB258" s="337"/>
      <c r="AC258" s="337"/>
      <c r="AD258" s="337"/>
      <c r="AE258" s="337"/>
      <c r="AF258" s="337"/>
      <c r="AG258" s="337"/>
      <c r="AH258" s="337"/>
      <c r="AI258" s="337"/>
      <c r="AJ258" s="337"/>
      <c r="AK258" s="337"/>
      <c r="AL258" s="337"/>
      <c r="AM258" s="337"/>
      <c r="AN258" s="337"/>
      <c r="AO258" s="337"/>
      <c r="AP258" s="337"/>
      <c r="AQ258" s="337"/>
      <c r="AR258" s="337"/>
      <c r="AS258" s="337"/>
      <c r="AT258" s="337"/>
      <c r="AU258" s="337"/>
      <c r="AV258" s="337"/>
      <c r="AW258" s="337"/>
      <c r="AX258" s="337"/>
      <c r="AY258" s="337"/>
      <c r="AZ258" s="337"/>
      <c r="BA258" s="337"/>
      <c r="BB258" s="337"/>
      <c r="BC258" s="337"/>
      <c r="BD258" s="337"/>
      <c r="BE258" s="337"/>
      <c r="BF258" s="337"/>
      <c r="BG258" s="337"/>
      <c r="BH258" s="337"/>
      <c r="BI258" s="337"/>
      <c r="BJ258" s="337"/>
      <c r="BK258" s="338"/>
      <c r="BL258" s="339"/>
      <c r="BM258" s="340"/>
      <c r="BN258" s="340"/>
      <c r="BO258" s="340"/>
      <c r="BP258" s="340"/>
      <c r="BQ258" s="340"/>
      <c r="BR258" s="340"/>
      <c r="BS258" s="341"/>
      <c r="BT258" s="342" t="s">
        <v>610</v>
      </c>
      <c r="BU258" s="343"/>
      <c r="BV258" s="343"/>
      <c r="BW258" s="343"/>
      <c r="BX258" s="343"/>
      <c r="BY258" s="343"/>
      <c r="BZ258" s="343"/>
      <c r="CA258" s="343"/>
      <c r="CB258" s="343"/>
      <c r="CC258" s="343"/>
      <c r="CD258" s="343"/>
      <c r="CE258" s="343"/>
      <c r="CF258" s="344"/>
      <c r="CG258" s="345" t="s">
        <v>808</v>
      </c>
      <c r="CH258" s="340"/>
      <c r="CI258" s="340"/>
      <c r="CJ258" s="340"/>
      <c r="CK258" s="340"/>
      <c r="CL258" s="340"/>
      <c r="CM258" s="340"/>
      <c r="CN258" s="340"/>
      <c r="CO258" s="340"/>
      <c r="CP258" s="340"/>
      <c r="CQ258" s="341"/>
      <c r="CR258" s="345"/>
      <c r="CS258" s="340"/>
      <c r="CT258" s="340"/>
      <c r="CU258" s="340"/>
      <c r="CV258" s="340"/>
      <c r="CW258" s="340"/>
      <c r="CX258" s="340"/>
      <c r="CY258" s="340"/>
      <c r="CZ258" s="340"/>
      <c r="DA258" s="340"/>
      <c r="DB258" s="340"/>
      <c r="DC258" s="340"/>
      <c r="DD258" s="341"/>
      <c r="DE258" s="346">
        <f>7000-1.58</f>
        <v>6998.42</v>
      </c>
      <c r="DF258" s="347"/>
      <c r="DG258" s="347"/>
      <c r="DH258" s="347"/>
      <c r="DI258" s="347"/>
      <c r="DJ258" s="347"/>
      <c r="DK258" s="347"/>
      <c r="DL258" s="347"/>
      <c r="DM258" s="347"/>
      <c r="DN258" s="347"/>
      <c r="DO258" s="347"/>
      <c r="DP258" s="347"/>
      <c r="DQ258" s="348"/>
      <c r="DR258" s="346">
        <v>7000</v>
      </c>
      <c r="DS258" s="347"/>
      <c r="DT258" s="347"/>
      <c r="DU258" s="347"/>
      <c r="DV258" s="347"/>
      <c r="DW258" s="347"/>
      <c r="DX258" s="347"/>
      <c r="DY258" s="347"/>
      <c r="DZ258" s="347"/>
      <c r="EA258" s="347"/>
      <c r="EB258" s="347"/>
      <c r="EC258" s="347"/>
      <c r="ED258" s="348"/>
      <c r="EE258" s="346"/>
      <c r="EF258" s="347"/>
      <c r="EG258" s="347"/>
      <c r="EH258" s="347"/>
      <c r="EI258" s="347"/>
      <c r="EJ258" s="347"/>
      <c r="EK258" s="347"/>
      <c r="EL258" s="347"/>
      <c r="EM258" s="347"/>
      <c r="EN258" s="347"/>
      <c r="EO258" s="347"/>
      <c r="EP258" s="347"/>
      <c r="EQ258" s="348"/>
      <c r="ER258" s="349"/>
      <c r="ES258" s="350"/>
      <c r="ET258" s="350"/>
      <c r="EU258" s="350"/>
      <c r="EV258" s="350"/>
      <c r="EW258" s="350"/>
      <c r="EX258" s="350"/>
      <c r="EY258" s="350"/>
      <c r="EZ258" s="350"/>
      <c r="FA258" s="350"/>
      <c r="FB258" s="351"/>
      <c r="FC258" s="352"/>
      <c r="FD258" s="353"/>
      <c r="FE258" s="353"/>
      <c r="FF258" s="353"/>
      <c r="FG258" s="353"/>
      <c r="FH258" s="353"/>
      <c r="FI258" s="353"/>
      <c r="FJ258" s="353"/>
      <c r="FK258" s="353"/>
      <c r="FL258" s="353"/>
      <c r="FO258" s="275"/>
      <c r="FP258" s="275"/>
      <c r="FQ258" s="275">
        <f t="shared" si="6"/>
        <v>7000</v>
      </c>
    </row>
    <row r="259" spans="1:173" ht="18" customHeight="1">
      <c r="A259" s="336" t="s">
        <v>1014</v>
      </c>
      <c r="B259" s="337"/>
      <c r="C259" s="337"/>
      <c r="D259" s="337"/>
      <c r="E259" s="337"/>
      <c r="F259" s="337"/>
      <c r="G259" s="337"/>
      <c r="H259" s="337"/>
      <c r="I259" s="337"/>
      <c r="J259" s="337"/>
      <c r="K259" s="337"/>
      <c r="L259" s="337"/>
      <c r="M259" s="337"/>
      <c r="N259" s="337"/>
      <c r="O259" s="337"/>
      <c r="P259" s="337"/>
      <c r="Q259" s="337"/>
      <c r="R259" s="337"/>
      <c r="S259" s="337"/>
      <c r="T259" s="337"/>
      <c r="U259" s="337"/>
      <c r="V259" s="337"/>
      <c r="W259" s="337"/>
      <c r="X259" s="337"/>
      <c r="Y259" s="337"/>
      <c r="Z259" s="337"/>
      <c r="AA259" s="337"/>
      <c r="AB259" s="337"/>
      <c r="AC259" s="337"/>
      <c r="AD259" s="337"/>
      <c r="AE259" s="337"/>
      <c r="AF259" s="337"/>
      <c r="AG259" s="337"/>
      <c r="AH259" s="337"/>
      <c r="AI259" s="337"/>
      <c r="AJ259" s="337"/>
      <c r="AK259" s="337"/>
      <c r="AL259" s="337"/>
      <c r="AM259" s="337"/>
      <c r="AN259" s="337"/>
      <c r="AO259" s="337"/>
      <c r="AP259" s="337"/>
      <c r="AQ259" s="337"/>
      <c r="AR259" s="337"/>
      <c r="AS259" s="337"/>
      <c r="AT259" s="337"/>
      <c r="AU259" s="337"/>
      <c r="AV259" s="337"/>
      <c r="AW259" s="337"/>
      <c r="AX259" s="337"/>
      <c r="AY259" s="337"/>
      <c r="AZ259" s="337"/>
      <c r="BA259" s="337"/>
      <c r="BB259" s="337"/>
      <c r="BC259" s="337"/>
      <c r="BD259" s="337"/>
      <c r="BE259" s="337"/>
      <c r="BF259" s="337"/>
      <c r="BG259" s="337"/>
      <c r="BH259" s="337"/>
      <c r="BI259" s="337"/>
      <c r="BJ259" s="337"/>
      <c r="BK259" s="338"/>
      <c r="BL259" s="339"/>
      <c r="BM259" s="340"/>
      <c r="BN259" s="340"/>
      <c r="BO259" s="340"/>
      <c r="BP259" s="340"/>
      <c r="BQ259" s="340"/>
      <c r="BR259" s="340"/>
      <c r="BS259" s="341"/>
      <c r="BT259" s="342" t="s">
        <v>610</v>
      </c>
      <c r="BU259" s="343"/>
      <c r="BV259" s="343"/>
      <c r="BW259" s="343"/>
      <c r="BX259" s="343"/>
      <c r="BY259" s="343"/>
      <c r="BZ259" s="343"/>
      <c r="CA259" s="343"/>
      <c r="CB259" s="343"/>
      <c r="CC259" s="343"/>
      <c r="CD259" s="343"/>
      <c r="CE259" s="343"/>
      <c r="CF259" s="344"/>
      <c r="CG259" s="345" t="s">
        <v>1015</v>
      </c>
      <c r="CH259" s="340"/>
      <c r="CI259" s="340"/>
      <c r="CJ259" s="340"/>
      <c r="CK259" s="340"/>
      <c r="CL259" s="340"/>
      <c r="CM259" s="340"/>
      <c r="CN259" s="340"/>
      <c r="CO259" s="340"/>
      <c r="CP259" s="340"/>
      <c r="CQ259" s="341"/>
      <c r="CR259" s="345"/>
      <c r="CS259" s="340"/>
      <c r="CT259" s="340"/>
      <c r="CU259" s="340"/>
      <c r="CV259" s="340"/>
      <c r="CW259" s="340"/>
      <c r="CX259" s="340"/>
      <c r="CY259" s="340"/>
      <c r="CZ259" s="340"/>
      <c r="DA259" s="340"/>
      <c r="DB259" s="340"/>
      <c r="DC259" s="340"/>
      <c r="DD259" s="341"/>
      <c r="DE259" s="346">
        <v>0</v>
      </c>
      <c r="DF259" s="347"/>
      <c r="DG259" s="347"/>
      <c r="DH259" s="347"/>
      <c r="DI259" s="347"/>
      <c r="DJ259" s="347"/>
      <c r="DK259" s="347"/>
      <c r="DL259" s="347"/>
      <c r="DM259" s="347"/>
      <c r="DN259" s="347"/>
      <c r="DO259" s="347"/>
      <c r="DP259" s="347"/>
      <c r="DQ259" s="348"/>
      <c r="DR259" s="425">
        <f>40000-20000</f>
        <v>20000</v>
      </c>
      <c r="DS259" s="426"/>
      <c r="DT259" s="426"/>
      <c r="DU259" s="426"/>
      <c r="DV259" s="426"/>
      <c r="DW259" s="426"/>
      <c r="DX259" s="426"/>
      <c r="DY259" s="426"/>
      <c r="DZ259" s="426"/>
      <c r="EA259" s="426"/>
      <c r="EB259" s="426"/>
      <c r="EC259" s="426"/>
      <c r="ED259" s="427"/>
      <c r="EE259" s="346"/>
      <c r="EF259" s="347"/>
      <c r="EG259" s="347"/>
      <c r="EH259" s="347"/>
      <c r="EI259" s="347"/>
      <c r="EJ259" s="347"/>
      <c r="EK259" s="347"/>
      <c r="EL259" s="347"/>
      <c r="EM259" s="347"/>
      <c r="EN259" s="347"/>
      <c r="EO259" s="347"/>
      <c r="EP259" s="347"/>
      <c r="EQ259" s="348"/>
      <c r="ER259" s="349"/>
      <c r="ES259" s="350"/>
      <c r="ET259" s="350"/>
      <c r="EU259" s="350"/>
      <c r="EV259" s="350"/>
      <c r="EW259" s="350"/>
      <c r="EX259" s="350"/>
      <c r="EY259" s="350"/>
      <c r="EZ259" s="350"/>
      <c r="FA259" s="350"/>
      <c r="FB259" s="351"/>
      <c r="FC259" s="352"/>
      <c r="FD259" s="353"/>
      <c r="FE259" s="353"/>
      <c r="FF259" s="353"/>
      <c r="FG259" s="353"/>
      <c r="FH259" s="353"/>
      <c r="FI259" s="353"/>
      <c r="FJ259" s="353"/>
      <c r="FK259" s="353"/>
      <c r="FL259" s="353"/>
      <c r="FO259" s="275"/>
      <c r="FP259" s="275"/>
      <c r="FQ259" s="275">
        <f t="shared" si="6"/>
        <v>20000</v>
      </c>
    </row>
    <row r="260" spans="1:173" ht="15" customHeight="1">
      <c r="A260" s="336" t="s">
        <v>1013</v>
      </c>
      <c r="B260" s="337"/>
      <c r="C260" s="337"/>
      <c r="D260" s="337"/>
      <c r="E260" s="337"/>
      <c r="F260" s="337"/>
      <c r="G260" s="337"/>
      <c r="H260" s="337"/>
      <c r="I260" s="337"/>
      <c r="J260" s="337"/>
      <c r="K260" s="337"/>
      <c r="L260" s="337"/>
      <c r="M260" s="337"/>
      <c r="N260" s="337"/>
      <c r="O260" s="337"/>
      <c r="P260" s="337"/>
      <c r="Q260" s="337"/>
      <c r="R260" s="337"/>
      <c r="S260" s="337"/>
      <c r="T260" s="337"/>
      <c r="U260" s="337"/>
      <c r="V260" s="337"/>
      <c r="W260" s="337"/>
      <c r="X260" s="337"/>
      <c r="Y260" s="337"/>
      <c r="Z260" s="337"/>
      <c r="AA260" s="337"/>
      <c r="AB260" s="337"/>
      <c r="AC260" s="337"/>
      <c r="AD260" s="337"/>
      <c r="AE260" s="337"/>
      <c r="AF260" s="337"/>
      <c r="AG260" s="337"/>
      <c r="AH260" s="337"/>
      <c r="AI260" s="337"/>
      <c r="AJ260" s="337"/>
      <c r="AK260" s="337"/>
      <c r="AL260" s="337"/>
      <c r="AM260" s="337"/>
      <c r="AN260" s="337"/>
      <c r="AO260" s="337"/>
      <c r="AP260" s="337"/>
      <c r="AQ260" s="337"/>
      <c r="AR260" s="337"/>
      <c r="AS260" s="337"/>
      <c r="AT260" s="337"/>
      <c r="AU260" s="337"/>
      <c r="AV260" s="337"/>
      <c r="AW260" s="337"/>
      <c r="AX260" s="337"/>
      <c r="AY260" s="337"/>
      <c r="AZ260" s="337"/>
      <c r="BA260" s="337"/>
      <c r="BB260" s="337"/>
      <c r="BC260" s="337"/>
      <c r="BD260" s="337"/>
      <c r="BE260" s="337"/>
      <c r="BF260" s="337"/>
      <c r="BG260" s="337"/>
      <c r="BH260" s="337"/>
      <c r="BI260" s="337"/>
      <c r="BJ260" s="337"/>
      <c r="BK260" s="338"/>
      <c r="BL260" s="339"/>
      <c r="BM260" s="340"/>
      <c r="BN260" s="340"/>
      <c r="BO260" s="340"/>
      <c r="BP260" s="340"/>
      <c r="BQ260" s="340"/>
      <c r="BR260" s="340"/>
      <c r="BS260" s="341"/>
      <c r="BT260" s="342" t="s">
        <v>610</v>
      </c>
      <c r="BU260" s="343"/>
      <c r="BV260" s="343"/>
      <c r="BW260" s="343"/>
      <c r="BX260" s="343"/>
      <c r="BY260" s="343"/>
      <c r="BZ260" s="343"/>
      <c r="CA260" s="343"/>
      <c r="CB260" s="343"/>
      <c r="CC260" s="343"/>
      <c r="CD260" s="343"/>
      <c r="CE260" s="343"/>
      <c r="CF260" s="344"/>
      <c r="CG260" s="345" t="s">
        <v>810</v>
      </c>
      <c r="CH260" s="340"/>
      <c r="CI260" s="340"/>
      <c r="CJ260" s="340"/>
      <c r="CK260" s="340"/>
      <c r="CL260" s="340"/>
      <c r="CM260" s="340"/>
      <c r="CN260" s="340"/>
      <c r="CO260" s="340"/>
      <c r="CP260" s="340"/>
      <c r="CQ260" s="341"/>
      <c r="CR260" s="345"/>
      <c r="CS260" s="340"/>
      <c r="CT260" s="340"/>
      <c r="CU260" s="340"/>
      <c r="CV260" s="340"/>
      <c r="CW260" s="340"/>
      <c r="CX260" s="340"/>
      <c r="CY260" s="340"/>
      <c r="CZ260" s="340"/>
      <c r="DA260" s="340"/>
      <c r="DB260" s="340"/>
      <c r="DC260" s="340"/>
      <c r="DD260" s="341"/>
      <c r="DE260" s="346">
        <f>15000-5300</f>
        <v>9700</v>
      </c>
      <c r="DF260" s="347"/>
      <c r="DG260" s="347"/>
      <c r="DH260" s="347"/>
      <c r="DI260" s="347"/>
      <c r="DJ260" s="347"/>
      <c r="DK260" s="347"/>
      <c r="DL260" s="347"/>
      <c r="DM260" s="347"/>
      <c r="DN260" s="347"/>
      <c r="DO260" s="347"/>
      <c r="DP260" s="347"/>
      <c r="DQ260" s="348"/>
      <c r="DR260" s="346">
        <v>15000</v>
      </c>
      <c r="DS260" s="347"/>
      <c r="DT260" s="347"/>
      <c r="DU260" s="347"/>
      <c r="DV260" s="347"/>
      <c r="DW260" s="347"/>
      <c r="DX260" s="347"/>
      <c r="DY260" s="347"/>
      <c r="DZ260" s="347"/>
      <c r="EA260" s="347"/>
      <c r="EB260" s="347"/>
      <c r="EC260" s="347"/>
      <c r="ED260" s="348"/>
      <c r="EE260" s="346"/>
      <c r="EF260" s="347"/>
      <c r="EG260" s="347"/>
      <c r="EH260" s="347"/>
      <c r="EI260" s="347"/>
      <c r="EJ260" s="347"/>
      <c r="EK260" s="347"/>
      <c r="EL260" s="347"/>
      <c r="EM260" s="347"/>
      <c r="EN260" s="347"/>
      <c r="EO260" s="347"/>
      <c r="EP260" s="347"/>
      <c r="EQ260" s="348"/>
      <c r="ER260" s="349"/>
      <c r="ES260" s="350"/>
      <c r="ET260" s="350"/>
      <c r="EU260" s="350"/>
      <c r="EV260" s="350"/>
      <c r="EW260" s="350"/>
      <c r="EX260" s="350"/>
      <c r="EY260" s="350"/>
      <c r="EZ260" s="350"/>
      <c r="FA260" s="350"/>
      <c r="FB260" s="351"/>
      <c r="FC260" s="352"/>
      <c r="FD260" s="353"/>
      <c r="FE260" s="353"/>
      <c r="FF260" s="353"/>
      <c r="FG260" s="353"/>
      <c r="FH260" s="353"/>
      <c r="FI260" s="353"/>
      <c r="FJ260" s="353"/>
      <c r="FK260" s="353"/>
      <c r="FL260" s="353"/>
      <c r="FO260" s="275"/>
      <c r="FP260" s="275"/>
      <c r="FQ260" s="275">
        <f t="shared" si="6"/>
        <v>15000</v>
      </c>
    </row>
    <row r="261" spans="1:173" ht="15" hidden="1" customHeight="1">
      <c r="A261" s="336"/>
      <c r="B261" s="337"/>
      <c r="C261" s="337"/>
      <c r="D261" s="337"/>
      <c r="E261" s="337"/>
      <c r="F261" s="337"/>
      <c r="G261" s="337"/>
      <c r="H261" s="337"/>
      <c r="I261" s="337"/>
      <c r="J261" s="337"/>
      <c r="K261" s="337"/>
      <c r="L261" s="337"/>
      <c r="M261" s="337"/>
      <c r="N261" s="337"/>
      <c r="O261" s="337"/>
      <c r="P261" s="337"/>
      <c r="Q261" s="337"/>
      <c r="R261" s="337"/>
      <c r="S261" s="337"/>
      <c r="T261" s="337"/>
      <c r="U261" s="337"/>
      <c r="V261" s="337"/>
      <c r="W261" s="337"/>
      <c r="X261" s="337"/>
      <c r="Y261" s="337"/>
      <c r="Z261" s="337"/>
      <c r="AA261" s="337"/>
      <c r="AB261" s="337"/>
      <c r="AC261" s="337"/>
      <c r="AD261" s="337"/>
      <c r="AE261" s="337"/>
      <c r="AF261" s="337"/>
      <c r="AG261" s="337"/>
      <c r="AH261" s="337"/>
      <c r="AI261" s="337"/>
      <c r="AJ261" s="337"/>
      <c r="AK261" s="337"/>
      <c r="AL261" s="337"/>
      <c r="AM261" s="337"/>
      <c r="AN261" s="337"/>
      <c r="AO261" s="337"/>
      <c r="AP261" s="337"/>
      <c r="AQ261" s="337"/>
      <c r="AR261" s="337"/>
      <c r="AS261" s="337"/>
      <c r="AT261" s="337"/>
      <c r="AU261" s="337"/>
      <c r="AV261" s="337"/>
      <c r="AW261" s="337"/>
      <c r="AX261" s="337"/>
      <c r="AY261" s="337"/>
      <c r="AZ261" s="337"/>
      <c r="BA261" s="337"/>
      <c r="BB261" s="337"/>
      <c r="BC261" s="337"/>
      <c r="BD261" s="337"/>
      <c r="BE261" s="337"/>
      <c r="BF261" s="337"/>
      <c r="BG261" s="337"/>
      <c r="BH261" s="337"/>
      <c r="BI261" s="337"/>
      <c r="BJ261" s="337"/>
      <c r="BK261" s="338"/>
      <c r="BL261" s="339"/>
      <c r="BM261" s="340"/>
      <c r="BN261" s="340"/>
      <c r="BO261" s="340"/>
      <c r="BP261" s="340"/>
      <c r="BQ261" s="340"/>
      <c r="BR261" s="340"/>
      <c r="BS261" s="341"/>
      <c r="BT261" s="342"/>
      <c r="BU261" s="343"/>
      <c r="BV261" s="343"/>
      <c r="BW261" s="343"/>
      <c r="BX261" s="343"/>
      <c r="BY261" s="343"/>
      <c r="BZ261" s="343"/>
      <c r="CA261" s="343"/>
      <c r="CB261" s="343"/>
      <c r="CC261" s="343"/>
      <c r="CD261" s="343"/>
      <c r="CE261" s="343"/>
      <c r="CF261" s="344"/>
      <c r="CG261" s="345"/>
      <c r="CH261" s="340"/>
      <c r="CI261" s="340"/>
      <c r="CJ261" s="340"/>
      <c r="CK261" s="340"/>
      <c r="CL261" s="340"/>
      <c r="CM261" s="340"/>
      <c r="CN261" s="340"/>
      <c r="CO261" s="340"/>
      <c r="CP261" s="340"/>
      <c r="CQ261" s="341"/>
      <c r="CR261" s="345"/>
      <c r="CS261" s="340"/>
      <c r="CT261" s="340"/>
      <c r="CU261" s="340"/>
      <c r="CV261" s="340"/>
      <c r="CW261" s="340"/>
      <c r="CX261" s="340"/>
      <c r="CY261" s="340"/>
      <c r="CZ261" s="340"/>
      <c r="DA261" s="340"/>
      <c r="DB261" s="340"/>
      <c r="DC261" s="340"/>
      <c r="DD261" s="341"/>
      <c r="DE261" s="346"/>
      <c r="DF261" s="347"/>
      <c r="DG261" s="347"/>
      <c r="DH261" s="347"/>
      <c r="DI261" s="347"/>
      <c r="DJ261" s="347"/>
      <c r="DK261" s="347"/>
      <c r="DL261" s="347"/>
      <c r="DM261" s="347"/>
      <c r="DN261" s="347"/>
      <c r="DO261" s="347"/>
      <c r="DP261" s="347"/>
      <c r="DQ261" s="348"/>
      <c r="DR261" s="346"/>
      <c r="DS261" s="347"/>
      <c r="DT261" s="347"/>
      <c r="DU261" s="347"/>
      <c r="DV261" s="347"/>
      <c r="DW261" s="347"/>
      <c r="DX261" s="347"/>
      <c r="DY261" s="347"/>
      <c r="DZ261" s="347"/>
      <c r="EA261" s="347"/>
      <c r="EB261" s="347"/>
      <c r="EC261" s="347"/>
      <c r="ED261" s="348"/>
      <c r="EE261" s="346"/>
      <c r="EF261" s="347"/>
      <c r="EG261" s="347"/>
      <c r="EH261" s="347"/>
      <c r="EI261" s="347"/>
      <c r="EJ261" s="347"/>
      <c r="EK261" s="347"/>
      <c r="EL261" s="347"/>
      <c r="EM261" s="347"/>
      <c r="EN261" s="347"/>
      <c r="EO261" s="347"/>
      <c r="EP261" s="347"/>
      <c r="EQ261" s="348"/>
      <c r="ER261" s="349"/>
      <c r="ES261" s="350"/>
      <c r="ET261" s="350"/>
      <c r="EU261" s="350"/>
      <c r="EV261" s="350"/>
      <c r="EW261" s="350"/>
      <c r="EX261" s="350"/>
      <c r="EY261" s="350"/>
      <c r="EZ261" s="350"/>
      <c r="FA261" s="350"/>
      <c r="FB261" s="351"/>
      <c r="FC261" s="352"/>
      <c r="FD261" s="353"/>
      <c r="FE261" s="353"/>
      <c r="FF261" s="353"/>
      <c r="FG261" s="353"/>
      <c r="FH261" s="353"/>
      <c r="FI261" s="353"/>
      <c r="FJ261" s="353"/>
      <c r="FK261" s="353"/>
      <c r="FL261" s="353"/>
      <c r="FO261" s="275"/>
      <c r="FP261" s="275"/>
      <c r="FQ261" s="275">
        <f t="shared" si="6"/>
        <v>0</v>
      </c>
    </row>
    <row r="262" spans="1:173" ht="24.6" customHeight="1">
      <c r="A262" s="336" t="s">
        <v>814</v>
      </c>
      <c r="B262" s="337"/>
      <c r="C262" s="337"/>
      <c r="D262" s="337"/>
      <c r="E262" s="337"/>
      <c r="F262" s="337"/>
      <c r="G262" s="337"/>
      <c r="H262" s="337"/>
      <c r="I262" s="337"/>
      <c r="J262" s="337"/>
      <c r="K262" s="337"/>
      <c r="L262" s="337"/>
      <c r="M262" s="337"/>
      <c r="N262" s="337"/>
      <c r="O262" s="337"/>
      <c r="P262" s="337"/>
      <c r="Q262" s="337"/>
      <c r="R262" s="337"/>
      <c r="S262" s="337"/>
      <c r="T262" s="337"/>
      <c r="U262" s="337"/>
      <c r="V262" s="337"/>
      <c r="W262" s="337"/>
      <c r="X262" s="337"/>
      <c r="Y262" s="337"/>
      <c r="Z262" s="337"/>
      <c r="AA262" s="337"/>
      <c r="AB262" s="337"/>
      <c r="AC262" s="337"/>
      <c r="AD262" s="337"/>
      <c r="AE262" s="337"/>
      <c r="AF262" s="337"/>
      <c r="AG262" s="337"/>
      <c r="AH262" s="337"/>
      <c r="AI262" s="337"/>
      <c r="AJ262" s="337"/>
      <c r="AK262" s="337"/>
      <c r="AL262" s="337"/>
      <c r="AM262" s="337"/>
      <c r="AN262" s="337"/>
      <c r="AO262" s="337"/>
      <c r="AP262" s="337"/>
      <c r="AQ262" s="337"/>
      <c r="AR262" s="337"/>
      <c r="AS262" s="337"/>
      <c r="AT262" s="337"/>
      <c r="AU262" s="337"/>
      <c r="AV262" s="337"/>
      <c r="AW262" s="337"/>
      <c r="AX262" s="337"/>
      <c r="AY262" s="337"/>
      <c r="AZ262" s="337"/>
      <c r="BA262" s="337"/>
      <c r="BB262" s="337"/>
      <c r="BC262" s="337"/>
      <c r="BD262" s="337"/>
      <c r="BE262" s="337"/>
      <c r="BF262" s="337"/>
      <c r="BG262" s="337"/>
      <c r="BH262" s="337"/>
      <c r="BI262" s="337"/>
      <c r="BJ262" s="337"/>
      <c r="BK262" s="338"/>
      <c r="BL262" s="339"/>
      <c r="BM262" s="340"/>
      <c r="BN262" s="340"/>
      <c r="BO262" s="340"/>
      <c r="BP262" s="340"/>
      <c r="BQ262" s="340"/>
      <c r="BR262" s="340"/>
      <c r="BS262" s="341"/>
      <c r="BT262" s="342" t="s">
        <v>610</v>
      </c>
      <c r="BU262" s="343"/>
      <c r="BV262" s="343"/>
      <c r="BW262" s="343"/>
      <c r="BX262" s="343"/>
      <c r="BY262" s="343"/>
      <c r="BZ262" s="343"/>
      <c r="CA262" s="343"/>
      <c r="CB262" s="343"/>
      <c r="CC262" s="343"/>
      <c r="CD262" s="343"/>
      <c r="CE262" s="343"/>
      <c r="CF262" s="344"/>
      <c r="CG262" s="345" t="s">
        <v>811</v>
      </c>
      <c r="CH262" s="340"/>
      <c r="CI262" s="340"/>
      <c r="CJ262" s="340"/>
      <c r="CK262" s="340"/>
      <c r="CL262" s="340"/>
      <c r="CM262" s="340"/>
      <c r="CN262" s="340"/>
      <c r="CO262" s="340"/>
      <c r="CP262" s="340"/>
      <c r="CQ262" s="341"/>
      <c r="CR262" s="345"/>
      <c r="CS262" s="340"/>
      <c r="CT262" s="340"/>
      <c r="CU262" s="340"/>
      <c r="CV262" s="340"/>
      <c r="CW262" s="340"/>
      <c r="CX262" s="340"/>
      <c r="CY262" s="340"/>
      <c r="CZ262" s="340"/>
      <c r="DA262" s="340"/>
      <c r="DB262" s="340"/>
      <c r="DC262" s="340"/>
      <c r="DD262" s="341"/>
      <c r="DE262" s="346">
        <f>44000-44000</f>
        <v>0</v>
      </c>
      <c r="DF262" s="347"/>
      <c r="DG262" s="347"/>
      <c r="DH262" s="347"/>
      <c r="DI262" s="347"/>
      <c r="DJ262" s="347"/>
      <c r="DK262" s="347"/>
      <c r="DL262" s="347"/>
      <c r="DM262" s="347"/>
      <c r="DN262" s="347"/>
      <c r="DO262" s="347"/>
      <c r="DP262" s="347"/>
      <c r="DQ262" s="348"/>
      <c r="DR262" s="425">
        <f>50000-10000</f>
        <v>40000</v>
      </c>
      <c r="DS262" s="426"/>
      <c r="DT262" s="426"/>
      <c r="DU262" s="426"/>
      <c r="DV262" s="426"/>
      <c r="DW262" s="426"/>
      <c r="DX262" s="426"/>
      <c r="DY262" s="426"/>
      <c r="DZ262" s="426"/>
      <c r="EA262" s="426"/>
      <c r="EB262" s="426"/>
      <c r="EC262" s="426"/>
      <c r="ED262" s="427"/>
      <c r="EE262" s="346"/>
      <c r="EF262" s="347"/>
      <c r="EG262" s="347"/>
      <c r="EH262" s="347"/>
      <c r="EI262" s="347"/>
      <c r="EJ262" s="347"/>
      <c r="EK262" s="347"/>
      <c r="EL262" s="347"/>
      <c r="EM262" s="347"/>
      <c r="EN262" s="347"/>
      <c r="EO262" s="347"/>
      <c r="EP262" s="347"/>
      <c r="EQ262" s="348"/>
      <c r="ER262" s="349"/>
      <c r="ES262" s="350"/>
      <c r="ET262" s="350"/>
      <c r="EU262" s="350"/>
      <c r="EV262" s="350"/>
      <c r="EW262" s="350"/>
      <c r="EX262" s="350"/>
      <c r="EY262" s="350"/>
      <c r="EZ262" s="350"/>
      <c r="FA262" s="350"/>
      <c r="FB262" s="351"/>
      <c r="FC262" s="352"/>
      <c r="FD262" s="353"/>
      <c r="FE262" s="353"/>
      <c r="FF262" s="353"/>
      <c r="FG262" s="353"/>
      <c r="FH262" s="353"/>
      <c r="FI262" s="353"/>
      <c r="FJ262" s="353"/>
      <c r="FK262" s="353"/>
      <c r="FL262" s="353"/>
      <c r="FO262" s="275"/>
      <c r="FP262" s="275"/>
      <c r="FQ262" s="275">
        <f t="shared" si="6"/>
        <v>40000</v>
      </c>
    </row>
    <row r="263" spans="1:173" ht="15" hidden="1" customHeight="1">
      <c r="A263" s="336"/>
      <c r="B263" s="337"/>
      <c r="C263" s="337"/>
      <c r="D263" s="337"/>
      <c r="E263" s="337"/>
      <c r="F263" s="337"/>
      <c r="G263" s="337"/>
      <c r="H263" s="337"/>
      <c r="I263" s="337"/>
      <c r="J263" s="337"/>
      <c r="K263" s="337"/>
      <c r="L263" s="337"/>
      <c r="M263" s="337"/>
      <c r="N263" s="337"/>
      <c r="O263" s="337"/>
      <c r="P263" s="337"/>
      <c r="Q263" s="337"/>
      <c r="R263" s="337"/>
      <c r="S263" s="337"/>
      <c r="T263" s="337"/>
      <c r="U263" s="337"/>
      <c r="V263" s="337"/>
      <c r="W263" s="337"/>
      <c r="X263" s="337"/>
      <c r="Y263" s="337"/>
      <c r="Z263" s="337"/>
      <c r="AA263" s="337"/>
      <c r="AB263" s="337"/>
      <c r="AC263" s="337"/>
      <c r="AD263" s="337"/>
      <c r="AE263" s="337"/>
      <c r="AF263" s="337"/>
      <c r="AG263" s="337"/>
      <c r="AH263" s="337"/>
      <c r="AI263" s="337"/>
      <c r="AJ263" s="337"/>
      <c r="AK263" s="337"/>
      <c r="AL263" s="337"/>
      <c r="AM263" s="337"/>
      <c r="AN263" s="337"/>
      <c r="AO263" s="337"/>
      <c r="AP263" s="337"/>
      <c r="AQ263" s="337"/>
      <c r="AR263" s="337"/>
      <c r="AS263" s="337"/>
      <c r="AT263" s="337"/>
      <c r="AU263" s="337"/>
      <c r="AV263" s="337"/>
      <c r="AW263" s="337"/>
      <c r="AX263" s="337"/>
      <c r="AY263" s="337"/>
      <c r="AZ263" s="337"/>
      <c r="BA263" s="337"/>
      <c r="BB263" s="337"/>
      <c r="BC263" s="337"/>
      <c r="BD263" s="337"/>
      <c r="BE263" s="337"/>
      <c r="BF263" s="337"/>
      <c r="BG263" s="337"/>
      <c r="BH263" s="337"/>
      <c r="BI263" s="337"/>
      <c r="BJ263" s="337"/>
      <c r="BK263" s="338"/>
      <c r="BL263" s="339"/>
      <c r="BM263" s="340"/>
      <c r="BN263" s="340"/>
      <c r="BO263" s="340"/>
      <c r="BP263" s="340"/>
      <c r="BQ263" s="340"/>
      <c r="BR263" s="340"/>
      <c r="BS263" s="341"/>
      <c r="BT263" s="342"/>
      <c r="BU263" s="343"/>
      <c r="BV263" s="343"/>
      <c r="BW263" s="343"/>
      <c r="BX263" s="343"/>
      <c r="BY263" s="343"/>
      <c r="BZ263" s="343"/>
      <c r="CA263" s="343"/>
      <c r="CB263" s="343"/>
      <c r="CC263" s="343"/>
      <c r="CD263" s="343"/>
      <c r="CE263" s="343"/>
      <c r="CF263" s="344"/>
      <c r="CG263" s="345"/>
      <c r="CH263" s="340"/>
      <c r="CI263" s="340"/>
      <c r="CJ263" s="340"/>
      <c r="CK263" s="340"/>
      <c r="CL263" s="340"/>
      <c r="CM263" s="340"/>
      <c r="CN263" s="340"/>
      <c r="CO263" s="340"/>
      <c r="CP263" s="340"/>
      <c r="CQ263" s="341"/>
      <c r="CR263" s="345"/>
      <c r="CS263" s="340"/>
      <c r="CT263" s="340"/>
      <c r="CU263" s="340"/>
      <c r="CV263" s="340"/>
      <c r="CW263" s="340"/>
      <c r="CX263" s="340"/>
      <c r="CY263" s="340"/>
      <c r="CZ263" s="340"/>
      <c r="DA263" s="340"/>
      <c r="DB263" s="340"/>
      <c r="DC263" s="340"/>
      <c r="DD263" s="341"/>
      <c r="DE263" s="346"/>
      <c r="DF263" s="347"/>
      <c r="DG263" s="347"/>
      <c r="DH263" s="347"/>
      <c r="DI263" s="347"/>
      <c r="DJ263" s="347"/>
      <c r="DK263" s="347"/>
      <c r="DL263" s="347"/>
      <c r="DM263" s="347"/>
      <c r="DN263" s="347"/>
      <c r="DO263" s="347"/>
      <c r="DP263" s="347"/>
      <c r="DQ263" s="348"/>
      <c r="DR263" s="346"/>
      <c r="DS263" s="347"/>
      <c r="DT263" s="347"/>
      <c r="DU263" s="347"/>
      <c r="DV263" s="347"/>
      <c r="DW263" s="347"/>
      <c r="DX263" s="347"/>
      <c r="DY263" s="347"/>
      <c r="DZ263" s="347"/>
      <c r="EA263" s="347"/>
      <c r="EB263" s="347"/>
      <c r="EC263" s="347"/>
      <c r="ED263" s="348"/>
      <c r="EE263" s="346"/>
      <c r="EF263" s="347"/>
      <c r="EG263" s="347"/>
      <c r="EH263" s="347"/>
      <c r="EI263" s="347"/>
      <c r="EJ263" s="347"/>
      <c r="EK263" s="347"/>
      <c r="EL263" s="347"/>
      <c r="EM263" s="347"/>
      <c r="EN263" s="347"/>
      <c r="EO263" s="347"/>
      <c r="EP263" s="347"/>
      <c r="EQ263" s="348"/>
      <c r="ER263" s="349"/>
      <c r="ES263" s="350"/>
      <c r="ET263" s="350"/>
      <c r="EU263" s="350"/>
      <c r="EV263" s="350"/>
      <c r="EW263" s="350"/>
      <c r="EX263" s="350"/>
      <c r="EY263" s="350"/>
      <c r="EZ263" s="350"/>
      <c r="FA263" s="350"/>
      <c r="FB263" s="351"/>
      <c r="FC263" s="352"/>
      <c r="FD263" s="353"/>
      <c r="FE263" s="353"/>
      <c r="FF263" s="353"/>
      <c r="FG263" s="353"/>
      <c r="FH263" s="353"/>
      <c r="FI263" s="353"/>
      <c r="FJ263" s="353"/>
      <c r="FK263" s="353"/>
      <c r="FL263" s="353"/>
      <c r="FO263" s="275"/>
      <c r="FP263" s="275"/>
      <c r="FQ263" s="275">
        <f t="shared" si="6"/>
        <v>0</v>
      </c>
    </row>
    <row r="264" spans="1:173" ht="15" hidden="1" customHeight="1">
      <c r="A264" s="336"/>
      <c r="B264" s="337"/>
      <c r="C264" s="337"/>
      <c r="D264" s="337"/>
      <c r="E264" s="337"/>
      <c r="F264" s="337"/>
      <c r="G264" s="337"/>
      <c r="H264" s="337"/>
      <c r="I264" s="337"/>
      <c r="J264" s="337"/>
      <c r="K264" s="337"/>
      <c r="L264" s="337"/>
      <c r="M264" s="337"/>
      <c r="N264" s="337"/>
      <c r="O264" s="337"/>
      <c r="P264" s="337"/>
      <c r="Q264" s="337"/>
      <c r="R264" s="337"/>
      <c r="S264" s="337"/>
      <c r="T264" s="337"/>
      <c r="U264" s="337"/>
      <c r="V264" s="337"/>
      <c r="W264" s="337"/>
      <c r="X264" s="337"/>
      <c r="Y264" s="337"/>
      <c r="Z264" s="337"/>
      <c r="AA264" s="337"/>
      <c r="AB264" s="337"/>
      <c r="AC264" s="337"/>
      <c r="AD264" s="337"/>
      <c r="AE264" s="337"/>
      <c r="AF264" s="337"/>
      <c r="AG264" s="337"/>
      <c r="AH264" s="337"/>
      <c r="AI264" s="337"/>
      <c r="AJ264" s="337"/>
      <c r="AK264" s="337"/>
      <c r="AL264" s="337"/>
      <c r="AM264" s="337"/>
      <c r="AN264" s="337"/>
      <c r="AO264" s="337"/>
      <c r="AP264" s="337"/>
      <c r="AQ264" s="337"/>
      <c r="AR264" s="337"/>
      <c r="AS264" s="337"/>
      <c r="AT264" s="337"/>
      <c r="AU264" s="337"/>
      <c r="AV264" s="337"/>
      <c r="AW264" s="337"/>
      <c r="AX264" s="337"/>
      <c r="AY264" s="337"/>
      <c r="AZ264" s="337"/>
      <c r="BA264" s="337"/>
      <c r="BB264" s="337"/>
      <c r="BC264" s="337"/>
      <c r="BD264" s="337"/>
      <c r="BE264" s="337"/>
      <c r="BF264" s="337"/>
      <c r="BG264" s="337"/>
      <c r="BH264" s="337"/>
      <c r="BI264" s="337"/>
      <c r="BJ264" s="337"/>
      <c r="BK264" s="338"/>
      <c r="BL264" s="339"/>
      <c r="BM264" s="340"/>
      <c r="BN264" s="340"/>
      <c r="BO264" s="340"/>
      <c r="BP264" s="340"/>
      <c r="BQ264" s="340"/>
      <c r="BR264" s="340"/>
      <c r="BS264" s="341"/>
      <c r="BT264" s="342"/>
      <c r="BU264" s="343"/>
      <c r="BV264" s="343"/>
      <c r="BW264" s="343"/>
      <c r="BX264" s="343"/>
      <c r="BY264" s="343"/>
      <c r="BZ264" s="343"/>
      <c r="CA264" s="343"/>
      <c r="CB264" s="343"/>
      <c r="CC264" s="343"/>
      <c r="CD264" s="343"/>
      <c r="CE264" s="343"/>
      <c r="CF264" s="344"/>
      <c r="CG264" s="345"/>
      <c r="CH264" s="340"/>
      <c r="CI264" s="340"/>
      <c r="CJ264" s="340"/>
      <c r="CK264" s="340"/>
      <c r="CL264" s="340"/>
      <c r="CM264" s="340"/>
      <c r="CN264" s="340"/>
      <c r="CO264" s="340"/>
      <c r="CP264" s="340"/>
      <c r="CQ264" s="341"/>
      <c r="CR264" s="345"/>
      <c r="CS264" s="340"/>
      <c r="CT264" s="340"/>
      <c r="CU264" s="340"/>
      <c r="CV264" s="340"/>
      <c r="CW264" s="340"/>
      <c r="CX264" s="340"/>
      <c r="CY264" s="340"/>
      <c r="CZ264" s="340"/>
      <c r="DA264" s="340"/>
      <c r="DB264" s="340"/>
      <c r="DC264" s="340"/>
      <c r="DD264" s="341"/>
      <c r="DE264" s="346"/>
      <c r="DF264" s="347"/>
      <c r="DG264" s="347"/>
      <c r="DH264" s="347"/>
      <c r="DI264" s="347"/>
      <c r="DJ264" s="347"/>
      <c r="DK264" s="347"/>
      <c r="DL264" s="347"/>
      <c r="DM264" s="347"/>
      <c r="DN264" s="347"/>
      <c r="DO264" s="347"/>
      <c r="DP264" s="347"/>
      <c r="DQ264" s="348"/>
      <c r="DR264" s="346"/>
      <c r="DS264" s="347"/>
      <c r="DT264" s="347"/>
      <c r="DU264" s="347"/>
      <c r="DV264" s="347"/>
      <c r="DW264" s="347"/>
      <c r="DX264" s="347"/>
      <c r="DY264" s="347"/>
      <c r="DZ264" s="347"/>
      <c r="EA264" s="347"/>
      <c r="EB264" s="347"/>
      <c r="EC264" s="347"/>
      <c r="ED264" s="348"/>
      <c r="EE264" s="346"/>
      <c r="EF264" s="347"/>
      <c r="EG264" s="347"/>
      <c r="EH264" s="347"/>
      <c r="EI264" s="347"/>
      <c r="EJ264" s="347"/>
      <c r="EK264" s="347"/>
      <c r="EL264" s="347"/>
      <c r="EM264" s="347"/>
      <c r="EN264" s="347"/>
      <c r="EO264" s="347"/>
      <c r="EP264" s="347"/>
      <c r="EQ264" s="348"/>
      <c r="ER264" s="349"/>
      <c r="ES264" s="350"/>
      <c r="ET264" s="350"/>
      <c r="EU264" s="350"/>
      <c r="EV264" s="350"/>
      <c r="EW264" s="350"/>
      <c r="EX264" s="350"/>
      <c r="EY264" s="350"/>
      <c r="EZ264" s="350"/>
      <c r="FA264" s="350"/>
      <c r="FB264" s="351"/>
      <c r="FC264" s="352"/>
      <c r="FD264" s="353"/>
      <c r="FE264" s="353"/>
      <c r="FF264" s="353"/>
      <c r="FG264" s="353"/>
      <c r="FH264" s="353"/>
      <c r="FI264" s="353"/>
      <c r="FJ264" s="353"/>
      <c r="FK264" s="353"/>
      <c r="FL264" s="353"/>
      <c r="FO264" s="275"/>
      <c r="FP264" s="275"/>
      <c r="FQ264" s="275">
        <f t="shared" si="6"/>
        <v>0</v>
      </c>
    </row>
    <row r="265" spans="1:173" ht="21.6" hidden="1" customHeight="1">
      <c r="A265" s="336" t="s">
        <v>818</v>
      </c>
      <c r="B265" s="337"/>
      <c r="C265" s="337"/>
      <c r="D265" s="337"/>
      <c r="E265" s="337"/>
      <c r="F265" s="337"/>
      <c r="G265" s="337"/>
      <c r="H265" s="337"/>
      <c r="I265" s="337"/>
      <c r="J265" s="337"/>
      <c r="K265" s="337"/>
      <c r="L265" s="337"/>
      <c r="M265" s="337"/>
      <c r="N265" s="337"/>
      <c r="O265" s="337"/>
      <c r="P265" s="337"/>
      <c r="Q265" s="337"/>
      <c r="R265" s="337"/>
      <c r="S265" s="337"/>
      <c r="T265" s="337"/>
      <c r="U265" s="337"/>
      <c r="V265" s="337"/>
      <c r="W265" s="337"/>
      <c r="X265" s="337"/>
      <c r="Y265" s="337"/>
      <c r="Z265" s="337"/>
      <c r="AA265" s="337"/>
      <c r="AB265" s="337"/>
      <c r="AC265" s="337"/>
      <c r="AD265" s="337"/>
      <c r="AE265" s="337"/>
      <c r="AF265" s="337"/>
      <c r="AG265" s="337"/>
      <c r="AH265" s="337"/>
      <c r="AI265" s="337"/>
      <c r="AJ265" s="337"/>
      <c r="AK265" s="337"/>
      <c r="AL265" s="337"/>
      <c r="AM265" s="337"/>
      <c r="AN265" s="337"/>
      <c r="AO265" s="337"/>
      <c r="AP265" s="337"/>
      <c r="AQ265" s="337"/>
      <c r="AR265" s="337"/>
      <c r="AS265" s="337"/>
      <c r="AT265" s="337"/>
      <c r="AU265" s="337"/>
      <c r="AV265" s="337"/>
      <c r="AW265" s="337"/>
      <c r="AX265" s="337"/>
      <c r="AY265" s="337"/>
      <c r="AZ265" s="337"/>
      <c r="BA265" s="337"/>
      <c r="BB265" s="337"/>
      <c r="BC265" s="337"/>
      <c r="BD265" s="337"/>
      <c r="BE265" s="337"/>
      <c r="BF265" s="337"/>
      <c r="BG265" s="337"/>
      <c r="BH265" s="337"/>
      <c r="BI265" s="337"/>
      <c r="BJ265" s="337"/>
      <c r="BK265" s="338"/>
      <c r="BL265" s="339"/>
      <c r="BM265" s="340"/>
      <c r="BN265" s="340"/>
      <c r="BO265" s="340"/>
      <c r="BP265" s="340"/>
      <c r="BQ265" s="340"/>
      <c r="BR265" s="340"/>
      <c r="BS265" s="341"/>
      <c r="BT265" s="342" t="s">
        <v>610</v>
      </c>
      <c r="BU265" s="343"/>
      <c r="BV265" s="343"/>
      <c r="BW265" s="343"/>
      <c r="BX265" s="343"/>
      <c r="BY265" s="343"/>
      <c r="BZ265" s="343"/>
      <c r="CA265" s="343"/>
      <c r="CB265" s="343"/>
      <c r="CC265" s="343"/>
      <c r="CD265" s="343"/>
      <c r="CE265" s="343"/>
      <c r="CF265" s="344"/>
      <c r="CG265" s="345" t="s">
        <v>812</v>
      </c>
      <c r="CH265" s="340"/>
      <c r="CI265" s="340"/>
      <c r="CJ265" s="340"/>
      <c r="CK265" s="340"/>
      <c r="CL265" s="340"/>
      <c r="CM265" s="340"/>
      <c r="CN265" s="340"/>
      <c r="CO265" s="340"/>
      <c r="CP265" s="340"/>
      <c r="CQ265" s="341"/>
      <c r="CR265" s="345"/>
      <c r="CS265" s="340"/>
      <c r="CT265" s="340"/>
      <c r="CU265" s="340"/>
      <c r="CV265" s="340"/>
      <c r="CW265" s="340"/>
      <c r="CX265" s="340"/>
      <c r="CY265" s="340"/>
      <c r="CZ265" s="340"/>
      <c r="DA265" s="340"/>
      <c r="DB265" s="340"/>
      <c r="DC265" s="340"/>
      <c r="DD265" s="341"/>
      <c r="DE265" s="346">
        <f>1000-1000</f>
        <v>0</v>
      </c>
      <c r="DF265" s="347"/>
      <c r="DG265" s="347"/>
      <c r="DH265" s="347"/>
      <c r="DI265" s="347"/>
      <c r="DJ265" s="347"/>
      <c r="DK265" s="347"/>
      <c r="DL265" s="347"/>
      <c r="DM265" s="347"/>
      <c r="DN265" s="347"/>
      <c r="DO265" s="347"/>
      <c r="DP265" s="347"/>
      <c r="DQ265" s="348"/>
      <c r="DR265" s="346">
        <v>0</v>
      </c>
      <c r="DS265" s="347"/>
      <c r="DT265" s="347"/>
      <c r="DU265" s="347"/>
      <c r="DV265" s="347"/>
      <c r="DW265" s="347"/>
      <c r="DX265" s="347"/>
      <c r="DY265" s="347"/>
      <c r="DZ265" s="347"/>
      <c r="EA265" s="347"/>
      <c r="EB265" s="347"/>
      <c r="EC265" s="347"/>
      <c r="ED265" s="348"/>
      <c r="EE265" s="346"/>
      <c r="EF265" s="347"/>
      <c r="EG265" s="347"/>
      <c r="EH265" s="347"/>
      <c r="EI265" s="347"/>
      <c r="EJ265" s="347"/>
      <c r="EK265" s="347"/>
      <c r="EL265" s="347"/>
      <c r="EM265" s="347"/>
      <c r="EN265" s="347"/>
      <c r="EO265" s="347"/>
      <c r="EP265" s="347"/>
      <c r="EQ265" s="348"/>
      <c r="ER265" s="349"/>
      <c r="ES265" s="350"/>
      <c r="ET265" s="350"/>
      <c r="EU265" s="350"/>
      <c r="EV265" s="350"/>
      <c r="EW265" s="350"/>
      <c r="EX265" s="350"/>
      <c r="EY265" s="350"/>
      <c r="EZ265" s="350"/>
      <c r="FA265" s="350"/>
      <c r="FB265" s="351"/>
      <c r="FC265" s="352"/>
      <c r="FD265" s="353"/>
      <c r="FE265" s="353"/>
      <c r="FF265" s="353"/>
      <c r="FG265" s="353"/>
      <c r="FH265" s="353"/>
      <c r="FI265" s="353"/>
      <c r="FJ265" s="353"/>
      <c r="FK265" s="353"/>
      <c r="FL265" s="353"/>
      <c r="FO265" s="275"/>
      <c r="FP265" s="275"/>
      <c r="FQ265" s="275">
        <f t="shared" si="6"/>
        <v>0</v>
      </c>
    </row>
    <row r="266" spans="1:173" ht="15" customHeight="1">
      <c r="A266" s="336" t="s">
        <v>933</v>
      </c>
      <c r="B266" s="418"/>
      <c r="C266" s="418"/>
      <c r="D266" s="418"/>
      <c r="E266" s="418"/>
      <c r="F266" s="418"/>
      <c r="G266" s="418"/>
      <c r="H266" s="418"/>
      <c r="I266" s="418"/>
      <c r="J266" s="418"/>
      <c r="K266" s="418"/>
      <c r="L266" s="418"/>
      <c r="M266" s="418"/>
      <c r="N266" s="418"/>
      <c r="O266" s="418"/>
      <c r="P266" s="418"/>
      <c r="Q266" s="418"/>
      <c r="R266" s="418"/>
      <c r="S266" s="418"/>
      <c r="T266" s="418"/>
      <c r="U266" s="418"/>
      <c r="V266" s="418"/>
      <c r="W266" s="418"/>
      <c r="X266" s="418"/>
      <c r="Y266" s="418"/>
      <c r="Z266" s="418"/>
      <c r="AA266" s="418"/>
      <c r="AB266" s="418"/>
      <c r="AC266" s="418"/>
      <c r="AD266" s="418"/>
      <c r="AE266" s="418"/>
      <c r="AF266" s="418"/>
      <c r="AG266" s="418"/>
      <c r="AH266" s="418"/>
      <c r="AI266" s="418"/>
      <c r="AJ266" s="418"/>
      <c r="AK266" s="418"/>
      <c r="AL266" s="418"/>
      <c r="AM266" s="418"/>
      <c r="AN266" s="418"/>
      <c r="AO266" s="418"/>
      <c r="AP266" s="418"/>
      <c r="AQ266" s="418"/>
      <c r="AR266" s="418"/>
      <c r="AS266" s="418"/>
      <c r="AT266" s="418"/>
      <c r="AU266" s="418"/>
      <c r="AV266" s="418"/>
      <c r="AW266" s="418"/>
      <c r="AX266" s="418"/>
      <c r="AY266" s="418"/>
      <c r="AZ266" s="418"/>
      <c r="BA266" s="418"/>
      <c r="BB266" s="418"/>
      <c r="BC266" s="418"/>
      <c r="BD266" s="418"/>
      <c r="BE266" s="418"/>
      <c r="BF266" s="418"/>
      <c r="BG266" s="418"/>
      <c r="BH266" s="418"/>
      <c r="BI266" s="418"/>
      <c r="BJ266" s="418"/>
      <c r="BK266" s="419"/>
      <c r="BL266" s="339"/>
      <c r="BM266" s="340"/>
      <c r="BN266" s="340"/>
      <c r="BO266" s="340"/>
      <c r="BP266" s="340"/>
      <c r="BQ266" s="340"/>
      <c r="BR266" s="340"/>
      <c r="BS266" s="341"/>
      <c r="BT266" s="342" t="s">
        <v>610</v>
      </c>
      <c r="BU266" s="343"/>
      <c r="BV266" s="343"/>
      <c r="BW266" s="343"/>
      <c r="BX266" s="343"/>
      <c r="BY266" s="343"/>
      <c r="BZ266" s="343"/>
      <c r="CA266" s="343"/>
      <c r="CB266" s="343"/>
      <c r="CC266" s="343"/>
      <c r="CD266" s="343"/>
      <c r="CE266" s="343"/>
      <c r="CF266" s="344"/>
      <c r="CG266" s="345" t="s">
        <v>812</v>
      </c>
      <c r="CH266" s="340"/>
      <c r="CI266" s="340"/>
      <c r="CJ266" s="340"/>
      <c r="CK266" s="340"/>
      <c r="CL266" s="340"/>
      <c r="CM266" s="340"/>
      <c r="CN266" s="340"/>
      <c r="CO266" s="340"/>
      <c r="CP266" s="340"/>
      <c r="CQ266" s="341"/>
      <c r="CR266" s="345"/>
      <c r="CS266" s="340"/>
      <c r="CT266" s="340"/>
      <c r="CU266" s="340"/>
      <c r="CV266" s="340"/>
      <c r="CW266" s="340"/>
      <c r="CX266" s="340"/>
      <c r="CY266" s="340"/>
      <c r="CZ266" s="340"/>
      <c r="DA266" s="340"/>
      <c r="DB266" s="340"/>
      <c r="DC266" s="340"/>
      <c r="DD266" s="341"/>
      <c r="DE266" s="346">
        <f>54487-54487</f>
        <v>0</v>
      </c>
      <c r="DF266" s="347"/>
      <c r="DG266" s="347"/>
      <c r="DH266" s="347"/>
      <c r="DI266" s="347"/>
      <c r="DJ266" s="347"/>
      <c r="DK266" s="347"/>
      <c r="DL266" s="347"/>
      <c r="DM266" s="347"/>
      <c r="DN266" s="347"/>
      <c r="DO266" s="347"/>
      <c r="DP266" s="347"/>
      <c r="DQ266" s="348"/>
      <c r="DR266" s="346">
        <v>56700</v>
      </c>
      <c r="DS266" s="347"/>
      <c r="DT266" s="347"/>
      <c r="DU266" s="347"/>
      <c r="DV266" s="347"/>
      <c r="DW266" s="347"/>
      <c r="DX266" s="347"/>
      <c r="DY266" s="347"/>
      <c r="DZ266" s="347"/>
      <c r="EA266" s="347"/>
      <c r="EB266" s="347"/>
      <c r="EC266" s="347"/>
      <c r="ED266" s="348"/>
      <c r="EE266" s="346"/>
      <c r="EF266" s="347"/>
      <c r="EG266" s="347"/>
      <c r="EH266" s="347"/>
      <c r="EI266" s="347"/>
      <c r="EJ266" s="347"/>
      <c r="EK266" s="347"/>
      <c r="EL266" s="347"/>
      <c r="EM266" s="347"/>
      <c r="EN266" s="347"/>
      <c r="EO266" s="347"/>
      <c r="EP266" s="347"/>
      <c r="EQ266" s="348"/>
      <c r="ER266" s="349"/>
      <c r="ES266" s="350"/>
      <c r="ET266" s="350"/>
      <c r="EU266" s="350"/>
      <c r="EV266" s="350"/>
      <c r="EW266" s="350"/>
      <c r="EX266" s="350"/>
      <c r="EY266" s="350"/>
      <c r="EZ266" s="350"/>
      <c r="FA266" s="350"/>
      <c r="FB266" s="351"/>
      <c r="FC266" s="352"/>
      <c r="FD266" s="353"/>
      <c r="FE266" s="353"/>
      <c r="FF266" s="353"/>
      <c r="FG266" s="353"/>
      <c r="FH266" s="353"/>
      <c r="FI266" s="353"/>
      <c r="FJ266" s="353"/>
      <c r="FK266" s="353"/>
      <c r="FL266" s="353"/>
      <c r="FO266" s="275"/>
      <c r="FP266" s="275"/>
      <c r="FQ266" s="275">
        <f t="shared" si="6"/>
        <v>56700</v>
      </c>
    </row>
    <row r="267" spans="1:173" ht="15" customHeight="1">
      <c r="A267" s="336" t="s">
        <v>952</v>
      </c>
      <c r="B267" s="337"/>
      <c r="C267" s="337"/>
      <c r="D267" s="337"/>
      <c r="E267" s="337"/>
      <c r="F267" s="337"/>
      <c r="G267" s="337"/>
      <c r="H267" s="337"/>
      <c r="I267" s="33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c r="AY267" s="337"/>
      <c r="AZ267" s="337"/>
      <c r="BA267" s="337"/>
      <c r="BB267" s="337"/>
      <c r="BC267" s="337"/>
      <c r="BD267" s="337"/>
      <c r="BE267" s="337"/>
      <c r="BF267" s="337"/>
      <c r="BG267" s="337"/>
      <c r="BH267" s="337"/>
      <c r="BI267" s="337"/>
      <c r="BJ267" s="337"/>
      <c r="BK267" s="338"/>
      <c r="BL267" s="339"/>
      <c r="BM267" s="340"/>
      <c r="BN267" s="340"/>
      <c r="BO267" s="340"/>
      <c r="BP267" s="340"/>
      <c r="BQ267" s="340"/>
      <c r="BR267" s="340"/>
      <c r="BS267" s="341"/>
      <c r="BT267" s="342" t="s">
        <v>610</v>
      </c>
      <c r="BU267" s="343"/>
      <c r="BV267" s="343"/>
      <c r="BW267" s="343"/>
      <c r="BX267" s="343"/>
      <c r="BY267" s="343"/>
      <c r="BZ267" s="343"/>
      <c r="CA267" s="343"/>
      <c r="CB267" s="343"/>
      <c r="CC267" s="343"/>
      <c r="CD267" s="343"/>
      <c r="CE267" s="343"/>
      <c r="CF267" s="344"/>
      <c r="CG267" s="345" t="s">
        <v>812</v>
      </c>
      <c r="CH267" s="340"/>
      <c r="CI267" s="340"/>
      <c r="CJ267" s="340"/>
      <c r="CK267" s="340"/>
      <c r="CL267" s="340"/>
      <c r="CM267" s="340"/>
      <c r="CN267" s="340"/>
      <c r="CO267" s="340"/>
      <c r="CP267" s="340"/>
      <c r="CQ267" s="341"/>
      <c r="CR267" s="345"/>
      <c r="CS267" s="340"/>
      <c r="CT267" s="340"/>
      <c r="CU267" s="340"/>
      <c r="CV267" s="340"/>
      <c r="CW267" s="340"/>
      <c r="CX267" s="340"/>
      <c r="CY267" s="340"/>
      <c r="CZ267" s="340"/>
      <c r="DA267" s="340"/>
      <c r="DB267" s="340"/>
      <c r="DC267" s="340"/>
      <c r="DD267" s="341"/>
      <c r="DE267" s="346">
        <f>1819.69</f>
        <v>1819.69</v>
      </c>
      <c r="DF267" s="347"/>
      <c r="DG267" s="347"/>
      <c r="DH267" s="347"/>
      <c r="DI267" s="347"/>
      <c r="DJ267" s="347"/>
      <c r="DK267" s="347"/>
      <c r="DL267" s="347"/>
      <c r="DM267" s="347"/>
      <c r="DN267" s="347"/>
      <c r="DO267" s="347"/>
      <c r="DP267" s="347"/>
      <c r="DQ267" s="348"/>
      <c r="DR267" s="346">
        <v>0</v>
      </c>
      <c r="DS267" s="347"/>
      <c r="DT267" s="347"/>
      <c r="DU267" s="347"/>
      <c r="DV267" s="347"/>
      <c r="DW267" s="347"/>
      <c r="DX267" s="347"/>
      <c r="DY267" s="347"/>
      <c r="DZ267" s="347"/>
      <c r="EA267" s="347"/>
      <c r="EB267" s="347"/>
      <c r="EC267" s="347"/>
      <c r="ED267" s="348"/>
      <c r="EE267" s="346"/>
      <c r="EF267" s="347"/>
      <c r="EG267" s="347"/>
      <c r="EH267" s="347"/>
      <c r="EI267" s="347"/>
      <c r="EJ267" s="347"/>
      <c r="EK267" s="347"/>
      <c r="EL267" s="347"/>
      <c r="EM267" s="347"/>
      <c r="EN267" s="347"/>
      <c r="EO267" s="347"/>
      <c r="EP267" s="347"/>
      <c r="EQ267" s="348"/>
      <c r="ER267" s="349"/>
      <c r="ES267" s="350"/>
      <c r="ET267" s="350"/>
      <c r="EU267" s="350"/>
      <c r="EV267" s="350"/>
      <c r="EW267" s="350"/>
      <c r="EX267" s="350"/>
      <c r="EY267" s="350"/>
      <c r="EZ267" s="350"/>
      <c r="FA267" s="350"/>
      <c r="FB267" s="351"/>
      <c r="FC267" s="352"/>
      <c r="FD267" s="353"/>
      <c r="FE267" s="353"/>
      <c r="FF267" s="353"/>
      <c r="FG267" s="353"/>
      <c r="FH267" s="353"/>
      <c r="FI267" s="353"/>
      <c r="FJ267" s="353"/>
      <c r="FK267" s="353"/>
      <c r="FL267" s="353"/>
      <c r="FO267" s="275"/>
      <c r="FP267" s="275"/>
      <c r="FQ267" s="275">
        <f t="shared" si="6"/>
        <v>0</v>
      </c>
    </row>
    <row r="268" spans="1:173" ht="15" customHeight="1">
      <c r="A268" s="336" t="s">
        <v>1076</v>
      </c>
      <c r="B268" s="337"/>
      <c r="C268" s="337"/>
      <c r="D268" s="337"/>
      <c r="E268" s="337"/>
      <c r="F268" s="337"/>
      <c r="G268" s="337"/>
      <c r="H268" s="337"/>
      <c r="I268" s="337"/>
      <c r="J268" s="337"/>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37"/>
      <c r="AO268" s="337"/>
      <c r="AP268" s="337"/>
      <c r="AQ268" s="337"/>
      <c r="AR268" s="337"/>
      <c r="AS268" s="337"/>
      <c r="AT268" s="337"/>
      <c r="AU268" s="337"/>
      <c r="AV268" s="337"/>
      <c r="AW268" s="337"/>
      <c r="AX268" s="337"/>
      <c r="AY268" s="337"/>
      <c r="AZ268" s="337"/>
      <c r="BA268" s="337"/>
      <c r="BB268" s="337"/>
      <c r="BC268" s="337"/>
      <c r="BD268" s="337"/>
      <c r="BE268" s="337"/>
      <c r="BF268" s="337"/>
      <c r="BG268" s="337"/>
      <c r="BH268" s="337"/>
      <c r="BI268" s="337"/>
      <c r="BJ268" s="337"/>
      <c r="BK268" s="338"/>
      <c r="BL268" s="339"/>
      <c r="BM268" s="340"/>
      <c r="BN268" s="340"/>
      <c r="BO268" s="340"/>
      <c r="BP268" s="340"/>
      <c r="BQ268" s="340"/>
      <c r="BR268" s="340"/>
      <c r="BS268" s="341"/>
      <c r="BT268" s="342" t="s">
        <v>610</v>
      </c>
      <c r="BU268" s="343"/>
      <c r="BV268" s="343"/>
      <c r="BW268" s="343"/>
      <c r="BX268" s="343"/>
      <c r="BY268" s="343"/>
      <c r="BZ268" s="343"/>
      <c r="CA268" s="343"/>
      <c r="CB268" s="343"/>
      <c r="CC268" s="343"/>
      <c r="CD268" s="343"/>
      <c r="CE268" s="343"/>
      <c r="CF268" s="344"/>
      <c r="CG268" s="345" t="s">
        <v>812</v>
      </c>
      <c r="CH268" s="340"/>
      <c r="CI268" s="340"/>
      <c r="CJ268" s="340"/>
      <c r="CK268" s="340"/>
      <c r="CL268" s="340"/>
      <c r="CM268" s="340"/>
      <c r="CN268" s="340"/>
      <c r="CO268" s="340"/>
      <c r="CP268" s="340"/>
      <c r="CQ268" s="341"/>
      <c r="CR268" s="345"/>
      <c r="CS268" s="340"/>
      <c r="CT268" s="340"/>
      <c r="CU268" s="340"/>
      <c r="CV268" s="340"/>
      <c r="CW268" s="340"/>
      <c r="CX268" s="340"/>
      <c r="CY268" s="340"/>
      <c r="CZ268" s="340"/>
      <c r="DA268" s="340"/>
      <c r="DB268" s="340"/>
      <c r="DC268" s="340"/>
      <c r="DD268" s="341"/>
      <c r="DE268" s="346"/>
      <c r="DF268" s="347"/>
      <c r="DG268" s="347"/>
      <c r="DH268" s="347"/>
      <c r="DI268" s="347"/>
      <c r="DJ268" s="347"/>
      <c r="DK268" s="347"/>
      <c r="DL268" s="347"/>
      <c r="DM268" s="347"/>
      <c r="DN268" s="347"/>
      <c r="DO268" s="347"/>
      <c r="DP268" s="347"/>
      <c r="DQ268" s="348"/>
      <c r="DR268" s="425">
        <v>2950</v>
      </c>
      <c r="DS268" s="426"/>
      <c r="DT268" s="426"/>
      <c r="DU268" s="426"/>
      <c r="DV268" s="426"/>
      <c r="DW268" s="426"/>
      <c r="DX268" s="426"/>
      <c r="DY268" s="426"/>
      <c r="DZ268" s="426"/>
      <c r="EA268" s="426"/>
      <c r="EB268" s="426"/>
      <c r="EC268" s="426"/>
      <c r="ED268" s="427"/>
      <c r="EE268" s="346"/>
      <c r="EF268" s="347"/>
      <c r="EG268" s="347"/>
      <c r="EH268" s="347"/>
      <c r="EI268" s="347"/>
      <c r="EJ268" s="347"/>
      <c r="EK268" s="347"/>
      <c r="EL268" s="347"/>
      <c r="EM268" s="347"/>
      <c r="EN268" s="347"/>
      <c r="EO268" s="347"/>
      <c r="EP268" s="347"/>
      <c r="EQ268" s="348"/>
      <c r="ER268" s="349"/>
      <c r="ES268" s="350"/>
      <c r="ET268" s="350"/>
      <c r="EU268" s="350"/>
      <c r="EV268" s="350"/>
      <c r="EW268" s="350"/>
      <c r="EX268" s="350"/>
      <c r="EY268" s="350"/>
      <c r="EZ268" s="350"/>
      <c r="FA268" s="350"/>
      <c r="FB268" s="351"/>
      <c r="FC268" s="352"/>
      <c r="FD268" s="353"/>
      <c r="FE268" s="353"/>
      <c r="FF268" s="353"/>
      <c r="FG268" s="353"/>
      <c r="FH268" s="353"/>
      <c r="FI268" s="353"/>
      <c r="FJ268" s="353"/>
      <c r="FK268" s="353"/>
      <c r="FL268" s="353"/>
      <c r="FO268" s="275"/>
      <c r="FP268" s="275"/>
      <c r="FQ268" s="275">
        <f t="shared" si="6"/>
        <v>2950</v>
      </c>
    </row>
    <row r="269" spans="1:173" ht="15" hidden="1" customHeight="1">
      <c r="A269" s="336"/>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418"/>
      <c r="AE269" s="418"/>
      <c r="AF269" s="418"/>
      <c r="AG269" s="418"/>
      <c r="AH269" s="418"/>
      <c r="AI269" s="418"/>
      <c r="AJ269" s="418"/>
      <c r="AK269" s="418"/>
      <c r="AL269" s="418"/>
      <c r="AM269" s="418"/>
      <c r="AN269" s="418"/>
      <c r="AO269" s="418"/>
      <c r="AP269" s="418"/>
      <c r="AQ269" s="418"/>
      <c r="AR269" s="418"/>
      <c r="AS269" s="418"/>
      <c r="AT269" s="418"/>
      <c r="AU269" s="418"/>
      <c r="AV269" s="418"/>
      <c r="AW269" s="418"/>
      <c r="AX269" s="418"/>
      <c r="AY269" s="418"/>
      <c r="AZ269" s="418"/>
      <c r="BA269" s="418"/>
      <c r="BB269" s="418"/>
      <c r="BC269" s="418"/>
      <c r="BD269" s="418"/>
      <c r="BE269" s="418"/>
      <c r="BF269" s="418"/>
      <c r="BG269" s="418"/>
      <c r="BH269" s="418"/>
      <c r="BI269" s="418"/>
      <c r="BJ269" s="418"/>
      <c r="BK269" s="419"/>
      <c r="BL269" s="339"/>
      <c r="BM269" s="340"/>
      <c r="BN269" s="340"/>
      <c r="BO269" s="340"/>
      <c r="BP269" s="340"/>
      <c r="BQ269" s="340"/>
      <c r="BR269" s="340"/>
      <c r="BS269" s="341"/>
      <c r="BT269" s="342"/>
      <c r="BU269" s="343"/>
      <c r="BV269" s="343"/>
      <c r="BW269" s="343"/>
      <c r="BX269" s="343"/>
      <c r="BY269" s="343"/>
      <c r="BZ269" s="343"/>
      <c r="CA269" s="343"/>
      <c r="CB269" s="343"/>
      <c r="CC269" s="343"/>
      <c r="CD269" s="343"/>
      <c r="CE269" s="343"/>
      <c r="CF269" s="344"/>
      <c r="CG269" s="345"/>
      <c r="CH269" s="340"/>
      <c r="CI269" s="340"/>
      <c r="CJ269" s="340"/>
      <c r="CK269" s="340"/>
      <c r="CL269" s="340"/>
      <c r="CM269" s="340"/>
      <c r="CN269" s="340"/>
      <c r="CO269" s="340"/>
      <c r="CP269" s="340"/>
      <c r="CQ269" s="341"/>
      <c r="CR269" s="345"/>
      <c r="CS269" s="340"/>
      <c r="CT269" s="340"/>
      <c r="CU269" s="340"/>
      <c r="CV269" s="340"/>
      <c r="CW269" s="340"/>
      <c r="CX269" s="340"/>
      <c r="CY269" s="340"/>
      <c r="CZ269" s="340"/>
      <c r="DA269" s="340"/>
      <c r="DB269" s="340"/>
      <c r="DC269" s="340"/>
      <c r="DD269" s="341"/>
      <c r="DE269" s="346"/>
      <c r="DF269" s="347"/>
      <c r="DG269" s="347"/>
      <c r="DH269" s="347"/>
      <c r="DI269" s="347"/>
      <c r="DJ269" s="347"/>
      <c r="DK269" s="347"/>
      <c r="DL269" s="347"/>
      <c r="DM269" s="347"/>
      <c r="DN269" s="347"/>
      <c r="DO269" s="347"/>
      <c r="DP269" s="347"/>
      <c r="DQ269" s="348"/>
      <c r="DR269" s="346"/>
      <c r="DS269" s="347"/>
      <c r="DT269" s="347"/>
      <c r="DU269" s="347"/>
      <c r="DV269" s="347"/>
      <c r="DW269" s="347"/>
      <c r="DX269" s="347"/>
      <c r="DY269" s="347"/>
      <c r="DZ269" s="347"/>
      <c r="EA269" s="347"/>
      <c r="EB269" s="347"/>
      <c r="EC269" s="347"/>
      <c r="ED269" s="348"/>
      <c r="EE269" s="346"/>
      <c r="EF269" s="347"/>
      <c r="EG269" s="347"/>
      <c r="EH269" s="347"/>
      <c r="EI269" s="347"/>
      <c r="EJ269" s="347"/>
      <c r="EK269" s="347"/>
      <c r="EL269" s="347"/>
      <c r="EM269" s="347"/>
      <c r="EN269" s="347"/>
      <c r="EO269" s="347"/>
      <c r="EP269" s="347"/>
      <c r="EQ269" s="348"/>
      <c r="ER269" s="349"/>
      <c r="ES269" s="350"/>
      <c r="ET269" s="350"/>
      <c r="EU269" s="350"/>
      <c r="EV269" s="350"/>
      <c r="EW269" s="350"/>
      <c r="EX269" s="350"/>
      <c r="EY269" s="350"/>
      <c r="EZ269" s="350"/>
      <c r="FA269" s="350"/>
      <c r="FB269" s="351"/>
      <c r="FC269" s="352"/>
      <c r="FD269" s="353"/>
      <c r="FE269" s="353"/>
      <c r="FF269" s="353"/>
      <c r="FG269" s="353"/>
      <c r="FH269" s="353"/>
      <c r="FI269" s="353"/>
      <c r="FJ269" s="353"/>
      <c r="FK269" s="353"/>
      <c r="FL269" s="353"/>
      <c r="FO269" s="275"/>
      <c r="FP269" s="275"/>
      <c r="FQ269" s="275">
        <f t="shared" si="6"/>
        <v>0</v>
      </c>
    </row>
    <row r="270" spans="1:173" ht="15" hidden="1" customHeight="1">
      <c r="A270" s="336"/>
      <c r="B270" s="337"/>
      <c r="C270" s="337"/>
      <c r="D270" s="337"/>
      <c r="E270" s="337"/>
      <c r="F270" s="337"/>
      <c r="G270" s="337"/>
      <c r="H270" s="337"/>
      <c r="I270" s="33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c r="AY270" s="337"/>
      <c r="AZ270" s="337"/>
      <c r="BA270" s="337"/>
      <c r="BB270" s="337"/>
      <c r="BC270" s="337"/>
      <c r="BD270" s="337"/>
      <c r="BE270" s="337"/>
      <c r="BF270" s="337"/>
      <c r="BG270" s="337"/>
      <c r="BH270" s="337"/>
      <c r="BI270" s="337"/>
      <c r="BJ270" s="337"/>
      <c r="BK270" s="338"/>
      <c r="BL270" s="339"/>
      <c r="BM270" s="340"/>
      <c r="BN270" s="340"/>
      <c r="BO270" s="340"/>
      <c r="BP270" s="340"/>
      <c r="BQ270" s="340"/>
      <c r="BR270" s="340"/>
      <c r="BS270" s="341"/>
      <c r="BT270" s="342"/>
      <c r="BU270" s="343"/>
      <c r="BV270" s="343"/>
      <c r="BW270" s="343"/>
      <c r="BX270" s="343"/>
      <c r="BY270" s="343"/>
      <c r="BZ270" s="343"/>
      <c r="CA270" s="343"/>
      <c r="CB270" s="343"/>
      <c r="CC270" s="343"/>
      <c r="CD270" s="343"/>
      <c r="CE270" s="343"/>
      <c r="CF270" s="344"/>
      <c r="CG270" s="345"/>
      <c r="CH270" s="340"/>
      <c r="CI270" s="340"/>
      <c r="CJ270" s="340"/>
      <c r="CK270" s="340"/>
      <c r="CL270" s="340"/>
      <c r="CM270" s="340"/>
      <c r="CN270" s="340"/>
      <c r="CO270" s="340"/>
      <c r="CP270" s="340"/>
      <c r="CQ270" s="341"/>
      <c r="CR270" s="345"/>
      <c r="CS270" s="340"/>
      <c r="CT270" s="340"/>
      <c r="CU270" s="340"/>
      <c r="CV270" s="340"/>
      <c r="CW270" s="340"/>
      <c r="CX270" s="340"/>
      <c r="CY270" s="340"/>
      <c r="CZ270" s="340"/>
      <c r="DA270" s="340"/>
      <c r="DB270" s="340"/>
      <c r="DC270" s="340"/>
      <c r="DD270" s="341"/>
      <c r="DE270" s="349"/>
      <c r="DF270" s="350"/>
      <c r="DG270" s="350"/>
      <c r="DH270" s="350"/>
      <c r="DI270" s="350"/>
      <c r="DJ270" s="350"/>
      <c r="DK270" s="350"/>
      <c r="DL270" s="350"/>
      <c r="DM270" s="350"/>
      <c r="DN270" s="350"/>
      <c r="DO270" s="350"/>
      <c r="DP270" s="350"/>
      <c r="DQ270" s="351"/>
      <c r="DR270" s="349"/>
      <c r="DS270" s="350"/>
      <c r="DT270" s="350"/>
      <c r="DU270" s="350"/>
      <c r="DV270" s="350"/>
      <c r="DW270" s="350"/>
      <c r="DX270" s="350"/>
      <c r="DY270" s="350"/>
      <c r="DZ270" s="350"/>
      <c r="EA270" s="350"/>
      <c r="EB270" s="350"/>
      <c r="EC270" s="350"/>
      <c r="ED270" s="351"/>
      <c r="EE270" s="349"/>
      <c r="EF270" s="350"/>
      <c r="EG270" s="350"/>
      <c r="EH270" s="350"/>
      <c r="EI270" s="350"/>
      <c r="EJ270" s="350"/>
      <c r="EK270" s="350"/>
      <c r="EL270" s="350"/>
      <c r="EM270" s="350"/>
      <c r="EN270" s="350"/>
      <c r="EO270" s="350"/>
      <c r="EP270" s="350"/>
      <c r="EQ270" s="351"/>
      <c r="ER270" s="349"/>
      <c r="ES270" s="350"/>
      <c r="ET270" s="350"/>
      <c r="EU270" s="350"/>
      <c r="EV270" s="350"/>
      <c r="EW270" s="350"/>
      <c r="EX270" s="350"/>
      <c r="EY270" s="350"/>
      <c r="EZ270" s="350"/>
      <c r="FA270" s="350"/>
      <c r="FB270" s="351"/>
      <c r="FC270" s="352"/>
      <c r="FD270" s="353"/>
      <c r="FE270" s="353"/>
      <c r="FF270" s="353"/>
      <c r="FG270" s="353"/>
      <c r="FH270" s="353"/>
      <c r="FI270" s="353"/>
      <c r="FJ270" s="353"/>
      <c r="FK270" s="353"/>
      <c r="FL270" s="353"/>
      <c r="FO270" s="275"/>
      <c r="FP270" s="275"/>
      <c r="FQ270" s="275">
        <f t="shared" ref="FQ270:FQ333" si="7">DR270-FO270-FP270</f>
        <v>0</v>
      </c>
    </row>
    <row r="271" spans="1:173" ht="15" hidden="1" customHeight="1">
      <c r="A271" s="441"/>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c r="AG271" s="442"/>
      <c r="AH271" s="442"/>
      <c r="AI271" s="442"/>
      <c r="AJ271" s="442"/>
      <c r="AK271" s="442"/>
      <c r="AL271" s="442"/>
      <c r="AM271" s="442"/>
      <c r="AN271" s="442"/>
      <c r="AO271" s="442"/>
      <c r="AP271" s="442"/>
      <c r="AQ271" s="442"/>
      <c r="AR271" s="442"/>
      <c r="AS271" s="442"/>
      <c r="AT271" s="442"/>
      <c r="AU271" s="442"/>
      <c r="AV271" s="442"/>
      <c r="AW271" s="442"/>
      <c r="AX271" s="442"/>
      <c r="AY271" s="442"/>
      <c r="AZ271" s="442"/>
      <c r="BA271" s="442"/>
      <c r="BB271" s="442"/>
      <c r="BC271" s="442"/>
      <c r="BD271" s="442"/>
      <c r="BE271" s="442"/>
      <c r="BF271" s="442"/>
      <c r="BG271" s="442"/>
      <c r="BH271" s="442"/>
      <c r="BI271" s="442"/>
      <c r="BJ271" s="442"/>
      <c r="BK271" s="443"/>
      <c r="BL271" s="339"/>
      <c r="BM271" s="340"/>
      <c r="BN271" s="340"/>
      <c r="BO271" s="340"/>
      <c r="BP271" s="340"/>
      <c r="BQ271" s="340"/>
      <c r="BR271" s="340"/>
      <c r="BS271" s="341"/>
      <c r="BT271" s="345"/>
      <c r="BU271" s="340"/>
      <c r="BV271" s="340"/>
      <c r="BW271" s="340"/>
      <c r="BX271" s="340"/>
      <c r="BY271" s="340"/>
      <c r="BZ271" s="340"/>
      <c r="CA271" s="340"/>
      <c r="CB271" s="340"/>
      <c r="CC271" s="340"/>
      <c r="CD271" s="340"/>
      <c r="CE271" s="340"/>
      <c r="CF271" s="341"/>
      <c r="CG271" s="345"/>
      <c r="CH271" s="340"/>
      <c r="CI271" s="340"/>
      <c r="CJ271" s="340"/>
      <c r="CK271" s="340"/>
      <c r="CL271" s="340"/>
      <c r="CM271" s="340"/>
      <c r="CN271" s="340"/>
      <c r="CO271" s="340"/>
      <c r="CP271" s="340"/>
      <c r="CQ271" s="341"/>
      <c r="CR271" s="345"/>
      <c r="CS271" s="340"/>
      <c r="CT271" s="340"/>
      <c r="CU271" s="340"/>
      <c r="CV271" s="340"/>
      <c r="CW271" s="340"/>
      <c r="CX271" s="340"/>
      <c r="CY271" s="340"/>
      <c r="CZ271" s="340"/>
      <c r="DA271" s="340"/>
      <c r="DB271" s="340"/>
      <c r="DC271" s="340"/>
      <c r="DD271" s="341"/>
      <c r="DE271" s="349"/>
      <c r="DF271" s="350"/>
      <c r="DG271" s="350"/>
      <c r="DH271" s="350"/>
      <c r="DI271" s="350"/>
      <c r="DJ271" s="350"/>
      <c r="DK271" s="350"/>
      <c r="DL271" s="350"/>
      <c r="DM271" s="350"/>
      <c r="DN271" s="350"/>
      <c r="DO271" s="350"/>
      <c r="DP271" s="350"/>
      <c r="DQ271" s="351"/>
      <c r="DR271" s="349"/>
      <c r="DS271" s="350"/>
      <c r="DT271" s="350"/>
      <c r="DU271" s="350"/>
      <c r="DV271" s="350"/>
      <c r="DW271" s="350"/>
      <c r="DX271" s="350"/>
      <c r="DY271" s="350"/>
      <c r="DZ271" s="350"/>
      <c r="EA271" s="350"/>
      <c r="EB271" s="350"/>
      <c r="EC271" s="350"/>
      <c r="ED271" s="351"/>
      <c r="EE271" s="349"/>
      <c r="EF271" s="350"/>
      <c r="EG271" s="350"/>
      <c r="EH271" s="350"/>
      <c r="EI271" s="350"/>
      <c r="EJ271" s="350"/>
      <c r="EK271" s="350"/>
      <c r="EL271" s="350"/>
      <c r="EM271" s="350"/>
      <c r="EN271" s="350"/>
      <c r="EO271" s="350"/>
      <c r="EP271" s="350"/>
      <c r="EQ271" s="351"/>
      <c r="ER271" s="349"/>
      <c r="ES271" s="350"/>
      <c r="ET271" s="350"/>
      <c r="EU271" s="350"/>
      <c r="EV271" s="350"/>
      <c r="EW271" s="350"/>
      <c r="EX271" s="350"/>
      <c r="EY271" s="350"/>
      <c r="EZ271" s="350"/>
      <c r="FA271" s="350"/>
      <c r="FB271" s="351"/>
      <c r="FC271" s="352"/>
      <c r="FD271" s="353"/>
      <c r="FE271" s="353"/>
      <c r="FF271" s="353"/>
      <c r="FG271" s="353"/>
      <c r="FH271" s="353"/>
      <c r="FI271" s="353"/>
      <c r="FJ271" s="353"/>
      <c r="FK271" s="353"/>
      <c r="FL271" s="353"/>
      <c r="FO271" s="275"/>
      <c r="FP271" s="275"/>
      <c r="FQ271" s="275">
        <f t="shared" si="7"/>
        <v>0</v>
      </c>
    </row>
    <row r="272" spans="1:173" ht="12" customHeight="1">
      <c r="A272" s="461" t="s">
        <v>213</v>
      </c>
      <c r="B272" s="462"/>
      <c r="C272" s="462"/>
      <c r="D272" s="462"/>
      <c r="E272" s="462"/>
      <c r="F272" s="462"/>
      <c r="G272" s="462"/>
      <c r="H272" s="462"/>
      <c r="I272" s="462"/>
      <c r="J272" s="462"/>
      <c r="K272" s="462"/>
      <c r="L272" s="462"/>
      <c r="M272" s="462"/>
      <c r="N272" s="462"/>
      <c r="O272" s="462"/>
      <c r="P272" s="462"/>
      <c r="Q272" s="462"/>
      <c r="R272" s="462"/>
      <c r="S272" s="462"/>
      <c r="T272" s="462"/>
      <c r="U272" s="462"/>
      <c r="V272" s="462"/>
      <c r="W272" s="462"/>
      <c r="X272" s="462"/>
      <c r="Y272" s="462"/>
      <c r="Z272" s="462"/>
      <c r="AA272" s="462"/>
      <c r="AB272" s="462"/>
      <c r="AC272" s="462"/>
      <c r="AD272" s="462"/>
      <c r="AE272" s="462"/>
      <c r="AF272" s="462"/>
      <c r="AG272" s="462"/>
      <c r="AH272" s="462"/>
      <c r="AI272" s="462"/>
      <c r="AJ272" s="462"/>
      <c r="AK272" s="462"/>
      <c r="AL272" s="462"/>
      <c r="AM272" s="462"/>
      <c r="AN272" s="462"/>
      <c r="AO272" s="462"/>
      <c r="AP272" s="462"/>
      <c r="AQ272" s="462"/>
      <c r="AR272" s="462"/>
      <c r="AS272" s="462"/>
      <c r="AT272" s="462"/>
      <c r="AU272" s="462"/>
      <c r="AV272" s="462"/>
      <c r="AW272" s="462"/>
      <c r="AX272" s="462"/>
      <c r="AY272" s="462"/>
      <c r="AZ272" s="462"/>
      <c r="BA272" s="462"/>
      <c r="BB272" s="462"/>
      <c r="BC272" s="462"/>
      <c r="BD272" s="462"/>
      <c r="BE272" s="462"/>
      <c r="BF272" s="462"/>
      <c r="BG272" s="462"/>
      <c r="BH272" s="462"/>
      <c r="BI272" s="462"/>
      <c r="BJ272" s="462"/>
      <c r="BK272" s="463"/>
      <c r="BL272" s="460" t="s">
        <v>1102</v>
      </c>
      <c r="BM272" s="363"/>
      <c r="BN272" s="363"/>
      <c r="BO272" s="363"/>
      <c r="BP272" s="363"/>
      <c r="BQ272" s="363"/>
      <c r="BR272" s="363"/>
      <c r="BS272" s="364"/>
      <c r="BT272" s="362" t="s">
        <v>109</v>
      </c>
      <c r="BU272" s="363"/>
      <c r="BV272" s="363"/>
      <c r="BW272" s="363"/>
      <c r="BX272" s="363"/>
      <c r="BY272" s="363"/>
      <c r="BZ272" s="363"/>
      <c r="CA272" s="363"/>
      <c r="CB272" s="363"/>
      <c r="CC272" s="363"/>
      <c r="CD272" s="363"/>
      <c r="CE272" s="363"/>
      <c r="CF272" s="364"/>
      <c r="CG272" s="362" t="s">
        <v>196</v>
      </c>
      <c r="CH272" s="363"/>
      <c r="CI272" s="363"/>
      <c r="CJ272" s="363"/>
      <c r="CK272" s="363"/>
      <c r="CL272" s="363"/>
      <c r="CM272" s="363"/>
      <c r="CN272" s="363"/>
      <c r="CO272" s="363"/>
      <c r="CP272" s="363"/>
      <c r="CQ272" s="364"/>
      <c r="CR272" s="362"/>
      <c r="CS272" s="363"/>
      <c r="CT272" s="363"/>
      <c r="CU272" s="363"/>
      <c r="CV272" s="363"/>
      <c r="CW272" s="363"/>
      <c r="CX272" s="363"/>
      <c r="CY272" s="363"/>
      <c r="CZ272" s="363"/>
      <c r="DA272" s="363"/>
      <c r="DB272" s="363"/>
      <c r="DC272" s="363"/>
      <c r="DD272" s="364"/>
      <c r="DE272" s="365">
        <f>DE273+DE299+DE317</f>
        <v>2566553.67</v>
      </c>
      <c r="DF272" s="366"/>
      <c r="DG272" s="366"/>
      <c r="DH272" s="366"/>
      <c r="DI272" s="366"/>
      <c r="DJ272" s="366"/>
      <c r="DK272" s="366"/>
      <c r="DL272" s="366"/>
      <c r="DM272" s="366"/>
      <c r="DN272" s="366"/>
      <c r="DO272" s="366"/>
      <c r="DP272" s="366"/>
      <c r="DQ272" s="367"/>
      <c r="DR272" s="365">
        <f>DR273+DR299+DR317</f>
        <v>1688610.9</v>
      </c>
      <c r="DS272" s="366"/>
      <c r="DT272" s="366"/>
      <c r="DU272" s="366"/>
      <c r="DV272" s="366"/>
      <c r="DW272" s="366"/>
      <c r="DX272" s="366"/>
      <c r="DY272" s="366"/>
      <c r="DZ272" s="366"/>
      <c r="EA272" s="366"/>
      <c r="EB272" s="366"/>
      <c r="EC272" s="366"/>
      <c r="ED272" s="367"/>
      <c r="EE272" s="365"/>
      <c r="EF272" s="366"/>
      <c r="EG272" s="366"/>
      <c r="EH272" s="366"/>
      <c r="EI272" s="366"/>
      <c r="EJ272" s="366"/>
      <c r="EK272" s="366"/>
      <c r="EL272" s="366"/>
      <c r="EM272" s="366"/>
      <c r="EN272" s="366"/>
      <c r="EO272" s="366"/>
      <c r="EP272" s="366"/>
      <c r="EQ272" s="367"/>
      <c r="ER272" s="349"/>
      <c r="ES272" s="350"/>
      <c r="ET272" s="350"/>
      <c r="EU272" s="350"/>
      <c r="EV272" s="350"/>
      <c r="EW272" s="350"/>
      <c r="EX272" s="350"/>
      <c r="EY272" s="350"/>
      <c r="EZ272" s="350"/>
      <c r="FA272" s="350"/>
      <c r="FB272" s="351"/>
      <c r="FC272" s="352"/>
      <c r="FD272" s="353"/>
      <c r="FE272" s="353"/>
      <c r="FF272" s="353"/>
      <c r="FG272" s="353"/>
      <c r="FH272" s="353"/>
      <c r="FI272" s="353"/>
      <c r="FJ272" s="353"/>
      <c r="FK272" s="353"/>
      <c r="FL272" s="353"/>
      <c r="FO272" s="275"/>
      <c r="FP272" s="275"/>
      <c r="FQ272" s="275">
        <f t="shared" si="7"/>
        <v>1688610.9</v>
      </c>
    </row>
    <row r="273" spans="1:174" s="215" customFormat="1" ht="12" customHeight="1">
      <c r="A273" s="437" t="s">
        <v>934</v>
      </c>
      <c r="B273" s="438"/>
      <c r="C273" s="438"/>
      <c r="D273" s="438"/>
      <c r="E273" s="438"/>
      <c r="F273" s="438"/>
      <c r="G273" s="438"/>
      <c r="H273" s="438"/>
      <c r="I273" s="438"/>
      <c r="J273" s="438"/>
      <c r="K273" s="438"/>
      <c r="L273" s="438"/>
      <c r="M273" s="438"/>
      <c r="N273" s="438"/>
      <c r="O273" s="438"/>
      <c r="P273" s="438"/>
      <c r="Q273" s="438"/>
      <c r="R273" s="438"/>
      <c r="S273" s="438"/>
      <c r="T273" s="438"/>
      <c r="U273" s="438"/>
      <c r="V273" s="438"/>
      <c r="W273" s="438"/>
      <c r="X273" s="438"/>
      <c r="Y273" s="438"/>
      <c r="Z273" s="438"/>
      <c r="AA273" s="438"/>
      <c r="AB273" s="438"/>
      <c r="AC273" s="438"/>
      <c r="AD273" s="438"/>
      <c r="AE273" s="438"/>
      <c r="AF273" s="438"/>
      <c r="AG273" s="438"/>
      <c r="AH273" s="438"/>
      <c r="AI273" s="438"/>
      <c r="AJ273" s="438"/>
      <c r="AK273" s="438"/>
      <c r="AL273" s="438"/>
      <c r="AM273" s="438"/>
      <c r="AN273" s="438"/>
      <c r="AO273" s="438"/>
      <c r="AP273" s="438"/>
      <c r="AQ273" s="438"/>
      <c r="AR273" s="438"/>
      <c r="AS273" s="438"/>
      <c r="AT273" s="438"/>
      <c r="AU273" s="438"/>
      <c r="AV273" s="438"/>
      <c r="AW273" s="438"/>
      <c r="AX273" s="438"/>
      <c r="AY273" s="438"/>
      <c r="AZ273" s="438"/>
      <c r="BA273" s="438"/>
      <c r="BB273" s="438"/>
      <c r="BC273" s="438"/>
      <c r="BD273" s="438"/>
      <c r="BE273" s="438"/>
      <c r="BF273" s="438"/>
      <c r="BG273" s="438"/>
      <c r="BH273" s="438"/>
      <c r="BI273" s="438"/>
      <c r="BJ273" s="438"/>
      <c r="BK273" s="439"/>
      <c r="BL273" s="440"/>
      <c r="BM273" s="414"/>
      <c r="BN273" s="414"/>
      <c r="BO273" s="414"/>
      <c r="BP273" s="414"/>
      <c r="BQ273" s="414"/>
      <c r="BR273" s="414"/>
      <c r="BS273" s="415"/>
      <c r="BT273" s="413" t="s">
        <v>109</v>
      </c>
      <c r="BU273" s="414"/>
      <c r="BV273" s="414"/>
      <c r="BW273" s="414"/>
      <c r="BX273" s="414"/>
      <c r="BY273" s="414"/>
      <c r="BZ273" s="414"/>
      <c r="CA273" s="414"/>
      <c r="CB273" s="414"/>
      <c r="CC273" s="414"/>
      <c r="CD273" s="414"/>
      <c r="CE273" s="414"/>
      <c r="CF273" s="415"/>
      <c r="CG273" s="413" t="s">
        <v>196</v>
      </c>
      <c r="CH273" s="414"/>
      <c r="CI273" s="414"/>
      <c r="CJ273" s="414"/>
      <c r="CK273" s="414"/>
      <c r="CL273" s="414"/>
      <c r="CM273" s="414"/>
      <c r="CN273" s="414"/>
      <c r="CO273" s="414"/>
      <c r="CP273" s="414"/>
      <c r="CQ273" s="415"/>
      <c r="CR273" s="413"/>
      <c r="CS273" s="414"/>
      <c r="CT273" s="414"/>
      <c r="CU273" s="414"/>
      <c r="CV273" s="414"/>
      <c r="CW273" s="414"/>
      <c r="CX273" s="414"/>
      <c r="CY273" s="414"/>
      <c r="CZ273" s="414"/>
      <c r="DA273" s="414"/>
      <c r="DB273" s="414"/>
      <c r="DC273" s="414"/>
      <c r="DD273" s="415"/>
      <c r="DE273" s="428">
        <f>SUM(DE274:DQ298)</f>
        <v>401641.43999999994</v>
      </c>
      <c r="DF273" s="429"/>
      <c r="DG273" s="429"/>
      <c r="DH273" s="429"/>
      <c r="DI273" s="429"/>
      <c r="DJ273" s="429"/>
      <c r="DK273" s="429"/>
      <c r="DL273" s="429"/>
      <c r="DM273" s="429"/>
      <c r="DN273" s="429"/>
      <c r="DO273" s="429"/>
      <c r="DP273" s="429"/>
      <c r="DQ273" s="430"/>
      <c r="DR273" s="428">
        <f>SUM(DR274:ED298)</f>
        <v>506860</v>
      </c>
      <c r="DS273" s="429"/>
      <c r="DT273" s="429"/>
      <c r="DU273" s="429"/>
      <c r="DV273" s="429"/>
      <c r="DW273" s="429"/>
      <c r="DX273" s="429"/>
      <c r="DY273" s="429"/>
      <c r="DZ273" s="429"/>
      <c r="EA273" s="429"/>
      <c r="EB273" s="429"/>
      <c r="EC273" s="429"/>
      <c r="ED273" s="430"/>
      <c r="EE273" s="428"/>
      <c r="EF273" s="429"/>
      <c r="EG273" s="429"/>
      <c r="EH273" s="429"/>
      <c r="EI273" s="429"/>
      <c r="EJ273" s="429"/>
      <c r="EK273" s="429"/>
      <c r="EL273" s="429"/>
      <c r="EM273" s="429"/>
      <c r="EN273" s="429"/>
      <c r="EO273" s="429"/>
      <c r="EP273" s="429"/>
      <c r="EQ273" s="430"/>
      <c r="ER273" s="410"/>
      <c r="ES273" s="411"/>
      <c r="ET273" s="411"/>
      <c r="EU273" s="411"/>
      <c r="EV273" s="411"/>
      <c r="EW273" s="411"/>
      <c r="EX273" s="411"/>
      <c r="EY273" s="411"/>
      <c r="EZ273" s="411"/>
      <c r="FA273" s="411"/>
      <c r="FB273" s="412"/>
      <c r="FC273" s="423"/>
      <c r="FD273" s="424"/>
      <c r="FE273" s="424"/>
      <c r="FF273" s="424"/>
      <c r="FG273" s="424"/>
      <c r="FH273" s="424"/>
      <c r="FI273" s="424"/>
      <c r="FJ273" s="424"/>
      <c r="FK273" s="424"/>
      <c r="FL273" s="424"/>
      <c r="FO273" s="278"/>
      <c r="FP273" s="278"/>
      <c r="FQ273" s="275">
        <f t="shared" si="7"/>
        <v>506860</v>
      </c>
    </row>
    <row r="274" spans="1:174" ht="12" hidden="1" customHeight="1">
      <c r="A274" s="336"/>
      <c r="B274" s="337"/>
      <c r="C274" s="337"/>
      <c r="D274" s="337"/>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7"/>
      <c r="AG274" s="337"/>
      <c r="AH274" s="337"/>
      <c r="AI274" s="337"/>
      <c r="AJ274" s="337"/>
      <c r="AK274" s="337"/>
      <c r="AL274" s="337"/>
      <c r="AM274" s="337"/>
      <c r="AN274" s="337"/>
      <c r="AO274" s="337"/>
      <c r="AP274" s="337"/>
      <c r="AQ274" s="337"/>
      <c r="AR274" s="337"/>
      <c r="AS274" s="337"/>
      <c r="AT274" s="337"/>
      <c r="AU274" s="337"/>
      <c r="AV274" s="337"/>
      <c r="AW274" s="337"/>
      <c r="AX274" s="337"/>
      <c r="AY274" s="337"/>
      <c r="AZ274" s="337"/>
      <c r="BA274" s="337"/>
      <c r="BB274" s="337"/>
      <c r="BC274" s="337"/>
      <c r="BD274" s="337"/>
      <c r="BE274" s="337"/>
      <c r="BF274" s="337"/>
      <c r="BG274" s="337"/>
      <c r="BH274" s="337"/>
      <c r="BI274" s="337"/>
      <c r="BJ274" s="337"/>
      <c r="BK274" s="338"/>
      <c r="BL274" s="339"/>
      <c r="BM274" s="340"/>
      <c r="BN274" s="340"/>
      <c r="BO274" s="340"/>
      <c r="BP274" s="340"/>
      <c r="BQ274" s="340"/>
      <c r="BR274" s="340"/>
      <c r="BS274" s="341"/>
      <c r="BT274" s="342" t="s">
        <v>784</v>
      </c>
      <c r="BU274" s="343"/>
      <c r="BV274" s="343"/>
      <c r="BW274" s="343"/>
      <c r="BX274" s="343"/>
      <c r="BY274" s="343"/>
      <c r="BZ274" s="343"/>
      <c r="CA274" s="343"/>
      <c r="CB274" s="343"/>
      <c r="CC274" s="343"/>
      <c r="CD274" s="343"/>
      <c r="CE274" s="343"/>
      <c r="CF274" s="344"/>
      <c r="CG274" s="345" t="s">
        <v>825</v>
      </c>
      <c r="CH274" s="340"/>
      <c r="CI274" s="340"/>
      <c r="CJ274" s="340"/>
      <c r="CK274" s="340"/>
      <c r="CL274" s="340"/>
      <c r="CM274" s="340"/>
      <c r="CN274" s="340"/>
      <c r="CO274" s="340"/>
      <c r="CP274" s="340"/>
      <c r="CQ274" s="341"/>
      <c r="CR274" s="345"/>
      <c r="CS274" s="340"/>
      <c r="CT274" s="340"/>
      <c r="CU274" s="340"/>
      <c r="CV274" s="340"/>
      <c r="CW274" s="340"/>
      <c r="CX274" s="340"/>
      <c r="CY274" s="340"/>
      <c r="CZ274" s="340"/>
      <c r="DA274" s="340"/>
      <c r="DB274" s="340"/>
      <c r="DC274" s="340"/>
      <c r="DD274" s="341"/>
      <c r="DE274" s="349"/>
      <c r="DF274" s="350"/>
      <c r="DG274" s="350"/>
      <c r="DH274" s="350"/>
      <c r="DI274" s="350"/>
      <c r="DJ274" s="350"/>
      <c r="DK274" s="350"/>
      <c r="DL274" s="350"/>
      <c r="DM274" s="350"/>
      <c r="DN274" s="350"/>
      <c r="DO274" s="350"/>
      <c r="DP274" s="350"/>
      <c r="DQ274" s="351"/>
      <c r="DR274" s="349"/>
      <c r="DS274" s="350"/>
      <c r="DT274" s="350"/>
      <c r="DU274" s="350"/>
      <c r="DV274" s="350"/>
      <c r="DW274" s="350"/>
      <c r="DX274" s="350"/>
      <c r="DY274" s="350"/>
      <c r="DZ274" s="350"/>
      <c r="EA274" s="350"/>
      <c r="EB274" s="350"/>
      <c r="EC274" s="350"/>
      <c r="ED274" s="351"/>
      <c r="EE274" s="349"/>
      <c r="EF274" s="350"/>
      <c r="EG274" s="350"/>
      <c r="EH274" s="350"/>
      <c r="EI274" s="350"/>
      <c r="EJ274" s="350"/>
      <c r="EK274" s="350"/>
      <c r="EL274" s="350"/>
      <c r="EM274" s="350"/>
      <c r="EN274" s="350"/>
      <c r="EO274" s="350"/>
      <c r="EP274" s="350"/>
      <c r="EQ274" s="351"/>
      <c r="ER274" s="349"/>
      <c r="ES274" s="350"/>
      <c r="ET274" s="350"/>
      <c r="EU274" s="350"/>
      <c r="EV274" s="350"/>
      <c r="EW274" s="350"/>
      <c r="EX274" s="350"/>
      <c r="EY274" s="350"/>
      <c r="EZ274" s="350"/>
      <c r="FA274" s="350"/>
      <c r="FB274" s="351"/>
      <c r="FC274" s="352"/>
      <c r="FD274" s="353"/>
      <c r="FE274" s="353"/>
      <c r="FF274" s="353"/>
      <c r="FG274" s="353"/>
      <c r="FH274" s="353"/>
      <c r="FI274" s="353"/>
      <c r="FJ274" s="353"/>
      <c r="FK274" s="353"/>
      <c r="FL274" s="353"/>
      <c r="FO274" s="275"/>
      <c r="FP274" s="275"/>
      <c r="FQ274" s="275">
        <f t="shared" si="7"/>
        <v>0</v>
      </c>
    </row>
    <row r="275" spans="1:174" ht="12" hidden="1" customHeight="1">
      <c r="A275" s="336"/>
      <c r="B275" s="337"/>
      <c r="C275" s="337"/>
      <c r="D275" s="337"/>
      <c r="E275" s="337"/>
      <c r="F275" s="337"/>
      <c r="G275" s="337"/>
      <c r="H275" s="337"/>
      <c r="I275" s="337"/>
      <c r="J275" s="337"/>
      <c r="K275" s="337"/>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7"/>
      <c r="AK275" s="337"/>
      <c r="AL275" s="337"/>
      <c r="AM275" s="337"/>
      <c r="AN275" s="337"/>
      <c r="AO275" s="337"/>
      <c r="AP275" s="337"/>
      <c r="AQ275" s="337"/>
      <c r="AR275" s="337"/>
      <c r="AS275" s="337"/>
      <c r="AT275" s="337"/>
      <c r="AU275" s="337"/>
      <c r="AV275" s="337"/>
      <c r="AW275" s="337"/>
      <c r="AX275" s="337"/>
      <c r="AY275" s="337"/>
      <c r="AZ275" s="337"/>
      <c r="BA275" s="337"/>
      <c r="BB275" s="337"/>
      <c r="BC275" s="337"/>
      <c r="BD275" s="337"/>
      <c r="BE275" s="337"/>
      <c r="BF275" s="337"/>
      <c r="BG275" s="337"/>
      <c r="BH275" s="337"/>
      <c r="BI275" s="337"/>
      <c r="BJ275" s="337"/>
      <c r="BK275" s="338"/>
      <c r="BL275" s="339"/>
      <c r="BM275" s="340"/>
      <c r="BN275" s="340"/>
      <c r="BO275" s="340"/>
      <c r="BP275" s="340"/>
      <c r="BQ275" s="340"/>
      <c r="BR275" s="340"/>
      <c r="BS275" s="341"/>
      <c r="BT275" s="342" t="s">
        <v>784</v>
      </c>
      <c r="BU275" s="343"/>
      <c r="BV275" s="343"/>
      <c r="BW275" s="343"/>
      <c r="BX275" s="343"/>
      <c r="BY275" s="343"/>
      <c r="BZ275" s="343"/>
      <c r="CA275" s="343"/>
      <c r="CB275" s="343"/>
      <c r="CC275" s="343"/>
      <c r="CD275" s="343"/>
      <c r="CE275" s="343"/>
      <c r="CF275" s="344"/>
      <c r="CG275" s="345" t="s">
        <v>825</v>
      </c>
      <c r="CH275" s="340"/>
      <c r="CI275" s="340"/>
      <c r="CJ275" s="340"/>
      <c r="CK275" s="340"/>
      <c r="CL275" s="340"/>
      <c r="CM275" s="340"/>
      <c r="CN275" s="340"/>
      <c r="CO275" s="340"/>
      <c r="CP275" s="340"/>
      <c r="CQ275" s="341"/>
      <c r="CR275" s="345"/>
      <c r="CS275" s="340"/>
      <c r="CT275" s="340"/>
      <c r="CU275" s="340"/>
      <c r="CV275" s="340"/>
      <c r="CW275" s="340"/>
      <c r="CX275" s="340"/>
      <c r="CY275" s="340"/>
      <c r="CZ275" s="340"/>
      <c r="DA275" s="340"/>
      <c r="DB275" s="340"/>
      <c r="DC275" s="340"/>
      <c r="DD275" s="341"/>
      <c r="DE275" s="349"/>
      <c r="DF275" s="350"/>
      <c r="DG275" s="350"/>
      <c r="DH275" s="350"/>
      <c r="DI275" s="350"/>
      <c r="DJ275" s="350"/>
      <c r="DK275" s="350"/>
      <c r="DL275" s="350"/>
      <c r="DM275" s="350"/>
      <c r="DN275" s="350"/>
      <c r="DO275" s="350"/>
      <c r="DP275" s="350"/>
      <c r="DQ275" s="351"/>
      <c r="DR275" s="349"/>
      <c r="DS275" s="350"/>
      <c r="DT275" s="350"/>
      <c r="DU275" s="350"/>
      <c r="DV275" s="350"/>
      <c r="DW275" s="350"/>
      <c r="DX275" s="350"/>
      <c r="DY275" s="350"/>
      <c r="DZ275" s="350"/>
      <c r="EA275" s="350"/>
      <c r="EB275" s="350"/>
      <c r="EC275" s="350"/>
      <c r="ED275" s="351"/>
      <c r="EE275" s="349"/>
      <c r="EF275" s="350"/>
      <c r="EG275" s="350"/>
      <c r="EH275" s="350"/>
      <c r="EI275" s="350"/>
      <c r="EJ275" s="350"/>
      <c r="EK275" s="350"/>
      <c r="EL275" s="350"/>
      <c r="EM275" s="350"/>
      <c r="EN275" s="350"/>
      <c r="EO275" s="350"/>
      <c r="EP275" s="350"/>
      <c r="EQ275" s="351"/>
      <c r="ER275" s="349"/>
      <c r="ES275" s="350"/>
      <c r="ET275" s="350"/>
      <c r="EU275" s="350"/>
      <c r="EV275" s="350"/>
      <c r="EW275" s="350"/>
      <c r="EX275" s="350"/>
      <c r="EY275" s="350"/>
      <c r="EZ275" s="350"/>
      <c r="FA275" s="350"/>
      <c r="FB275" s="351"/>
      <c r="FC275" s="352"/>
      <c r="FD275" s="353"/>
      <c r="FE275" s="353"/>
      <c r="FF275" s="353"/>
      <c r="FG275" s="353"/>
      <c r="FH275" s="353"/>
      <c r="FI275" s="353"/>
      <c r="FJ275" s="353"/>
      <c r="FK275" s="353"/>
      <c r="FL275" s="353"/>
      <c r="FO275" s="275"/>
      <c r="FP275" s="275"/>
      <c r="FQ275" s="275">
        <f t="shared" si="7"/>
        <v>0</v>
      </c>
    </row>
    <row r="276" spans="1:174" ht="15.6" customHeight="1">
      <c r="A276" s="451" t="s">
        <v>829</v>
      </c>
      <c r="B276" s="452"/>
      <c r="C276" s="452"/>
      <c r="D276" s="452"/>
      <c r="E276" s="452"/>
      <c r="F276" s="452"/>
      <c r="G276" s="452"/>
      <c r="H276" s="452"/>
      <c r="I276" s="452"/>
      <c r="J276" s="452"/>
      <c r="K276" s="452"/>
      <c r="L276" s="452"/>
      <c r="M276" s="452"/>
      <c r="N276" s="452"/>
      <c r="O276" s="452"/>
      <c r="P276" s="452"/>
      <c r="Q276" s="452"/>
      <c r="R276" s="452"/>
      <c r="S276" s="452"/>
      <c r="T276" s="452"/>
      <c r="U276" s="452"/>
      <c r="V276" s="452"/>
      <c r="W276" s="452"/>
      <c r="X276" s="452"/>
      <c r="Y276" s="452"/>
      <c r="Z276" s="452"/>
      <c r="AA276" s="452"/>
      <c r="AB276" s="452"/>
      <c r="AC276" s="452"/>
      <c r="AD276" s="452"/>
      <c r="AE276" s="452"/>
      <c r="AF276" s="452"/>
      <c r="AG276" s="452"/>
      <c r="AH276" s="452"/>
      <c r="AI276" s="452"/>
      <c r="AJ276" s="452"/>
      <c r="AK276" s="452"/>
      <c r="AL276" s="452"/>
      <c r="AM276" s="452"/>
      <c r="AN276" s="452"/>
      <c r="AO276" s="452"/>
      <c r="AP276" s="452"/>
      <c r="AQ276" s="452"/>
      <c r="AR276" s="452"/>
      <c r="AS276" s="452"/>
      <c r="AT276" s="452"/>
      <c r="AU276" s="452"/>
      <c r="AV276" s="452"/>
      <c r="AW276" s="452"/>
      <c r="AX276" s="452"/>
      <c r="AY276" s="452"/>
      <c r="AZ276" s="452"/>
      <c r="BA276" s="452"/>
      <c r="BB276" s="452"/>
      <c r="BC276" s="452"/>
      <c r="BD276" s="452"/>
      <c r="BE276" s="452"/>
      <c r="BF276" s="452"/>
      <c r="BG276" s="452"/>
      <c r="BH276" s="452"/>
      <c r="BI276" s="452"/>
      <c r="BJ276" s="452"/>
      <c r="BK276" s="453"/>
      <c r="BL276" s="339"/>
      <c r="BM276" s="340"/>
      <c r="BN276" s="340"/>
      <c r="BO276" s="340"/>
      <c r="BP276" s="340"/>
      <c r="BQ276" s="340"/>
      <c r="BR276" s="340"/>
      <c r="BS276" s="341"/>
      <c r="BT276" s="342" t="s">
        <v>784</v>
      </c>
      <c r="BU276" s="343"/>
      <c r="BV276" s="343"/>
      <c r="BW276" s="343"/>
      <c r="BX276" s="343"/>
      <c r="BY276" s="343"/>
      <c r="BZ276" s="343"/>
      <c r="CA276" s="343"/>
      <c r="CB276" s="343"/>
      <c r="CC276" s="343"/>
      <c r="CD276" s="343"/>
      <c r="CE276" s="343"/>
      <c r="CF276" s="344"/>
      <c r="CG276" s="345" t="s">
        <v>826</v>
      </c>
      <c r="CH276" s="340"/>
      <c r="CI276" s="340"/>
      <c r="CJ276" s="340"/>
      <c r="CK276" s="340"/>
      <c r="CL276" s="340"/>
      <c r="CM276" s="340"/>
      <c r="CN276" s="340"/>
      <c r="CO276" s="340"/>
      <c r="CP276" s="340"/>
      <c r="CQ276" s="341"/>
      <c r="CR276" s="345"/>
      <c r="CS276" s="340"/>
      <c r="CT276" s="340"/>
      <c r="CU276" s="340"/>
      <c r="CV276" s="340"/>
      <c r="CW276" s="340"/>
      <c r="CX276" s="340"/>
      <c r="CY276" s="340"/>
      <c r="CZ276" s="340"/>
      <c r="DA276" s="340"/>
      <c r="DB276" s="340"/>
      <c r="DC276" s="340"/>
      <c r="DD276" s="341"/>
      <c r="DE276" s="349">
        <v>60000</v>
      </c>
      <c r="DF276" s="350"/>
      <c r="DG276" s="350"/>
      <c r="DH276" s="350"/>
      <c r="DI276" s="350"/>
      <c r="DJ276" s="350"/>
      <c r="DK276" s="350"/>
      <c r="DL276" s="350"/>
      <c r="DM276" s="350"/>
      <c r="DN276" s="350"/>
      <c r="DO276" s="350"/>
      <c r="DP276" s="350"/>
      <c r="DQ276" s="351"/>
      <c r="DR276" s="349">
        <v>60000</v>
      </c>
      <c r="DS276" s="350"/>
      <c r="DT276" s="350"/>
      <c r="DU276" s="350"/>
      <c r="DV276" s="350"/>
      <c r="DW276" s="350"/>
      <c r="DX276" s="350"/>
      <c r="DY276" s="350"/>
      <c r="DZ276" s="350"/>
      <c r="EA276" s="350"/>
      <c r="EB276" s="350"/>
      <c r="EC276" s="350"/>
      <c r="ED276" s="351"/>
      <c r="EE276" s="346"/>
      <c r="EF276" s="347"/>
      <c r="EG276" s="347"/>
      <c r="EH276" s="347"/>
      <c r="EI276" s="347"/>
      <c r="EJ276" s="347"/>
      <c r="EK276" s="347"/>
      <c r="EL276" s="347"/>
      <c r="EM276" s="347"/>
      <c r="EN276" s="347"/>
      <c r="EO276" s="347"/>
      <c r="EP276" s="347"/>
      <c r="EQ276" s="348"/>
      <c r="ER276" s="349"/>
      <c r="ES276" s="350"/>
      <c r="ET276" s="350"/>
      <c r="EU276" s="350"/>
      <c r="EV276" s="350"/>
      <c r="EW276" s="350"/>
      <c r="EX276" s="350"/>
      <c r="EY276" s="350"/>
      <c r="EZ276" s="350"/>
      <c r="FA276" s="350"/>
      <c r="FB276" s="351"/>
      <c r="FC276" s="352"/>
      <c r="FD276" s="353"/>
      <c r="FE276" s="353"/>
      <c r="FF276" s="353"/>
      <c r="FG276" s="353"/>
      <c r="FH276" s="353"/>
      <c r="FI276" s="353"/>
      <c r="FJ276" s="353"/>
      <c r="FK276" s="353"/>
      <c r="FL276" s="353"/>
      <c r="FO276" s="275"/>
      <c r="FP276" s="275"/>
      <c r="FQ276" s="275">
        <f t="shared" si="7"/>
        <v>60000</v>
      </c>
    </row>
    <row r="277" spans="1:174" ht="16.8" customHeight="1">
      <c r="A277" s="451" t="s">
        <v>830</v>
      </c>
      <c r="B277" s="452"/>
      <c r="C277" s="452"/>
      <c r="D277" s="452"/>
      <c r="E277" s="452"/>
      <c r="F277" s="452"/>
      <c r="G277" s="452"/>
      <c r="H277" s="452"/>
      <c r="I277" s="452"/>
      <c r="J277" s="452"/>
      <c r="K277" s="452"/>
      <c r="L277" s="452"/>
      <c r="M277" s="452"/>
      <c r="N277" s="452"/>
      <c r="O277" s="452"/>
      <c r="P277" s="452"/>
      <c r="Q277" s="452"/>
      <c r="R277" s="452"/>
      <c r="S277" s="452"/>
      <c r="T277" s="452"/>
      <c r="U277" s="452"/>
      <c r="V277" s="452"/>
      <c r="W277" s="452"/>
      <c r="X277" s="452"/>
      <c r="Y277" s="452"/>
      <c r="Z277" s="452"/>
      <c r="AA277" s="452"/>
      <c r="AB277" s="452"/>
      <c r="AC277" s="452"/>
      <c r="AD277" s="452"/>
      <c r="AE277" s="452"/>
      <c r="AF277" s="452"/>
      <c r="AG277" s="452"/>
      <c r="AH277" s="452"/>
      <c r="AI277" s="452"/>
      <c r="AJ277" s="452"/>
      <c r="AK277" s="452"/>
      <c r="AL277" s="452"/>
      <c r="AM277" s="452"/>
      <c r="AN277" s="452"/>
      <c r="AO277" s="452"/>
      <c r="AP277" s="452"/>
      <c r="AQ277" s="452"/>
      <c r="AR277" s="452"/>
      <c r="AS277" s="452"/>
      <c r="AT277" s="452"/>
      <c r="AU277" s="452"/>
      <c r="AV277" s="452"/>
      <c r="AW277" s="452"/>
      <c r="AX277" s="452"/>
      <c r="AY277" s="452"/>
      <c r="AZ277" s="452"/>
      <c r="BA277" s="452"/>
      <c r="BB277" s="452"/>
      <c r="BC277" s="452"/>
      <c r="BD277" s="452"/>
      <c r="BE277" s="452"/>
      <c r="BF277" s="452"/>
      <c r="BG277" s="452"/>
      <c r="BH277" s="452"/>
      <c r="BI277" s="452"/>
      <c r="BJ277" s="452"/>
      <c r="BK277" s="453"/>
      <c r="BL277" s="339"/>
      <c r="BM277" s="340"/>
      <c r="BN277" s="340"/>
      <c r="BO277" s="340"/>
      <c r="BP277" s="340"/>
      <c r="BQ277" s="340"/>
      <c r="BR277" s="340"/>
      <c r="BS277" s="341"/>
      <c r="BT277" s="342" t="s">
        <v>784</v>
      </c>
      <c r="BU277" s="343"/>
      <c r="BV277" s="343"/>
      <c r="BW277" s="343"/>
      <c r="BX277" s="343"/>
      <c r="BY277" s="343"/>
      <c r="BZ277" s="343"/>
      <c r="CA277" s="343"/>
      <c r="CB277" s="343"/>
      <c r="CC277" s="343"/>
      <c r="CD277" s="343"/>
      <c r="CE277" s="343"/>
      <c r="CF277" s="344"/>
      <c r="CG277" s="345" t="s">
        <v>826</v>
      </c>
      <c r="CH277" s="340"/>
      <c r="CI277" s="340"/>
      <c r="CJ277" s="340"/>
      <c r="CK277" s="340"/>
      <c r="CL277" s="340"/>
      <c r="CM277" s="340"/>
      <c r="CN277" s="340"/>
      <c r="CO277" s="340"/>
      <c r="CP277" s="340"/>
      <c r="CQ277" s="341"/>
      <c r="CR277" s="345"/>
      <c r="CS277" s="340"/>
      <c r="CT277" s="340"/>
      <c r="CU277" s="340"/>
      <c r="CV277" s="340"/>
      <c r="CW277" s="340"/>
      <c r="CX277" s="340"/>
      <c r="CY277" s="340"/>
      <c r="CZ277" s="340"/>
      <c r="DA277" s="340"/>
      <c r="DB277" s="340"/>
      <c r="DC277" s="340"/>
      <c r="DD277" s="341"/>
      <c r="DE277" s="346">
        <v>24000</v>
      </c>
      <c r="DF277" s="347"/>
      <c r="DG277" s="347"/>
      <c r="DH277" s="347"/>
      <c r="DI277" s="347"/>
      <c r="DJ277" s="347"/>
      <c r="DK277" s="347"/>
      <c r="DL277" s="347"/>
      <c r="DM277" s="347"/>
      <c r="DN277" s="347"/>
      <c r="DO277" s="347"/>
      <c r="DP277" s="347"/>
      <c r="DQ277" s="348"/>
      <c r="DR277" s="346">
        <v>24000</v>
      </c>
      <c r="DS277" s="347"/>
      <c r="DT277" s="347"/>
      <c r="DU277" s="347"/>
      <c r="DV277" s="347"/>
      <c r="DW277" s="347"/>
      <c r="DX277" s="347"/>
      <c r="DY277" s="347"/>
      <c r="DZ277" s="347"/>
      <c r="EA277" s="347"/>
      <c r="EB277" s="347"/>
      <c r="EC277" s="347"/>
      <c r="ED277" s="348"/>
      <c r="EE277" s="346"/>
      <c r="EF277" s="347"/>
      <c r="EG277" s="347"/>
      <c r="EH277" s="347"/>
      <c r="EI277" s="347"/>
      <c r="EJ277" s="347"/>
      <c r="EK277" s="347"/>
      <c r="EL277" s="347"/>
      <c r="EM277" s="347"/>
      <c r="EN277" s="347"/>
      <c r="EO277" s="347"/>
      <c r="EP277" s="347"/>
      <c r="EQ277" s="348"/>
      <c r="ER277" s="349"/>
      <c r="ES277" s="350"/>
      <c r="ET277" s="350"/>
      <c r="EU277" s="350"/>
      <c r="EV277" s="350"/>
      <c r="EW277" s="350"/>
      <c r="EX277" s="350"/>
      <c r="EY277" s="350"/>
      <c r="EZ277" s="350"/>
      <c r="FA277" s="350"/>
      <c r="FB277" s="351"/>
      <c r="FC277" s="352"/>
      <c r="FD277" s="353"/>
      <c r="FE277" s="353"/>
      <c r="FF277" s="353"/>
      <c r="FG277" s="353"/>
      <c r="FH277" s="353"/>
      <c r="FI277" s="353"/>
      <c r="FJ277" s="353"/>
      <c r="FK277" s="353"/>
      <c r="FL277" s="353"/>
      <c r="FO277" s="275"/>
      <c r="FP277" s="275"/>
      <c r="FQ277" s="275">
        <f t="shared" si="7"/>
        <v>24000</v>
      </c>
    </row>
    <row r="278" spans="1:174" ht="14.4" customHeight="1">
      <c r="A278" s="451" t="s">
        <v>1021</v>
      </c>
      <c r="B278" s="452"/>
      <c r="C278" s="452"/>
      <c r="D278" s="452"/>
      <c r="E278" s="452"/>
      <c r="F278" s="452"/>
      <c r="G278" s="452"/>
      <c r="H278" s="452"/>
      <c r="I278" s="452"/>
      <c r="J278" s="452"/>
      <c r="K278" s="452"/>
      <c r="L278" s="452"/>
      <c r="M278" s="452"/>
      <c r="N278" s="452"/>
      <c r="O278" s="452"/>
      <c r="P278" s="452"/>
      <c r="Q278" s="452"/>
      <c r="R278" s="452"/>
      <c r="S278" s="452"/>
      <c r="T278" s="452"/>
      <c r="U278" s="452"/>
      <c r="V278" s="452"/>
      <c r="W278" s="452"/>
      <c r="X278" s="452"/>
      <c r="Y278" s="452"/>
      <c r="Z278" s="452"/>
      <c r="AA278" s="452"/>
      <c r="AB278" s="452"/>
      <c r="AC278" s="452"/>
      <c r="AD278" s="452"/>
      <c r="AE278" s="452"/>
      <c r="AF278" s="452"/>
      <c r="AG278" s="452"/>
      <c r="AH278" s="452"/>
      <c r="AI278" s="452"/>
      <c r="AJ278" s="452"/>
      <c r="AK278" s="452"/>
      <c r="AL278" s="452"/>
      <c r="AM278" s="452"/>
      <c r="AN278" s="452"/>
      <c r="AO278" s="452"/>
      <c r="AP278" s="452"/>
      <c r="AQ278" s="452"/>
      <c r="AR278" s="452"/>
      <c r="AS278" s="452"/>
      <c r="AT278" s="452"/>
      <c r="AU278" s="452"/>
      <c r="AV278" s="452"/>
      <c r="AW278" s="452"/>
      <c r="AX278" s="452"/>
      <c r="AY278" s="452"/>
      <c r="AZ278" s="452"/>
      <c r="BA278" s="452"/>
      <c r="BB278" s="452"/>
      <c r="BC278" s="452"/>
      <c r="BD278" s="452"/>
      <c r="BE278" s="452"/>
      <c r="BF278" s="452"/>
      <c r="BG278" s="452"/>
      <c r="BH278" s="452"/>
      <c r="BI278" s="452"/>
      <c r="BJ278" s="452"/>
      <c r="BK278" s="453"/>
      <c r="BL278" s="339"/>
      <c r="BM278" s="340"/>
      <c r="BN278" s="340"/>
      <c r="BO278" s="340"/>
      <c r="BP278" s="340"/>
      <c r="BQ278" s="340"/>
      <c r="BR278" s="340"/>
      <c r="BS278" s="341"/>
      <c r="BT278" s="342" t="s">
        <v>784</v>
      </c>
      <c r="BU278" s="343"/>
      <c r="BV278" s="343"/>
      <c r="BW278" s="343"/>
      <c r="BX278" s="343"/>
      <c r="BY278" s="343"/>
      <c r="BZ278" s="343"/>
      <c r="CA278" s="343"/>
      <c r="CB278" s="343"/>
      <c r="CC278" s="343"/>
      <c r="CD278" s="343"/>
      <c r="CE278" s="343"/>
      <c r="CF278" s="344"/>
      <c r="CG278" s="345" t="s">
        <v>827</v>
      </c>
      <c r="CH278" s="340"/>
      <c r="CI278" s="340"/>
      <c r="CJ278" s="340"/>
      <c r="CK278" s="340"/>
      <c r="CL278" s="340"/>
      <c r="CM278" s="340"/>
      <c r="CN278" s="340"/>
      <c r="CO278" s="340"/>
      <c r="CP278" s="340"/>
      <c r="CQ278" s="341"/>
      <c r="CR278" s="345"/>
      <c r="CS278" s="340"/>
      <c r="CT278" s="340"/>
      <c r="CU278" s="340"/>
      <c r="CV278" s="340"/>
      <c r="CW278" s="340"/>
      <c r="CX278" s="340"/>
      <c r="CY278" s="340"/>
      <c r="CZ278" s="340"/>
      <c r="DA278" s="340"/>
      <c r="DB278" s="340"/>
      <c r="DC278" s="340"/>
      <c r="DD278" s="341"/>
      <c r="DE278" s="346">
        <v>0</v>
      </c>
      <c r="DF278" s="347"/>
      <c r="DG278" s="347"/>
      <c r="DH278" s="347"/>
      <c r="DI278" s="347"/>
      <c r="DJ278" s="347"/>
      <c r="DK278" s="347"/>
      <c r="DL278" s="347"/>
      <c r="DM278" s="347"/>
      <c r="DN278" s="347"/>
      <c r="DO278" s="347"/>
      <c r="DP278" s="347"/>
      <c r="DQ278" s="348"/>
      <c r="DR278" s="425">
        <f>10000-10000</f>
        <v>0</v>
      </c>
      <c r="DS278" s="426"/>
      <c r="DT278" s="426"/>
      <c r="DU278" s="426"/>
      <c r="DV278" s="426"/>
      <c r="DW278" s="426"/>
      <c r="DX278" s="426"/>
      <c r="DY278" s="426"/>
      <c r="DZ278" s="426"/>
      <c r="EA278" s="426"/>
      <c r="EB278" s="426"/>
      <c r="EC278" s="426"/>
      <c r="ED278" s="427"/>
      <c r="EE278" s="346"/>
      <c r="EF278" s="347"/>
      <c r="EG278" s="347"/>
      <c r="EH278" s="347"/>
      <c r="EI278" s="347"/>
      <c r="EJ278" s="347"/>
      <c r="EK278" s="347"/>
      <c r="EL278" s="347"/>
      <c r="EM278" s="347"/>
      <c r="EN278" s="347"/>
      <c r="EO278" s="347"/>
      <c r="EP278" s="347"/>
      <c r="EQ278" s="348"/>
      <c r="ER278" s="349"/>
      <c r="ES278" s="350"/>
      <c r="ET278" s="350"/>
      <c r="EU278" s="350"/>
      <c r="EV278" s="350"/>
      <c r="EW278" s="350"/>
      <c r="EX278" s="350"/>
      <c r="EY278" s="350"/>
      <c r="EZ278" s="350"/>
      <c r="FA278" s="350"/>
      <c r="FB278" s="351"/>
      <c r="FC278" s="352"/>
      <c r="FD278" s="353"/>
      <c r="FE278" s="353"/>
      <c r="FF278" s="353"/>
      <c r="FG278" s="353"/>
      <c r="FH278" s="353"/>
      <c r="FI278" s="353"/>
      <c r="FJ278" s="353"/>
      <c r="FK278" s="353"/>
      <c r="FL278" s="353"/>
      <c r="FO278" s="275"/>
      <c r="FP278" s="275"/>
      <c r="FQ278" s="275">
        <f t="shared" si="7"/>
        <v>0</v>
      </c>
    </row>
    <row r="279" spans="1:174" ht="25.2" customHeight="1">
      <c r="A279" s="451" t="s">
        <v>1019</v>
      </c>
      <c r="B279" s="452"/>
      <c r="C279" s="452"/>
      <c r="D279" s="452"/>
      <c r="E279" s="452"/>
      <c r="F279" s="452"/>
      <c r="G279" s="452"/>
      <c r="H279" s="452"/>
      <c r="I279" s="452"/>
      <c r="J279" s="452"/>
      <c r="K279" s="452"/>
      <c r="L279" s="452"/>
      <c r="M279" s="452"/>
      <c r="N279" s="452"/>
      <c r="O279" s="452"/>
      <c r="P279" s="452"/>
      <c r="Q279" s="452"/>
      <c r="R279" s="452"/>
      <c r="S279" s="452"/>
      <c r="T279" s="452"/>
      <c r="U279" s="452"/>
      <c r="V279" s="452"/>
      <c r="W279" s="452"/>
      <c r="X279" s="452"/>
      <c r="Y279" s="452"/>
      <c r="Z279" s="452"/>
      <c r="AA279" s="452"/>
      <c r="AB279" s="452"/>
      <c r="AC279" s="452"/>
      <c r="AD279" s="452"/>
      <c r="AE279" s="452"/>
      <c r="AF279" s="452"/>
      <c r="AG279" s="452"/>
      <c r="AH279" s="452"/>
      <c r="AI279" s="452"/>
      <c r="AJ279" s="452"/>
      <c r="AK279" s="452"/>
      <c r="AL279" s="452"/>
      <c r="AM279" s="452"/>
      <c r="AN279" s="452"/>
      <c r="AO279" s="452"/>
      <c r="AP279" s="452"/>
      <c r="AQ279" s="452"/>
      <c r="AR279" s="452"/>
      <c r="AS279" s="452"/>
      <c r="AT279" s="452"/>
      <c r="AU279" s="452"/>
      <c r="AV279" s="452"/>
      <c r="AW279" s="452"/>
      <c r="AX279" s="452"/>
      <c r="AY279" s="452"/>
      <c r="AZ279" s="452"/>
      <c r="BA279" s="452"/>
      <c r="BB279" s="452"/>
      <c r="BC279" s="452"/>
      <c r="BD279" s="452"/>
      <c r="BE279" s="452"/>
      <c r="BF279" s="452"/>
      <c r="BG279" s="452"/>
      <c r="BH279" s="452"/>
      <c r="BI279" s="452"/>
      <c r="BJ279" s="452"/>
      <c r="BK279" s="453"/>
      <c r="BL279" s="339"/>
      <c r="BM279" s="340"/>
      <c r="BN279" s="340"/>
      <c r="BO279" s="340"/>
      <c r="BP279" s="340"/>
      <c r="BQ279" s="340"/>
      <c r="BR279" s="340"/>
      <c r="BS279" s="341"/>
      <c r="BT279" s="342" t="s">
        <v>784</v>
      </c>
      <c r="BU279" s="343"/>
      <c r="BV279" s="343"/>
      <c r="BW279" s="343"/>
      <c r="BX279" s="343"/>
      <c r="BY279" s="343"/>
      <c r="BZ279" s="343"/>
      <c r="CA279" s="343"/>
      <c r="CB279" s="343"/>
      <c r="CC279" s="343"/>
      <c r="CD279" s="343"/>
      <c r="CE279" s="343"/>
      <c r="CF279" s="344"/>
      <c r="CG279" s="345" t="s">
        <v>827</v>
      </c>
      <c r="CH279" s="340"/>
      <c r="CI279" s="340"/>
      <c r="CJ279" s="340"/>
      <c r="CK279" s="340"/>
      <c r="CL279" s="340"/>
      <c r="CM279" s="340"/>
      <c r="CN279" s="340"/>
      <c r="CO279" s="340"/>
      <c r="CP279" s="340"/>
      <c r="CQ279" s="341"/>
      <c r="CR279" s="345"/>
      <c r="CS279" s="340"/>
      <c r="CT279" s="340"/>
      <c r="CU279" s="340"/>
      <c r="CV279" s="340"/>
      <c r="CW279" s="340"/>
      <c r="CX279" s="340"/>
      <c r="CY279" s="340"/>
      <c r="CZ279" s="340"/>
      <c r="DA279" s="340"/>
      <c r="DB279" s="340"/>
      <c r="DC279" s="340"/>
      <c r="DD279" s="341"/>
      <c r="DE279" s="346">
        <f>16000</f>
        <v>16000</v>
      </c>
      <c r="DF279" s="347"/>
      <c r="DG279" s="347"/>
      <c r="DH279" s="347"/>
      <c r="DI279" s="347"/>
      <c r="DJ279" s="347"/>
      <c r="DK279" s="347"/>
      <c r="DL279" s="347"/>
      <c r="DM279" s="347"/>
      <c r="DN279" s="347"/>
      <c r="DO279" s="347"/>
      <c r="DP279" s="347"/>
      <c r="DQ279" s="348"/>
      <c r="DR279" s="346">
        <f>30390</f>
        <v>30390</v>
      </c>
      <c r="DS279" s="347"/>
      <c r="DT279" s="347"/>
      <c r="DU279" s="347"/>
      <c r="DV279" s="347"/>
      <c r="DW279" s="347"/>
      <c r="DX279" s="347"/>
      <c r="DY279" s="347"/>
      <c r="DZ279" s="347"/>
      <c r="EA279" s="347"/>
      <c r="EB279" s="347"/>
      <c r="EC279" s="347"/>
      <c r="ED279" s="348"/>
      <c r="EE279" s="346"/>
      <c r="EF279" s="347"/>
      <c r="EG279" s="347"/>
      <c r="EH279" s="347"/>
      <c r="EI279" s="347"/>
      <c r="EJ279" s="347"/>
      <c r="EK279" s="347"/>
      <c r="EL279" s="347"/>
      <c r="EM279" s="347"/>
      <c r="EN279" s="347"/>
      <c r="EO279" s="347"/>
      <c r="EP279" s="347"/>
      <c r="EQ279" s="348"/>
      <c r="ER279" s="349"/>
      <c r="ES279" s="350"/>
      <c r="ET279" s="350"/>
      <c r="EU279" s="350"/>
      <c r="EV279" s="350"/>
      <c r="EW279" s="350"/>
      <c r="EX279" s="350"/>
      <c r="EY279" s="350"/>
      <c r="EZ279" s="350"/>
      <c r="FA279" s="350"/>
      <c r="FB279" s="351"/>
      <c r="FC279" s="352"/>
      <c r="FD279" s="353"/>
      <c r="FE279" s="353"/>
      <c r="FF279" s="353"/>
      <c r="FG279" s="353"/>
      <c r="FH279" s="353"/>
      <c r="FI279" s="353"/>
      <c r="FJ279" s="353"/>
      <c r="FK279" s="353"/>
      <c r="FL279" s="353"/>
      <c r="FO279" s="275">
        <f>27600</f>
        <v>27600</v>
      </c>
      <c r="FP279" s="275">
        <f>27600</f>
        <v>27600</v>
      </c>
      <c r="FQ279" s="275">
        <f t="shared" si="7"/>
        <v>-24810</v>
      </c>
      <c r="FR279" s="1" t="s">
        <v>1071</v>
      </c>
    </row>
    <row r="280" spans="1:174" ht="12" customHeight="1">
      <c r="A280" s="451" t="s">
        <v>611</v>
      </c>
      <c r="B280" s="452"/>
      <c r="C280" s="452"/>
      <c r="D280" s="452"/>
      <c r="E280" s="452"/>
      <c r="F280" s="452"/>
      <c r="G280" s="452"/>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52"/>
      <c r="AK280" s="452"/>
      <c r="AL280" s="452"/>
      <c r="AM280" s="452"/>
      <c r="AN280" s="452"/>
      <c r="AO280" s="452"/>
      <c r="AP280" s="452"/>
      <c r="AQ280" s="452"/>
      <c r="AR280" s="452"/>
      <c r="AS280" s="452"/>
      <c r="AT280" s="452"/>
      <c r="AU280" s="452"/>
      <c r="AV280" s="452"/>
      <c r="AW280" s="452"/>
      <c r="AX280" s="452"/>
      <c r="AY280" s="452"/>
      <c r="AZ280" s="452"/>
      <c r="BA280" s="452"/>
      <c r="BB280" s="452"/>
      <c r="BC280" s="452"/>
      <c r="BD280" s="452"/>
      <c r="BE280" s="452"/>
      <c r="BF280" s="452"/>
      <c r="BG280" s="452"/>
      <c r="BH280" s="452"/>
      <c r="BI280" s="452"/>
      <c r="BJ280" s="452"/>
      <c r="BK280" s="453"/>
      <c r="BL280" s="339"/>
      <c r="BM280" s="340"/>
      <c r="BN280" s="340"/>
      <c r="BO280" s="340"/>
      <c r="BP280" s="340"/>
      <c r="BQ280" s="340"/>
      <c r="BR280" s="340"/>
      <c r="BS280" s="341"/>
      <c r="BT280" s="342" t="s">
        <v>784</v>
      </c>
      <c r="BU280" s="343"/>
      <c r="BV280" s="343"/>
      <c r="BW280" s="343"/>
      <c r="BX280" s="343"/>
      <c r="BY280" s="343"/>
      <c r="BZ280" s="343"/>
      <c r="CA280" s="343"/>
      <c r="CB280" s="343"/>
      <c r="CC280" s="343"/>
      <c r="CD280" s="343"/>
      <c r="CE280" s="343"/>
      <c r="CF280" s="344"/>
      <c r="CG280" s="345" t="s">
        <v>827</v>
      </c>
      <c r="CH280" s="340"/>
      <c r="CI280" s="340"/>
      <c r="CJ280" s="340"/>
      <c r="CK280" s="340"/>
      <c r="CL280" s="340"/>
      <c r="CM280" s="340"/>
      <c r="CN280" s="340"/>
      <c r="CO280" s="340"/>
      <c r="CP280" s="340"/>
      <c r="CQ280" s="341"/>
      <c r="CR280" s="345"/>
      <c r="CS280" s="340"/>
      <c r="CT280" s="340"/>
      <c r="CU280" s="340"/>
      <c r="CV280" s="340"/>
      <c r="CW280" s="340"/>
      <c r="CX280" s="340"/>
      <c r="CY280" s="340"/>
      <c r="CZ280" s="340"/>
      <c r="DA280" s="340"/>
      <c r="DB280" s="340"/>
      <c r="DC280" s="340"/>
      <c r="DD280" s="341"/>
      <c r="DE280" s="346">
        <f>10020-3050-1170</f>
        <v>5800</v>
      </c>
      <c r="DF280" s="347"/>
      <c r="DG280" s="347"/>
      <c r="DH280" s="347"/>
      <c r="DI280" s="347"/>
      <c r="DJ280" s="347"/>
      <c r="DK280" s="347"/>
      <c r="DL280" s="347"/>
      <c r="DM280" s="347"/>
      <c r="DN280" s="347"/>
      <c r="DO280" s="347"/>
      <c r="DP280" s="347"/>
      <c r="DQ280" s="348"/>
      <c r="DR280" s="346">
        <v>12000</v>
      </c>
      <c r="DS280" s="347"/>
      <c r="DT280" s="347"/>
      <c r="DU280" s="347"/>
      <c r="DV280" s="347"/>
      <c r="DW280" s="347"/>
      <c r="DX280" s="347"/>
      <c r="DY280" s="347"/>
      <c r="DZ280" s="347"/>
      <c r="EA280" s="347"/>
      <c r="EB280" s="347"/>
      <c r="EC280" s="347"/>
      <c r="ED280" s="348"/>
      <c r="EE280" s="346"/>
      <c r="EF280" s="347"/>
      <c r="EG280" s="347"/>
      <c r="EH280" s="347"/>
      <c r="EI280" s="347"/>
      <c r="EJ280" s="347"/>
      <c r="EK280" s="347"/>
      <c r="EL280" s="347"/>
      <c r="EM280" s="347"/>
      <c r="EN280" s="347"/>
      <c r="EO280" s="347"/>
      <c r="EP280" s="347"/>
      <c r="EQ280" s="348"/>
      <c r="ER280" s="349"/>
      <c r="ES280" s="350"/>
      <c r="ET280" s="350"/>
      <c r="EU280" s="350"/>
      <c r="EV280" s="350"/>
      <c r="EW280" s="350"/>
      <c r="EX280" s="350"/>
      <c r="EY280" s="350"/>
      <c r="EZ280" s="350"/>
      <c r="FA280" s="350"/>
      <c r="FB280" s="351"/>
      <c r="FC280" s="352"/>
      <c r="FD280" s="353"/>
      <c r="FE280" s="353"/>
      <c r="FF280" s="353"/>
      <c r="FG280" s="353"/>
      <c r="FH280" s="353"/>
      <c r="FI280" s="353"/>
      <c r="FJ280" s="353"/>
      <c r="FK280" s="353"/>
      <c r="FL280" s="353"/>
      <c r="FO280" s="275"/>
      <c r="FP280" s="275"/>
      <c r="FQ280" s="275">
        <f t="shared" si="7"/>
        <v>12000</v>
      </c>
    </row>
    <row r="281" spans="1:174" ht="12" customHeight="1">
      <c r="A281" s="451" t="s">
        <v>841</v>
      </c>
      <c r="B281" s="452"/>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452"/>
      <c r="BA281" s="452"/>
      <c r="BB281" s="452"/>
      <c r="BC281" s="452"/>
      <c r="BD281" s="452"/>
      <c r="BE281" s="452"/>
      <c r="BF281" s="452"/>
      <c r="BG281" s="452"/>
      <c r="BH281" s="452"/>
      <c r="BI281" s="452"/>
      <c r="BJ281" s="452"/>
      <c r="BK281" s="453"/>
      <c r="BL281" s="339"/>
      <c r="BM281" s="340"/>
      <c r="BN281" s="340"/>
      <c r="BO281" s="340"/>
      <c r="BP281" s="340"/>
      <c r="BQ281" s="340"/>
      <c r="BR281" s="340"/>
      <c r="BS281" s="341"/>
      <c r="BT281" s="342" t="s">
        <v>784</v>
      </c>
      <c r="BU281" s="343"/>
      <c r="BV281" s="343"/>
      <c r="BW281" s="343"/>
      <c r="BX281" s="343"/>
      <c r="BY281" s="343"/>
      <c r="BZ281" s="343"/>
      <c r="CA281" s="343"/>
      <c r="CB281" s="343"/>
      <c r="CC281" s="343"/>
      <c r="CD281" s="343"/>
      <c r="CE281" s="343"/>
      <c r="CF281" s="344"/>
      <c r="CG281" s="345" t="s">
        <v>772</v>
      </c>
      <c r="CH281" s="340"/>
      <c r="CI281" s="340"/>
      <c r="CJ281" s="340"/>
      <c r="CK281" s="340"/>
      <c r="CL281" s="340"/>
      <c r="CM281" s="340"/>
      <c r="CN281" s="340"/>
      <c r="CO281" s="340"/>
      <c r="CP281" s="340"/>
      <c r="CQ281" s="341"/>
      <c r="CR281" s="345"/>
      <c r="CS281" s="340"/>
      <c r="CT281" s="340"/>
      <c r="CU281" s="340"/>
      <c r="CV281" s="340"/>
      <c r="CW281" s="340"/>
      <c r="CX281" s="340"/>
      <c r="CY281" s="340"/>
      <c r="CZ281" s="340"/>
      <c r="DA281" s="340"/>
      <c r="DB281" s="340"/>
      <c r="DC281" s="340"/>
      <c r="DD281" s="341"/>
      <c r="DE281" s="346">
        <f>20000-2397.95</f>
        <v>17602.05</v>
      </c>
      <c r="DF281" s="347"/>
      <c r="DG281" s="347"/>
      <c r="DH281" s="347"/>
      <c r="DI281" s="347"/>
      <c r="DJ281" s="347"/>
      <c r="DK281" s="347"/>
      <c r="DL281" s="347"/>
      <c r="DM281" s="347"/>
      <c r="DN281" s="347"/>
      <c r="DO281" s="347"/>
      <c r="DP281" s="347"/>
      <c r="DQ281" s="348"/>
      <c r="DR281" s="346">
        <v>26800</v>
      </c>
      <c r="DS281" s="347"/>
      <c r="DT281" s="347"/>
      <c r="DU281" s="347"/>
      <c r="DV281" s="347"/>
      <c r="DW281" s="347"/>
      <c r="DX281" s="347"/>
      <c r="DY281" s="347"/>
      <c r="DZ281" s="347"/>
      <c r="EA281" s="347"/>
      <c r="EB281" s="347"/>
      <c r="EC281" s="347"/>
      <c r="ED281" s="348"/>
      <c r="EE281" s="346"/>
      <c r="EF281" s="347"/>
      <c r="EG281" s="347"/>
      <c r="EH281" s="347"/>
      <c r="EI281" s="347"/>
      <c r="EJ281" s="347"/>
      <c r="EK281" s="347"/>
      <c r="EL281" s="347"/>
      <c r="EM281" s="347"/>
      <c r="EN281" s="347"/>
      <c r="EO281" s="347"/>
      <c r="EP281" s="347"/>
      <c r="EQ281" s="348"/>
      <c r="ER281" s="349"/>
      <c r="ES281" s="350"/>
      <c r="ET281" s="350"/>
      <c r="EU281" s="350"/>
      <c r="EV281" s="350"/>
      <c r="EW281" s="350"/>
      <c r="EX281" s="350"/>
      <c r="EY281" s="350"/>
      <c r="EZ281" s="350"/>
      <c r="FA281" s="350"/>
      <c r="FB281" s="351"/>
      <c r="FC281" s="352"/>
      <c r="FD281" s="353"/>
      <c r="FE281" s="353"/>
      <c r="FF281" s="353"/>
      <c r="FG281" s="353"/>
      <c r="FH281" s="353"/>
      <c r="FI281" s="353"/>
      <c r="FJ281" s="353"/>
      <c r="FK281" s="353"/>
      <c r="FL281" s="353"/>
      <c r="FO281" s="275"/>
      <c r="FP281" s="275"/>
      <c r="FQ281" s="275">
        <f t="shared" si="7"/>
        <v>26800</v>
      </c>
    </row>
    <row r="282" spans="1:174" ht="12" customHeight="1">
      <c r="A282" s="451" t="s">
        <v>362</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3"/>
      <c r="BL282" s="339"/>
      <c r="BM282" s="340"/>
      <c r="BN282" s="340"/>
      <c r="BO282" s="340"/>
      <c r="BP282" s="340"/>
      <c r="BQ282" s="340"/>
      <c r="BR282" s="340"/>
      <c r="BS282" s="341"/>
      <c r="BT282" s="342" t="s">
        <v>784</v>
      </c>
      <c r="BU282" s="343"/>
      <c r="BV282" s="343"/>
      <c r="BW282" s="343"/>
      <c r="BX282" s="343"/>
      <c r="BY282" s="343"/>
      <c r="BZ282" s="343"/>
      <c r="CA282" s="343"/>
      <c r="CB282" s="343"/>
      <c r="CC282" s="343"/>
      <c r="CD282" s="343"/>
      <c r="CE282" s="343"/>
      <c r="CF282" s="344"/>
      <c r="CG282" s="345" t="s">
        <v>772</v>
      </c>
      <c r="CH282" s="340"/>
      <c r="CI282" s="340"/>
      <c r="CJ282" s="340"/>
      <c r="CK282" s="340"/>
      <c r="CL282" s="340"/>
      <c r="CM282" s="340"/>
      <c r="CN282" s="340"/>
      <c r="CO282" s="340"/>
      <c r="CP282" s="340"/>
      <c r="CQ282" s="341"/>
      <c r="CR282" s="345"/>
      <c r="CS282" s="340"/>
      <c r="CT282" s="340"/>
      <c r="CU282" s="340"/>
      <c r="CV282" s="340"/>
      <c r="CW282" s="340"/>
      <c r="CX282" s="340"/>
      <c r="CY282" s="340"/>
      <c r="CZ282" s="340"/>
      <c r="DA282" s="340"/>
      <c r="DB282" s="340"/>
      <c r="DC282" s="340"/>
      <c r="DD282" s="341"/>
      <c r="DE282" s="346">
        <f>85526+5070-3647</f>
        <v>86949</v>
      </c>
      <c r="DF282" s="347"/>
      <c r="DG282" s="347"/>
      <c r="DH282" s="347"/>
      <c r="DI282" s="347"/>
      <c r="DJ282" s="347"/>
      <c r="DK282" s="347"/>
      <c r="DL282" s="347"/>
      <c r="DM282" s="347"/>
      <c r="DN282" s="347"/>
      <c r="DO282" s="347"/>
      <c r="DP282" s="347"/>
      <c r="DQ282" s="348"/>
      <c r="DR282" s="346">
        <v>113050</v>
      </c>
      <c r="DS282" s="347"/>
      <c r="DT282" s="347"/>
      <c r="DU282" s="347"/>
      <c r="DV282" s="347"/>
      <c r="DW282" s="347"/>
      <c r="DX282" s="347"/>
      <c r="DY282" s="347"/>
      <c r="DZ282" s="347"/>
      <c r="EA282" s="347"/>
      <c r="EB282" s="347"/>
      <c r="EC282" s="347"/>
      <c r="ED282" s="348"/>
      <c r="EE282" s="346"/>
      <c r="EF282" s="347"/>
      <c r="EG282" s="347"/>
      <c r="EH282" s="347"/>
      <c r="EI282" s="347"/>
      <c r="EJ282" s="347"/>
      <c r="EK282" s="347"/>
      <c r="EL282" s="347"/>
      <c r="EM282" s="347"/>
      <c r="EN282" s="347"/>
      <c r="EO282" s="347"/>
      <c r="EP282" s="347"/>
      <c r="EQ282" s="348"/>
      <c r="ER282" s="349"/>
      <c r="ES282" s="350"/>
      <c r="ET282" s="350"/>
      <c r="EU282" s="350"/>
      <c r="EV282" s="350"/>
      <c r="EW282" s="350"/>
      <c r="EX282" s="350"/>
      <c r="EY282" s="350"/>
      <c r="EZ282" s="350"/>
      <c r="FA282" s="350"/>
      <c r="FB282" s="351"/>
      <c r="FC282" s="352"/>
      <c r="FD282" s="353"/>
      <c r="FE282" s="353"/>
      <c r="FF282" s="353"/>
      <c r="FG282" s="353"/>
      <c r="FH282" s="353"/>
      <c r="FI282" s="353"/>
      <c r="FJ282" s="353"/>
      <c r="FK282" s="353"/>
      <c r="FL282" s="353"/>
      <c r="FO282" s="275"/>
      <c r="FP282" s="275"/>
      <c r="FQ282" s="275">
        <f t="shared" si="7"/>
        <v>113050</v>
      </c>
    </row>
    <row r="283" spans="1:174" ht="15.6" customHeight="1">
      <c r="A283" s="451" t="s">
        <v>612</v>
      </c>
      <c r="B283" s="452"/>
      <c r="C283" s="452"/>
      <c r="D283" s="452"/>
      <c r="E283" s="452"/>
      <c r="F283" s="452"/>
      <c r="G283" s="452"/>
      <c r="H283" s="452"/>
      <c r="I283" s="452"/>
      <c r="J283" s="452"/>
      <c r="K283" s="452"/>
      <c r="L283" s="452"/>
      <c r="M283" s="452"/>
      <c r="N283" s="452"/>
      <c r="O283" s="452"/>
      <c r="P283" s="452"/>
      <c r="Q283" s="452"/>
      <c r="R283" s="452"/>
      <c r="S283" s="452"/>
      <c r="T283" s="452"/>
      <c r="U283" s="452"/>
      <c r="V283" s="452"/>
      <c r="W283" s="452"/>
      <c r="X283" s="452"/>
      <c r="Y283" s="452"/>
      <c r="Z283" s="452"/>
      <c r="AA283" s="452"/>
      <c r="AB283" s="452"/>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452"/>
      <c r="BA283" s="452"/>
      <c r="BB283" s="452"/>
      <c r="BC283" s="452"/>
      <c r="BD283" s="452"/>
      <c r="BE283" s="452"/>
      <c r="BF283" s="452"/>
      <c r="BG283" s="452"/>
      <c r="BH283" s="452"/>
      <c r="BI283" s="452"/>
      <c r="BJ283" s="452"/>
      <c r="BK283" s="453"/>
      <c r="BL283" s="339"/>
      <c r="BM283" s="340"/>
      <c r="BN283" s="340"/>
      <c r="BO283" s="340"/>
      <c r="BP283" s="340"/>
      <c r="BQ283" s="340"/>
      <c r="BR283" s="340"/>
      <c r="BS283" s="341"/>
      <c r="BT283" s="342" t="s">
        <v>784</v>
      </c>
      <c r="BU283" s="343"/>
      <c r="BV283" s="343"/>
      <c r="BW283" s="343"/>
      <c r="BX283" s="343"/>
      <c r="BY283" s="343"/>
      <c r="BZ283" s="343"/>
      <c r="CA283" s="343"/>
      <c r="CB283" s="343"/>
      <c r="CC283" s="343"/>
      <c r="CD283" s="343"/>
      <c r="CE283" s="343"/>
      <c r="CF283" s="344"/>
      <c r="CG283" s="345" t="s">
        <v>772</v>
      </c>
      <c r="CH283" s="340"/>
      <c r="CI283" s="340"/>
      <c r="CJ283" s="340"/>
      <c r="CK283" s="340"/>
      <c r="CL283" s="340"/>
      <c r="CM283" s="340"/>
      <c r="CN283" s="340"/>
      <c r="CO283" s="340"/>
      <c r="CP283" s="340"/>
      <c r="CQ283" s="341"/>
      <c r="CR283" s="345"/>
      <c r="CS283" s="340"/>
      <c r="CT283" s="340"/>
      <c r="CU283" s="340"/>
      <c r="CV283" s="340"/>
      <c r="CW283" s="340"/>
      <c r="CX283" s="340"/>
      <c r="CY283" s="340"/>
      <c r="CZ283" s="340"/>
      <c r="DA283" s="340"/>
      <c r="DB283" s="340"/>
      <c r="DC283" s="340"/>
      <c r="DD283" s="341"/>
      <c r="DE283" s="346">
        <f>9975-3084.6</f>
        <v>6890.4</v>
      </c>
      <c r="DF283" s="347"/>
      <c r="DG283" s="347"/>
      <c r="DH283" s="347"/>
      <c r="DI283" s="347"/>
      <c r="DJ283" s="347"/>
      <c r="DK283" s="347"/>
      <c r="DL283" s="347"/>
      <c r="DM283" s="347"/>
      <c r="DN283" s="347"/>
      <c r="DO283" s="347"/>
      <c r="DP283" s="347"/>
      <c r="DQ283" s="348"/>
      <c r="DR283" s="346">
        <v>7000</v>
      </c>
      <c r="DS283" s="347"/>
      <c r="DT283" s="347"/>
      <c r="DU283" s="347"/>
      <c r="DV283" s="347"/>
      <c r="DW283" s="347"/>
      <c r="DX283" s="347"/>
      <c r="DY283" s="347"/>
      <c r="DZ283" s="347"/>
      <c r="EA283" s="347"/>
      <c r="EB283" s="347"/>
      <c r="EC283" s="347"/>
      <c r="ED283" s="348"/>
      <c r="EE283" s="346"/>
      <c r="EF283" s="347"/>
      <c r="EG283" s="347"/>
      <c r="EH283" s="347"/>
      <c r="EI283" s="347"/>
      <c r="EJ283" s="347"/>
      <c r="EK283" s="347"/>
      <c r="EL283" s="347"/>
      <c r="EM283" s="347"/>
      <c r="EN283" s="347"/>
      <c r="EO283" s="347"/>
      <c r="EP283" s="347"/>
      <c r="EQ283" s="348"/>
      <c r="ER283" s="349"/>
      <c r="ES283" s="350"/>
      <c r="ET283" s="350"/>
      <c r="EU283" s="350"/>
      <c r="EV283" s="350"/>
      <c r="EW283" s="350"/>
      <c r="EX283" s="350"/>
      <c r="EY283" s="350"/>
      <c r="EZ283" s="350"/>
      <c r="FA283" s="350"/>
      <c r="FB283" s="351"/>
      <c r="FC283" s="352"/>
      <c r="FD283" s="353"/>
      <c r="FE283" s="353"/>
      <c r="FF283" s="353"/>
      <c r="FG283" s="353"/>
      <c r="FH283" s="353"/>
      <c r="FI283" s="353"/>
      <c r="FJ283" s="353"/>
      <c r="FK283" s="353"/>
      <c r="FL283" s="353"/>
      <c r="FO283" s="275"/>
      <c r="FP283" s="275"/>
      <c r="FQ283" s="275">
        <f t="shared" si="7"/>
        <v>7000</v>
      </c>
    </row>
    <row r="284" spans="1:174" ht="13.95" customHeight="1">
      <c r="A284" s="451" t="s">
        <v>842</v>
      </c>
      <c r="B284" s="452"/>
      <c r="C284" s="452"/>
      <c r="D284" s="452"/>
      <c r="E284" s="452"/>
      <c r="F284" s="452"/>
      <c r="G284" s="452"/>
      <c r="H284" s="452"/>
      <c r="I284" s="452"/>
      <c r="J284" s="452"/>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c r="AG284" s="452"/>
      <c r="AH284" s="452"/>
      <c r="AI284" s="452"/>
      <c r="AJ284" s="452"/>
      <c r="AK284" s="452"/>
      <c r="AL284" s="452"/>
      <c r="AM284" s="452"/>
      <c r="AN284" s="452"/>
      <c r="AO284" s="452"/>
      <c r="AP284" s="452"/>
      <c r="AQ284" s="452"/>
      <c r="AR284" s="452"/>
      <c r="AS284" s="452"/>
      <c r="AT284" s="452"/>
      <c r="AU284" s="452"/>
      <c r="AV284" s="452"/>
      <c r="AW284" s="452"/>
      <c r="AX284" s="452"/>
      <c r="AY284" s="452"/>
      <c r="AZ284" s="452"/>
      <c r="BA284" s="452"/>
      <c r="BB284" s="452"/>
      <c r="BC284" s="452"/>
      <c r="BD284" s="452"/>
      <c r="BE284" s="452"/>
      <c r="BF284" s="452"/>
      <c r="BG284" s="452"/>
      <c r="BH284" s="452"/>
      <c r="BI284" s="452"/>
      <c r="BJ284" s="452"/>
      <c r="BK284" s="453"/>
      <c r="BL284" s="339"/>
      <c r="BM284" s="340"/>
      <c r="BN284" s="340"/>
      <c r="BO284" s="340"/>
      <c r="BP284" s="340"/>
      <c r="BQ284" s="340"/>
      <c r="BR284" s="340"/>
      <c r="BS284" s="341"/>
      <c r="BT284" s="342" t="s">
        <v>784</v>
      </c>
      <c r="BU284" s="343"/>
      <c r="BV284" s="343"/>
      <c r="BW284" s="343"/>
      <c r="BX284" s="343"/>
      <c r="BY284" s="343"/>
      <c r="BZ284" s="343"/>
      <c r="CA284" s="343"/>
      <c r="CB284" s="343"/>
      <c r="CC284" s="343"/>
      <c r="CD284" s="343"/>
      <c r="CE284" s="343"/>
      <c r="CF284" s="344"/>
      <c r="CG284" s="345" t="s">
        <v>772</v>
      </c>
      <c r="CH284" s="340"/>
      <c r="CI284" s="340"/>
      <c r="CJ284" s="340"/>
      <c r="CK284" s="340"/>
      <c r="CL284" s="340"/>
      <c r="CM284" s="340"/>
      <c r="CN284" s="340"/>
      <c r="CO284" s="340"/>
      <c r="CP284" s="340"/>
      <c r="CQ284" s="341"/>
      <c r="CR284" s="345"/>
      <c r="CS284" s="340"/>
      <c r="CT284" s="340"/>
      <c r="CU284" s="340"/>
      <c r="CV284" s="340"/>
      <c r="CW284" s="340"/>
      <c r="CX284" s="340"/>
      <c r="CY284" s="340"/>
      <c r="CZ284" s="340"/>
      <c r="DA284" s="340"/>
      <c r="DB284" s="340"/>
      <c r="DC284" s="340"/>
      <c r="DD284" s="341"/>
      <c r="DE284" s="346">
        <f>33852-33852</f>
        <v>0</v>
      </c>
      <c r="DF284" s="347"/>
      <c r="DG284" s="347"/>
      <c r="DH284" s="347"/>
      <c r="DI284" s="347"/>
      <c r="DJ284" s="347"/>
      <c r="DK284" s="347"/>
      <c r="DL284" s="347"/>
      <c r="DM284" s="347"/>
      <c r="DN284" s="347"/>
      <c r="DO284" s="347"/>
      <c r="DP284" s="347"/>
      <c r="DQ284" s="348"/>
      <c r="DR284" s="346">
        <v>35210</v>
      </c>
      <c r="DS284" s="347"/>
      <c r="DT284" s="347"/>
      <c r="DU284" s="347"/>
      <c r="DV284" s="347"/>
      <c r="DW284" s="347"/>
      <c r="DX284" s="347"/>
      <c r="DY284" s="347"/>
      <c r="DZ284" s="347"/>
      <c r="EA284" s="347"/>
      <c r="EB284" s="347"/>
      <c r="EC284" s="347"/>
      <c r="ED284" s="348"/>
      <c r="EE284" s="346"/>
      <c r="EF284" s="347"/>
      <c r="EG284" s="347"/>
      <c r="EH284" s="347"/>
      <c r="EI284" s="347"/>
      <c r="EJ284" s="347"/>
      <c r="EK284" s="347"/>
      <c r="EL284" s="347"/>
      <c r="EM284" s="347"/>
      <c r="EN284" s="347"/>
      <c r="EO284" s="347"/>
      <c r="EP284" s="347"/>
      <c r="EQ284" s="348"/>
      <c r="ER284" s="349"/>
      <c r="ES284" s="350"/>
      <c r="ET284" s="350"/>
      <c r="EU284" s="350"/>
      <c r="EV284" s="350"/>
      <c r="EW284" s="350"/>
      <c r="EX284" s="350"/>
      <c r="EY284" s="350"/>
      <c r="EZ284" s="350"/>
      <c r="FA284" s="350"/>
      <c r="FB284" s="351"/>
      <c r="FC284" s="352"/>
      <c r="FD284" s="353"/>
      <c r="FE284" s="353"/>
      <c r="FF284" s="353"/>
      <c r="FG284" s="353"/>
      <c r="FH284" s="353"/>
      <c r="FI284" s="353"/>
      <c r="FJ284" s="353"/>
      <c r="FK284" s="353"/>
      <c r="FL284" s="353"/>
      <c r="FO284" s="275"/>
      <c r="FP284" s="275"/>
      <c r="FQ284" s="275">
        <f t="shared" si="7"/>
        <v>35210</v>
      </c>
    </row>
    <row r="285" spans="1:174" ht="12" customHeight="1">
      <c r="A285" s="336" t="s">
        <v>843</v>
      </c>
      <c r="B285" s="337"/>
      <c r="C285" s="337"/>
      <c r="D285" s="337"/>
      <c r="E285" s="337"/>
      <c r="F285" s="337"/>
      <c r="G285" s="337"/>
      <c r="H285" s="337"/>
      <c r="I285" s="337"/>
      <c r="J285" s="337"/>
      <c r="K285" s="337"/>
      <c r="L285" s="337"/>
      <c r="M285" s="337"/>
      <c r="N285" s="337"/>
      <c r="O285" s="337"/>
      <c r="P285" s="337"/>
      <c r="Q285" s="337"/>
      <c r="R285" s="337"/>
      <c r="S285" s="337"/>
      <c r="T285" s="337"/>
      <c r="U285" s="337"/>
      <c r="V285" s="337"/>
      <c r="W285" s="337"/>
      <c r="X285" s="337"/>
      <c r="Y285" s="337"/>
      <c r="Z285" s="337"/>
      <c r="AA285" s="337"/>
      <c r="AB285" s="337"/>
      <c r="AC285" s="337"/>
      <c r="AD285" s="337"/>
      <c r="AE285" s="337"/>
      <c r="AF285" s="337"/>
      <c r="AG285" s="337"/>
      <c r="AH285" s="337"/>
      <c r="AI285" s="337"/>
      <c r="AJ285" s="337"/>
      <c r="AK285" s="337"/>
      <c r="AL285" s="337"/>
      <c r="AM285" s="337"/>
      <c r="AN285" s="337"/>
      <c r="AO285" s="337"/>
      <c r="AP285" s="337"/>
      <c r="AQ285" s="337"/>
      <c r="AR285" s="337"/>
      <c r="AS285" s="337"/>
      <c r="AT285" s="337"/>
      <c r="AU285" s="337"/>
      <c r="AV285" s="337"/>
      <c r="AW285" s="337"/>
      <c r="AX285" s="337"/>
      <c r="AY285" s="337"/>
      <c r="AZ285" s="337"/>
      <c r="BA285" s="337"/>
      <c r="BB285" s="337"/>
      <c r="BC285" s="337"/>
      <c r="BD285" s="337"/>
      <c r="BE285" s="337"/>
      <c r="BF285" s="337"/>
      <c r="BG285" s="337"/>
      <c r="BH285" s="337"/>
      <c r="BI285" s="337"/>
      <c r="BJ285" s="337"/>
      <c r="BK285" s="338"/>
      <c r="BL285" s="339"/>
      <c r="BM285" s="340"/>
      <c r="BN285" s="340"/>
      <c r="BO285" s="340"/>
      <c r="BP285" s="340"/>
      <c r="BQ285" s="340"/>
      <c r="BR285" s="340"/>
      <c r="BS285" s="341"/>
      <c r="BT285" s="342" t="s">
        <v>784</v>
      </c>
      <c r="BU285" s="343"/>
      <c r="BV285" s="343"/>
      <c r="BW285" s="343"/>
      <c r="BX285" s="343"/>
      <c r="BY285" s="343"/>
      <c r="BZ285" s="343"/>
      <c r="CA285" s="343"/>
      <c r="CB285" s="343"/>
      <c r="CC285" s="343"/>
      <c r="CD285" s="343"/>
      <c r="CE285" s="343"/>
      <c r="CF285" s="344"/>
      <c r="CG285" s="345" t="s">
        <v>772</v>
      </c>
      <c r="CH285" s="340"/>
      <c r="CI285" s="340"/>
      <c r="CJ285" s="340"/>
      <c r="CK285" s="340"/>
      <c r="CL285" s="340"/>
      <c r="CM285" s="340"/>
      <c r="CN285" s="340"/>
      <c r="CO285" s="340"/>
      <c r="CP285" s="340"/>
      <c r="CQ285" s="341"/>
      <c r="CR285" s="345"/>
      <c r="CS285" s="340"/>
      <c r="CT285" s="340"/>
      <c r="CU285" s="340"/>
      <c r="CV285" s="340"/>
      <c r="CW285" s="340"/>
      <c r="CX285" s="340"/>
      <c r="CY285" s="340"/>
      <c r="CZ285" s="340"/>
      <c r="DA285" s="340"/>
      <c r="DB285" s="340"/>
      <c r="DC285" s="340"/>
      <c r="DD285" s="341"/>
      <c r="DE285" s="346">
        <f>33852-4961.35-2600-3548-13400-3153-6189.65</f>
        <v>0</v>
      </c>
      <c r="DF285" s="347"/>
      <c r="DG285" s="347"/>
      <c r="DH285" s="347"/>
      <c r="DI285" s="347"/>
      <c r="DJ285" s="347"/>
      <c r="DK285" s="347"/>
      <c r="DL285" s="347"/>
      <c r="DM285" s="347"/>
      <c r="DN285" s="347"/>
      <c r="DO285" s="347"/>
      <c r="DP285" s="347"/>
      <c r="DQ285" s="348"/>
      <c r="DR285" s="346">
        <v>35210</v>
      </c>
      <c r="DS285" s="347"/>
      <c r="DT285" s="347"/>
      <c r="DU285" s="347"/>
      <c r="DV285" s="347"/>
      <c r="DW285" s="347"/>
      <c r="DX285" s="347"/>
      <c r="DY285" s="347"/>
      <c r="DZ285" s="347"/>
      <c r="EA285" s="347"/>
      <c r="EB285" s="347"/>
      <c r="EC285" s="347"/>
      <c r="ED285" s="348"/>
      <c r="EE285" s="346"/>
      <c r="EF285" s="347"/>
      <c r="EG285" s="347"/>
      <c r="EH285" s="347"/>
      <c r="EI285" s="347"/>
      <c r="EJ285" s="347"/>
      <c r="EK285" s="347"/>
      <c r="EL285" s="347"/>
      <c r="EM285" s="347"/>
      <c r="EN285" s="347"/>
      <c r="EO285" s="347"/>
      <c r="EP285" s="347"/>
      <c r="EQ285" s="348"/>
      <c r="ER285" s="349"/>
      <c r="ES285" s="350"/>
      <c r="ET285" s="350"/>
      <c r="EU285" s="350"/>
      <c r="EV285" s="350"/>
      <c r="EW285" s="350"/>
      <c r="EX285" s="350"/>
      <c r="EY285" s="350"/>
      <c r="EZ285" s="350"/>
      <c r="FA285" s="350"/>
      <c r="FB285" s="351"/>
      <c r="FC285" s="352"/>
      <c r="FD285" s="353"/>
      <c r="FE285" s="353"/>
      <c r="FF285" s="353"/>
      <c r="FG285" s="353"/>
      <c r="FH285" s="353"/>
      <c r="FI285" s="353"/>
      <c r="FJ285" s="353"/>
      <c r="FK285" s="353"/>
      <c r="FL285" s="353"/>
      <c r="FO285" s="275"/>
      <c r="FP285" s="275"/>
      <c r="FQ285" s="275">
        <f t="shared" si="7"/>
        <v>35210</v>
      </c>
    </row>
    <row r="286" spans="1:174" ht="15" customHeight="1">
      <c r="A286" s="336" t="s">
        <v>844</v>
      </c>
      <c r="B286" s="337"/>
      <c r="C286" s="337"/>
      <c r="D286" s="337"/>
      <c r="E286" s="337"/>
      <c r="F286" s="337"/>
      <c r="G286" s="337"/>
      <c r="H286" s="337"/>
      <c r="I286" s="337"/>
      <c r="J286" s="337"/>
      <c r="K286" s="337"/>
      <c r="L286" s="337"/>
      <c r="M286" s="337"/>
      <c r="N286" s="337"/>
      <c r="O286" s="337"/>
      <c r="P286" s="337"/>
      <c r="Q286" s="337"/>
      <c r="R286" s="337"/>
      <c r="S286" s="337"/>
      <c r="T286" s="337"/>
      <c r="U286" s="337"/>
      <c r="V286" s="337"/>
      <c r="W286" s="337"/>
      <c r="X286" s="337"/>
      <c r="Y286" s="337"/>
      <c r="Z286" s="337"/>
      <c r="AA286" s="337"/>
      <c r="AB286" s="337"/>
      <c r="AC286" s="337"/>
      <c r="AD286" s="337"/>
      <c r="AE286" s="337"/>
      <c r="AF286" s="337"/>
      <c r="AG286" s="337"/>
      <c r="AH286" s="337"/>
      <c r="AI286" s="337"/>
      <c r="AJ286" s="337"/>
      <c r="AK286" s="337"/>
      <c r="AL286" s="337"/>
      <c r="AM286" s="337"/>
      <c r="AN286" s="337"/>
      <c r="AO286" s="337"/>
      <c r="AP286" s="337"/>
      <c r="AQ286" s="337"/>
      <c r="AR286" s="337"/>
      <c r="AS286" s="337"/>
      <c r="AT286" s="337"/>
      <c r="AU286" s="337"/>
      <c r="AV286" s="337"/>
      <c r="AW286" s="337"/>
      <c r="AX286" s="337"/>
      <c r="AY286" s="337"/>
      <c r="AZ286" s="337"/>
      <c r="BA286" s="337"/>
      <c r="BB286" s="337"/>
      <c r="BC286" s="337"/>
      <c r="BD286" s="337"/>
      <c r="BE286" s="337"/>
      <c r="BF286" s="337"/>
      <c r="BG286" s="337"/>
      <c r="BH286" s="337"/>
      <c r="BI286" s="337"/>
      <c r="BJ286" s="337"/>
      <c r="BK286" s="338"/>
      <c r="BL286" s="339"/>
      <c r="BM286" s="340"/>
      <c r="BN286" s="340"/>
      <c r="BO286" s="340"/>
      <c r="BP286" s="340"/>
      <c r="BQ286" s="340"/>
      <c r="BR286" s="340"/>
      <c r="BS286" s="341"/>
      <c r="BT286" s="342" t="s">
        <v>784</v>
      </c>
      <c r="BU286" s="343"/>
      <c r="BV286" s="343"/>
      <c r="BW286" s="343"/>
      <c r="BX286" s="343"/>
      <c r="BY286" s="343"/>
      <c r="BZ286" s="343"/>
      <c r="CA286" s="343"/>
      <c r="CB286" s="343"/>
      <c r="CC286" s="343"/>
      <c r="CD286" s="343"/>
      <c r="CE286" s="343"/>
      <c r="CF286" s="344"/>
      <c r="CG286" s="345" t="s">
        <v>772</v>
      </c>
      <c r="CH286" s="340"/>
      <c r="CI286" s="340"/>
      <c r="CJ286" s="340"/>
      <c r="CK286" s="340"/>
      <c r="CL286" s="340"/>
      <c r="CM286" s="340"/>
      <c r="CN286" s="340"/>
      <c r="CO286" s="340"/>
      <c r="CP286" s="340"/>
      <c r="CQ286" s="341"/>
      <c r="CR286" s="345"/>
      <c r="CS286" s="340"/>
      <c r="CT286" s="340"/>
      <c r="CU286" s="340"/>
      <c r="CV286" s="340"/>
      <c r="CW286" s="340"/>
      <c r="CX286" s="340"/>
      <c r="CY286" s="340"/>
      <c r="CZ286" s="340"/>
      <c r="DA286" s="340"/>
      <c r="DB286" s="340"/>
      <c r="DC286" s="340"/>
      <c r="DD286" s="341"/>
      <c r="DE286" s="346">
        <v>50000</v>
      </c>
      <c r="DF286" s="347"/>
      <c r="DG286" s="347"/>
      <c r="DH286" s="347"/>
      <c r="DI286" s="347"/>
      <c r="DJ286" s="347"/>
      <c r="DK286" s="347"/>
      <c r="DL286" s="347"/>
      <c r="DM286" s="347"/>
      <c r="DN286" s="347"/>
      <c r="DO286" s="347"/>
      <c r="DP286" s="347"/>
      <c r="DQ286" s="348"/>
      <c r="DR286" s="346">
        <v>52000</v>
      </c>
      <c r="DS286" s="347"/>
      <c r="DT286" s="347"/>
      <c r="DU286" s="347"/>
      <c r="DV286" s="347"/>
      <c r="DW286" s="347"/>
      <c r="DX286" s="347"/>
      <c r="DY286" s="347"/>
      <c r="DZ286" s="347"/>
      <c r="EA286" s="347"/>
      <c r="EB286" s="347"/>
      <c r="EC286" s="347"/>
      <c r="ED286" s="348"/>
      <c r="EE286" s="346"/>
      <c r="EF286" s="347"/>
      <c r="EG286" s="347"/>
      <c r="EH286" s="347"/>
      <c r="EI286" s="347"/>
      <c r="EJ286" s="347"/>
      <c r="EK286" s="347"/>
      <c r="EL286" s="347"/>
      <c r="EM286" s="347"/>
      <c r="EN286" s="347"/>
      <c r="EO286" s="347"/>
      <c r="EP286" s="347"/>
      <c r="EQ286" s="348"/>
      <c r="ER286" s="349"/>
      <c r="ES286" s="350"/>
      <c r="ET286" s="350"/>
      <c r="EU286" s="350"/>
      <c r="EV286" s="350"/>
      <c r="EW286" s="350"/>
      <c r="EX286" s="350"/>
      <c r="EY286" s="350"/>
      <c r="EZ286" s="350"/>
      <c r="FA286" s="350"/>
      <c r="FB286" s="351"/>
      <c r="FC286" s="352"/>
      <c r="FD286" s="353"/>
      <c r="FE286" s="353"/>
      <c r="FF286" s="353"/>
      <c r="FG286" s="353"/>
      <c r="FH286" s="353"/>
      <c r="FI286" s="353"/>
      <c r="FJ286" s="353"/>
      <c r="FK286" s="353"/>
      <c r="FL286" s="353"/>
      <c r="FO286" s="275"/>
      <c r="FP286" s="275"/>
      <c r="FQ286" s="275">
        <f t="shared" si="7"/>
        <v>52000</v>
      </c>
    </row>
    <row r="287" spans="1:174" ht="14.4" customHeight="1">
      <c r="A287" s="336" t="s">
        <v>845</v>
      </c>
      <c r="B287" s="337"/>
      <c r="C287" s="337"/>
      <c r="D287" s="337"/>
      <c r="E287" s="337"/>
      <c r="F287" s="337"/>
      <c r="G287" s="337"/>
      <c r="H287" s="337"/>
      <c r="I287" s="337"/>
      <c r="J287" s="337"/>
      <c r="K287" s="337"/>
      <c r="L287" s="337"/>
      <c r="M287" s="337"/>
      <c r="N287" s="337"/>
      <c r="O287" s="337"/>
      <c r="P287" s="337"/>
      <c r="Q287" s="337"/>
      <c r="R287" s="337"/>
      <c r="S287" s="337"/>
      <c r="T287" s="337"/>
      <c r="U287" s="337"/>
      <c r="V287" s="337"/>
      <c r="W287" s="337"/>
      <c r="X287" s="337"/>
      <c r="Y287" s="337"/>
      <c r="Z287" s="337"/>
      <c r="AA287" s="337"/>
      <c r="AB287" s="337"/>
      <c r="AC287" s="337"/>
      <c r="AD287" s="337"/>
      <c r="AE287" s="337"/>
      <c r="AF287" s="337"/>
      <c r="AG287" s="337"/>
      <c r="AH287" s="337"/>
      <c r="AI287" s="337"/>
      <c r="AJ287" s="337"/>
      <c r="AK287" s="337"/>
      <c r="AL287" s="337"/>
      <c r="AM287" s="337"/>
      <c r="AN287" s="337"/>
      <c r="AO287" s="337"/>
      <c r="AP287" s="337"/>
      <c r="AQ287" s="337"/>
      <c r="AR287" s="337"/>
      <c r="AS287" s="337"/>
      <c r="AT287" s="337"/>
      <c r="AU287" s="337"/>
      <c r="AV287" s="337"/>
      <c r="AW287" s="337"/>
      <c r="AX287" s="337"/>
      <c r="AY287" s="337"/>
      <c r="AZ287" s="337"/>
      <c r="BA287" s="337"/>
      <c r="BB287" s="337"/>
      <c r="BC287" s="337"/>
      <c r="BD287" s="337"/>
      <c r="BE287" s="337"/>
      <c r="BF287" s="337"/>
      <c r="BG287" s="337"/>
      <c r="BH287" s="337"/>
      <c r="BI287" s="337"/>
      <c r="BJ287" s="337"/>
      <c r="BK287" s="338"/>
      <c r="BL287" s="339"/>
      <c r="BM287" s="340"/>
      <c r="BN287" s="340"/>
      <c r="BO287" s="340"/>
      <c r="BP287" s="340"/>
      <c r="BQ287" s="340"/>
      <c r="BR287" s="340"/>
      <c r="BS287" s="341"/>
      <c r="BT287" s="342" t="s">
        <v>784</v>
      </c>
      <c r="BU287" s="343"/>
      <c r="BV287" s="343"/>
      <c r="BW287" s="343"/>
      <c r="BX287" s="343"/>
      <c r="BY287" s="343"/>
      <c r="BZ287" s="343"/>
      <c r="CA287" s="343"/>
      <c r="CB287" s="343"/>
      <c r="CC287" s="343"/>
      <c r="CD287" s="343"/>
      <c r="CE287" s="343"/>
      <c r="CF287" s="344"/>
      <c r="CG287" s="345" t="s">
        <v>772</v>
      </c>
      <c r="CH287" s="340"/>
      <c r="CI287" s="340"/>
      <c r="CJ287" s="340"/>
      <c r="CK287" s="340"/>
      <c r="CL287" s="340"/>
      <c r="CM287" s="340"/>
      <c r="CN287" s="340"/>
      <c r="CO287" s="340"/>
      <c r="CP287" s="340"/>
      <c r="CQ287" s="341"/>
      <c r="CR287" s="345"/>
      <c r="CS287" s="340"/>
      <c r="CT287" s="340"/>
      <c r="CU287" s="340"/>
      <c r="CV287" s="340"/>
      <c r="CW287" s="340"/>
      <c r="CX287" s="340"/>
      <c r="CY287" s="340"/>
      <c r="CZ287" s="340"/>
      <c r="DA287" s="340"/>
      <c r="DB287" s="340"/>
      <c r="DC287" s="340"/>
      <c r="DD287" s="341"/>
      <c r="DE287" s="346">
        <f>80000-0.01</f>
        <v>79999.990000000005</v>
      </c>
      <c r="DF287" s="347"/>
      <c r="DG287" s="347"/>
      <c r="DH287" s="347"/>
      <c r="DI287" s="347"/>
      <c r="DJ287" s="347"/>
      <c r="DK287" s="347"/>
      <c r="DL287" s="347"/>
      <c r="DM287" s="347"/>
      <c r="DN287" s="347"/>
      <c r="DO287" s="347"/>
      <c r="DP287" s="347"/>
      <c r="DQ287" s="348"/>
      <c r="DR287" s="346">
        <v>83200</v>
      </c>
      <c r="DS287" s="347"/>
      <c r="DT287" s="347"/>
      <c r="DU287" s="347"/>
      <c r="DV287" s="347"/>
      <c r="DW287" s="347"/>
      <c r="DX287" s="347"/>
      <c r="DY287" s="347"/>
      <c r="DZ287" s="347"/>
      <c r="EA287" s="347"/>
      <c r="EB287" s="347"/>
      <c r="EC287" s="347"/>
      <c r="ED287" s="348"/>
      <c r="EE287" s="346"/>
      <c r="EF287" s="347"/>
      <c r="EG287" s="347"/>
      <c r="EH287" s="347"/>
      <c r="EI287" s="347"/>
      <c r="EJ287" s="347"/>
      <c r="EK287" s="347"/>
      <c r="EL287" s="347"/>
      <c r="EM287" s="347"/>
      <c r="EN287" s="347"/>
      <c r="EO287" s="347"/>
      <c r="EP287" s="347"/>
      <c r="EQ287" s="348"/>
      <c r="ER287" s="349"/>
      <c r="ES287" s="350"/>
      <c r="ET287" s="350"/>
      <c r="EU287" s="350"/>
      <c r="EV287" s="350"/>
      <c r="EW287" s="350"/>
      <c r="EX287" s="350"/>
      <c r="EY287" s="350"/>
      <c r="EZ287" s="350"/>
      <c r="FA287" s="350"/>
      <c r="FB287" s="351"/>
      <c r="FC287" s="352"/>
      <c r="FD287" s="353"/>
      <c r="FE287" s="353"/>
      <c r="FF287" s="353"/>
      <c r="FG287" s="353"/>
      <c r="FH287" s="353"/>
      <c r="FI287" s="353"/>
      <c r="FJ287" s="353"/>
      <c r="FK287" s="353"/>
      <c r="FL287" s="353"/>
      <c r="FO287" s="275"/>
      <c r="FP287" s="275"/>
      <c r="FQ287" s="275">
        <f t="shared" si="7"/>
        <v>83200</v>
      </c>
    </row>
    <row r="288" spans="1:174" ht="12" hidden="1" customHeight="1">
      <c r="A288" s="336" t="s">
        <v>846</v>
      </c>
      <c r="B288" s="337"/>
      <c r="C288" s="337"/>
      <c r="D288" s="337"/>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337"/>
      <c r="AV288" s="337"/>
      <c r="AW288" s="337"/>
      <c r="AX288" s="337"/>
      <c r="AY288" s="337"/>
      <c r="AZ288" s="337"/>
      <c r="BA288" s="337"/>
      <c r="BB288" s="337"/>
      <c r="BC288" s="337"/>
      <c r="BD288" s="337"/>
      <c r="BE288" s="337"/>
      <c r="BF288" s="337"/>
      <c r="BG288" s="337"/>
      <c r="BH288" s="337"/>
      <c r="BI288" s="337"/>
      <c r="BJ288" s="337"/>
      <c r="BK288" s="338"/>
      <c r="BL288" s="339"/>
      <c r="BM288" s="340"/>
      <c r="BN288" s="340"/>
      <c r="BO288" s="340"/>
      <c r="BP288" s="340"/>
      <c r="BQ288" s="340"/>
      <c r="BR288" s="340"/>
      <c r="BS288" s="341"/>
      <c r="BT288" s="342" t="s">
        <v>784</v>
      </c>
      <c r="BU288" s="343"/>
      <c r="BV288" s="343"/>
      <c r="BW288" s="343"/>
      <c r="BX288" s="343"/>
      <c r="BY288" s="343"/>
      <c r="BZ288" s="343"/>
      <c r="CA288" s="343"/>
      <c r="CB288" s="343"/>
      <c r="CC288" s="343"/>
      <c r="CD288" s="343"/>
      <c r="CE288" s="343"/>
      <c r="CF288" s="344"/>
      <c r="CG288" s="345" t="s">
        <v>772</v>
      </c>
      <c r="CH288" s="340"/>
      <c r="CI288" s="340"/>
      <c r="CJ288" s="340"/>
      <c r="CK288" s="340"/>
      <c r="CL288" s="340"/>
      <c r="CM288" s="340"/>
      <c r="CN288" s="340"/>
      <c r="CO288" s="340"/>
      <c r="CP288" s="340"/>
      <c r="CQ288" s="341"/>
      <c r="CR288" s="345"/>
      <c r="CS288" s="340"/>
      <c r="CT288" s="340"/>
      <c r="CU288" s="340"/>
      <c r="CV288" s="340"/>
      <c r="CW288" s="340"/>
      <c r="CX288" s="340"/>
      <c r="CY288" s="340"/>
      <c r="CZ288" s="340"/>
      <c r="DA288" s="340"/>
      <c r="DB288" s="340"/>
      <c r="DC288" s="340"/>
      <c r="DD288" s="341"/>
      <c r="DE288" s="346">
        <f>37500-5300-755.85-644.15</f>
        <v>30800</v>
      </c>
      <c r="DF288" s="347"/>
      <c r="DG288" s="347"/>
      <c r="DH288" s="347"/>
      <c r="DI288" s="347"/>
      <c r="DJ288" s="347"/>
      <c r="DK288" s="347"/>
      <c r="DL288" s="347"/>
      <c r="DM288" s="347"/>
      <c r="DN288" s="347"/>
      <c r="DO288" s="347"/>
      <c r="DP288" s="347"/>
      <c r="DQ288" s="348"/>
      <c r="DR288" s="346">
        <v>0</v>
      </c>
      <c r="DS288" s="347"/>
      <c r="DT288" s="347"/>
      <c r="DU288" s="347"/>
      <c r="DV288" s="347"/>
      <c r="DW288" s="347"/>
      <c r="DX288" s="347"/>
      <c r="DY288" s="347"/>
      <c r="DZ288" s="347"/>
      <c r="EA288" s="347"/>
      <c r="EB288" s="347"/>
      <c r="EC288" s="347"/>
      <c r="ED288" s="348"/>
      <c r="EE288" s="346"/>
      <c r="EF288" s="347"/>
      <c r="EG288" s="347"/>
      <c r="EH288" s="347"/>
      <c r="EI288" s="347"/>
      <c r="EJ288" s="347"/>
      <c r="EK288" s="347"/>
      <c r="EL288" s="347"/>
      <c r="EM288" s="347"/>
      <c r="EN288" s="347"/>
      <c r="EO288" s="347"/>
      <c r="EP288" s="347"/>
      <c r="EQ288" s="348"/>
      <c r="ER288" s="349"/>
      <c r="ES288" s="350"/>
      <c r="ET288" s="350"/>
      <c r="EU288" s="350"/>
      <c r="EV288" s="350"/>
      <c r="EW288" s="350"/>
      <c r="EX288" s="350"/>
      <c r="EY288" s="350"/>
      <c r="EZ288" s="350"/>
      <c r="FA288" s="350"/>
      <c r="FB288" s="351"/>
      <c r="FC288" s="352"/>
      <c r="FD288" s="353"/>
      <c r="FE288" s="353"/>
      <c r="FF288" s="353"/>
      <c r="FG288" s="353"/>
      <c r="FH288" s="353"/>
      <c r="FI288" s="353"/>
      <c r="FJ288" s="353"/>
      <c r="FK288" s="353"/>
      <c r="FL288" s="353"/>
      <c r="FO288" s="275"/>
      <c r="FP288" s="275"/>
      <c r="FQ288" s="275">
        <f t="shared" si="7"/>
        <v>0</v>
      </c>
    </row>
    <row r="289" spans="1:173" ht="12" hidden="1" customHeight="1">
      <c r="A289" s="336" t="s">
        <v>880</v>
      </c>
      <c r="B289" s="337"/>
      <c r="C289" s="337"/>
      <c r="D289" s="337"/>
      <c r="E289" s="337"/>
      <c r="F289" s="337"/>
      <c r="G289" s="337"/>
      <c r="H289" s="337"/>
      <c r="I289" s="337"/>
      <c r="J289" s="337"/>
      <c r="K289" s="337"/>
      <c r="L289" s="337"/>
      <c r="M289" s="337"/>
      <c r="N289" s="337"/>
      <c r="O289" s="337"/>
      <c r="P289" s="337"/>
      <c r="Q289" s="337"/>
      <c r="R289" s="337"/>
      <c r="S289" s="337"/>
      <c r="T289" s="337"/>
      <c r="U289" s="337"/>
      <c r="V289" s="337"/>
      <c r="W289" s="337"/>
      <c r="X289" s="337"/>
      <c r="Y289" s="337"/>
      <c r="Z289" s="337"/>
      <c r="AA289" s="337"/>
      <c r="AB289" s="337"/>
      <c r="AC289" s="337"/>
      <c r="AD289" s="337"/>
      <c r="AE289" s="337"/>
      <c r="AF289" s="337"/>
      <c r="AG289" s="337"/>
      <c r="AH289" s="337"/>
      <c r="AI289" s="337"/>
      <c r="AJ289" s="337"/>
      <c r="AK289" s="337"/>
      <c r="AL289" s="337"/>
      <c r="AM289" s="337"/>
      <c r="AN289" s="337"/>
      <c r="AO289" s="337"/>
      <c r="AP289" s="337"/>
      <c r="AQ289" s="337"/>
      <c r="AR289" s="337"/>
      <c r="AS289" s="337"/>
      <c r="AT289" s="337"/>
      <c r="AU289" s="337"/>
      <c r="AV289" s="337"/>
      <c r="AW289" s="337"/>
      <c r="AX289" s="337"/>
      <c r="AY289" s="337"/>
      <c r="AZ289" s="337"/>
      <c r="BA289" s="337"/>
      <c r="BB289" s="337"/>
      <c r="BC289" s="337"/>
      <c r="BD289" s="337"/>
      <c r="BE289" s="337"/>
      <c r="BF289" s="337"/>
      <c r="BG289" s="337"/>
      <c r="BH289" s="337"/>
      <c r="BI289" s="337"/>
      <c r="BJ289" s="337"/>
      <c r="BK289" s="338"/>
      <c r="BL289" s="339"/>
      <c r="BM289" s="340"/>
      <c r="BN289" s="340"/>
      <c r="BO289" s="340"/>
      <c r="BP289" s="340"/>
      <c r="BQ289" s="340"/>
      <c r="BR289" s="340"/>
      <c r="BS289" s="341"/>
      <c r="BT289" s="342" t="s">
        <v>784</v>
      </c>
      <c r="BU289" s="343"/>
      <c r="BV289" s="343"/>
      <c r="BW289" s="343"/>
      <c r="BX289" s="343"/>
      <c r="BY289" s="343"/>
      <c r="BZ289" s="343"/>
      <c r="CA289" s="343"/>
      <c r="CB289" s="343"/>
      <c r="CC289" s="343"/>
      <c r="CD289" s="343"/>
      <c r="CE289" s="343"/>
      <c r="CF289" s="344"/>
      <c r="CG289" s="345" t="s">
        <v>772</v>
      </c>
      <c r="CH289" s="340"/>
      <c r="CI289" s="340"/>
      <c r="CJ289" s="340"/>
      <c r="CK289" s="340"/>
      <c r="CL289" s="340"/>
      <c r="CM289" s="340"/>
      <c r="CN289" s="340"/>
      <c r="CO289" s="340"/>
      <c r="CP289" s="340"/>
      <c r="CQ289" s="341"/>
      <c r="CR289" s="345"/>
      <c r="CS289" s="340"/>
      <c r="CT289" s="340"/>
      <c r="CU289" s="340"/>
      <c r="CV289" s="340"/>
      <c r="CW289" s="340"/>
      <c r="CX289" s="340"/>
      <c r="CY289" s="340"/>
      <c r="CZ289" s="340"/>
      <c r="DA289" s="340"/>
      <c r="DB289" s="340"/>
      <c r="DC289" s="340"/>
      <c r="DD289" s="341"/>
      <c r="DE289" s="346">
        <f>3600</f>
        <v>3600</v>
      </c>
      <c r="DF289" s="347"/>
      <c r="DG289" s="347"/>
      <c r="DH289" s="347"/>
      <c r="DI289" s="347"/>
      <c r="DJ289" s="347"/>
      <c r="DK289" s="347"/>
      <c r="DL289" s="347"/>
      <c r="DM289" s="347"/>
      <c r="DN289" s="347"/>
      <c r="DO289" s="347"/>
      <c r="DP289" s="347"/>
      <c r="DQ289" s="348"/>
      <c r="DR289" s="346">
        <v>0</v>
      </c>
      <c r="DS289" s="347"/>
      <c r="DT289" s="347"/>
      <c r="DU289" s="347"/>
      <c r="DV289" s="347"/>
      <c r="DW289" s="347"/>
      <c r="DX289" s="347"/>
      <c r="DY289" s="347"/>
      <c r="DZ289" s="347"/>
      <c r="EA289" s="347"/>
      <c r="EB289" s="347"/>
      <c r="EC289" s="347"/>
      <c r="ED289" s="348"/>
      <c r="EE289" s="346"/>
      <c r="EF289" s="347"/>
      <c r="EG289" s="347"/>
      <c r="EH289" s="347"/>
      <c r="EI289" s="347"/>
      <c r="EJ289" s="347"/>
      <c r="EK289" s="347"/>
      <c r="EL289" s="347"/>
      <c r="EM289" s="347"/>
      <c r="EN289" s="347"/>
      <c r="EO289" s="347"/>
      <c r="EP289" s="347"/>
      <c r="EQ289" s="348"/>
      <c r="ER289" s="349"/>
      <c r="ES289" s="350"/>
      <c r="ET289" s="350"/>
      <c r="EU289" s="350"/>
      <c r="EV289" s="350"/>
      <c r="EW289" s="350"/>
      <c r="EX289" s="350"/>
      <c r="EY289" s="350"/>
      <c r="EZ289" s="350"/>
      <c r="FA289" s="350"/>
      <c r="FB289" s="351"/>
      <c r="FC289" s="352"/>
      <c r="FD289" s="353"/>
      <c r="FE289" s="353"/>
      <c r="FF289" s="353"/>
      <c r="FG289" s="353"/>
      <c r="FH289" s="353"/>
      <c r="FI289" s="353"/>
      <c r="FJ289" s="353"/>
      <c r="FK289" s="353"/>
      <c r="FL289" s="353"/>
      <c r="FO289" s="275"/>
      <c r="FP289" s="275"/>
      <c r="FQ289" s="275">
        <f t="shared" si="7"/>
        <v>0</v>
      </c>
    </row>
    <row r="290" spans="1:173" ht="12" customHeight="1">
      <c r="A290" s="336" t="s">
        <v>881</v>
      </c>
      <c r="B290" s="337"/>
      <c r="C290" s="337"/>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7"/>
      <c r="AA290" s="337"/>
      <c r="AB290" s="337"/>
      <c r="AC290" s="337"/>
      <c r="AD290" s="337"/>
      <c r="AE290" s="337"/>
      <c r="AF290" s="337"/>
      <c r="AG290" s="337"/>
      <c r="AH290" s="337"/>
      <c r="AI290" s="337"/>
      <c r="AJ290" s="337"/>
      <c r="AK290" s="337"/>
      <c r="AL290" s="337"/>
      <c r="AM290" s="337"/>
      <c r="AN290" s="337"/>
      <c r="AO290" s="337"/>
      <c r="AP290" s="337"/>
      <c r="AQ290" s="337"/>
      <c r="AR290" s="337"/>
      <c r="AS290" s="337"/>
      <c r="AT290" s="337"/>
      <c r="AU290" s="337"/>
      <c r="AV290" s="337"/>
      <c r="AW290" s="337"/>
      <c r="AX290" s="337"/>
      <c r="AY290" s="337"/>
      <c r="AZ290" s="337"/>
      <c r="BA290" s="337"/>
      <c r="BB290" s="337"/>
      <c r="BC290" s="337"/>
      <c r="BD290" s="337"/>
      <c r="BE290" s="337"/>
      <c r="BF290" s="337"/>
      <c r="BG290" s="337"/>
      <c r="BH290" s="337"/>
      <c r="BI290" s="337"/>
      <c r="BJ290" s="337"/>
      <c r="BK290" s="338"/>
      <c r="BL290" s="339"/>
      <c r="BM290" s="340"/>
      <c r="BN290" s="340"/>
      <c r="BO290" s="340"/>
      <c r="BP290" s="340"/>
      <c r="BQ290" s="340"/>
      <c r="BR290" s="340"/>
      <c r="BS290" s="341"/>
      <c r="BT290" s="342" t="s">
        <v>784</v>
      </c>
      <c r="BU290" s="343"/>
      <c r="BV290" s="343"/>
      <c r="BW290" s="343"/>
      <c r="BX290" s="343"/>
      <c r="BY290" s="343"/>
      <c r="BZ290" s="343"/>
      <c r="CA290" s="343"/>
      <c r="CB290" s="343"/>
      <c r="CC290" s="343"/>
      <c r="CD290" s="343"/>
      <c r="CE290" s="343"/>
      <c r="CF290" s="344"/>
      <c r="CG290" s="345" t="s">
        <v>772</v>
      </c>
      <c r="CH290" s="340"/>
      <c r="CI290" s="340"/>
      <c r="CJ290" s="340"/>
      <c r="CK290" s="340"/>
      <c r="CL290" s="340"/>
      <c r="CM290" s="340"/>
      <c r="CN290" s="340"/>
      <c r="CO290" s="340"/>
      <c r="CP290" s="340"/>
      <c r="CQ290" s="341"/>
      <c r="CR290" s="345"/>
      <c r="CS290" s="340"/>
      <c r="CT290" s="340"/>
      <c r="CU290" s="340"/>
      <c r="CV290" s="340"/>
      <c r="CW290" s="340"/>
      <c r="CX290" s="340"/>
      <c r="CY290" s="340"/>
      <c r="CZ290" s="340"/>
      <c r="DA290" s="340"/>
      <c r="DB290" s="340"/>
      <c r="DC290" s="340"/>
      <c r="DD290" s="341"/>
      <c r="DE290" s="346">
        <f>5000</f>
        <v>5000</v>
      </c>
      <c r="DF290" s="347"/>
      <c r="DG290" s="347"/>
      <c r="DH290" s="347"/>
      <c r="DI290" s="347"/>
      <c r="DJ290" s="347"/>
      <c r="DK290" s="347"/>
      <c r="DL290" s="347"/>
      <c r="DM290" s="347"/>
      <c r="DN290" s="347"/>
      <c r="DO290" s="347"/>
      <c r="DP290" s="347"/>
      <c r="DQ290" s="348"/>
      <c r="DR290" s="425">
        <f>12000+13000</f>
        <v>25000</v>
      </c>
      <c r="DS290" s="426"/>
      <c r="DT290" s="426"/>
      <c r="DU290" s="426"/>
      <c r="DV290" s="426"/>
      <c r="DW290" s="426"/>
      <c r="DX290" s="426"/>
      <c r="DY290" s="426"/>
      <c r="DZ290" s="426"/>
      <c r="EA290" s="426"/>
      <c r="EB290" s="426"/>
      <c r="EC290" s="426"/>
      <c r="ED290" s="427"/>
      <c r="EE290" s="346"/>
      <c r="EF290" s="347"/>
      <c r="EG290" s="347"/>
      <c r="EH290" s="347"/>
      <c r="EI290" s="347"/>
      <c r="EJ290" s="347"/>
      <c r="EK290" s="347"/>
      <c r="EL290" s="347"/>
      <c r="EM290" s="347"/>
      <c r="EN290" s="347"/>
      <c r="EO290" s="347"/>
      <c r="EP290" s="347"/>
      <c r="EQ290" s="348"/>
      <c r="ER290" s="349"/>
      <c r="ES290" s="350"/>
      <c r="ET290" s="350"/>
      <c r="EU290" s="350"/>
      <c r="EV290" s="350"/>
      <c r="EW290" s="350"/>
      <c r="EX290" s="350"/>
      <c r="EY290" s="350"/>
      <c r="EZ290" s="350"/>
      <c r="FA290" s="350"/>
      <c r="FB290" s="351"/>
      <c r="FC290" s="352"/>
      <c r="FD290" s="353"/>
      <c r="FE290" s="353"/>
      <c r="FF290" s="353"/>
      <c r="FG290" s="353"/>
      <c r="FH290" s="353"/>
      <c r="FI290" s="353"/>
      <c r="FJ290" s="353"/>
      <c r="FK290" s="353"/>
      <c r="FL290" s="353"/>
      <c r="FO290" s="275">
        <v>15000</v>
      </c>
      <c r="FP290" s="275"/>
      <c r="FQ290" s="275">
        <f t="shared" si="7"/>
        <v>10000</v>
      </c>
    </row>
    <row r="291" spans="1:173" s="219" customFormat="1" ht="15" hidden="1" customHeight="1">
      <c r="A291" s="451" t="s">
        <v>965</v>
      </c>
      <c r="B291" s="452"/>
      <c r="C291" s="452"/>
      <c r="D291" s="452"/>
      <c r="E291" s="452"/>
      <c r="F291" s="452"/>
      <c r="G291" s="452"/>
      <c r="H291" s="452"/>
      <c r="I291" s="452"/>
      <c r="J291" s="452"/>
      <c r="K291" s="452"/>
      <c r="L291" s="452"/>
      <c r="M291" s="452"/>
      <c r="N291" s="452"/>
      <c r="O291" s="452"/>
      <c r="P291" s="452"/>
      <c r="Q291" s="452"/>
      <c r="R291" s="452"/>
      <c r="S291" s="452"/>
      <c r="T291" s="452"/>
      <c r="U291" s="452"/>
      <c r="V291" s="452"/>
      <c r="W291" s="452"/>
      <c r="X291" s="452"/>
      <c r="Y291" s="452"/>
      <c r="Z291" s="452"/>
      <c r="AA291" s="452"/>
      <c r="AB291" s="452"/>
      <c r="AC291" s="452"/>
      <c r="AD291" s="452"/>
      <c r="AE291" s="452"/>
      <c r="AF291" s="452"/>
      <c r="AG291" s="452"/>
      <c r="AH291" s="452"/>
      <c r="AI291" s="452"/>
      <c r="AJ291" s="452"/>
      <c r="AK291" s="452"/>
      <c r="AL291" s="452"/>
      <c r="AM291" s="452"/>
      <c r="AN291" s="452"/>
      <c r="AO291" s="452"/>
      <c r="AP291" s="452"/>
      <c r="AQ291" s="452"/>
      <c r="AR291" s="452"/>
      <c r="AS291" s="452"/>
      <c r="AT291" s="452"/>
      <c r="AU291" s="452"/>
      <c r="AV291" s="452"/>
      <c r="AW291" s="452"/>
      <c r="AX291" s="452"/>
      <c r="AY291" s="452"/>
      <c r="AZ291" s="452"/>
      <c r="BA291" s="452"/>
      <c r="BB291" s="452"/>
      <c r="BC291" s="452"/>
      <c r="BD291" s="452"/>
      <c r="BE291" s="452"/>
      <c r="BF291" s="452"/>
      <c r="BG291" s="452"/>
      <c r="BH291" s="452"/>
      <c r="BI291" s="452"/>
      <c r="BJ291" s="452"/>
      <c r="BK291" s="453"/>
      <c r="BL291" s="370"/>
      <c r="BM291" s="371"/>
      <c r="BN291" s="371"/>
      <c r="BO291" s="371"/>
      <c r="BP291" s="371"/>
      <c r="BQ291" s="371"/>
      <c r="BR291" s="371"/>
      <c r="BS291" s="372"/>
      <c r="BT291" s="420" t="s">
        <v>784</v>
      </c>
      <c r="BU291" s="421"/>
      <c r="BV291" s="421"/>
      <c r="BW291" s="421"/>
      <c r="BX291" s="421"/>
      <c r="BY291" s="421"/>
      <c r="BZ291" s="421"/>
      <c r="CA291" s="421"/>
      <c r="CB291" s="421"/>
      <c r="CC291" s="421"/>
      <c r="CD291" s="421"/>
      <c r="CE291" s="421"/>
      <c r="CF291" s="422"/>
      <c r="CG291" s="373" t="s">
        <v>772</v>
      </c>
      <c r="CH291" s="371"/>
      <c r="CI291" s="371"/>
      <c r="CJ291" s="371"/>
      <c r="CK291" s="371"/>
      <c r="CL291" s="371"/>
      <c r="CM291" s="371"/>
      <c r="CN291" s="371"/>
      <c r="CO291" s="371"/>
      <c r="CP291" s="371"/>
      <c r="CQ291" s="372"/>
      <c r="CR291" s="373"/>
      <c r="CS291" s="371"/>
      <c r="CT291" s="371"/>
      <c r="CU291" s="371"/>
      <c r="CV291" s="371"/>
      <c r="CW291" s="371"/>
      <c r="CX291" s="371"/>
      <c r="CY291" s="371"/>
      <c r="CZ291" s="371"/>
      <c r="DA291" s="371"/>
      <c r="DB291" s="371"/>
      <c r="DC291" s="371"/>
      <c r="DD291" s="372"/>
      <c r="DE291" s="346">
        <f>15000</f>
        <v>15000</v>
      </c>
      <c r="DF291" s="347"/>
      <c r="DG291" s="347"/>
      <c r="DH291" s="347"/>
      <c r="DI291" s="347"/>
      <c r="DJ291" s="347"/>
      <c r="DK291" s="347"/>
      <c r="DL291" s="347"/>
      <c r="DM291" s="347"/>
      <c r="DN291" s="347"/>
      <c r="DO291" s="347"/>
      <c r="DP291" s="347"/>
      <c r="DQ291" s="348"/>
      <c r="DR291" s="346">
        <v>0</v>
      </c>
      <c r="DS291" s="347"/>
      <c r="DT291" s="347"/>
      <c r="DU291" s="347"/>
      <c r="DV291" s="347"/>
      <c r="DW291" s="347"/>
      <c r="DX291" s="347"/>
      <c r="DY291" s="347"/>
      <c r="DZ291" s="347"/>
      <c r="EA291" s="347"/>
      <c r="EB291" s="347"/>
      <c r="EC291" s="347"/>
      <c r="ED291" s="348"/>
      <c r="EE291" s="346"/>
      <c r="EF291" s="347"/>
      <c r="EG291" s="347"/>
      <c r="EH291" s="347"/>
      <c r="EI291" s="347"/>
      <c r="EJ291" s="347"/>
      <c r="EK291" s="347"/>
      <c r="EL291" s="347"/>
      <c r="EM291" s="347"/>
      <c r="EN291" s="347"/>
      <c r="EO291" s="347"/>
      <c r="EP291" s="347"/>
      <c r="EQ291" s="348"/>
      <c r="ER291" s="346"/>
      <c r="ES291" s="347"/>
      <c r="ET291" s="347"/>
      <c r="EU291" s="347"/>
      <c r="EV291" s="347"/>
      <c r="EW291" s="347"/>
      <c r="EX291" s="347"/>
      <c r="EY291" s="347"/>
      <c r="EZ291" s="347"/>
      <c r="FA291" s="347"/>
      <c r="FB291" s="348"/>
      <c r="FC291" s="449"/>
      <c r="FD291" s="450"/>
      <c r="FE291" s="450"/>
      <c r="FF291" s="450"/>
      <c r="FG291" s="450"/>
      <c r="FH291" s="450"/>
      <c r="FI291" s="450"/>
      <c r="FJ291" s="450"/>
      <c r="FK291" s="450"/>
      <c r="FL291" s="450"/>
      <c r="FO291" s="276"/>
      <c r="FP291" s="276"/>
      <c r="FQ291" s="275">
        <f t="shared" si="7"/>
        <v>0</v>
      </c>
    </row>
    <row r="292" spans="1:173" ht="15" customHeight="1">
      <c r="A292" s="451" t="s">
        <v>1023</v>
      </c>
      <c r="B292" s="452"/>
      <c r="C292" s="452"/>
      <c r="D292" s="452"/>
      <c r="E292" s="452"/>
      <c r="F292" s="452"/>
      <c r="G292" s="452"/>
      <c r="H292" s="452"/>
      <c r="I292" s="452"/>
      <c r="J292" s="452"/>
      <c r="K292" s="452"/>
      <c r="L292" s="452"/>
      <c r="M292" s="452"/>
      <c r="N292" s="452"/>
      <c r="O292" s="452"/>
      <c r="P292" s="452"/>
      <c r="Q292" s="452"/>
      <c r="R292" s="452"/>
      <c r="S292" s="452"/>
      <c r="T292" s="452"/>
      <c r="U292" s="452"/>
      <c r="V292" s="452"/>
      <c r="W292" s="452"/>
      <c r="X292" s="452"/>
      <c r="Y292" s="452"/>
      <c r="Z292" s="452"/>
      <c r="AA292" s="452"/>
      <c r="AB292" s="452"/>
      <c r="AC292" s="452"/>
      <c r="AD292" s="452"/>
      <c r="AE292" s="452"/>
      <c r="AF292" s="452"/>
      <c r="AG292" s="452"/>
      <c r="AH292" s="452"/>
      <c r="AI292" s="452"/>
      <c r="AJ292" s="452"/>
      <c r="AK292" s="452"/>
      <c r="AL292" s="452"/>
      <c r="AM292" s="452"/>
      <c r="AN292" s="452"/>
      <c r="AO292" s="452"/>
      <c r="AP292" s="452"/>
      <c r="AQ292" s="452"/>
      <c r="AR292" s="452"/>
      <c r="AS292" s="452"/>
      <c r="AT292" s="452"/>
      <c r="AU292" s="452"/>
      <c r="AV292" s="452"/>
      <c r="AW292" s="452"/>
      <c r="AX292" s="452"/>
      <c r="AY292" s="452"/>
      <c r="AZ292" s="452"/>
      <c r="BA292" s="452"/>
      <c r="BB292" s="452"/>
      <c r="BC292" s="452"/>
      <c r="BD292" s="452"/>
      <c r="BE292" s="452"/>
      <c r="BF292" s="452"/>
      <c r="BG292" s="452"/>
      <c r="BH292" s="452"/>
      <c r="BI292" s="452"/>
      <c r="BJ292" s="452"/>
      <c r="BK292" s="453"/>
      <c r="BL292" s="370"/>
      <c r="BM292" s="371"/>
      <c r="BN292" s="371"/>
      <c r="BO292" s="371"/>
      <c r="BP292" s="371"/>
      <c r="BQ292" s="371"/>
      <c r="BR292" s="371"/>
      <c r="BS292" s="372"/>
      <c r="BT292" s="420" t="s">
        <v>784</v>
      </c>
      <c r="BU292" s="421"/>
      <c r="BV292" s="421"/>
      <c r="BW292" s="421"/>
      <c r="BX292" s="421"/>
      <c r="BY292" s="421"/>
      <c r="BZ292" s="421"/>
      <c r="CA292" s="421"/>
      <c r="CB292" s="421"/>
      <c r="CC292" s="421"/>
      <c r="CD292" s="421"/>
      <c r="CE292" s="421"/>
      <c r="CF292" s="422"/>
      <c r="CG292" s="373" t="s">
        <v>772</v>
      </c>
      <c r="CH292" s="371"/>
      <c r="CI292" s="371"/>
      <c r="CJ292" s="371"/>
      <c r="CK292" s="371"/>
      <c r="CL292" s="371"/>
      <c r="CM292" s="371"/>
      <c r="CN292" s="371"/>
      <c r="CO292" s="371"/>
      <c r="CP292" s="371"/>
      <c r="CQ292" s="372"/>
      <c r="CR292" s="345"/>
      <c r="CS292" s="340"/>
      <c r="CT292" s="340"/>
      <c r="CU292" s="340"/>
      <c r="CV292" s="340"/>
      <c r="CW292" s="340"/>
      <c r="CX292" s="340"/>
      <c r="CY292" s="340"/>
      <c r="CZ292" s="340"/>
      <c r="DA292" s="340"/>
      <c r="DB292" s="340"/>
      <c r="DC292" s="340"/>
      <c r="DD292" s="341"/>
      <c r="DE292" s="349">
        <v>0</v>
      </c>
      <c r="DF292" s="350"/>
      <c r="DG292" s="350"/>
      <c r="DH292" s="350"/>
      <c r="DI292" s="350"/>
      <c r="DJ292" s="350"/>
      <c r="DK292" s="350"/>
      <c r="DL292" s="350"/>
      <c r="DM292" s="350"/>
      <c r="DN292" s="350"/>
      <c r="DO292" s="350"/>
      <c r="DP292" s="350"/>
      <c r="DQ292" s="351"/>
      <c r="DR292" s="349">
        <v>3000</v>
      </c>
      <c r="DS292" s="350"/>
      <c r="DT292" s="350"/>
      <c r="DU292" s="350"/>
      <c r="DV292" s="350"/>
      <c r="DW292" s="350"/>
      <c r="DX292" s="350"/>
      <c r="DY292" s="350"/>
      <c r="DZ292" s="350"/>
      <c r="EA292" s="350"/>
      <c r="EB292" s="350"/>
      <c r="EC292" s="350"/>
      <c r="ED292" s="351"/>
      <c r="EE292" s="346"/>
      <c r="EF292" s="347"/>
      <c r="EG292" s="347"/>
      <c r="EH292" s="347"/>
      <c r="EI292" s="347"/>
      <c r="EJ292" s="347"/>
      <c r="EK292" s="347"/>
      <c r="EL292" s="347"/>
      <c r="EM292" s="347"/>
      <c r="EN292" s="347"/>
      <c r="EO292" s="347"/>
      <c r="EP292" s="347"/>
      <c r="EQ292" s="348"/>
      <c r="ER292" s="349"/>
      <c r="ES292" s="350"/>
      <c r="ET292" s="350"/>
      <c r="EU292" s="350"/>
      <c r="EV292" s="350"/>
      <c r="EW292" s="350"/>
      <c r="EX292" s="350"/>
      <c r="EY292" s="350"/>
      <c r="EZ292" s="350"/>
      <c r="FA292" s="350"/>
      <c r="FB292" s="351"/>
      <c r="FC292" s="352"/>
      <c r="FD292" s="353"/>
      <c r="FE292" s="353"/>
      <c r="FF292" s="353"/>
      <c r="FG292" s="353"/>
      <c r="FH292" s="353"/>
      <c r="FI292" s="353"/>
      <c r="FJ292" s="353"/>
      <c r="FK292" s="353"/>
      <c r="FL292" s="353"/>
      <c r="FO292" s="275"/>
      <c r="FP292" s="275"/>
      <c r="FQ292" s="275">
        <f t="shared" si="7"/>
        <v>3000</v>
      </c>
    </row>
    <row r="293" spans="1:173" ht="15" hidden="1" customHeight="1">
      <c r="A293" s="336"/>
      <c r="B293" s="337"/>
      <c r="C293" s="337"/>
      <c r="D293" s="337"/>
      <c r="E293" s="337"/>
      <c r="F293" s="337"/>
      <c r="G293" s="337"/>
      <c r="H293" s="337"/>
      <c r="I293" s="337"/>
      <c r="J293" s="337"/>
      <c r="K293" s="337"/>
      <c r="L293" s="337"/>
      <c r="M293" s="337"/>
      <c r="N293" s="337"/>
      <c r="O293" s="337"/>
      <c r="P293" s="337"/>
      <c r="Q293" s="337"/>
      <c r="R293" s="337"/>
      <c r="S293" s="337"/>
      <c r="T293" s="337"/>
      <c r="U293" s="337"/>
      <c r="V293" s="337"/>
      <c r="W293" s="337"/>
      <c r="X293" s="337"/>
      <c r="Y293" s="337"/>
      <c r="Z293" s="337"/>
      <c r="AA293" s="337"/>
      <c r="AB293" s="337"/>
      <c r="AC293" s="337"/>
      <c r="AD293" s="337"/>
      <c r="AE293" s="337"/>
      <c r="AF293" s="337"/>
      <c r="AG293" s="337"/>
      <c r="AH293" s="337"/>
      <c r="AI293" s="337"/>
      <c r="AJ293" s="337"/>
      <c r="AK293" s="337"/>
      <c r="AL293" s="337"/>
      <c r="AM293" s="337"/>
      <c r="AN293" s="337"/>
      <c r="AO293" s="337"/>
      <c r="AP293" s="337"/>
      <c r="AQ293" s="337"/>
      <c r="AR293" s="337"/>
      <c r="AS293" s="337"/>
      <c r="AT293" s="337"/>
      <c r="AU293" s="337"/>
      <c r="AV293" s="337"/>
      <c r="AW293" s="337"/>
      <c r="AX293" s="337"/>
      <c r="AY293" s="337"/>
      <c r="AZ293" s="337"/>
      <c r="BA293" s="337"/>
      <c r="BB293" s="337"/>
      <c r="BC293" s="337"/>
      <c r="BD293" s="337"/>
      <c r="BE293" s="337"/>
      <c r="BF293" s="337"/>
      <c r="BG293" s="337"/>
      <c r="BH293" s="337"/>
      <c r="BI293" s="337"/>
      <c r="BJ293" s="337"/>
      <c r="BK293" s="338"/>
      <c r="BL293" s="339"/>
      <c r="BM293" s="340"/>
      <c r="BN293" s="340"/>
      <c r="BO293" s="340"/>
      <c r="BP293" s="340"/>
      <c r="BQ293" s="340"/>
      <c r="BR293" s="340"/>
      <c r="BS293" s="341"/>
      <c r="BT293" s="345"/>
      <c r="BU293" s="340"/>
      <c r="BV293" s="340"/>
      <c r="BW293" s="340"/>
      <c r="BX293" s="340"/>
      <c r="BY293" s="340"/>
      <c r="BZ293" s="340"/>
      <c r="CA293" s="340"/>
      <c r="CB293" s="340"/>
      <c r="CC293" s="340"/>
      <c r="CD293" s="340"/>
      <c r="CE293" s="340"/>
      <c r="CF293" s="341"/>
      <c r="CG293" s="345"/>
      <c r="CH293" s="340"/>
      <c r="CI293" s="340"/>
      <c r="CJ293" s="340"/>
      <c r="CK293" s="340"/>
      <c r="CL293" s="340"/>
      <c r="CM293" s="340"/>
      <c r="CN293" s="340"/>
      <c r="CO293" s="340"/>
      <c r="CP293" s="340"/>
      <c r="CQ293" s="341"/>
      <c r="CR293" s="345"/>
      <c r="CS293" s="340"/>
      <c r="CT293" s="340"/>
      <c r="CU293" s="340"/>
      <c r="CV293" s="340"/>
      <c r="CW293" s="340"/>
      <c r="CX293" s="340"/>
      <c r="CY293" s="340"/>
      <c r="CZ293" s="340"/>
      <c r="DA293" s="340"/>
      <c r="DB293" s="340"/>
      <c r="DC293" s="340"/>
      <c r="DD293" s="341"/>
      <c r="DE293" s="349"/>
      <c r="DF293" s="350"/>
      <c r="DG293" s="350"/>
      <c r="DH293" s="350"/>
      <c r="DI293" s="350"/>
      <c r="DJ293" s="350"/>
      <c r="DK293" s="350"/>
      <c r="DL293" s="350"/>
      <c r="DM293" s="350"/>
      <c r="DN293" s="350"/>
      <c r="DO293" s="350"/>
      <c r="DP293" s="350"/>
      <c r="DQ293" s="351"/>
      <c r="DR293" s="349"/>
      <c r="DS293" s="350"/>
      <c r="DT293" s="350"/>
      <c r="DU293" s="350"/>
      <c r="DV293" s="350"/>
      <c r="DW293" s="350"/>
      <c r="DX293" s="350"/>
      <c r="DY293" s="350"/>
      <c r="DZ293" s="350"/>
      <c r="EA293" s="350"/>
      <c r="EB293" s="350"/>
      <c r="EC293" s="350"/>
      <c r="ED293" s="351"/>
      <c r="EE293" s="349"/>
      <c r="EF293" s="350"/>
      <c r="EG293" s="350"/>
      <c r="EH293" s="350"/>
      <c r="EI293" s="350"/>
      <c r="EJ293" s="350"/>
      <c r="EK293" s="350"/>
      <c r="EL293" s="350"/>
      <c r="EM293" s="350"/>
      <c r="EN293" s="350"/>
      <c r="EO293" s="350"/>
      <c r="EP293" s="350"/>
      <c r="EQ293" s="351"/>
      <c r="ER293" s="349"/>
      <c r="ES293" s="350"/>
      <c r="ET293" s="350"/>
      <c r="EU293" s="350"/>
      <c r="EV293" s="350"/>
      <c r="EW293" s="350"/>
      <c r="EX293" s="350"/>
      <c r="EY293" s="350"/>
      <c r="EZ293" s="350"/>
      <c r="FA293" s="350"/>
      <c r="FB293" s="351"/>
      <c r="FC293" s="352"/>
      <c r="FD293" s="353"/>
      <c r="FE293" s="353"/>
      <c r="FF293" s="353"/>
      <c r="FG293" s="353"/>
      <c r="FH293" s="353"/>
      <c r="FI293" s="353"/>
      <c r="FJ293" s="353"/>
      <c r="FK293" s="353"/>
      <c r="FL293" s="353"/>
      <c r="FO293" s="275"/>
      <c r="FP293" s="275"/>
      <c r="FQ293" s="275">
        <f t="shared" si="7"/>
        <v>0</v>
      </c>
    </row>
    <row r="294" spans="1:173" ht="15" hidden="1" customHeight="1">
      <c r="A294" s="336"/>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418"/>
      <c r="AT294" s="418"/>
      <c r="AU294" s="418"/>
      <c r="AV294" s="418"/>
      <c r="AW294" s="418"/>
      <c r="AX294" s="418"/>
      <c r="AY294" s="418"/>
      <c r="AZ294" s="418"/>
      <c r="BA294" s="418"/>
      <c r="BB294" s="418"/>
      <c r="BC294" s="418"/>
      <c r="BD294" s="418"/>
      <c r="BE294" s="418"/>
      <c r="BF294" s="418"/>
      <c r="BG294" s="418"/>
      <c r="BH294" s="418"/>
      <c r="BI294" s="418"/>
      <c r="BJ294" s="418"/>
      <c r="BK294" s="419"/>
      <c r="BL294" s="339"/>
      <c r="BM294" s="340"/>
      <c r="BN294" s="340"/>
      <c r="BO294" s="340"/>
      <c r="BP294" s="340"/>
      <c r="BQ294" s="340"/>
      <c r="BR294" s="340"/>
      <c r="BS294" s="341"/>
      <c r="BT294" s="342"/>
      <c r="BU294" s="343"/>
      <c r="BV294" s="343"/>
      <c r="BW294" s="343"/>
      <c r="BX294" s="343"/>
      <c r="BY294" s="343"/>
      <c r="BZ294" s="343"/>
      <c r="CA294" s="343"/>
      <c r="CB294" s="343"/>
      <c r="CC294" s="343"/>
      <c r="CD294" s="343"/>
      <c r="CE294" s="343"/>
      <c r="CF294" s="344"/>
      <c r="CG294" s="345"/>
      <c r="CH294" s="340"/>
      <c r="CI294" s="340"/>
      <c r="CJ294" s="340"/>
      <c r="CK294" s="340"/>
      <c r="CL294" s="340"/>
      <c r="CM294" s="340"/>
      <c r="CN294" s="340"/>
      <c r="CO294" s="340"/>
      <c r="CP294" s="340"/>
      <c r="CQ294" s="341"/>
      <c r="CR294" s="345"/>
      <c r="CS294" s="340"/>
      <c r="CT294" s="340"/>
      <c r="CU294" s="340"/>
      <c r="CV294" s="340"/>
      <c r="CW294" s="340"/>
      <c r="CX294" s="340"/>
      <c r="CY294" s="340"/>
      <c r="CZ294" s="340"/>
      <c r="DA294" s="340"/>
      <c r="DB294" s="340"/>
      <c r="DC294" s="340"/>
      <c r="DD294" s="341"/>
      <c r="DE294" s="349"/>
      <c r="DF294" s="350"/>
      <c r="DG294" s="350"/>
      <c r="DH294" s="350"/>
      <c r="DI294" s="350"/>
      <c r="DJ294" s="350"/>
      <c r="DK294" s="350"/>
      <c r="DL294" s="350"/>
      <c r="DM294" s="350"/>
      <c r="DN294" s="350"/>
      <c r="DO294" s="350"/>
      <c r="DP294" s="350"/>
      <c r="DQ294" s="351"/>
      <c r="DR294" s="349"/>
      <c r="DS294" s="350"/>
      <c r="DT294" s="350"/>
      <c r="DU294" s="350"/>
      <c r="DV294" s="350"/>
      <c r="DW294" s="350"/>
      <c r="DX294" s="350"/>
      <c r="DY294" s="350"/>
      <c r="DZ294" s="350"/>
      <c r="EA294" s="350"/>
      <c r="EB294" s="350"/>
      <c r="EC294" s="350"/>
      <c r="ED294" s="351"/>
      <c r="EE294" s="349"/>
      <c r="EF294" s="350"/>
      <c r="EG294" s="350"/>
      <c r="EH294" s="350"/>
      <c r="EI294" s="350"/>
      <c r="EJ294" s="350"/>
      <c r="EK294" s="350"/>
      <c r="EL294" s="350"/>
      <c r="EM294" s="350"/>
      <c r="EN294" s="350"/>
      <c r="EO294" s="350"/>
      <c r="EP294" s="350"/>
      <c r="EQ294" s="351"/>
      <c r="ER294" s="349"/>
      <c r="ES294" s="350"/>
      <c r="ET294" s="350"/>
      <c r="EU294" s="350"/>
      <c r="EV294" s="350"/>
      <c r="EW294" s="350"/>
      <c r="EX294" s="350"/>
      <c r="EY294" s="350"/>
      <c r="EZ294" s="350"/>
      <c r="FA294" s="350"/>
      <c r="FB294" s="351"/>
      <c r="FC294" s="352"/>
      <c r="FD294" s="353"/>
      <c r="FE294" s="353"/>
      <c r="FF294" s="353"/>
      <c r="FG294" s="353"/>
      <c r="FH294" s="353"/>
      <c r="FI294" s="353"/>
      <c r="FJ294" s="353"/>
      <c r="FK294" s="353"/>
      <c r="FL294" s="353"/>
      <c r="FO294" s="275"/>
      <c r="FP294" s="275"/>
      <c r="FQ294" s="275">
        <f t="shared" si="7"/>
        <v>0</v>
      </c>
    </row>
    <row r="295" spans="1:173" ht="15" hidden="1" customHeight="1">
      <c r="A295" s="336"/>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418"/>
      <c r="AT295" s="418"/>
      <c r="AU295" s="418"/>
      <c r="AV295" s="418"/>
      <c r="AW295" s="418"/>
      <c r="AX295" s="418"/>
      <c r="AY295" s="418"/>
      <c r="AZ295" s="418"/>
      <c r="BA295" s="418"/>
      <c r="BB295" s="418"/>
      <c r="BC295" s="418"/>
      <c r="BD295" s="418"/>
      <c r="BE295" s="418"/>
      <c r="BF295" s="418"/>
      <c r="BG295" s="418"/>
      <c r="BH295" s="418"/>
      <c r="BI295" s="418"/>
      <c r="BJ295" s="418"/>
      <c r="BK295" s="419"/>
      <c r="BL295" s="339"/>
      <c r="BM295" s="340"/>
      <c r="BN295" s="340"/>
      <c r="BO295" s="340"/>
      <c r="BP295" s="340"/>
      <c r="BQ295" s="340"/>
      <c r="BR295" s="340"/>
      <c r="BS295" s="341"/>
      <c r="BT295" s="342"/>
      <c r="BU295" s="343"/>
      <c r="BV295" s="343"/>
      <c r="BW295" s="343"/>
      <c r="BX295" s="343"/>
      <c r="BY295" s="343"/>
      <c r="BZ295" s="343"/>
      <c r="CA295" s="343"/>
      <c r="CB295" s="343"/>
      <c r="CC295" s="343"/>
      <c r="CD295" s="343"/>
      <c r="CE295" s="343"/>
      <c r="CF295" s="344"/>
      <c r="CG295" s="345"/>
      <c r="CH295" s="340"/>
      <c r="CI295" s="340"/>
      <c r="CJ295" s="340"/>
      <c r="CK295" s="340"/>
      <c r="CL295" s="340"/>
      <c r="CM295" s="340"/>
      <c r="CN295" s="340"/>
      <c r="CO295" s="340"/>
      <c r="CP295" s="340"/>
      <c r="CQ295" s="341"/>
      <c r="CR295" s="345"/>
      <c r="CS295" s="340"/>
      <c r="CT295" s="340"/>
      <c r="CU295" s="340"/>
      <c r="CV295" s="340"/>
      <c r="CW295" s="340"/>
      <c r="CX295" s="340"/>
      <c r="CY295" s="340"/>
      <c r="CZ295" s="340"/>
      <c r="DA295" s="340"/>
      <c r="DB295" s="340"/>
      <c r="DC295" s="340"/>
      <c r="DD295" s="341"/>
      <c r="DE295" s="349"/>
      <c r="DF295" s="350"/>
      <c r="DG295" s="350"/>
      <c r="DH295" s="350"/>
      <c r="DI295" s="350"/>
      <c r="DJ295" s="350"/>
      <c r="DK295" s="350"/>
      <c r="DL295" s="350"/>
      <c r="DM295" s="350"/>
      <c r="DN295" s="350"/>
      <c r="DO295" s="350"/>
      <c r="DP295" s="350"/>
      <c r="DQ295" s="351"/>
      <c r="DR295" s="349"/>
      <c r="DS295" s="350"/>
      <c r="DT295" s="350"/>
      <c r="DU295" s="350"/>
      <c r="DV295" s="350"/>
      <c r="DW295" s="350"/>
      <c r="DX295" s="350"/>
      <c r="DY295" s="350"/>
      <c r="DZ295" s="350"/>
      <c r="EA295" s="350"/>
      <c r="EB295" s="350"/>
      <c r="EC295" s="350"/>
      <c r="ED295" s="351"/>
      <c r="EE295" s="349"/>
      <c r="EF295" s="350"/>
      <c r="EG295" s="350"/>
      <c r="EH295" s="350"/>
      <c r="EI295" s="350"/>
      <c r="EJ295" s="350"/>
      <c r="EK295" s="350"/>
      <c r="EL295" s="350"/>
      <c r="EM295" s="350"/>
      <c r="EN295" s="350"/>
      <c r="EO295" s="350"/>
      <c r="EP295" s="350"/>
      <c r="EQ295" s="351"/>
      <c r="ER295" s="349"/>
      <c r="ES295" s="350"/>
      <c r="ET295" s="350"/>
      <c r="EU295" s="350"/>
      <c r="EV295" s="350"/>
      <c r="EW295" s="350"/>
      <c r="EX295" s="350"/>
      <c r="EY295" s="350"/>
      <c r="EZ295" s="350"/>
      <c r="FA295" s="350"/>
      <c r="FB295" s="351"/>
      <c r="FC295" s="352"/>
      <c r="FD295" s="353"/>
      <c r="FE295" s="353"/>
      <c r="FF295" s="353"/>
      <c r="FG295" s="353"/>
      <c r="FH295" s="353"/>
      <c r="FI295" s="353"/>
      <c r="FJ295" s="353"/>
      <c r="FK295" s="353"/>
      <c r="FL295" s="353"/>
      <c r="FO295" s="275"/>
      <c r="FP295" s="275"/>
      <c r="FQ295" s="275">
        <f t="shared" si="7"/>
        <v>0</v>
      </c>
    </row>
    <row r="296" spans="1:173" ht="15" hidden="1" customHeight="1">
      <c r="A296" s="336"/>
      <c r="B296" s="337"/>
      <c r="C296" s="337"/>
      <c r="D296" s="337"/>
      <c r="E296" s="337"/>
      <c r="F296" s="337"/>
      <c r="G296" s="337"/>
      <c r="H296" s="337"/>
      <c r="I296" s="337"/>
      <c r="J296" s="337"/>
      <c r="K296" s="337"/>
      <c r="L296" s="337"/>
      <c r="M296" s="337"/>
      <c r="N296" s="337"/>
      <c r="O296" s="337"/>
      <c r="P296" s="337"/>
      <c r="Q296" s="337"/>
      <c r="R296" s="337"/>
      <c r="S296" s="337"/>
      <c r="T296" s="337"/>
      <c r="U296" s="337"/>
      <c r="V296" s="337"/>
      <c r="W296" s="337"/>
      <c r="X296" s="337"/>
      <c r="Y296" s="337"/>
      <c r="Z296" s="337"/>
      <c r="AA296" s="337"/>
      <c r="AB296" s="337"/>
      <c r="AC296" s="337"/>
      <c r="AD296" s="337"/>
      <c r="AE296" s="337"/>
      <c r="AF296" s="337"/>
      <c r="AG296" s="337"/>
      <c r="AH296" s="337"/>
      <c r="AI296" s="337"/>
      <c r="AJ296" s="337"/>
      <c r="AK296" s="337"/>
      <c r="AL296" s="337"/>
      <c r="AM296" s="337"/>
      <c r="AN296" s="337"/>
      <c r="AO296" s="337"/>
      <c r="AP296" s="337"/>
      <c r="AQ296" s="337"/>
      <c r="AR296" s="337"/>
      <c r="AS296" s="337"/>
      <c r="AT296" s="337"/>
      <c r="AU296" s="337"/>
      <c r="AV296" s="337"/>
      <c r="AW296" s="337"/>
      <c r="AX296" s="337"/>
      <c r="AY296" s="337"/>
      <c r="AZ296" s="337"/>
      <c r="BA296" s="337"/>
      <c r="BB296" s="337"/>
      <c r="BC296" s="337"/>
      <c r="BD296" s="337"/>
      <c r="BE296" s="337"/>
      <c r="BF296" s="337"/>
      <c r="BG296" s="337"/>
      <c r="BH296" s="337"/>
      <c r="BI296" s="337"/>
      <c r="BJ296" s="337"/>
      <c r="BK296" s="338"/>
      <c r="BL296" s="339"/>
      <c r="BM296" s="340"/>
      <c r="BN296" s="340"/>
      <c r="BO296" s="340"/>
      <c r="BP296" s="340"/>
      <c r="BQ296" s="340"/>
      <c r="BR296" s="340"/>
      <c r="BS296" s="341"/>
      <c r="BT296" s="342"/>
      <c r="BU296" s="343"/>
      <c r="BV296" s="343"/>
      <c r="BW296" s="343"/>
      <c r="BX296" s="343"/>
      <c r="BY296" s="343"/>
      <c r="BZ296" s="343"/>
      <c r="CA296" s="343"/>
      <c r="CB296" s="343"/>
      <c r="CC296" s="343"/>
      <c r="CD296" s="343"/>
      <c r="CE296" s="343"/>
      <c r="CF296" s="344"/>
      <c r="CG296" s="345"/>
      <c r="CH296" s="340"/>
      <c r="CI296" s="340"/>
      <c r="CJ296" s="340"/>
      <c r="CK296" s="340"/>
      <c r="CL296" s="340"/>
      <c r="CM296" s="340"/>
      <c r="CN296" s="340"/>
      <c r="CO296" s="340"/>
      <c r="CP296" s="340"/>
      <c r="CQ296" s="341"/>
      <c r="CR296" s="345"/>
      <c r="CS296" s="340"/>
      <c r="CT296" s="340"/>
      <c r="CU296" s="340"/>
      <c r="CV296" s="340"/>
      <c r="CW296" s="340"/>
      <c r="CX296" s="340"/>
      <c r="CY296" s="340"/>
      <c r="CZ296" s="340"/>
      <c r="DA296" s="340"/>
      <c r="DB296" s="340"/>
      <c r="DC296" s="340"/>
      <c r="DD296" s="341"/>
      <c r="DE296" s="349"/>
      <c r="DF296" s="350"/>
      <c r="DG296" s="350"/>
      <c r="DH296" s="350"/>
      <c r="DI296" s="350"/>
      <c r="DJ296" s="350"/>
      <c r="DK296" s="350"/>
      <c r="DL296" s="350"/>
      <c r="DM296" s="350"/>
      <c r="DN296" s="350"/>
      <c r="DO296" s="350"/>
      <c r="DP296" s="350"/>
      <c r="DQ296" s="351"/>
      <c r="DR296" s="349"/>
      <c r="DS296" s="350"/>
      <c r="DT296" s="350"/>
      <c r="DU296" s="350"/>
      <c r="DV296" s="350"/>
      <c r="DW296" s="350"/>
      <c r="DX296" s="350"/>
      <c r="DY296" s="350"/>
      <c r="DZ296" s="350"/>
      <c r="EA296" s="350"/>
      <c r="EB296" s="350"/>
      <c r="EC296" s="350"/>
      <c r="ED296" s="351"/>
      <c r="EE296" s="349"/>
      <c r="EF296" s="350"/>
      <c r="EG296" s="350"/>
      <c r="EH296" s="350"/>
      <c r="EI296" s="350"/>
      <c r="EJ296" s="350"/>
      <c r="EK296" s="350"/>
      <c r="EL296" s="350"/>
      <c r="EM296" s="350"/>
      <c r="EN296" s="350"/>
      <c r="EO296" s="350"/>
      <c r="EP296" s="350"/>
      <c r="EQ296" s="351"/>
      <c r="ER296" s="349"/>
      <c r="ES296" s="350"/>
      <c r="ET296" s="350"/>
      <c r="EU296" s="350"/>
      <c r="EV296" s="350"/>
      <c r="EW296" s="350"/>
      <c r="EX296" s="350"/>
      <c r="EY296" s="350"/>
      <c r="EZ296" s="350"/>
      <c r="FA296" s="350"/>
      <c r="FB296" s="351"/>
      <c r="FC296" s="352"/>
      <c r="FD296" s="353"/>
      <c r="FE296" s="353"/>
      <c r="FF296" s="353"/>
      <c r="FG296" s="353"/>
      <c r="FH296" s="353"/>
      <c r="FI296" s="353"/>
      <c r="FJ296" s="353"/>
      <c r="FK296" s="353"/>
      <c r="FL296" s="353"/>
      <c r="FO296" s="275"/>
      <c r="FP296" s="275"/>
      <c r="FQ296" s="275">
        <f t="shared" si="7"/>
        <v>0</v>
      </c>
    </row>
    <row r="297" spans="1:173" ht="15" hidden="1" customHeight="1">
      <c r="A297" s="336"/>
      <c r="B297" s="337"/>
      <c r="C297" s="337"/>
      <c r="D297" s="337"/>
      <c r="E297" s="337"/>
      <c r="F297" s="337"/>
      <c r="G297" s="337"/>
      <c r="H297" s="337"/>
      <c r="I297" s="337"/>
      <c r="J297" s="337"/>
      <c r="K297" s="337"/>
      <c r="L297" s="337"/>
      <c r="M297" s="337"/>
      <c r="N297" s="337"/>
      <c r="O297" s="337"/>
      <c r="P297" s="337"/>
      <c r="Q297" s="337"/>
      <c r="R297" s="337"/>
      <c r="S297" s="337"/>
      <c r="T297" s="337"/>
      <c r="U297" s="337"/>
      <c r="V297" s="337"/>
      <c r="W297" s="337"/>
      <c r="X297" s="337"/>
      <c r="Y297" s="337"/>
      <c r="Z297" s="337"/>
      <c r="AA297" s="337"/>
      <c r="AB297" s="337"/>
      <c r="AC297" s="337"/>
      <c r="AD297" s="337"/>
      <c r="AE297" s="337"/>
      <c r="AF297" s="337"/>
      <c r="AG297" s="337"/>
      <c r="AH297" s="337"/>
      <c r="AI297" s="337"/>
      <c r="AJ297" s="337"/>
      <c r="AK297" s="337"/>
      <c r="AL297" s="337"/>
      <c r="AM297" s="337"/>
      <c r="AN297" s="337"/>
      <c r="AO297" s="337"/>
      <c r="AP297" s="337"/>
      <c r="AQ297" s="337"/>
      <c r="AR297" s="337"/>
      <c r="AS297" s="337"/>
      <c r="AT297" s="337"/>
      <c r="AU297" s="337"/>
      <c r="AV297" s="337"/>
      <c r="AW297" s="337"/>
      <c r="AX297" s="337"/>
      <c r="AY297" s="337"/>
      <c r="AZ297" s="337"/>
      <c r="BA297" s="337"/>
      <c r="BB297" s="337"/>
      <c r="BC297" s="337"/>
      <c r="BD297" s="337"/>
      <c r="BE297" s="337"/>
      <c r="BF297" s="337"/>
      <c r="BG297" s="337"/>
      <c r="BH297" s="337"/>
      <c r="BI297" s="337"/>
      <c r="BJ297" s="337"/>
      <c r="BK297" s="338"/>
      <c r="BL297" s="339"/>
      <c r="BM297" s="340"/>
      <c r="BN297" s="340"/>
      <c r="BO297" s="340"/>
      <c r="BP297" s="340"/>
      <c r="BQ297" s="340"/>
      <c r="BR297" s="340"/>
      <c r="BS297" s="341"/>
      <c r="BT297" s="345"/>
      <c r="BU297" s="340"/>
      <c r="BV297" s="340"/>
      <c r="BW297" s="340"/>
      <c r="BX297" s="340"/>
      <c r="BY297" s="340"/>
      <c r="BZ297" s="340"/>
      <c r="CA297" s="340"/>
      <c r="CB297" s="340"/>
      <c r="CC297" s="340"/>
      <c r="CD297" s="340"/>
      <c r="CE297" s="340"/>
      <c r="CF297" s="341"/>
      <c r="CG297" s="345"/>
      <c r="CH297" s="340"/>
      <c r="CI297" s="340"/>
      <c r="CJ297" s="340"/>
      <c r="CK297" s="340"/>
      <c r="CL297" s="340"/>
      <c r="CM297" s="340"/>
      <c r="CN297" s="340"/>
      <c r="CO297" s="340"/>
      <c r="CP297" s="340"/>
      <c r="CQ297" s="341"/>
      <c r="CR297" s="345"/>
      <c r="CS297" s="340"/>
      <c r="CT297" s="340"/>
      <c r="CU297" s="340"/>
      <c r="CV297" s="340"/>
      <c r="CW297" s="340"/>
      <c r="CX297" s="340"/>
      <c r="CY297" s="340"/>
      <c r="CZ297" s="340"/>
      <c r="DA297" s="340"/>
      <c r="DB297" s="340"/>
      <c r="DC297" s="340"/>
      <c r="DD297" s="341"/>
      <c r="DE297" s="349"/>
      <c r="DF297" s="350"/>
      <c r="DG297" s="350"/>
      <c r="DH297" s="350"/>
      <c r="DI297" s="350"/>
      <c r="DJ297" s="350"/>
      <c r="DK297" s="350"/>
      <c r="DL297" s="350"/>
      <c r="DM297" s="350"/>
      <c r="DN297" s="350"/>
      <c r="DO297" s="350"/>
      <c r="DP297" s="350"/>
      <c r="DQ297" s="351"/>
      <c r="DR297" s="349"/>
      <c r="DS297" s="350"/>
      <c r="DT297" s="350"/>
      <c r="DU297" s="350"/>
      <c r="DV297" s="350"/>
      <c r="DW297" s="350"/>
      <c r="DX297" s="350"/>
      <c r="DY297" s="350"/>
      <c r="DZ297" s="350"/>
      <c r="EA297" s="350"/>
      <c r="EB297" s="350"/>
      <c r="EC297" s="350"/>
      <c r="ED297" s="351"/>
      <c r="EE297" s="349"/>
      <c r="EF297" s="350"/>
      <c r="EG297" s="350"/>
      <c r="EH297" s="350"/>
      <c r="EI297" s="350"/>
      <c r="EJ297" s="350"/>
      <c r="EK297" s="350"/>
      <c r="EL297" s="350"/>
      <c r="EM297" s="350"/>
      <c r="EN297" s="350"/>
      <c r="EO297" s="350"/>
      <c r="EP297" s="350"/>
      <c r="EQ297" s="351"/>
      <c r="ER297" s="349"/>
      <c r="ES297" s="350"/>
      <c r="ET297" s="350"/>
      <c r="EU297" s="350"/>
      <c r="EV297" s="350"/>
      <c r="EW297" s="350"/>
      <c r="EX297" s="350"/>
      <c r="EY297" s="350"/>
      <c r="EZ297" s="350"/>
      <c r="FA297" s="350"/>
      <c r="FB297" s="351"/>
      <c r="FC297" s="352"/>
      <c r="FD297" s="353"/>
      <c r="FE297" s="353"/>
      <c r="FF297" s="353"/>
      <c r="FG297" s="353"/>
      <c r="FH297" s="353"/>
      <c r="FI297" s="353"/>
      <c r="FJ297" s="353"/>
      <c r="FK297" s="353"/>
      <c r="FL297" s="353"/>
      <c r="FO297" s="275"/>
      <c r="FP297" s="275"/>
      <c r="FQ297" s="275">
        <f t="shared" si="7"/>
        <v>0</v>
      </c>
    </row>
    <row r="298" spans="1:173" ht="14.4" hidden="1" customHeight="1">
      <c r="A298" s="336"/>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418"/>
      <c r="AT298" s="418"/>
      <c r="AU298" s="418"/>
      <c r="AV298" s="418"/>
      <c r="AW298" s="418"/>
      <c r="AX298" s="418"/>
      <c r="AY298" s="418"/>
      <c r="AZ298" s="418"/>
      <c r="BA298" s="418"/>
      <c r="BB298" s="418"/>
      <c r="BC298" s="418"/>
      <c r="BD298" s="418"/>
      <c r="BE298" s="418"/>
      <c r="BF298" s="418"/>
      <c r="BG298" s="418"/>
      <c r="BH298" s="418"/>
      <c r="BI298" s="418"/>
      <c r="BJ298" s="418"/>
      <c r="BK298" s="419"/>
      <c r="BL298" s="339"/>
      <c r="BM298" s="340"/>
      <c r="BN298" s="340"/>
      <c r="BO298" s="340"/>
      <c r="BP298" s="340"/>
      <c r="BQ298" s="340"/>
      <c r="BR298" s="340"/>
      <c r="BS298" s="341"/>
      <c r="BT298" s="342"/>
      <c r="BU298" s="343"/>
      <c r="BV298" s="343"/>
      <c r="BW298" s="343"/>
      <c r="BX298" s="343"/>
      <c r="BY298" s="343"/>
      <c r="BZ298" s="343"/>
      <c r="CA298" s="343"/>
      <c r="CB298" s="343"/>
      <c r="CC298" s="343"/>
      <c r="CD298" s="343"/>
      <c r="CE298" s="343"/>
      <c r="CF298" s="344"/>
      <c r="CG298" s="345"/>
      <c r="CH298" s="340"/>
      <c r="CI298" s="340"/>
      <c r="CJ298" s="340"/>
      <c r="CK298" s="340"/>
      <c r="CL298" s="340"/>
      <c r="CM298" s="340"/>
      <c r="CN298" s="340"/>
      <c r="CO298" s="340"/>
      <c r="CP298" s="340"/>
      <c r="CQ298" s="341"/>
      <c r="CR298" s="345"/>
      <c r="CS298" s="340"/>
      <c r="CT298" s="340"/>
      <c r="CU298" s="340"/>
      <c r="CV298" s="340"/>
      <c r="CW298" s="340"/>
      <c r="CX298" s="340"/>
      <c r="CY298" s="340"/>
      <c r="CZ298" s="340"/>
      <c r="DA298" s="340"/>
      <c r="DB298" s="340"/>
      <c r="DC298" s="340"/>
      <c r="DD298" s="341"/>
      <c r="DE298" s="349"/>
      <c r="DF298" s="350"/>
      <c r="DG298" s="350"/>
      <c r="DH298" s="350"/>
      <c r="DI298" s="350"/>
      <c r="DJ298" s="350"/>
      <c r="DK298" s="350"/>
      <c r="DL298" s="350"/>
      <c r="DM298" s="350"/>
      <c r="DN298" s="350"/>
      <c r="DO298" s="350"/>
      <c r="DP298" s="350"/>
      <c r="DQ298" s="351"/>
      <c r="DR298" s="349"/>
      <c r="DS298" s="350"/>
      <c r="DT298" s="350"/>
      <c r="DU298" s="350"/>
      <c r="DV298" s="350"/>
      <c r="DW298" s="350"/>
      <c r="DX298" s="350"/>
      <c r="DY298" s="350"/>
      <c r="DZ298" s="350"/>
      <c r="EA298" s="350"/>
      <c r="EB298" s="350"/>
      <c r="EC298" s="350"/>
      <c r="ED298" s="351"/>
      <c r="EE298" s="349"/>
      <c r="EF298" s="350"/>
      <c r="EG298" s="350"/>
      <c r="EH298" s="350"/>
      <c r="EI298" s="350"/>
      <c r="EJ298" s="350"/>
      <c r="EK298" s="350"/>
      <c r="EL298" s="350"/>
      <c r="EM298" s="350"/>
      <c r="EN298" s="350"/>
      <c r="EO298" s="350"/>
      <c r="EP298" s="350"/>
      <c r="EQ298" s="351"/>
      <c r="ER298" s="349"/>
      <c r="ES298" s="350"/>
      <c r="ET298" s="350"/>
      <c r="EU298" s="350"/>
      <c r="EV298" s="350"/>
      <c r="EW298" s="350"/>
      <c r="EX298" s="350"/>
      <c r="EY298" s="350"/>
      <c r="EZ298" s="350"/>
      <c r="FA298" s="350"/>
      <c r="FB298" s="351"/>
      <c r="FC298" s="352"/>
      <c r="FD298" s="353"/>
      <c r="FE298" s="353"/>
      <c r="FF298" s="353"/>
      <c r="FG298" s="353"/>
      <c r="FH298" s="353"/>
      <c r="FI298" s="353"/>
      <c r="FJ298" s="353"/>
      <c r="FK298" s="353"/>
      <c r="FL298" s="353"/>
      <c r="FO298" s="275"/>
      <c r="FP298" s="275"/>
      <c r="FQ298" s="275">
        <f t="shared" si="7"/>
        <v>0</v>
      </c>
    </row>
    <row r="299" spans="1:173" s="215" customFormat="1" ht="12" customHeight="1">
      <c r="A299" s="437" t="s">
        <v>935</v>
      </c>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8"/>
      <c r="Z299" s="438"/>
      <c r="AA299" s="438"/>
      <c r="AB299" s="438"/>
      <c r="AC299" s="438"/>
      <c r="AD299" s="438"/>
      <c r="AE299" s="438"/>
      <c r="AF299" s="438"/>
      <c r="AG299" s="438"/>
      <c r="AH299" s="438"/>
      <c r="AI299" s="438"/>
      <c r="AJ299" s="438"/>
      <c r="AK299" s="438"/>
      <c r="AL299" s="438"/>
      <c r="AM299" s="438"/>
      <c r="AN299" s="438"/>
      <c r="AO299" s="438"/>
      <c r="AP299" s="438"/>
      <c r="AQ299" s="438"/>
      <c r="AR299" s="438"/>
      <c r="AS299" s="438"/>
      <c r="AT299" s="438"/>
      <c r="AU299" s="438"/>
      <c r="AV299" s="438"/>
      <c r="AW299" s="438"/>
      <c r="AX299" s="438"/>
      <c r="AY299" s="438"/>
      <c r="AZ299" s="438"/>
      <c r="BA299" s="438"/>
      <c r="BB299" s="438"/>
      <c r="BC299" s="438"/>
      <c r="BD299" s="438"/>
      <c r="BE299" s="438"/>
      <c r="BF299" s="438"/>
      <c r="BG299" s="438"/>
      <c r="BH299" s="438"/>
      <c r="BI299" s="438"/>
      <c r="BJ299" s="438"/>
      <c r="BK299" s="439"/>
      <c r="BL299" s="440"/>
      <c r="BM299" s="414"/>
      <c r="BN299" s="414"/>
      <c r="BO299" s="414"/>
      <c r="BP299" s="414"/>
      <c r="BQ299" s="414"/>
      <c r="BR299" s="414"/>
      <c r="BS299" s="415"/>
      <c r="BT299" s="413" t="s">
        <v>109</v>
      </c>
      <c r="BU299" s="414"/>
      <c r="BV299" s="414"/>
      <c r="BW299" s="414"/>
      <c r="BX299" s="414"/>
      <c r="BY299" s="414"/>
      <c r="BZ299" s="414"/>
      <c r="CA299" s="414"/>
      <c r="CB299" s="414"/>
      <c r="CC299" s="414"/>
      <c r="CD299" s="414"/>
      <c r="CE299" s="414"/>
      <c r="CF299" s="415"/>
      <c r="CG299" s="413" t="s">
        <v>196</v>
      </c>
      <c r="CH299" s="414"/>
      <c r="CI299" s="414"/>
      <c r="CJ299" s="414"/>
      <c r="CK299" s="414"/>
      <c r="CL299" s="414"/>
      <c r="CM299" s="414"/>
      <c r="CN299" s="414"/>
      <c r="CO299" s="414"/>
      <c r="CP299" s="414"/>
      <c r="CQ299" s="415"/>
      <c r="CR299" s="413"/>
      <c r="CS299" s="414"/>
      <c r="CT299" s="414"/>
      <c r="CU299" s="414"/>
      <c r="CV299" s="414"/>
      <c r="CW299" s="414"/>
      <c r="CX299" s="414"/>
      <c r="CY299" s="414"/>
      <c r="CZ299" s="414"/>
      <c r="DA299" s="414"/>
      <c r="DB299" s="414"/>
      <c r="DC299" s="414"/>
      <c r="DD299" s="415"/>
      <c r="DE299" s="428">
        <f>DE300+DE306</f>
        <v>2131390.23</v>
      </c>
      <c r="DF299" s="429"/>
      <c r="DG299" s="429"/>
      <c r="DH299" s="429"/>
      <c r="DI299" s="429"/>
      <c r="DJ299" s="429"/>
      <c r="DK299" s="429"/>
      <c r="DL299" s="429"/>
      <c r="DM299" s="429"/>
      <c r="DN299" s="429"/>
      <c r="DO299" s="429"/>
      <c r="DP299" s="429"/>
      <c r="DQ299" s="430"/>
      <c r="DR299" s="428">
        <f>DR300+DR306</f>
        <v>1107050.8999999999</v>
      </c>
      <c r="DS299" s="429"/>
      <c r="DT299" s="429"/>
      <c r="DU299" s="429"/>
      <c r="DV299" s="429"/>
      <c r="DW299" s="429"/>
      <c r="DX299" s="429"/>
      <c r="DY299" s="429"/>
      <c r="DZ299" s="429"/>
      <c r="EA299" s="429"/>
      <c r="EB299" s="429"/>
      <c r="EC299" s="429"/>
      <c r="ED299" s="430"/>
      <c r="EE299" s="428"/>
      <c r="EF299" s="429"/>
      <c r="EG299" s="429"/>
      <c r="EH299" s="429"/>
      <c r="EI299" s="429"/>
      <c r="EJ299" s="429"/>
      <c r="EK299" s="429"/>
      <c r="EL299" s="429"/>
      <c r="EM299" s="429"/>
      <c r="EN299" s="429"/>
      <c r="EO299" s="429"/>
      <c r="EP299" s="429"/>
      <c r="EQ299" s="430"/>
      <c r="ER299" s="410"/>
      <c r="ES299" s="411"/>
      <c r="ET299" s="411"/>
      <c r="EU299" s="411"/>
      <c r="EV299" s="411"/>
      <c r="EW299" s="411"/>
      <c r="EX299" s="411"/>
      <c r="EY299" s="411"/>
      <c r="EZ299" s="411"/>
      <c r="FA299" s="411"/>
      <c r="FB299" s="412"/>
      <c r="FC299" s="423"/>
      <c r="FD299" s="424"/>
      <c r="FE299" s="424"/>
      <c r="FF299" s="424"/>
      <c r="FG299" s="424"/>
      <c r="FH299" s="424"/>
      <c r="FI299" s="424"/>
      <c r="FJ299" s="424"/>
      <c r="FK299" s="424"/>
      <c r="FL299" s="424"/>
      <c r="FO299" s="278"/>
      <c r="FP299" s="278"/>
      <c r="FQ299" s="275">
        <f t="shared" si="7"/>
        <v>1107050.8999999999</v>
      </c>
    </row>
    <row r="300" spans="1:173" s="215" customFormat="1" ht="12" customHeight="1">
      <c r="A300" s="437" t="s">
        <v>936</v>
      </c>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8"/>
      <c r="Z300" s="438"/>
      <c r="AA300" s="438"/>
      <c r="AB300" s="438"/>
      <c r="AC300" s="438"/>
      <c r="AD300" s="438"/>
      <c r="AE300" s="438"/>
      <c r="AF300" s="438"/>
      <c r="AG300" s="438"/>
      <c r="AH300" s="438"/>
      <c r="AI300" s="438"/>
      <c r="AJ300" s="438"/>
      <c r="AK300" s="438"/>
      <c r="AL300" s="438"/>
      <c r="AM300" s="438"/>
      <c r="AN300" s="438"/>
      <c r="AO300" s="438"/>
      <c r="AP300" s="438"/>
      <c r="AQ300" s="438"/>
      <c r="AR300" s="438"/>
      <c r="AS300" s="438"/>
      <c r="AT300" s="438"/>
      <c r="AU300" s="438"/>
      <c r="AV300" s="438"/>
      <c r="AW300" s="438"/>
      <c r="AX300" s="438"/>
      <c r="AY300" s="438"/>
      <c r="AZ300" s="438"/>
      <c r="BA300" s="438"/>
      <c r="BB300" s="438"/>
      <c r="BC300" s="438"/>
      <c r="BD300" s="438"/>
      <c r="BE300" s="438"/>
      <c r="BF300" s="438"/>
      <c r="BG300" s="438"/>
      <c r="BH300" s="438"/>
      <c r="BI300" s="438"/>
      <c r="BJ300" s="438"/>
      <c r="BK300" s="439"/>
      <c r="BL300" s="440"/>
      <c r="BM300" s="414"/>
      <c r="BN300" s="414"/>
      <c r="BO300" s="414"/>
      <c r="BP300" s="414"/>
      <c r="BQ300" s="414"/>
      <c r="BR300" s="414"/>
      <c r="BS300" s="415"/>
      <c r="BT300" s="413" t="s">
        <v>109</v>
      </c>
      <c r="BU300" s="414"/>
      <c r="BV300" s="414"/>
      <c r="BW300" s="414"/>
      <c r="BX300" s="414"/>
      <c r="BY300" s="414"/>
      <c r="BZ300" s="414"/>
      <c r="CA300" s="414"/>
      <c r="CB300" s="414"/>
      <c r="CC300" s="414"/>
      <c r="CD300" s="414"/>
      <c r="CE300" s="414"/>
      <c r="CF300" s="415"/>
      <c r="CG300" s="413" t="s">
        <v>196</v>
      </c>
      <c r="CH300" s="414"/>
      <c r="CI300" s="414"/>
      <c r="CJ300" s="414"/>
      <c r="CK300" s="414"/>
      <c r="CL300" s="414"/>
      <c r="CM300" s="414"/>
      <c r="CN300" s="414"/>
      <c r="CO300" s="414"/>
      <c r="CP300" s="414"/>
      <c r="CQ300" s="415"/>
      <c r="CR300" s="413"/>
      <c r="CS300" s="414"/>
      <c r="CT300" s="414"/>
      <c r="CU300" s="414"/>
      <c r="CV300" s="414"/>
      <c r="CW300" s="414"/>
      <c r="CX300" s="414"/>
      <c r="CY300" s="414"/>
      <c r="CZ300" s="414"/>
      <c r="DA300" s="414"/>
      <c r="DB300" s="414"/>
      <c r="DC300" s="414"/>
      <c r="DD300" s="415"/>
      <c r="DE300" s="428">
        <f>DE301</f>
        <v>618341.9</v>
      </c>
      <c r="DF300" s="429"/>
      <c r="DG300" s="429"/>
      <c r="DH300" s="429"/>
      <c r="DI300" s="429"/>
      <c r="DJ300" s="429"/>
      <c r="DK300" s="429"/>
      <c r="DL300" s="429"/>
      <c r="DM300" s="429"/>
      <c r="DN300" s="429"/>
      <c r="DO300" s="429"/>
      <c r="DP300" s="429"/>
      <c r="DQ300" s="430"/>
      <c r="DR300" s="428">
        <f>SUM(DR301:ED305)</f>
        <v>504082</v>
      </c>
      <c r="DS300" s="429"/>
      <c r="DT300" s="429"/>
      <c r="DU300" s="429"/>
      <c r="DV300" s="429"/>
      <c r="DW300" s="429"/>
      <c r="DX300" s="429"/>
      <c r="DY300" s="429"/>
      <c r="DZ300" s="429"/>
      <c r="EA300" s="429"/>
      <c r="EB300" s="429"/>
      <c r="EC300" s="429"/>
      <c r="ED300" s="430"/>
      <c r="EE300" s="428"/>
      <c r="EF300" s="429"/>
      <c r="EG300" s="429"/>
      <c r="EH300" s="429"/>
      <c r="EI300" s="429"/>
      <c r="EJ300" s="429"/>
      <c r="EK300" s="429"/>
      <c r="EL300" s="429"/>
      <c r="EM300" s="429"/>
      <c r="EN300" s="429"/>
      <c r="EO300" s="429"/>
      <c r="EP300" s="429"/>
      <c r="EQ300" s="430"/>
      <c r="ER300" s="410"/>
      <c r="ES300" s="411"/>
      <c r="ET300" s="411"/>
      <c r="EU300" s="411"/>
      <c r="EV300" s="411"/>
      <c r="EW300" s="411"/>
      <c r="EX300" s="411"/>
      <c r="EY300" s="411"/>
      <c r="EZ300" s="411"/>
      <c r="FA300" s="411"/>
      <c r="FB300" s="412"/>
      <c r="FC300" s="423"/>
      <c r="FD300" s="424"/>
      <c r="FE300" s="424"/>
      <c r="FF300" s="424"/>
      <c r="FG300" s="424"/>
      <c r="FH300" s="424"/>
      <c r="FI300" s="424"/>
      <c r="FJ300" s="424"/>
      <c r="FK300" s="424"/>
      <c r="FL300" s="424"/>
      <c r="FO300" s="278"/>
      <c r="FP300" s="278"/>
      <c r="FQ300" s="275">
        <f t="shared" si="7"/>
        <v>504082</v>
      </c>
    </row>
    <row r="301" spans="1:173" ht="37.200000000000003" hidden="1" customHeight="1">
      <c r="A301" s="441" t="s">
        <v>874</v>
      </c>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c r="AG301" s="442"/>
      <c r="AH301" s="442"/>
      <c r="AI301" s="442"/>
      <c r="AJ301" s="442"/>
      <c r="AK301" s="442"/>
      <c r="AL301" s="442"/>
      <c r="AM301" s="442"/>
      <c r="AN301" s="442"/>
      <c r="AO301" s="442"/>
      <c r="AP301" s="442"/>
      <c r="AQ301" s="442"/>
      <c r="AR301" s="442"/>
      <c r="AS301" s="442"/>
      <c r="AT301" s="442"/>
      <c r="AU301" s="442"/>
      <c r="AV301" s="442"/>
      <c r="AW301" s="442"/>
      <c r="AX301" s="442"/>
      <c r="AY301" s="442"/>
      <c r="AZ301" s="442"/>
      <c r="BA301" s="442"/>
      <c r="BB301" s="442"/>
      <c r="BC301" s="442"/>
      <c r="BD301" s="442"/>
      <c r="BE301" s="442"/>
      <c r="BF301" s="442"/>
      <c r="BG301" s="442"/>
      <c r="BH301" s="442"/>
      <c r="BI301" s="442"/>
      <c r="BJ301" s="442"/>
      <c r="BK301" s="443"/>
      <c r="BL301" s="339"/>
      <c r="BM301" s="340"/>
      <c r="BN301" s="340"/>
      <c r="BO301" s="340"/>
      <c r="BP301" s="340"/>
      <c r="BQ301" s="340"/>
      <c r="BR301" s="340"/>
      <c r="BS301" s="341"/>
      <c r="BT301" s="395" t="s">
        <v>873</v>
      </c>
      <c r="BU301" s="396"/>
      <c r="BV301" s="396"/>
      <c r="BW301" s="396"/>
      <c r="BX301" s="396"/>
      <c r="BY301" s="396"/>
      <c r="BZ301" s="396"/>
      <c r="CA301" s="396"/>
      <c r="CB301" s="396"/>
      <c r="CC301" s="396"/>
      <c r="CD301" s="396"/>
      <c r="CE301" s="396"/>
      <c r="CF301" s="397"/>
      <c r="CG301" s="345" t="s">
        <v>772</v>
      </c>
      <c r="CH301" s="340"/>
      <c r="CI301" s="340"/>
      <c r="CJ301" s="340"/>
      <c r="CK301" s="340"/>
      <c r="CL301" s="340"/>
      <c r="CM301" s="340"/>
      <c r="CN301" s="340"/>
      <c r="CO301" s="340"/>
      <c r="CP301" s="340"/>
      <c r="CQ301" s="341"/>
      <c r="CR301" s="345"/>
      <c r="CS301" s="340"/>
      <c r="CT301" s="340"/>
      <c r="CU301" s="340"/>
      <c r="CV301" s="340"/>
      <c r="CW301" s="340"/>
      <c r="CX301" s="340"/>
      <c r="CY301" s="340"/>
      <c r="CZ301" s="340"/>
      <c r="DA301" s="340"/>
      <c r="DB301" s="340"/>
      <c r="DC301" s="340"/>
      <c r="DD301" s="341"/>
      <c r="DE301" s="405">
        <f>618341.9</f>
        <v>618341.9</v>
      </c>
      <c r="DF301" s="406"/>
      <c r="DG301" s="406"/>
      <c r="DH301" s="406"/>
      <c r="DI301" s="406"/>
      <c r="DJ301" s="406"/>
      <c r="DK301" s="406"/>
      <c r="DL301" s="406"/>
      <c r="DM301" s="406"/>
      <c r="DN301" s="406"/>
      <c r="DO301" s="406"/>
      <c r="DP301" s="406"/>
      <c r="DQ301" s="407"/>
      <c r="DR301" s="405">
        <v>0</v>
      </c>
      <c r="DS301" s="406"/>
      <c r="DT301" s="406"/>
      <c r="DU301" s="406"/>
      <c r="DV301" s="406"/>
      <c r="DW301" s="406"/>
      <c r="DX301" s="406"/>
      <c r="DY301" s="406"/>
      <c r="DZ301" s="406"/>
      <c r="EA301" s="406"/>
      <c r="EB301" s="406"/>
      <c r="EC301" s="406"/>
      <c r="ED301" s="407"/>
      <c r="EE301" s="405"/>
      <c r="EF301" s="406"/>
      <c r="EG301" s="406"/>
      <c r="EH301" s="406"/>
      <c r="EI301" s="406"/>
      <c r="EJ301" s="406"/>
      <c r="EK301" s="406"/>
      <c r="EL301" s="406"/>
      <c r="EM301" s="406"/>
      <c r="EN301" s="406"/>
      <c r="EO301" s="406"/>
      <c r="EP301" s="406"/>
      <c r="EQ301" s="407"/>
      <c r="ER301" s="349"/>
      <c r="ES301" s="350"/>
      <c r="ET301" s="350"/>
      <c r="EU301" s="350"/>
      <c r="EV301" s="350"/>
      <c r="EW301" s="350"/>
      <c r="EX301" s="350"/>
      <c r="EY301" s="350"/>
      <c r="EZ301" s="350"/>
      <c r="FA301" s="350"/>
      <c r="FB301" s="351"/>
      <c r="FC301" s="352"/>
      <c r="FD301" s="353"/>
      <c r="FE301" s="353"/>
      <c r="FF301" s="353"/>
      <c r="FG301" s="353"/>
      <c r="FH301" s="353"/>
      <c r="FI301" s="353"/>
      <c r="FJ301" s="353"/>
      <c r="FK301" s="353"/>
      <c r="FL301" s="353"/>
      <c r="FO301" s="275"/>
      <c r="FP301" s="275"/>
      <c r="FQ301" s="275">
        <f t="shared" si="7"/>
        <v>0</v>
      </c>
    </row>
    <row r="302" spans="1:173" s="174" customFormat="1" ht="23.4" customHeight="1">
      <c r="A302" s="441" t="s">
        <v>1122</v>
      </c>
      <c r="B302" s="447"/>
      <c r="C302" s="447"/>
      <c r="D302" s="447"/>
      <c r="E302" s="447"/>
      <c r="F302" s="447"/>
      <c r="G302" s="447"/>
      <c r="H302" s="447"/>
      <c r="I302" s="447"/>
      <c r="J302" s="447"/>
      <c r="K302" s="447"/>
      <c r="L302" s="447"/>
      <c r="M302" s="447"/>
      <c r="N302" s="447"/>
      <c r="O302" s="447"/>
      <c r="P302" s="447"/>
      <c r="Q302" s="447"/>
      <c r="R302" s="447"/>
      <c r="S302" s="447"/>
      <c r="T302" s="447"/>
      <c r="U302" s="447"/>
      <c r="V302" s="447"/>
      <c r="W302" s="447"/>
      <c r="X302" s="447"/>
      <c r="Y302" s="447"/>
      <c r="Z302" s="447"/>
      <c r="AA302" s="447"/>
      <c r="AB302" s="447"/>
      <c r="AC302" s="447"/>
      <c r="AD302" s="447"/>
      <c r="AE302" s="447"/>
      <c r="AF302" s="447"/>
      <c r="AG302" s="447"/>
      <c r="AH302" s="447"/>
      <c r="AI302" s="447"/>
      <c r="AJ302" s="447"/>
      <c r="AK302" s="447"/>
      <c r="AL302" s="447"/>
      <c r="AM302" s="447"/>
      <c r="AN302" s="447"/>
      <c r="AO302" s="447"/>
      <c r="AP302" s="447"/>
      <c r="AQ302" s="447"/>
      <c r="AR302" s="447"/>
      <c r="AS302" s="447"/>
      <c r="AT302" s="447"/>
      <c r="AU302" s="447"/>
      <c r="AV302" s="447"/>
      <c r="AW302" s="447"/>
      <c r="AX302" s="447"/>
      <c r="AY302" s="447"/>
      <c r="AZ302" s="447"/>
      <c r="BA302" s="447"/>
      <c r="BB302" s="447"/>
      <c r="BC302" s="447"/>
      <c r="BD302" s="447"/>
      <c r="BE302" s="447"/>
      <c r="BF302" s="447"/>
      <c r="BG302" s="447"/>
      <c r="BH302" s="447"/>
      <c r="BI302" s="447"/>
      <c r="BJ302" s="447"/>
      <c r="BK302" s="448"/>
      <c r="BL302" s="392"/>
      <c r="BM302" s="393"/>
      <c r="BN302" s="393"/>
      <c r="BO302" s="393"/>
      <c r="BP302" s="393"/>
      <c r="BQ302" s="393"/>
      <c r="BR302" s="393"/>
      <c r="BS302" s="394"/>
      <c r="BT302" s="395" t="s">
        <v>1124</v>
      </c>
      <c r="BU302" s="396"/>
      <c r="BV302" s="396"/>
      <c r="BW302" s="396"/>
      <c r="BX302" s="396"/>
      <c r="BY302" s="396"/>
      <c r="BZ302" s="396"/>
      <c r="CA302" s="396"/>
      <c r="CB302" s="396"/>
      <c r="CC302" s="396"/>
      <c r="CD302" s="396"/>
      <c r="CE302" s="396"/>
      <c r="CF302" s="397"/>
      <c r="CG302" s="398" t="s">
        <v>772</v>
      </c>
      <c r="CH302" s="393"/>
      <c r="CI302" s="393"/>
      <c r="CJ302" s="393"/>
      <c r="CK302" s="393"/>
      <c r="CL302" s="393"/>
      <c r="CM302" s="393"/>
      <c r="CN302" s="393"/>
      <c r="CO302" s="393"/>
      <c r="CP302" s="393"/>
      <c r="CQ302" s="394"/>
      <c r="CR302" s="398"/>
      <c r="CS302" s="393"/>
      <c r="CT302" s="393"/>
      <c r="CU302" s="393"/>
      <c r="CV302" s="393"/>
      <c r="CW302" s="393"/>
      <c r="CX302" s="393"/>
      <c r="CY302" s="393"/>
      <c r="CZ302" s="393"/>
      <c r="DA302" s="393"/>
      <c r="DB302" s="393"/>
      <c r="DC302" s="393"/>
      <c r="DD302" s="394"/>
      <c r="DE302" s="402"/>
      <c r="DF302" s="403"/>
      <c r="DG302" s="403"/>
      <c r="DH302" s="403"/>
      <c r="DI302" s="403"/>
      <c r="DJ302" s="403"/>
      <c r="DK302" s="403"/>
      <c r="DL302" s="403"/>
      <c r="DM302" s="403"/>
      <c r="DN302" s="403"/>
      <c r="DO302" s="403"/>
      <c r="DP302" s="403"/>
      <c r="DQ302" s="404"/>
      <c r="DR302" s="399">
        <f>504082</f>
        <v>504082</v>
      </c>
      <c r="DS302" s="400"/>
      <c r="DT302" s="400"/>
      <c r="DU302" s="400"/>
      <c r="DV302" s="400"/>
      <c r="DW302" s="400"/>
      <c r="DX302" s="400"/>
      <c r="DY302" s="400"/>
      <c r="DZ302" s="400"/>
      <c r="EA302" s="400"/>
      <c r="EB302" s="400"/>
      <c r="EC302" s="400"/>
      <c r="ED302" s="401"/>
      <c r="EE302" s="402"/>
      <c r="EF302" s="403"/>
      <c r="EG302" s="403"/>
      <c r="EH302" s="403"/>
      <c r="EI302" s="403"/>
      <c r="EJ302" s="403"/>
      <c r="EK302" s="403"/>
      <c r="EL302" s="403"/>
      <c r="EM302" s="403"/>
      <c r="EN302" s="403"/>
      <c r="EO302" s="403"/>
      <c r="EP302" s="403"/>
      <c r="EQ302" s="404"/>
      <c r="ER302" s="402"/>
      <c r="ES302" s="403"/>
      <c r="ET302" s="403"/>
      <c r="EU302" s="403"/>
      <c r="EV302" s="403"/>
      <c r="EW302" s="403"/>
      <c r="EX302" s="403"/>
      <c r="EY302" s="403"/>
      <c r="EZ302" s="403"/>
      <c r="FA302" s="403"/>
      <c r="FB302" s="404"/>
      <c r="FC302" s="408"/>
      <c r="FD302" s="409"/>
      <c r="FE302" s="409"/>
      <c r="FF302" s="409"/>
      <c r="FG302" s="409"/>
      <c r="FH302" s="409"/>
      <c r="FI302" s="409"/>
      <c r="FJ302" s="409"/>
      <c r="FK302" s="409"/>
      <c r="FL302" s="409"/>
      <c r="FO302" s="279"/>
      <c r="FP302" s="279"/>
      <c r="FQ302" s="279">
        <f t="shared" si="7"/>
        <v>504082</v>
      </c>
    </row>
    <row r="303" spans="1:173" ht="15" hidden="1" customHeight="1">
      <c r="A303" s="336"/>
      <c r="B303" s="337"/>
      <c r="C303" s="337"/>
      <c r="D303" s="337"/>
      <c r="E303" s="337"/>
      <c r="F303" s="337"/>
      <c r="G303" s="337"/>
      <c r="H303" s="337"/>
      <c r="I303" s="337"/>
      <c r="J303" s="337"/>
      <c r="K303" s="337"/>
      <c r="L303" s="337"/>
      <c r="M303" s="337"/>
      <c r="N303" s="337"/>
      <c r="O303" s="337"/>
      <c r="P303" s="337"/>
      <c r="Q303" s="337"/>
      <c r="R303" s="337"/>
      <c r="S303" s="337"/>
      <c r="T303" s="337"/>
      <c r="U303" s="337"/>
      <c r="V303" s="337"/>
      <c r="W303" s="337"/>
      <c r="X303" s="337"/>
      <c r="Y303" s="337"/>
      <c r="Z303" s="337"/>
      <c r="AA303" s="337"/>
      <c r="AB303" s="337"/>
      <c r="AC303" s="337"/>
      <c r="AD303" s="337"/>
      <c r="AE303" s="337"/>
      <c r="AF303" s="337"/>
      <c r="AG303" s="337"/>
      <c r="AH303" s="337"/>
      <c r="AI303" s="337"/>
      <c r="AJ303" s="337"/>
      <c r="AK303" s="337"/>
      <c r="AL303" s="337"/>
      <c r="AM303" s="337"/>
      <c r="AN303" s="337"/>
      <c r="AO303" s="337"/>
      <c r="AP303" s="337"/>
      <c r="AQ303" s="337"/>
      <c r="AR303" s="337"/>
      <c r="AS303" s="337"/>
      <c r="AT303" s="337"/>
      <c r="AU303" s="337"/>
      <c r="AV303" s="337"/>
      <c r="AW303" s="337"/>
      <c r="AX303" s="337"/>
      <c r="AY303" s="337"/>
      <c r="AZ303" s="337"/>
      <c r="BA303" s="337"/>
      <c r="BB303" s="337"/>
      <c r="BC303" s="337"/>
      <c r="BD303" s="337"/>
      <c r="BE303" s="337"/>
      <c r="BF303" s="337"/>
      <c r="BG303" s="337"/>
      <c r="BH303" s="337"/>
      <c r="BI303" s="337"/>
      <c r="BJ303" s="337"/>
      <c r="BK303" s="338"/>
      <c r="BL303" s="339"/>
      <c r="BM303" s="340"/>
      <c r="BN303" s="340"/>
      <c r="BO303" s="340"/>
      <c r="BP303" s="340"/>
      <c r="BQ303" s="340"/>
      <c r="BR303" s="340"/>
      <c r="BS303" s="341"/>
      <c r="BT303" s="342"/>
      <c r="BU303" s="343"/>
      <c r="BV303" s="343"/>
      <c r="BW303" s="343"/>
      <c r="BX303" s="343"/>
      <c r="BY303" s="343"/>
      <c r="BZ303" s="343"/>
      <c r="CA303" s="343"/>
      <c r="CB303" s="343"/>
      <c r="CC303" s="343"/>
      <c r="CD303" s="343"/>
      <c r="CE303" s="343"/>
      <c r="CF303" s="344"/>
      <c r="CG303" s="345"/>
      <c r="CH303" s="340"/>
      <c r="CI303" s="340"/>
      <c r="CJ303" s="340"/>
      <c r="CK303" s="340"/>
      <c r="CL303" s="340"/>
      <c r="CM303" s="340"/>
      <c r="CN303" s="340"/>
      <c r="CO303" s="340"/>
      <c r="CP303" s="340"/>
      <c r="CQ303" s="341"/>
      <c r="CR303" s="345"/>
      <c r="CS303" s="340"/>
      <c r="CT303" s="340"/>
      <c r="CU303" s="340"/>
      <c r="CV303" s="340"/>
      <c r="CW303" s="340"/>
      <c r="CX303" s="340"/>
      <c r="CY303" s="340"/>
      <c r="CZ303" s="340"/>
      <c r="DA303" s="340"/>
      <c r="DB303" s="340"/>
      <c r="DC303" s="340"/>
      <c r="DD303" s="341"/>
      <c r="DE303" s="349"/>
      <c r="DF303" s="350"/>
      <c r="DG303" s="350"/>
      <c r="DH303" s="350"/>
      <c r="DI303" s="350"/>
      <c r="DJ303" s="350"/>
      <c r="DK303" s="350"/>
      <c r="DL303" s="350"/>
      <c r="DM303" s="350"/>
      <c r="DN303" s="350"/>
      <c r="DO303" s="350"/>
      <c r="DP303" s="350"/>
      <c r="DQ303" s="351"/>
      <c r="DR303" s="349"/>
      <c r="DS303" s="350"/>
      <c r="DT303" s="350"/>
      <c r="DU303" s="350"/>
      <c r="DV303" s="350"/>
      <c r="DW303" s="350"/>
      <c r="DX303" s="350"/>
      <c r="DY303" s="350"/>
      <c r="DZ303" s="350"/>
      <c r="EA303" s="350"/>
      <c r="EB303" s="350"/>
      <c r="EC303" s="350"/>
      <c r="ED303" s="351"/>
      <c r="EE303" s="349"/>
      <c r="EF303" s="350"/>
      <c r="EG303" s="350"/>
      <c r="EH303" s="350"/>
      <c r="EI303" s="350"/>
      <c r="EJ303" s="350"/>
      <c r="EK303" s="350"/>
      <c r="EL303" s="350"/>
      <c r="EM303" s="350"/>
      <c r="EN303" s="350"/>
      <c r="EO303" s="350"/>
      <c r="EP303" s="350"/>
      <c r="EQ303" s="351"/>
      <c r="ER303" s="349"/>
      <c r="ES303" s="350"/>
      <c r="ET303" s="350"/>
      <c r="EU303" s="350"/>
      <c r="EV303" s="350"/>
      <c r="EW303" s="350"/>
      <c r="EX303" s="350"/>
      <c r="EY303" s="350"/>
      <c r="EZ303" s="350"/>
      <c r="FA303" s="350"/>
      <c r="FB303" s="351"/>
      <c r="FC303" s="352"/>
      <c r="FD303" s="353"/>
      <c r="FE303" s="353"/>
      <c r="FF303" s="353"/>
      <c r="FG303" s="353"/>
      <c r="FH303" s="353"/>
      <c r="FI303" s="353"/>
      <c r="FJ303" s="353"/>
      <c r="FK303" s="353"/>
      <c r="FL303" s="353"/>
      <c r="FO303" s="275"/>
      <c r="FP303" s="275"/>
      <c r="FQ303" s="275">
        <f t="shared" si="7"/>
        <v>0</v>
      </c>
    </row>
    <row r="304" spans="1:173" ht="15" hidden="1" customHeight="1">
      <c r="A304" s="336"/>
      <c r="B304" s="337"/>
      <c r="C304" s="337"/>
      <c r="D304" s="337"/>
      <c r="E304" s="337"/>
      <c r="F304" s="337"/>
      <c r="G304" s="337"/>
      <c r="H304" s="337"/>
      <c r="I304" s="337"/>
      <c r="J304" s="337"/>
      <c r="K304" s="337"/>
      <c r="L304" s="337"/>
      <c r="M304" s="337"/>
      <c r="N304" s="337"/>
      <c r="O304" s="337"/>
      <c r="P304" s="337"/>
      <c r="Q304" s="337"/>
      <c r="R304" s="337"/>
      <c r="S304" s="337"/>
      <c r="T304" s="337"/>
      <c r="U304" s="337"/>
      <c r="V304" s="337"/>
      <c r="W304" s="337"/>
      <c r="X304" s="337"/>
      <c r="Y304" s="337"/>
      <c r="Z304" s="337"/>
      <c r="AA304" s="337"/>
      <c r="AB304" s="337"/>
      <c r="AC304" s="337"/>
      <c r="AD304" s="337"/>
      <c r="AE304" s="337"/>
      <c r="AF304" s="337"/>
      <c r="AG304" s="337"/>
      <c r="AH304" s="337"/>
      <c r="AI304" s="337"/>
      <c r="AJ304" s="337"/>
      <c r="AK304" s="337"/>
      <c r="AL304" s="337"/>
      <c r="AM304" s="337"/>
      <c r="AN304" s="337"/>
      <c r="AO304" s="337"/>
      <c r="AP304" s="337"/>
      <c r="AQ304" s="337"/>
      <c r="AR304" s="337"/>
      <c r="AS304" s="337"/>
      <c r="AT304" s="337"/>
      <c r="AU304" s="337"/>
      <c r="AV304" s="337"/>
      <c r="AW304" s="337"/>
      <c r="AX304" s="337"/>
      <c r="AY304" s="337"/>
      <c r="AZ304" s="337"/>
      <c r="BA304" s="337"/>
      <c r="BB304" s="337"/>
      <c r="BC304" s="337"/>
      <c r="BD304" s="337"/>
      <c r="BE304" s="337"/>
      <c r="BF304" s="337"/>
      <c r="BG304" s="337"/>
      <c r="BH304" s="337"/>
      <c r="BI304" s="337"/>
      <c r="BJ304" s="337"/>
      <c r="BK304" s="338"/>
      <c r="BL304" s="339"/>
      <c r="BM304" s="340"/>
      <c r="BN304" s="340"/>
      <c r="BO304" s="340"/>
      <c r="BP304" s="340"/>
      <c r="BQ304" s="340"/>
      <c r="BR304" s="340"/>
      <c r="BS304" s="341"/>
      <c r="BT304" s="345"/>
      <c r="BU304" s="340"/>
      <c r="BV304" s="340"/>
      <c r="BW304" s="340"/>
      <c r="BX304" s="340"/>
      <c r="BY304" s="340"/>
      <c r="BZ304" s="340"/>
      <c r="CA304" s="340"/>
      <c r="CB304" s="340"/>
      <c r="CC304" s="340"/>
      <c r="CD304" s="340"/>
      <c r="CE304" s="340"/>
      <c r="CF304" s="341"/>
      <c r="CG304" s="345"/>
      <c r="CH304" s="340"/>
      <c r="CI304" s="340"/>
      <c r="CJ304" s="340"/>
      <c r="CK304" s="340"/>
      <c r="CL304" s="340"/>
      <c r="CM304" s="340"/>
      <c r="CN304" s="340"/>
      <c r="CO304" s="340"/>
      <c r="CP304" s="340"/>
      <c r="CQ304" s="341"/>
      <c r="CR304" s="345"/>
      <c r="CS304" s="340"/>
      <c r="CT304" s="340"/>
      <c r="CU304" s="340"/>
      <c r="CV304" s="340"/>
      <c r="CW304" s="340"/>
      <c r="CX304" s="340"/>
      <c r="CY304" s="340"/>
      <c r="CZ304" s="340"/>
      <c r="DA304" s="340"/>
      <c r="DB304" s="340"/>
      <c r="DC304" s="340"/>
      <c r="DD304" s="341"/>
      <c r="DE304" s="349"/>
      <c r="DF304" s="350"/>
      <c r="DG304" s="350"/>
      <c r="DH304" s="350"/>
      <c r="DI304" s="350"/>
      <c r="DJ304" s="350"/>
      <c r="DK304" s="350"/>
      <c r="DL304" s="350"/>
      <c r="DM304" s="350"/>
      <c r="DN304" s="350"/>
      <c r="DO304" s="350"/>
      <c r="DP304" s="350"/>
      <c r="DQ304" s="351"/>
      <c r="DR304" s="349"/>
      <c r="DS304" s="350"/>
      <c r="DT304" s="350"/>
      <c r="DU304" s="350"/>
      <c r="DV304" s="350"/>
      <c r="DW304" s="350"/>
      <c r="DX304" s="350"/>
      <c r="DY304" s="350"/>
      <c r="DZ304" s="350"/>
      <c r="EA304" s="350"/>
      <c r="EB304" s="350"/>
      <c r="EC304" s="350"/>
      <c r="ED304" s="351"/>
      <c r="EE304" s="349"/>
      <c r="EF304" s="350"/>
      <c r="EG304" s="350"/>
      <c r="EH304" s="350"/>
      <c r="EI304" s="350"/>
      <c r="EJ304" s="350"/>
      <c r="EK304" s="350"/>
      <c r="EL304" s="350"/>
      <c r="EM304" s="350"/>
      <c r="EN304" s="350"/>
      <c r="EO304" s="350"/>
      <c r="EP304" s="350"/>
      <c r="EQ304" s="351"/>
      <c r="ER304" s="349"/>
      <c r="ES304" s="350"/>
      <c r="ET304" s="350"/>
      <c r="EU304" s="350"/>
      <c r="EV304" s="350"/>
      <c r="EW304" s="350"/>
      <c r="EX304" s="350"/>
      <c r="EY304" s="350"/>
      <c r="EZ304" s="350"/>
      <c r="FA304" s="350"/>
      <c r="FB304" s="351"/>
      <c r="FC304" s="352"/>
      <c r="FD304" s="353"/>
      <c r="FE304" s="353"/>
      <c r="FF304" s="353"/>
      <c r="FG304" s="353"/>
      <c r="FH304" s="353"/>
      <c r="FI304" s="353"/>
      <c r="FJ304" s="353"/>
      <c r="FK304" s="353"/>
      <c r="FL304" s="353"/>
      <c r="FO304" s="275"/>
      <c r="FP304" s="275"/>
      <c r="FQ304" s="275">
        <f t="shared" si="7"/>
        <v>0</v>
      </c>
    </row>
    <row r="305" spans="1:173" ht="7.2" hidden="1" customHeight="1">
      <c r="A305" s="336"/>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418"/>
      <c r="AT305" s="418"/>
      <c r="AU305" s="418"/>
      <c r="AV305" s="418"/>
      <c r="AW305" s="418"/>
      <c r="AX305" s="418"/>
      <c r="AY305" s="418"/>
      <c r="AZ305" s="418"/>
      <c r="BA305" s="418"/>
      <c r="BB305" s="418"/>
      <c r="BC305" s="418"/>
      <c r="BD305" s="418"/>
      <c r="BE305" s="418"/>
      <c r="BF305" s="418"/>
      <c r="BG305" s="418"/>
      <c r="BH305" s="418"/>
      <c r="BI305" s="418"/>
      <c r="BJ305" s="418"/>
      <c r="BK305" s="419"/>
      <c r="BL305" s="339"/>
      <c r="BM305" s="340"/>
      <c r="BN305" s="340"/>
      <c r="BO305" s="340"/>
      <c r="BP305" s="340"/>
      <c r="BQ305" s="340"/>
      <c r="BR305" s="340"/>
      <c r="BS305" s="341"/>
      <c r="BT305" s="342"/>
      <c r="BU305" s="343"/>
      <c r="BV305" s="343"/>
      <c r="BW305" s="343"/>
      <c r="BX305" s="343"/>
      <c r="BY305" s="343"/>
      <c r="BZ305" s="343"/>
      <c r="CA305" s="343"/>
      <c r="CB305" s="343"/>
      <c r="CC305" s="343"/>
      <c r="CD305" s="343"/>
      <c r="CE305" s="343"/>
      <c r="CF305" s="344"/>
      <c r="CG305" s="345"/>
      <c r="CH305" s="340"/>
      <c r="CI305" s="340"/>
      <c r="CJ305" s="340"/>
      <c r="CK305" s="340"/>
      <c r="CL305" s="340"/>
      <c r="CM305" s="340"/>
      <c r="CN305" s="340"/>
      <c r="CO305" s="340"/>
      <c r="CP305" s="340"/>
      <c r="CQ305" s="341"/>
      <c r="CR305" s="345"/>
      <c r="CS305" s="340"/>
      <c r="CT305" s="340"/>
      <c r="CU305" s="340"/>
      <c r="CV305" s="340"/>
      <c r="CW305" s="340"/>
      <c r="CX305" s="340"/>
      <c r="CY305" s="340"/>
      <c r="CZ305" s="340"/>
      <c r="DA305" s="340"/>
      <c r="DB305" s="340"/>
      <c r="DC305" s="340"/>
      <c r="DD305" s="341"/>
      <c r="DE305" s="349"/>
      <c r="DF305" s="350"/>
      <c r="DG305" s="350"/>
      <c r="DH305" s="350"/>
      <c r="DI305" s="350"/>
      <c r="DJ305" s="350"/>
      <c r="DK305" s="350"/>
      <c r="DL305" s="350"/>
      <c r="DM305" s="350"/>
      <c r="DN305" s="350"/>
      <c r="DO305" s="350"/>
      <c r="DP305" s="350"/>
      <c r="DQ305" s="351"/>
      <c r="DR305" s="349"/>
      <c r="DS305" s="350"/>
      <c r="DT305" s="350"/>
      <c r="DU305" s="350"/>
      <c r="DV305" s="350"/>
      <c r="DW305" s="350"/>
      <c r="DX305" s="350"/>
      <c r="DY305" s="350"/>
      <c r="DZ305" s="350"/>
      <c r="EA305" s="350"/>
      <c r="EB305" s="350"/>
      <c r="EC305" s="350"/>
      <c r="ED305" s="351"/>
      <c r="EE305" s="349"/>
      <c r="EF305" s="350"/>
      <c r="EG305" s="350"/>
      <c r="EH305" s="350"/>
      <c r="EI305" s="350"/>
      <c r="EJ305" s="350"/>
      <c r="EK305" s="350"/>
      <c r="EL305" s="350"/>
      <c r="EM305" s="350"/>
      <c r="EN305" s="350"/>
      <c r="EO305" s="350"/>
      <c r="EP305" s="350"/>
      <c r="EQ305" s="351"/>
      <c r="ER305" s="349"/>
      <c r="ES305" s="350"/>
      <c r="ET305" s="350"/>
      <c r="EU305" s="350"/>
      <c r="EV305" s="350"/>
      <c r="EW305" s="350"/>
      <c r="EX305" s="350"/>
      <c r="EY305" s="350"/>
      <c r="EZ305" s="350"/>
      <c r="FA305" s="350"/>
      <c r="FB305" s="351"/>
      <c r="FC305" s="352"/>
      <c r="FD305" s="353"/>
      <c r="FE305" s="353"/>
      <c r="FF305" s="353"/>
      <c r="FG305" s="353"/>
      <c r="FH305" s="353"/>
      <c r="FI305" s="353"/>
      <c r="FJ305" s="353"/>
      <c r="FK305" s="353"/>
      <c r="FL305" s="353"/>
      <c r="FO305" s="275"/>
      <c r="FP305" s="275"/>
      <c r="FQ305" s="275">
        <f t="shared" si="7"/>
        <v>0</v>
      </c>
    </row>
    <row r="306" spans="1:173" s="215" customFormat="1" ht="12" customHeight="1">
      <c r="A306" s="437" t="s">
        <v>937</v>
      </c>
      <c r="B306" s="438"/>
      <c r="C306" s="438"/>
      <c r="D306" s="438"/>
      <c r="E306" s="438"/>
      <c r="F306" s="438"/>
      <c r="G306" s="438"/>
      <c r="H306" s="438"/>
      <c r="I306" s="438"/>
      <c r="J306" s="438"/>
      <c r="K306" s="438"/>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c r="BF306" s="438"/>
      <c r="BG306" s="438"/>
      <c r="BH306" s="438"/>
      <c r="BI306" s="438"/>
      <c r="BJ306" s="438"/>
      <c r="BK306" s="439"/>
      <c r="BL306" s="440"/>
      <c r="BM306" s="414"/>
      <c r="BN306" s="414"/>
      <c r="BO306" s="414"/>
      <c r="BP306" s="414"/>
      <c r="BQ306" s="414"/>
      <c r="BR306" s="414"/>
      <c r="BS306" s="415"/>
      <c r="BT306" s="413" t="s">
        <v>109</v>
      </c>
      <c r="BU306" s="414"/>
      <c r="BV306" s="414"/>
      <c r="BW306" s="414"/>
      <c r="BX306" s="414"/>
      <c r="BY306" s="414"/>
      <c r="BZ306" s="414"/>
      <c r="CA306" s="414"/>
      <c r="CB306" s="414"/>
      <c r="CC306" s="414"/>
      <c r="CD306" s="414"/>
      <c r="CE306" s="414"/>
      <c r="CF306" s="415"/>
      <c r="CG306" s="413" t="s">
        <v>196</v>
      </c>
      <c r="CH306" s="414"/>
      <c r="CI306" s="414"/>
      <c r="CJ306" s="414"/>
      <c r="CK306" s="414"/>
      <c r="CL306" s="414"/>
      <c r="CM306" s="414"/>
      <c r="CN306" s="414"/>
      <c r="CO306" s="414"/>
      <c r="CP306" s="414"/>
      <c r="CQ306" s="415"/>
      <c r="CR306" s="413"/>
      <c r="CS306" s="414"/>
      <c r="CT306" s="414"/>
      <c r="CU306" s="414"/>
      <c r="CV306" s="414"/>
      <c r="CW306" s="414"/>
      <c r="CX306" s="414"/>
      <c r="CY306" s="414"/>
      <c r="CZ306" s="414"/>
      <c r="DA306" s="414"/>
      <c r="DB306" s="414"/>
      <c r="DC306" s="414"/>
      <c r="DD306" s="415"/>
      <c r="DE306" s="428">
        <f>SUM(DE307:DQ316)</f>
        <v>1513048.33</v>
      </c>
      <c r="DF306" s="429"/>
      <c r="DG306" s="429"/>
      <c r="DH306" s="429"/>
      <c r="DI306" s="429"/>
      <c r="DJ306" s="429"/>
      <c r="DK306" s="429"/>
      <c r="DL306" s="429"/>
      <c r="DM306" s="429"/>
      <c r="DN306" s="429"/>
      <c r="DO306" s="429"/>
      <c r="DP306" s="429"/>
      <c r="DQ306" s="430"/>
      <c r="DR306" s="428">
        <f>SUM(DR307:ED316)</f>
        <v>602968.9</v>
      </c>
      <c r="DS306" s="429"/>
      <c r="DT306" s="429"/>
      <c r="DU306" s="429"/>
      <c r="DV306" s="429"/>
      <c r="DW306" s="429"/>
      <c r="DX306" s="429"/>
      <c r="DY306" s="429"/>
      <c r="DZ306" s="429"/>
      <c r="EA306" s="429"/>
      <c r="EB306" s="429"/>
      <c r="EC306" s="429"/>
      <c r="ED306" s="430"/>
      <c r="EE306" s="428"/>
      <c r="EF306" s="429"/>
      <c r="EG306" s="429"/>
      <c r="EH306" s="429"/>
      <c r="EI306" s="429"/>
      <c r="EJ306" s="429"/>
      <c r="EK306" s="429"/>
      <c r="EL306" s="429"/>
      <c r="EM306" s="429"/>
      <c r="EN306" s="429"/>
      <c r="EO306" s="429"/>
      <c r="EP306" s="429"/>
      <c r="EQ306" s="430"/>
      <c r="ER306" s="410"/>
      <c r="ES306" s="411"/>
      <c r="ET306" s="411"/>
      <c r="EU306" s="411"/>
      <c r="EV306" s="411"/>
      <c r="EW306" s="411"/>
      <c r="EX306" s="411"/>
      <c r="EY306" s="411"/>
      <c r="EZ306" s="411"/>
      <c r="FA306" s="411"/>
      <c r="FB306" s="412"/>
      <c r="FC306" s="423"/>
      <c r="FD306" s="424"/>
      <c r="FE306" s="424"/>
      <c r="FF306" s="424"/>
      <c r="FG306" s="424"/>
      <c r="FH306" s="424"/>
      <c r="FI306" s="424"/>
      <c r="FJ306" s="424"/>
      <c r="FK306" s="424"/>
      <c r="FL306" s="424"/>
      <c r="FO306" s="278"/>
      <c r="FP306" s="278"/>
      <c r="FQ306" s="275">
        <f t="shared" si="7"/>
        <v>602968.9</v>
      </c>
    </row>
    <row r="307" spans="1:173" ht="24" customHeight="1">
      <c r="A307" s="441" t="s">
        <v>828</v>
      </c>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c r="AG307" s="442"/>
      <c r="AH307" s="442"/>
      <c r="AI307" s="442"/>
      <c r="AJ307" s="442"/>
      <c r="AK307" s="442"/>
      <c r="AL307" s="442"/>
      <c r="AM307" s="442"/>
      <c r="AN307" s="442"/>
      <c r="AO307" s="442"/>
      <c r="AP307" s="442"/>
      <c r="AQ307" s="442"/>
      <c r="AR307" s="442"/>
      <c r="AS307" s="442"/>
      <c r="AT307" s="442"/>
      <c r="AU307" s="442"/>
      <c r="AV307" s="442"/>
      <c r="AW307" s="442"/>
      <c r="AX307" s="442"/>
      <c r="AY307" s="442"/>
      <c r="AZ307" s="442"/>
      <c r="BA307" s="442"/>
      <c r="BB307" s="442"/>
      <c r="BC307" s="442"/>
      <c r="BD307" s="442"/>
      <c r="BE307" s="442"/>
      <c r="BF307" s="442"/>
      <c r="BG307" s="442"/>
      <c r="BH307" s="442"/>
      <c r="BI307" s="442"/>
      <c r="BJ307" s="442"/>
      <c r="BK307" s="443"/>
      <c r="BL307" s="339"/>
      <c r="BM307" s="340"/>
      <c r="BN307" s="340"/>
      <c r="BO307" s="340"/>
      <c r="BP307" s="340"/>
      <c r="BQ307" s="340"/>
      <c r="BR307" s="340"/>
      <c r="BS307" s="341"/>
      <c r="BT307" s="395" t="s">
        <v>824</v>
      </c>
      <c r="BU307" s="396"/>
      <c r="BV307" s="396"/>
      <c r="BW307" s="396"/>
      <c r="BX307" s="396"/>
      <c r="BY307" s="396"/>
      <c r="BZ307" s="396"/>
      <c r="CA307" s="396"/>
      <c r="CB307" s="396"/>
      <c r="CC307" s="396"/>
      <c r="CD307" s="396"/>
      <c r="CE307" s="396"/>
      <c r="CF307" s="397"/>
      <c r="CG307" s="345" t="s">
        <v>825</v>
      </c>
      <c r="CH307" s="340"/>
      <c r="CI307" s="340"/>
      <c r="CJ307" s="340"/>
      <c r="CK307" s="340"/>
      <c r="CL307" s="340"/>
      <c r="CM307" s="340"/>
      <c r="CN307" s="340"/>
      <c r="CO307" s="340"/>
      <c r="CP307" s="340"/>
      <c r="CQ307" s="341"/>
      <c r="CR307" s="345"/>
      <c r="CS307" s="340"/>
      <c r="CT307" s="340"/>
      <c r="CU307" s="340"/>
      <c r="CV307" s="340"/>
      <c r="CW307" s="340"/>
      <c r="CX307" s="340"/>
      <c r="CY307" s="340"/>
      <c r="CZ307" s="340"/>
      <c r="DA307" s="340"/>
      <c r="DB307" s="340"/>
      <c r="DC307" s="340"/>
      <c r="DD307" s="341"/>
      <c r="DE307" s="402">
        <v>1037382</v>
      </c>
      <c r="DF307" s="403"/>
      <c r="DG307" s="403"/>
      <c r="DH307" s="403"/>
      <c r="DI307" s="403"/>
      <c r="DJ307" s="403"/>
      <c r="DK307" s="403"/>
      <c r="DL307" s="403"/>
      <c r="DM307" s="403"/>
      <c r="DN307" s="403"/>
      <c r="DO307" s="403"/>
      <c r="DP307" s="403"/>
      <c r="DQ307" s="404"/>
      <c r="DR307" s="402">
        <f>378625</f>
        <v>378625</v>
      </c>
      <c r="DS307" s="403"/>
      <c r="DT307" s="403"/>
      <c r="DU307" s="403"/>
      <c r="DV307" s="403"/>
      <c r="DW307" s="403"/>
      <c r="DX307" s="403"/>
      <c r="DY307" s="403"/>
      <c r="DZ307" s="403"/>
      <c r="EA307" s="403"/>
      <c r="EB307" s="403"/>
      <c r="EC307" s="403"/>
      <c r="ED307" s="404"/>
      <c r="EE307" s="402"/>
      <c r="EF307" s="403"/>
      <c r="EG307" s="403"/>
      <c r="EH307" s="403"/>
      <c r="EI307" s="403"/>
      <c r="EJ307" s="403"/>
      <c r="EK307" s="403"/>
      <c r="EL307" s="403"/>
      <c r="EM307" s="403"/>
      <c r="EN307" s="403"/>
      <c r="EO307" s="403"/>
      <c r="EP307" s="403"/>
      <c r="EQ307" s="404"/>
      <c r="ER307" s="349"/>
      <c r="ES307" s="350"/>
      <c r="ET307" s="350"/>
      <c r="EU307" s="350"/>
      <c r="EV307" s="350"/>
      <c r="EW307" s="350"/>
      <c r="EX307" s="350"/>
      <c r="EY307" s="350"/>
      <c r="EZ307" s="350"/>
      <c r="FA307" s="350"/>
      <c r="FB307" s="351"/>
      <c r="FC307" s="352"/>
      <c r="FD307" s="353"/>
      <c r="FE307" s="353"/>
      <c r="FF307" s="353"/>
      <c r="FG307" s="353"/>
      <c r="FH307" s="353"/>
      <c r="FI307" s="353"/>
      <c r="FJ307" s="353"/>
      <c r="FK307" s="353"/>
      <c r="FL307" s="353"/>
      <c r="FO307" s="275"/>
      <c r="FP307" s="275"/>
      <c r="FQ307" s="275">
        <f t="shared" si="7"/>
        <v>378625</v>
      </c>
    </row>
    <row r="308" spans="1:173" s="174" customFormat="1" ht="24.6" customHeight="1">
      <c r="A308" s="441" t="s">
        <v>1122</v>
      </c>
      <c r="B308" s="447"/>
      <c r="C308" s="447"/>
      <c r="D308" s="447"/>
      <c r="E308" s="447"/>
      <c r="F308" s="447"/>
      <c r="G308" s="447"/>
      <c r="H308" s="447"/>
      <c r="I308" s="447"/>
      <c r="J308" s="447"/>
      <c r="K308" s="447"/>
      <c r="L308" s="447"/>
      <c r="M308" s="447"/>
      <c r="N308" s="447"/>
      <c r="O308" s="447"/>
      <c r="P308" s="447"/>
      <c r="Q308" s="447"/>
      <c r="R308" s="447"/>
      <c r="S308" s="447"/>
      <c r="T308" s="447"/>
      <c r="U308" s="447"/>
      <c r="V308" s="447"/>
      <c r="W308" s="447"/>
      <c r="X308" s="447"/>
      <c r="Y308" s="447"/>
      <c r="Z308" s="447"/>
      <c r="AA308" s="447"/>
      <c r="AB308" s="447"/>
      <c r="AC308" s="447"/>
      <c r="AD308" s="447"/>
      <c r="AE308" s="447"/>
      <c r="AF308" s="447"/>
      <c r="AG308" s="447"/>
      <c r="AH308" s="447"/>
      <c r="AI308" s="447"/>
      <c r="AJ308" s="447"/>
      <c r="AK308" s="447"/>
      <c r="AL308" s="447"/>
      <c r="AM308" s="447"/>
      <c r="AN308" s="447"/>
      <c r="AO308" s="447"/>
      <c r="AP308" s="447"/>
      <c r="AQ308" s="447"/>
      <c r="AR308" s="447"/>
      <c r="AS308" s="447"/>
      <c r="AT308" s="447"/>
      <c r="AU308" s="447"/>
      <c r="AV308" s="447"/>
      <c r="AW308" s="447"/>
      <c r="AX308" s="447"/>
      <c r="AY308" s="447"/>
      <c r="AZ308" s="447"/>
      <c r="BA308" s="447"/>
      <c r="BB308" s="447"/>
      <c r="BC308" s="447"/>
      <c r="BD308" s="447"/>
      <c r="BE308" s="447"/>
      <c r="BF308" s="447"/>
      <c r="BG308" s="447"/>
      <c r="BH308" s="447"/>
      <c r="BI308" s="447"/>
      <c r="BJ308" s="447"/>
      <c r="BK308" s="448"/>
      <c r="BL308" s="392"/>
      <c r="BM308" s="393"/>
      <c r="BN308" s="393"/>
      <c r="BO308" s="393"/>
      <c r="BP308" s="393"/>
      <c r="BQ308" s="393"/>
      <c r="BR308" s="393"/>
      <c r="BS308" s="394"/>
      <c r="BT308" s="395" t="s">
        <v>1123</v>
      </c>
      <c r="BU308" s="396"/>
      <c r="BV308" s="396"/>
      <c r="BW308" s="396"/>
      <c r="BX308" s="396"/>
      <c r="BY308" s="396"/>
      <c r="BZ308" s="396"/>
      <c r="CA308" s="396"/>
      <c r="CB308" s="396"/>
      <c r="CC308" s="396"/>
      <c r="CD308" s="396"/>
      <c r="CE308" s="396"/>
      <c r="CF308" s="397"/>
      <c r="CG308" s="398" t="s">
        <v>772</v>
      </c>
      <c r="CH308" s="393"/>
      <c r="CI308" s="393"/>
      <c r="CJ308" s="393"/>
      <c r="CK308" s="393"/>
      <c r="CL308" s="393"/>
      <c r="CM308" s="393"/>
      <c r="CN308" s="393"/>
      <c r="CO308" s="393"/>
      <c r="CP308" s="393"/>
      <c r="CQ308" s="394"/>
      <c r="CR308" s="398"/>
      <c r="CS308" s="393"/>
      <c r="CT308" s="393"/>
      <c r="CU308" s="393"/>
      <c r="CV308" s="393"/>
      <c r="CW308" s="393"/>
      <c r="CX308" s="393"/>
      <c r="CY308" s="393"/>
      <c r="CZ308" s="393"/>
      <c r="DA308" s="393"/>
      <c r="DB308" s="393"/>
      <c r="DC308" s="393"/>
      <c r="DD308" s="394"/>
      <c r="DE308" s="405"/>
      <c r="DF308" s="406"/>
      <c r="DG308" s="406"/>
      <c r="DH308" s="406"/>
      <c r="DI308" s="406"/>
      <c r="DJ308" s="406"/>
      <c r="DK308" s="406"/>
      <c r="DL308" s="406"/>
      <c r="DM308" s="406"/>
      <c r="DN308" s="406"/>
      <c r="DO308" s="406"/>
      <c r="DP308" s="406"/>
      <c r="DQ308" s="407"/>
      <c r="DR308" s="399">
        <v>216343.9</v>
      </c>
      <c r="DS308" s="400"/>
      <c r="DT308" s="400"/>
      <c r="DU308" s="400"/>
      <c r="DV308" s="400"/>
      <c r="DW308" s="400"/>
      <c r="DX308" s="400"/>
      <c r="DY308" s="400"/>
      <c r="DZ308" s="400"/>
      <c r="EA308" s="400"/>
      <c r="EB308" s="400"/>
      <c r="EC308" s="400"/>
      <c r="ED308" s="401"/>
      <c r="EE308" s="405"/>
      <c r="EF308" s="406"/>
      <c r="EG308" s="406"/>
      <c r="EH308" s="406"/>
      <c r="EI308" s="406"/>
      <c r="EJ308" s="406"/>
      <c r="EK308" s="406"/>
      <c r="EL308" s="406"/>
      <c r="EM308" s="406"/>
      <c r="EN308" s="406"/>
      <c r="EO308" s="406"/>
      <c r="EP308" s="406"/>
      <c r="EQ308" s="407"/>
      <c r="ER308" s="402"/>
      <c r="ES308" s="403"/>
      <c r="ET308" s="403"/>
      <c r="EU308" s="403"/>
      <c r="EV308" s="403"/>
      <c r="EW308" s="403"/>
      <c r="EX308" s="403"/>
      <c r="EY308" s="403"/>
      <c r="EZ308" s="403"/>
      <c r="FA308" s="403"/>
      <c r="FB308" s="404"/>
      <c r="FC308" s="408"/>
      <c r="FD308" s="409"/>
      <c r="FE308" s="409"/>
      <c r="FF308" s="409"/>
      <c r="FG308" s="409"/>
      <c r="FH308" s="409"/>
      <c r="FI308" s="409"/>
      <c r="FJ308" s="409"/>
      <c r="FK308" s="409"/>
      <c r="FL308" s="409"/>
      <c r="FO308" s="279"/>
      <c r="FP308" s="279"/>
      <c r="FQ308" s="279">
        <f t="shared" si="7"/>
        <v>216343.9</v>
      </c>
    </row>
    <row r="309" spans="1:173" ht="37.950000000000003" hidden="1" customHeight="1">
      <c r="A309" s="441" t="s">
        <v>872</v>
      </c>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c r="AG309" s="442"/>
      <c r="AH309" s="442"/>
      <c r="AI309" s="442"/>
      <c r="AJ309" s="442"/>
      <c r="AK309" s="442"/>
      <c r="AL309" s="442"/>
      <c r="AM309" s="442"/>
      <c r="AN309" s="442"/>
      <c r="AO309" s="442"/>
      <c r="AP309" s="442"/>
      <c r="AQ309" s="442"/>
      <c r="AR309" s="442"/>
      <c r="AS309" s="442"/>
      <c r="AT309" s="442"/>
      <c r="AU309" s="442"/>
      <c r="AV309" s="442"/>
      <c r="AW309" s="442"/>
      <c r="AX309" s="442"/>
      <c r="AY309" s="442"/>
      <c r="AZ309" s="442"/>
      <c r="BA309" s="442"/>
      <c r="BB309" s="442"/>
      <c r="BC309" s="442"/>
      <c r="BD309" s="442"/>
      <c r="BE309" s="442"/>
      <c r="BF309" s="442"/>
      <c r="BG309" s="442"/>
      <c r="BH309" s="442"/>
      <c r="BI309" s="442"/>
      <c r="BJ309" s="442"/>
      <c r="BK309" s="443"/>
      <c r="BL309" s="339"/>
      <c r="BM309" s="340"/>
      <c r="BN309" s="340"/>
      <c r="BO309" s="340"/>
      <c r="BP309" s="340"/>
      <c r="BQ309" s="340"/>
      <c r="BR309" s="340"/>
      <c r="BS309" s="341"/>
      <c r="BT309" s="395" t="s">
        <v>877</v>
      </c>
      <c r="BU309" s="396"/>
      <c r="BV309" s="396"/>
      <c r="BW309" s="396"/>
      <c r="BX309" s="396"/>
      <c r="BY309" s="396"/>
      <c r="BZ309" s="396"/>
      <c r="CA309" s="396"/>
      <c r="CB309" s="396"/>
      <c r="CC309" s="396"/>
      <c r="CD309" s="396"/>
      <c r="CE309" s="396"/>
      <c r="CF309" s="397"/>
      <c r="CG309" s="345" t="s">
        <v>772</v>
      </c>
      <c r="CH309" s="340"/>
      <c r="CI309" s="340"/>
      <c r="CJ309" s="340"/>
      <c r="CK309" s="340"/>
      <c r="CL309" s="340"/>
      <c r="CM309" s="340"/>
      <c r="CN309" s="340"/>
      <c r="CO309" s="340"/>
      <c r="CP309" s="340"/>
      <c r="CQ309" s="341"/>
      <c r="CR309" s="345"/>
      <c r="CS309" s="340"/>
      <c r="CT309" s="340"/>
      <c r="CU309" s="340"/>
      <c r="CV309" s="340"/>
      <c r="CW309" s="340"/>
      <c r="CX309" s="340"/>
      <c r="CY309" s="340"/>
      <c r="CZ309" s="340"/>
      <c r="DA309" s="340"/>
      <c r="DB309" s="340"/>
      <c r="DC309" s="340"/>
      <c r="DD309" s="341"/>
      <c r="DE309" s="405">
        <f>328148.1+3932.2</f>
        <v>332080.3</v>
      </c>
      <c r="DF309" s="406"/>
      <c r="DG309" s="406"/>
      <c r="DH309" s="406"/>
      <c r="DI309" s="406"/>
      <c r="DJ309" s="406"/>
      <c r="DK309" s="406"/>
      <c r="DL309" s="406"/>
      <c r="DM309" s="406"/>
      <c r="DN309" s="406"/>
      <c r="DO309" s="406"/>
      <c r="DP309" s="406"/>
      <c r="DQ309" s="407"/>
      <c r="DR309" s="405">
        <v>0</v>
      </c>
      <c r="DS309" s="406"/>
      <c r="DT309" s="406"/>
      <c r="DU309" s="406"/>
      <c r="DV309" s="406"/>
      <c r="DW309" s="406"/>
      <c r="DX309" s="406"/>
      <c r="DY309" s="406"/>
      <c r="DZ309" s="406"/>
      <c r="EA309" s="406"/>
      <c r="EB309" s="406"/>
      <c r="EC309" s="406"/>
      <c r="ED309" s="407"/>
      <c r="EE309" s="405"/>
      <c r="EF309" s="406"/>
      <c r="EG309" s="406"/>
      <c r="EH309" s="406"/>
      <c r="EI309" s="406"/>
      <c r="EJ309" s="406"/>
      <c r="EK309" s="406"/>
      <c r="EL309" s="406"/>
      <c r="EM309" s="406"/>
      <c r="EN309" s="406"/>
      <c r="EO309" s="406"/>
      <c r="EP309" s="406"/>
      <c r="EQ309" s="407"/>
      <c r="ER309" s="349"/>
      <c r="ES309" s="350"/>
      <c r="ET309" s="350"/>
      <c r="EU309" s="350"/>
      <c r="EV309" s="350"/>
      <c r="EW309" s="350"/>
      <c r="EX309" s="350"/>
      <c r="EY309" s="350"/>
      <c r="EZ309" s="350"/>
      <c r="FA309" s="350"/>
      <c r="FB309" s="351"/>
      <c r="FC309" s="352"/>
      <c r="FD309" s="353"/>
      <c r="FE309" s="353"/>
      <c r="FF309" s="353"/>
      <c r="FG309" s="353"/>
      <c r="FH309" s="353"/>
      <c r="FI309" s="353"/>
      <c r="FJ309" s="353"/>
      <c r="FK309" s="353"/>
      <c r="FL309" s="353"/>
      <c r="FO309" s="275"/>
      <c r="FP309" s="275"/>
      <c r="FQ309" s="275">
        <f t="shared" si="7"/>
        <v>0</v>
      </c>
    </row>
    <row r="310" spans="1:173" s="219" customFormat="1" ht="32.4" hidden="1" customHeight="1">
      <c r="A310" s="444" t="s">
        <v>960</v>
      </c>
      <c r="B310" s="458"/>
      <c r="C310" s="458"/>
      <c r="D310" s="458"/>
      <c r="E310" s="458"/>
      <c r="F310" s="458"/>
      <c r="G310" s="458"/>
      <c r="H310" s="458"/>
      <c r="I310" s="458"/>
      <c r="J310" s="458"/>
      <c r="K310" s="458"/>
      <c r="L310" s="458"/>
      <c r="M310" s="458"/>
      <c r="N310" s="458"/>
      <c r="O310" s="458"/>
      <c r="P310" s="458"/>
      <c r="Q310" s="458"/>
      <c r="R310" s="458"/>
      <c r="S310" s="458"/>
      <c r="T310" s="458"/>
      <c r="U310" s="458"/>
      <c r="V310" s="458"/>
      <c r="W310" s="458"/>
      <c r="X310" s="458"/>
      <c r="Y310" s="458"/>
      <c r="Z310" s="458"/>
      <c r="AA310" s="458"/>
      <c r="AB310" s="458"/>
      <c r="AC310" s="458"/>
      <c r="AD310" s="458"/>
      <c r="AE310" s="458"/>
      <c r="AF310" s="458"/>
      <c r="AG310" s="458"/>
      <c r="AH310" s="458"/>
      <c r="AI310" s="458"/>
      <c r="AJ310" s="458"/>
      <c r="AK310" s="458"/>
      <c r="AL310" s="458"/>
      <c r="AM310" s="458"/>
      <c r="AN310" s="458"/>
      <c r="AO310" s="458"/>
      <c r="AP310" s="458"/>
      <c r="AQ310" s="458"/>
      <c r="AR310" s="458"/>
      <c r="AS310" s="458"/>
      <c r="AT310" s="458"/>
      <c r="AU310" s="458"/>
      <c r="AV310" s="458"/>
      <c r="AW310" s="458"/>
      <c r="AX310" s="458"/>
      <c r="AY310" s="458"/>
      <c r="AZ310" s="458"/>
      <c r="BA310" s="458"/>
      <c r="BB310" s="458"/>
      <c r="BC310" s="458"/>
      <c r="BD310" s="458"/>
      <c r="BE310" s="458"/>
      <c r="BF310" s="458"/>
      <c r="BG310" s="458"/>
      <c r="BH310" s="458"/>
      <c r="BI310" s="458"/>
      <c r="BJ310" s="458"/>
      <c r="BK310" s="459"/>
      <c r="BL310" s="370"/>
      <c r="BM310" s="371"/>
      <c r="BN310" s="371"/>
      <c r="BO310" s="371"/>
      <c r="BP310" s="371"/>
      <c r="BQ310" s="371"/>
      <c r="BR310" s="371"/>
      <c r="BS310" s="372"/>
      <c r="BT310" s="434" t="s">
        <v>963</v>
      </c>
      <c r="BU310" s="435"/>
      <c r="BV310" s="435"/>
      <c r="BW310" s="435"/>
      <c r="BX310" s="435"/>
      <c r="BY310" s="435"/>
      <c r="BZ310" s="435"/>
      <c r="CA310" s="435"/>
      <c r="CB310" s="435"/>
      <c r="CC310" s="435"/>
      <c r="CD310" s="435"/>
      <c r="CE310" s="435"/>
      <c r="CF310" s="436"/>
      <c r="CG310" s="373" t="s">
        <v>772</v>
      </c>
      <c r="CH310" s="371"/>
      <c r="CI310" s="371"/>
      <c r="CJ310" s="371"/>
      <c r="CK310" s="371"/>
      <c r="CL310" s="371"/>
      <c r="CM310" s="371"/>
      <c r="CN310" s="371"/>
      <c r="CO310" s="371"/>
      <c r="CP310" s="371"/>
      <c r="CQ310" s="372"/>
      <c r="CR310" s="373"/>
      <c r="CS310" s="371"/>
      <c r="CT310" s="371"/>
      <c r="CU310" s="371"/>
      <c r="CV310" s="371"/>
      <c r="CW310" s="371"/>
      <c r="CX310" s="371"/>
      <c r="CY310" s="371"/>
      <c r="CZ310" s="371"/>
      <c r="DA310" s="371"/>
      <c r="DB310" s="371"/>
      <c r="DC310" s="371"/>
      <c r="DD310" s="372"/>
      <c r="DE310" s="405">
        <f>118586.03</f>
        <v>118586.03</v>
      </c>
      <c r="DF310" s="406"/>
      <c r="DG310" s="406"/>
      <c r="DH310" s="406"/>
      <c r="DI310" s="406"/>
      <c r="DJ310" s="406"/>
      <c r="DK310" s="406"/>
      <c r="DL310" s="406"/>
      <c r="DM310" s="406"/>
      <c r="DN310" s="406"/>
      <c r="DO310" s="406"/>
      <c r="DP310" s="406"/>
      <c r="DQ310" s="407"/>
      <c r="DR310" s="405">
        <v>0</v>
      </c>
      <c r="DS310" s="406"/>
      <c r="DT310" s="406"/>
      <c r="DU310" s="406"/>
      <c r="DV310" s="406"/>
      <c r="DW310" s="406"/>
      <c r="DX310" s="406"/>
      <c r="DY310" s="406"/>
      <c r="DZ310" s="406"/>
      <c r="EA310" s="406"/>
      <c r="EB310" s="406"/>
      <c r="EC310" s="406"/>
      <c r="ED310" s="407"/>
      <c r="EE310" s="405"/>
      <c r="EF310" s="406"/>
      <c r="EG310" s="406"/>
      <c r="EH310" s="406"/>
      <c r="EI310" s="406"/>
      <c r="EJ310" s="406"/>
      <c r="EK310" s="406"/>
      <c r="EL310" s="406"/>
      <c r="EM310" s="406"/>
      <c r="EN310" s="406"/>
      <c r="EO310" s="406"/>
      <c r="EP310" s="406"/>
      <c r="EQ310" s="407"/>
      <c r="ER310" s="346"/>
      <c r="ES310" s="347"/>
      <c r="ET310" s="347"/>
      <c r="EU310" s="347"/>
      <c r="EV310" s="347"/>
      <c r="EW310" s="347"/>
      <c r="EX310" s="347"/>
      <c r="EY310" s="347"/>
      <c r="EZ310" s="347"/>
      <c r="FA310" s="347"/>
      <c r="FB310" s="348"/>
      <c r="FC310" s="449"/>
      <c r="FD310" s="450"/>
      <c r="FE310" s="450"/>
      <c r="FF310" s="450"/>
      <c r="FG310" s="450"/>
      <c r="FH310" s="450"/>
      <c r="FI310" s="450"/>
      <c r="FJ310" s="450"/>
      <c r="FK310" s="450"/>
      <c r="FL310" s="450"/>
      <c r="FO310" s="276"/>
      <c r="FP310" s="276"/>
      <c r="FQ310" s="275">
        <f t="shared" si="7"/>
        <v>0</v>
      </c>
    </row>
    <row r="311" spans="1:173" s="219" customFormat="1" ht="12" hidden="1" customHeight="1">
      <c r="A311" s="444" t="s">
        <v>961</v>
      </c>
      <c r="B311" s="445"/>
      <c r="C311" s="445"/>
      <c r="D311" s="445"/>
      <c r="E311" s="445"/>
      <c r="F311" s="445"/>
      <c r="G311" s="445"/>
      <c r="H311" s="445"/>
      <c r="I311" s="445"/>
      <c r="J311" s="445"/>
      <c r="K311" s="445"/>
      <c r="L311" s="445"/>
      <c r="M311" s="445"/>
      <c r="N311" s="445"/>
      <c r="O311" s="445"/>
      <c r="P311" s="445"/>
      <c r="Q311" s="445"/>
      <c r="R311" s="445"/>
      <c r="S311" s="445"/>
      <c r="T311" s="445"/>
      <c r="U311" s="445"/>
      <c r="V311" s="445"/>
      <c r="W311" s="445"/>
      <c r="X311" s="445"/>
      <c r="Y311" s="445"/>
      <c r="Z311" s="445"/>
      <c r="AA311" s="445"/>
      <c r="AB311" s="445"/>
      <c r="AC311" s="445"/>
      <c r="AD311" s="445"/>
      <c r="AE311" s="445"/>
      <c r="AF311" s="445"/>
      <c r="AG311" s="445"/>
      <c r="AH311" s="445"/>
      <c r="AI311" s="445"/>
      <c r="AJ311" s="445"/>
      <c r="AK311" s="445"/>
      <c r="AL311" s="445"/>
      <c r="AM311" s="445"/>
      <c r="AN311" s="445"/>
      <c r="AO311" s="445"/>
      <c r="AP311" s="445"/>
      <c r="AQ311" s="445"/>
      <c r="AR311" s="445"/>
      <c r="AS311" s="445"/>
      <c r="AT311" s="445"/>
      <c r="AU311" s="445"/>
      <c r="AV311" s="445"/>
      <c r="AW311" s="445"/>
      <c r="AX311" s="445"/>
      <c r="AY311" s="445"/>
      <c r="AZ311" s="445"/>
      <c r="BA311" s="445"/>
      <c r="BB311" s="445"/>
      <c r="BC311" s="445"/>
      <c r="BD311" s="445"/>
      <c r="BE311" s="445"/>
      <c r="BF311" s="445"/>
      <c r="BG311" s="445"/>
      <c r="BH311" s="445"/>
      <c r="BI311" s="445"/>
      <c r="BJ311" s="445"/>
      <c r="BK311" s="446"/>
      <c r="BL311" s="457"/>
      <c r="BM311" s="455"/>
      <c r="BN311" s="455"/>
      <c r="BO311" s="455"/>
      <c r="BP311" s="455"/>
      <c r="BQ311" s="455"/>
      <c r="BR311" s="455"/>
      <c r="BS311" s="456"/>
      <c r="BT311" s="434" t="s">
        <v>821</v>
      </c>
      <c r="BU311" s="435"/>
      <c r="BV311" s="435"/>
      <c r="BW311" s="435"/>
      <c r="BX311" s="435"/>
      <c r="BY311" s="435"/>
      <c r="BZ311" s="435"/>
      <c r="CA311" s="435"/>
      <c r="CB311" s="435"/>
      <c r="CC311" s="435"/>
      <c r="CD311" s="435"/>
      <c r="CE311" s="435"/>
      <c r="CF311" s="436"/>
      <c r="CG311" s="373" t="s">
        <v>772</v>
      </c>
      <c r="CH311" s="371"/>
      <c r="CI311" s="371"/>
      <c r="CJ311" s="371"/>
      <c r="CK311" s="371"/>
      <c r="CL311" s="371"/>
      <c r="CM311" s="371"/>
      <c r="CN311" s="371"/>
      <c r="CO311" s="371"/>
      <c r="CP311" s="371"/>
      <c r="CQ311" s="372"/>
      <c r="CR311" s="373"/>
      <c r="CS311" s="371"/>
      <c r="CT311" s="371"/>
      <c r="CU311" s="371"/>
      <c r="CV311" s="371"/>
      <c r="CW311" s="371"/>
      <c r="CX311" s="371"/>
      <c r="CY311" s="371"/>
      <c r="CZ311" s="371"/>
      <c r="DA311" s="371"/>
      <c r="DB311" s="371"/>
      <c r="DC311" s="371"/>
      <c r="DD311" s="372"/>
      <c r="DE311" s="405">
        <f>15000</f>
        <v>15000</v>
      </c>
      <c r="DF311" s="406"/>
      <c r="DG311" s="406"/>
      <c r="DH311" s="406"/>
      <c r="DI311" s="406"/>
      <c r="DJ311" s="406"/>
      <c r="DK311" s="406"/>
      <c r="DL311" s="406"/>
      <c r="DM311" s="406"/>
      <c r="DN311" s="406"/>
      <c r="DO311" s="406"/>
      <c r="DP311" s="406"/>
      <c r="DQ311" s="407"/>
      <c r="DR311" s="405">
        <v>0</v>
      </c>
      <c r="DS311" s="406"/>
      <c r="DT311" s="406"/>
      <c r="DU311" s="406"/>
      <c r="DV311" s="406"/>
      <c r="DW311" s="406"/>
      <c r="DX311" s="406"/>
      <c r="DY311" s="406"/>
      <c r="DZ311" s="406"/>
      <c r="EA311" s="406"/>
      <c r="EB311" s="406"/>
      <c r="EC311" s="406"/>
      <c r="ED311" s="407"/>
      <c r="EE311" s="405"/>
      <c r="EF311" s="406"/>
      <c r="EG311" s="406"/>
      <c r="EH311" s="406"/>
      <c r="EI311" s="406"/>
      <c r="EJ311" s="406"/>
      <c r="EK311" s="406"/>
      <c r="EL311" s="406"/>
      <c r="EM311" s="406"/>
      <c r="EN311" s="406"/>
      <c r="EO311" s="406"/>
      <c r="EP311" s="406"/>
      <c r="EQ311" s="407"/>
      <c r="ER311" s="346"/>
      <c r="ES311" s="347"/>
      <c r="ET311" s="347"/>
      <c r="EU311" s="347"/>
      <c r="EV311" s="347"/>
      <c r="EW311" s="347"/>
      <c r="EX311" s="347"/>
      <c r="EY311" s="347"/>
      <c r="EZ311" s="347"/>
      <c r="FA311" s="347"/>
      <c r="FB311" s="348"/>
      <c r="FC311" s="449"/>
      <c r="FD311" s="450"/>
      <c r="FE311" s="450"/>
      <c r="FF311" s="450"/>
      <c r="FG311" s="450"/>
      <c r="FH311" s="450"/>
      <c r="FI311" s="450"/>
      <c r="FJ311" s="450"/>
      <c r="FK311" s="450"/>
      <c r="FL311" s="450"/>
      <c r="FO311" s="276"/>
      <c r="FP311" s="276"/>
      <c r="FQ311" s="275">
        <f t="shared" si="7"/>
        <v>0</v>
      </c>
    </row>
    <row r="312" spans="1:173" s="219" customFormat="1" ht="12" hidden="1" customHeight="1">
      <c r="A312" s="444" t="s">
        <v>962</v>
      </c>
      <c r="B312" s="445"/>
      <c r="C312" s="445"/>
      <c r="D312" s="445"/>
      <c r="E312" s="445"/>
      <c r="F312" s="445"/>
      <c r="G312" s="445"/>
      <c r="H312" s="445"/>
      <c r="I312" s="445"/>
      <c r="J312" s="445"/>
      <c r="K312" s="445"/>
      <c r="L312" s="445"/>
      <c r="M312" s="445"/>
      <c r="N312" s="445"/>
      <c r="O312" s="445"/>
      <c r="P312" s="445"/>
      <c r="Q312" s="445"/>
      <c r="R312" s="445"/>
      <c r="S312" s="445"/>
      <c r="T312" s="445"/>
      <c r="U312" s="445"/>
      <c r="V312" s="445"/>
      <c r="W312" s="445"/>
      <c r="X312" s="445"/>
      <c r="Y312" s="445"/>
      <c r="Z312" s="445"/>
      <c r="AA312" s="445"/>
      <c r="AB312" s="445"/>
      <c r="AC312" s="445"/>
      <c r="AD312" s="445"/>
      <c r="AE312" s="445"/>
      <c r="AF312" s="445"/>
      <c r="AG312" s="445"/>
      <c r="AH312" s="445"/>
      <c r="AI312" s="445"/>
      <c r="AJ312" s="445"/>
      <c r="AK312" s="445"/>
      <c r="AL312" s="445"/>
      <c r="AM312" s="445"/>
      <c r="AN312" s="445"/>
      <c r="AO312" s="445"/>
      <c r="AP312" s="445"/>
      <c r="AQ312" s="445"/>
      <c r="AR312" s="445"/>
      <c r="AS312" s="445"/>
      <c r="AT312" s="445"/>
      <c r="AU312" s="445"/>
      <c r="AV312" s="445"/>
      <c r="AW312" s="445"/>
      <c r="AX312" s="445"/>
      <c r="AY312" s="445"/>
      <c r="AZ312" s="445"/>
      <c r="BA312" s="445"/>
      <c r="BB312" s="445"/>
      <c r="BC312" s="445"/>
      <c r="BD312" s="445"/>
      <c r="BE312" s="445"/>
      <c r="BF312" s="445"/>
      <c r="BG312" s="445"/>
      <c r="BH312" s="445"/>
      <c r="BI312" s="445"/>
      <c r="BJ312" s="445"/>
      <c r="BK312" s="446"/>
      <c r="BL312" s="457"/>
      <c r="BM312" s="455"/>
      <c r="BN312" s="455"/>
      <c r="BO312" s="455"/>
      <c r="BP312" s="455"/>
      <c r="BQ312" s="455"/>
      <c r="BR312" s="455"/>
      <c r="BS312" s="456"/>
      <c r="BT312" s="434" t="s">
        <v>821</v>
      </c>
      <c r="BU312" s="435"/>
      <c r="BV312" s="435"/>
      <c r="BW312" s="435"/>
      <c r="BX312" s="435"/>
      <c r="BY312" s="435"/>
      <c r="BZ312" s="435"/>
      <c r="CA312" s="435"/>
      <c r="CB312" s="435"/>
      <c r="CC312" s="435"/>
      <c r="CD312" s="435"/>
      <c r="CE312" s="435"/>
      <c r="CF312" s="436"/>
      <c r="CG312" s="373" t="s">
        <v>772</v>
      </c>
      <c r="CH312" s="371"/>
      <c r="CI312" s="371"/>
      <c r="CJ312" s="371"/>
      <c r="CK312" s="371"/>
      <c r="CL312" s="371"/>
      <c r="CM312" s="371"/>
      <c r="CN312" s="371"/>
      <c r="CO312" s="371"/>
      <c r="CP312" s="371"/>
      <c r="CQ312" s="372"/>
      <c r="CR312" s="373"/>
      <c r="CS312" s="371"/>
      <c r="CT312" s="371"/>
      <c r="CU312" s="371"/>
      <c r="CV312" s="371"/>
      <c r="CW312" s="371"/>
      <c r="CX312" s="371"/>
      <c r="CY312" s="371"/>
      <c r="CZ312" s="371"/>
      <c r="DA312" s="371"/>
      <c r="DB312" s="371"/>
      <c r="DC312" s="371"/>
      <c r="DD312" s="372"/>
      <c r="DE312" s="405">
        <f>10000</f>
        <v>10000</v>
      </c>
      <c r="DF312" s="406"/>
      <c r="DG312" s="406"/>
      <c r="DH312" s="406"/>
      <c r="DI312" s="406"/>
      <c r="DJ312" s="406"/>
      <c r="DK312" s="406"/>
      <c r="DL312" s="406"/>
      <c r="DM312" s="406"/>
      <c r="DN312" s="406"/>
      <c r="DO312" s="406"/>
      <c r="DP312" s="406"/>
      <c r="DQ312" s="407"/>
      <c r="DR312" s="405">
        <v>0</v>
      </c>
      <c r="DS312" s="406"/>
      <c r="DT312" s="406"/>
      <c r="DU312" s="406"/>
      <c r="DV312" s="406"/>
      <c r="DW312" s="406"/>
      <c r="DX312" s="406"/>
      <c r="DY312" s="406"/>
      <c r="DZ312" s="406"/>
      <c r="EA312" s="406"/>
      <c r="EB312" s="406"/>
      <c r="EC312" s="406"/>
      <c r="ED312" s="407"/>
      <c r="EE312" s="405"/>
      <c r="EF312" s="406"/>
      <c r="EG312" s="406"/>
      <c r="EH312" s="406"/>
      <c r="EI312" s="406"/>
      <c r="EJ312" s="406"/>
      <c r="EK312" s="406"/>
      <c r="EL312" s="406"/>
      <c r="EM312" s="406"/>
      <c r="EN312" s="406"/>
      <c r="EO312" s="406"/>
      <c r="EP312" s="406"/>
      <c r="EQ312" s="407"/>
      <c r="ER312" s="346"/>
      <c r="ES312" s="347"/>
      <c r="ET312" s="347"/>
      <c r="EU312" s="347"/>
      <c r="EV312" s="347"/>
      <c r="EW312" s="347"/>
      <c r="EX312" s="347"/>
      <c r="EY312" s="347"/>
      <c r="EZ312" s="347"/>
      <c r="FA312" s="347"/>
      <c r="FB312" s="348"/>
      <c r="FC312" s="449"/>
      <c r="FD312" s="450"/>
      <c r="FE312" s="450"/>
      <c r="FF312" s="450"/>
      <c r="FG312" s="450"/>
      <c r="FH312" s="450"/>
      <c r="FI312" s="450"/>
      <c r="FJ312" s="450"/>
      <c r="FK312" s="450"/>
      <c r="FL312" s="450"/>
      <c r="FO312" s="276"/>
      <c r="FP312" s="276"/>
      <c r="FQ312" s="275">
        <f t="shared" si="7"/>
        <v>0</v>
      </c>
    </row>
    <row r="313" spans="1:173" s="174" customFormat="1" ht="12" customHeight="1">
      <c r="A313" s="441" t="s">
        <v>999</v>
      </c>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c r="AG313" s="442"/>
      <c r="AH313" s="442"/>
      <c r="AI313" s="442"/>
      <c r="AJ313" s="442"/>
      <c r="AK313" s="442"/>
      <c r="AL313" s="442"/>
      <c r="AM313" s="442"/>
      <c r="AN313" s="442"/>
      <c r="AO313" s="442"/>
      <c r="AP313" s="442"/>
      <c r="AQ313" s="442"/>
      <c r="AR313" s="442"/>
      <c r="AS313" s="442"/>
      <c r="AT313" s="442"/>
      <c r="AU313" s="442"/>
      <c r="AV313" s="442"/>
      <c r="AW313" s="442"/>
      <c r="AX313" s="442"/>
      <c r="AY313" s="442"/>
      <c r="AZ313" s="442"/>
      <c r="BA313" s="442"/>
      <c r="BB313" s="442"/>
      <c r="BC313" s="442"/>
      <c r="BD313" s="442"/>
      <c r="BE313" s="442"/>
      <c r="BF313" s="442"/>
      <c r="BG313" s="442"/>
      <c r="BH313" s="442"/>
      <c r="BI313" s="442"/>
      <c r="BJ313" s="442"/>
      <c r="BK313" s="443"/>
      <c r="BL313" s="392"/>
      <c r="BM313" s="393"/>
      <c r="BN313" s="393"/>
      <c r="BO313" s="393"/>
      <c r="BP313" s="393"/>
      <c r="BQ313" s="393"/>
      <c r="BR313" s="393"/>
      <c r="BS313" s="394"/>
      <c r="BT313" s="434" t="s">
        <v>821</v>
      </c>
      <c r="BU313" s="435"/>
      <c r="BV313" s="435"/>
      <c r="BW313" s="435"/>
      <c r="BX313" s="435"/>
      <c r="BY313" s="435"/>
      <c r="BZ313" s="435"/>
      <c r="CA313" s="435"/>
      <c r="CB313" s="435"/>
      <c r="CC313" s="435"/>
      <c r="CD313" s="435"/>
      <c r="CE313" s="435"/>
      <c r="CF313" s="436"/>
      <c r="CG313" s="454" t="s">
        <v>772</v>
      </c>
      <c r="CH313" s="455"/>
      <c r="CI313" s="455"/>
      <c r="CJ313" s="455"/>
      <c r="CK313" s="455"/>
      <c r="CL313" s="455"/>
      <c r="CM313" s="455"/>
      <c r="CN313" s="455"/>
      <c r="CO313" s="455"/>
      <c r="CP313" s="455"/>
      <c r="CQ313" s="456"/>
      <c r="CR313" s="398"/>
      <c r="CS313" s="393"/>
      <c r="CT313" s="393"/>
      <c r="CU313" s="393"/>
      <c r="CV313" s="393"/>
      <c r="CW313" s="393"/>
      <c r="CX313" s="393"/>
      <c r="CY313" s="393"/>
      <c r="CZ313" s="393"/>
      <c r="DA313" s="393"/>
      <c r="DB313" s="393"/>
      <c r="DC313" s="393"/>
      <c r="DD313" s="394"/>
      <c r="DE313" s="402">
        <v>0</v>
      </c>
      <c r="DF313" s="403"/>
      <c r="DG313" s="403"/>
      <c r="DH313" s="403"/>
      <c r="DI313" s="403"/>
      <c r="DJ313" s="403"/>
      <c r="DK313" s="403"/>
      <c r="DL313" s="403"/>
      <c r="DM313" s="403"/>
      <c r="DN313" s="403"/>
      <c r="DO313" s="403"/>
      <c r="DP313" s="403"/>
      <c r="DQ313" s="404"/>
      <c r="DR313" s="402">
        <v>8000</v>
      </c>
      <c r="DS313" s="403"/>
      <c r="DT313" s="403"/>
      <c r="DU313" s="403"/>
      <c r="DV313" s="403"/>
      <c r="DW313" s="403"/>
      <c r="DX313" s="403"/>
      <c r="DY313" s="403"/>
      <c r="DZ313" s="403"/>
      <c r="EA313" s="403"/>
      <c r="EB313" s="403"/>
      <c r="EC313" s="403"/>
      <c r="ED313" s="404"/>
      <c r="EE313" s="402"/>
      <c r="EF313" s="403"/>
      <c r="EG313" s="403"/>
      <c r="EH313" s="403"/>
      <c r="EI313" s="403"/>
      <c r="EJ313" s="403"/>
      <c r="EK313" s="403"/>
      <c r="EL313" s="403"/>
      <c r="EM313" s="403"/>
      <c r="EN313" s="403"/>
      <c r="EO313" s="403"/>
      <c r="EP313" s="403"/>
      <c r="EQ313" s="404"/>
      <c r="ER313" s="402"/>
      <c r="ES313" s="403"/>
      <c r="ET313" s="403"/>
      <c r="EU313" s="403"/>
      <c r="EV313" s="403"/>
      <c r="EW313" s="403"/>
      <c r="EX313" s="403"/>
      <c r="EY313" s="403"/>
      <c r="EZ313" s="403"/>
      <c r="FA313" s="403"/>
      <c r="FB313" s="404"/>
      <c r="FC313" s="408"/>
      <c r="FD313" s="409"/>
      <c r="FE313" s="409"/>
      <c r="FF313" s="409"/>
      <c r="FG313" s="409"/>
      <c r="FH313" s="409"/>
      <c r="FI313" s="409"/>
      <c r="FJ313" s="409"/>
      <c r="FK313" s="409"/>
      <c r="FL313" s="409"/>
      <c r="FO313" s="279"/>
      <c r="FP313" s="279"/>
      <c r="FQ313" s="275">
        <f t="shared" si="7"/>
        <v>8000</v>
      </c>
    </row>
    <row r="314" spans="1:173" ht="12" hidden="1" customHeight="1">
      <c r="A314" s="441"/>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c r="AG314" s="442"/>
      <c r="AH314" s="442"/>
      <c r="AI314" s="442"/>
      <c r="AJ314" s="442"/>
      <c r="AK314" s="442"/>
      <c r="AL314" s="442"/>
      <c r="AM314" s="442"/>
      <c r="AN314" s="442"/>
      <c r="AO314" s="442"/>
      <c r="AP314" s="442"/>
      <c r="AQ314" s="442"/>
      <c r="AR314" s="442"/>
      <c r="AS314" s="442"/>
      <c r="AT314" s="442"/>
      <c r="AU314" s="442"/>
      <c r="AV314" s="442"/>
      <c r="AW314" s="442"/>
      <c r="AX314" s="442"/>
      <c r="AY314" s="442"/>
      <c r="AZ314" s="442"/>
      <c r="BA314" s="442"/>
      <c r="BB314" s="442"/>
      <c r="BC314" s="442"/>
      <c r="BD314" s="442"/>
      <c r="BE314" s="442"/>
      <c r="BF314" s="442"/>
      <c r="BG314" s="442"/>
      <c r="BH314" s="442"/>
      <c r="BI314" s="442"/>
      <c r="BJ314" s="442"/>
      <c r="BK314" s="443"/>
      <c r="BL314" s="339"/>
      <c r="BM314" s="340"/>
      <c r="BN314" s="340"/>
      <c r="BO314" s="340"/>
      <c r="BP314" s="340"/>
      <c r="BQ314" s="340"/>
      <c r="BR314" s="340"/>
      <c r="BS314" s="341"/>
      <c r="BT314" s="345"/>
      <c r="BU314" s="340"/>
      <c r="BV314" s="340"/>
      <c r="BW314" s="340"/>
      <c r="BX314" s="340"/>
      <c r="BY314" s="340"/>
      <c r="BZ314" s="340"/>
      <c r="CA314" s="340"/>
      <c r="CB314" s="340"/>
      <c r="CC314" s="340"/>
      <c r="CD314" s="340"/>
      <c r="CE314" s="340"/>
      <c r="CF314" s="341"/>
      <c r="CG314" s="345"/>
      <c r="CH314" s="340"/>
      <c r="CI314" s="340"/>
      <c r="CJ314" s="340"/>
      <c r="CK314" s="340"/>
      <c r="CL314" s="340"/>
      <c r="CM314" s="340"/>
      <c r="CN314" s="340"/>
      <c r="CO314" s="340"/>
      <c r="CP314" s="340"/>
      <c r="CQ314" s="341"/>
      <c r="CR314" s="345"/>
      <c r="CS314" s="340"/>
      <c r="CT314" s="340"/>
      <c r="CU314" s="340"/>
      <c r="CV314" s="340"/>
      <c r="CW314" s="340"/>
      <c r="CX314" s="340"/>
      <c r="CY314" s="340"/>
      <c r="CZ314" s="340"/>
      <c r="DA314" s="340"/>
      <c r="DB314" s="340"/>
      <c r="DC314" s="340"/>
      <c r="DD314" s="341"/>
      <c r="DE314" s="349"/>
      <c r="DF314" s="350"/>
      <c r="DG314" s="350"/>
      <c r="DH314" s="350"/>
      <c r="DI314" s="350"/>
      <c r="DJ314" s="350"/>
      <c r="DK314" s="350"/>
      <c r="DL314" s="350"/>
      <c r="DM314" s="350"/>
      <c r="DN314" s="350"/>
      <c r="DO314" s="350"/>
      <c r="DP314" s="350"/>
      <c r="DQ314" s="351"/>
      <c r="DR314" s="349"/>
      <c r="DS314" s="350"/>
      <c r="DT314" s="350"/>
      <c r="DU314" s="350"/>
      <c r="DV314" s="350"/>
      <c r="DW314" s="350"/>
      <c r="DX314" s="350"/>
      <c r="DY314" s="350"/>
      <c r="DZ314" s="350"/>
      <c r="EA314" s="350"/>
      <c r="EB314" s="350"/>
      <c r="EC314" s="350"/>
      <c r="ED314" s="351"/>
      <c r="EE314" s="349"/>
      <c r="EF314" s="350"/>
      <c r="EG314" s="350"/>
      <c r="EH314" s="350"/>
      <c r="EI314" s="350"/>
      <c r="EJ314" s="350"/>
      <c r="EK314" s="350"/>
      <c r="EL314" s="350"/>
      <c r="EM314" s="350"/>
      <c r="EN314" s="350"/>
      <c r="EO314" s="350"/>
      <c r="EP314" s="350"/>
      <c r="EQ314" s="351"/>
      <c r="ER314" s="349"/>
      <c r="ES314" s="350"/>
      <c r="ET314" s="350"/>
      <c r="EU314" s="350"/>
      <c r="EV314" s="350"/>
      <c r="EW314" s="350"/>
      <c r="EX314" s="350"/>
      <c r="EY314" s="350"/>
      <c r="EZ314" s="350"/>
      <c r="FA314" s="350"/>
      <c r="FB314" s="351"/>
      <c r="FC314" s="352"/>
      <c r="FD314" s="353"/>
      <c r="FE314" s="353"/>
      <c r="FF314" s="353"/>
      <c r="FG314" s="353"/>
      <c r="FH314" s="353"/>
      <c r="FI314" s="353"/>
      <c r="FJ314" s="353"/>
      <c r="FK314" s="353"/>
      <c r="FL314" s="353"/>
      <c r="FO314" s="275"/>
      <c r="FP314" s="275"/>
      <c r="FQ314" s="275">
        <f t="shared" si="7"/>
        <v>0</v>
      </c>
    </row>
    <row r="315" spans="1:173" ht="12" hidden="1" customHeight="1">
      <c r="A315" s="441"/>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c r="AG315" s="442"/>
      <c r="AH315" s="442"/>
      <c r="AI315" s="442"/>
      <c r="AJ315" s="442"/>
      <c r="AK315" s="442"/>
      <c r="AL315" s="442"/>
      <c r="AM315" s="442"/>
      <c r="AN315" s="442"/>
      <c r="AO315" s="442"/>
      <c r="AP315" s="442"/>
      <c r="AQ315" s="442"/>
      <c r="AR315" s="442"/>
      <c r="AS315" s="442"/>
      <c r="AT315" s="442"/>
      <c r="AU315" s="442"/>
      <c r="AV315" s="442"/>
      <c r="AW315" s="442"/>
      <c r="AX315" s="442"/>
      <c r="AY315" s="442"/>
      <c r="AZ315" s="442"/>
      <c r="BA315" s="442"/>
      <c r="BB315" s="442"/>
      <c r="BC315" s="442"/>
      <c r="BD315" s="442"/>
      <c r="BE315" s="442"/>
      <c r="BF315" s="442"/>
      <c r="BG315" s="442"/>
      <c r="BH315" s="442"/>
      <c r="BI315" s="442"/>
      <c r="BJ315" s="442"/>
      <c r="BK315" s="443"/>
      <c r="BL315" s="339"/>
      <c r="BM315" s="340"/>
      <c r="BN315" s="340"/>
      <c r="BO315" s="340"/>
      <c r="BP315" s="340"/>
      <c r="BQ315" s="340"/>
      <c r="BR315" s="340"/>
      <c r="BS315" s="341"/>
      <c r="BT315" s="345"/>
      <c r="BU315" s="340"/>
      <c r="BV315" s="340"/>
      <c r="BW315" s="340"/>
      <c r="BX315" s="340"/>
      <c r="BY315" s="340"/>
      <c r="BZ315" s="340"/>
      <c r="CA315" s="340"/>
      <c r="CB315" s="340"/>
      <c r="CC315" s="340"/>
      <c r="CD315" s="340"/>
      <c r="CE315" s="340"/>
      <c r="CF315" s="341"/>
      <c r="CG315" s="345"/>
      <c r="CH315" s="340"/>
      <c r="CI315" s="340"/>
      <c r="CJ315" s="340"/>
      <c r="CK315" s="340"/>
      <c r="CL315" s="340"/>
      <c r="CM315" s="340"/>
      <c r="CN315" s="340"/>
      <c r="CO315" s="340"/>
      <c r="CP315" s="340"/>
      <c r="CQ315" s="341"/>
      <c r="CR315" s="345"/>
      <c r="CS315" s="340"/>
      <c r="CT315" s="340"/>
      <c r="CU315" s="340"/>
      <c r="CV315" s="340"/>
      <c r="CW315" s="340"/>
      <c r="CX315" s="340"/>
      <c r="CY315" s="340"/>
      <c r="CZ315" s="340"/>
      <c r="DA315" s="340"/>
      <c r="DB315" s="340"/>
      <c r="DC315" s="340"/>
      <c r="DD315" s="341"/>
      <c r="DE315" s="349"/>
      <c r="DF315" s="350"/>
      <c r="DG315" s="350"/>
      <c r="DH315" s="350"/>
      <c r="DI315" s="350"/>
      <c r="DJ315" s="350"/>
      <c r="DK315" s="350"/>
      <c r="DL315" s="350"/>
      <c r="DM315" s="350"/>
      <c r="DN315" s="350"/>
      <c r="DO315" s="350"/>
      <c r="DP315" s="350"/>
      <c r="DQ315" s="351"/>
      <c r="DR315" s="349"/>
      <c r="DS315" s="350"/>
      <c r="DT315" s="350"/>
      <c r="DU315" s="350"/>
      <c r="DV315" s="350"/>
      <c r="DW315" s="350"/>
      <c r="DX315" s="350"/>
      <c r="DY315" s="350"/>
      <c r="DZ315" s="350"/>
      <c r="EA315" s="350"/>
      <c r="EB315" s="350"/>
      <c r="EC315" s="350"/>
      <c r="ED315" s="351"/>
      <c r="EE315" s="349"/>
      <c r="EF315" s="350"/>
      <c r="EG315" s="350"/>
      <c r="EH315" s="350"/>
      <c r="EI315" s="350"/>
      <c r="EJ315" s="350"/>
      <c r="EK315" s="350"/>
      <c r="EL315" s="350"/>
      <c r="EM315" s="350"/>
      <c r="EN315" s="350"/>
      <c r="EO315" s="350"/>
      <c r="EP315" s="350"/>
      <c r="EQ315" s="351"/>
      <c r="ER315" s="349"/>
      <c r="ES315" s="350"/>
      <c r="ET315" s="350"/>
      <c r="EU315" s="350"/>
      <c r="EV315" s="350"/>
      <c r="EW315" s="350"/>
      <c r="EX315" s="350"/>
      <c r="EY315" s="350"/>
      <c r="EZ315" s="350"/>
      <c r="FA315" s="350"/>
      <c r="FB315" s="351"/>
      <c r="FC315" s="352"/>
      <c r="FD315" s="353"/>
      <c r="FE315" s="353"/>
      <c r="FF315" s="353"/>
      <c r="FG315" s="353"/>
      <c r="FH315" s="353"/>
      <c r="FI315" s="353"/>
      <c r="FJ315" s="353"/>
      <c r="FK315" s="353"/>
      <c r="FL315" s="353"/>
      <c r="FO315" s="275"/>
      <c r="FP315" s="275"/>
      <c r="FQ315" s="275">
        <f t="shared" si="7"/>
        <v>0</v>
      </c>
    </row>
    <row r="316" spans="1:173" ht="12" hidden="1" customHeight="1">
      <c r="A316" s="441"/>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c r="AG316" s="442"/>
      <c r="AH316" s="442"/>
      <c r="AI316" s="442"/>
      <c r="AJ316" s="442"/>
      <c r="AK316" s="442"/>
      <c r="AL316" s="442"/>
      <c r="AM316" s="442"/>
      <c r="AN316" s="442"/>
      <c r="AO316" s="442"/>
      <c r="AP316" s="442"/>
      <c r="AQ316" s="442"/>
      <c r="AR316" s="442"/>
      <c r="AS316" s="442"/>
      <c r="AT316" s="442"/>
      <c r="AU316" s="442"/>
      <c r="AV316" s="442"/>
      <c r="AW316" s="442"/>
      <c r="AX316" s="442"/>
      <c r="AY316" s="442"/>
      <c r="AZ316" s="442"/>
      <c r="BA316" s="442"/>
      <c r="BB316" s="442"/>
      <c r="BC316" s="442"/>
      <c r="BD316" s="442"/>
      <c r="BE316" s="442"/>
      <c r="BF316" s="442"/>
      <c r="BG316" s="442"/>
      <c r="BH316" s="442"/>
      <c r="BI316" s="442"/>
      <c r="BJ316" s="442"/>
      <c r="BK316" s="443"/>
      <c r="BL316" s="339"/>
      <c r="BM316" s="340"/>
      <c r="BN316" s="340"/>
      <c r="BO316" s="340"/>
      <c r="BP316" s="340"/>
      <c r="BQ316" s="340"/>
      <c r="BR316" s="340"/>
      <c r="BS316" s="341"/>
      <c r="BT316" s="345"/>
      <c r="BU316" s="340"/>
      <c r="BV316" s="340"/>
      <c r="BW316" s="340"/>
      <c r="BX316" s="340"/>
      <c r="BY316" s="340"/>
      <c r="BZ316" s="340"/>
      <c r="CA316" s="340"/>
      <c r="CB316" s="340"/>
      <c r="CC316" s="340"/>
      <c r="CD316" s="340"/>
      <c r="CE316" s="340"/>
      <c r="CF316" s="341"/>
      <c r="CG316" s="345"/>
      <c r="CH316" s="340"/>
      <c r="CI316" s="340"/>
      <c r="CJ316" s="340"/>
      <c r="CK316" s="340"/>
      <c r="CL316" s="340"/>
      <c r="CM316" s="340"/>
      <c r="CN316" s="340"/>
      <c r="CO316" s="340"/>
      <c r="CP316" s="340"/>
      <c r="CQ316" s="341"/>
      <c r="CR316" s="345"/>
      <c r="CS316" s="340"/>
      <c r="CT316" s="340"/>
      <c r="CU316" s="340"/>
      <c r="CV316" s="340"/>
      <c r="CW316" s="340"/>
      <c r="CX316" s="340"/>
      <c r="CY316" s="340"/>
      <c r="CZ316" s="340"/>
      <c r="DA316" s="340"/>
      <c r="DB316" s="340"/>
      <c r="DC316" s="340"/>
      <c r="DD316" s="341"/>
      <c r="DE316" s="349"/>
      <c r="DF316" s="350"/>
      <c r="DG316" s="350"/>
      <c r="DH316" s="350"/>
      <c r="DI316" s="350"/>
      <c r="DJ316" s="350"/>
      <c r="DK316" s="350"/>
      <c r="DL316" s="350"/>
      <c r="DM316" s="350"/>
      <c r="DN316" s="350"/>
      <c r="DO316" s="350"/>
      <c r="DP316" s="350"/>
      <c r="DQ316" s="351"/>
      <c r="DR316" s="349"/>
      <c r="DS316" s="350"/>
      <c r="DT316" s="350"/>
      <c r="DU316" s="350"/>
      <c r="DV316" s="350"/>
      <c r="DW316" s="350"/>
      <c r="DX316" s="350"/>
      <c r="DY316" s="350"/>
      <c r="DZ316" s="350"/>
      <c r="EA316" s="350"/>
      <c r="EB316" s="350"/>
      <c r="EC316" s="350"/>
      <c r="ED316" s="351"/>
      <c r="EE316" s="349"/>
      <c r="EF316" s="350"/>
      <c r="EG316" s="350"/>
      <c r="EH316" s="350"/>
      <c r="EI316" s="350"/>
      <c r="EJ316" s="350"/>
      <c r="EK316" s="350"/>
      <c r="EL316" s="350"/>
      <c r="EM316" s="350"/>
      <c r="EN316" s="350"/>
      <c r="EO316" s="350"/>
      <c r="EP316" s="350"/>
      <c r="EQ316" s="351"/>
      <c r="ER316" s="349"/>
      <c r="ES316" s="350"/>
      <c r="ET316" s="350"/>
      <c r="EU316" s="350"/>
      <c r="EV316" s="350"/>
      <c r="EW316" s="350"/>
      <c r="EX316" s="350"/>
      <c r="EY316" s="350"/>
      <c r="EZ316" s="350"/>
      <c r="FA316" s="350"/>
      <c r="FB316" s="351"/>
      <c r="FC316" s="352"/>
      <c r="FD316" s="353"/>
      <c r="FE316" s="353"/>
      <c r="FF316" s="353"/>
      <c r="FG316" s="353"/>
      <c r="FH316" s="353"/>
      <c r="FI316" s="353"/>
      <c r="FJ316" s="353"/>
      <c r="FK316" s="353"/>
      <c r="FL316" s="353"/>
      <c r="FO316" s="275"/>
      <c r="FP316" s="275"/>
      <c r="FQ316" s="275">
        <f t="shared" si="7"/>
        <v>0</v>
      </c>
    </row>
    <row r="317" spans="1:173" s="215" customFormat="1" ht="12" customHeight="1">
      <c r="A317" s="437" t="s">
        <v>950</v>
      </c>
      <c r="B317" s="438"/>
      <c r="C317" s="438"/>
      <c r="D317" s="438"/>
      <c r="E317" s="438"/>
      <c r="F317" s="438"/>
      <c r="G317" s="438"/>
      <c r="H317" s="438"/>
      <c r="I317" s="438"/>
      <c r="J317" s="438"/>
      <c r="K317" s="438"/>
      <c r="L317" s="438"/>
      <c r="M317" s="438"/>
      <c r="N317" s="438"/>
      <c r="O317" s="438"/>
      <c r="P317" s="438"/>
      <c r="Q317" s="438"/>
      <c r="R317" s="438"/>
      <c r="S317" s="438"/>
      <c r="T317" s="438"/>
      <c r="U317" s="438"/>
      <c r="V317" s="438"/>
      <c r="W317" s="438"/>
      <c r="X317" s="438"/>
      <c r="Y317" s="438"/>
      <c r="Z317" s="438"/>
      <c r="AA317" s="438"/>
      <c r="AB317" s="438"/>
      <c r="AC317" s="438"/>
      <c r="AD317" s="438"/>
      <c r="AE317" s="438"/>
      <c r="AF317" s="438"/>
      <c r="AG317" s="438"/>
      <c r="AH317" s="438"/>
      <c r="AI317" s="438"/>
      <c r="AJ317" s="438"/>
      <c r="AK317" s="438"/>
      <c r="AL317" s="438"/>
      <c r="AM317" s="438"/>
      <c r="AN317" s="438"/>
      <c r="AO317" s="438"/>
      <c r="AP317" s="438"/>
      <c r="AQ317" s="438"/>
      <c r="AR317" s="438"/>
      <c r="AS317" s="438"/>
      <c r="AT317" s="438"/>
      <c r="AU317" s="438"/>
      <c r="AV317" s="438"/>
      <c r="AW317" s="438"/>
      <c r="AX317" s="438"/>
      <c r="AY317" s="438"/>
      <c r="AZ317" s="438"/>
      <c r="BA317" s="438"/>
      <c r="BB317" s="438"/>
      <c r="BC317" s="438"/>
      <c r="BD317" s="438"/>
      <c r="BE317" s="438"/>
      <c r="BF317" s="438"/>
      <c r="BG317" s="438"/>
      <c r="BH317" s="438"/>
      <c r="BI317" s="438"/>
      <c r="BJ317" s="438"/>
      <c r="BK317" s="439"/>
      <c r="BL317" s="440"/>
      <c r="BM317" s="414"/>
      <c r="BN317" s="414"/>
      <c r="BO317" s="414"/>
      <c r="BP317" s="414"/>
      <c r="BQ317" s="414"/>
      <c r="BR317" s="414"/>
      <c r="BS317" s="415"/>
      <c r="BT317" s="413" t="s">
        <v>109</v>
      </c>
      <c r="BU317" s="414"/>
      <c r="BV317" s="414"/>
      <c r="BW317" s="414"/>
      <c r="BX317" s="414"/>
      <c r="BY317" s="414"/>
      <c r="BZ317" s="414"/>
      <c r="CA317" s="414"/>
      <c r="CB317" s="414"/>
      <c r="CC317" s="414"/>
      <c r="CD317" s="414"/>
      <c r="CE317" s="414"/>
      <c r="CF317" s="415"/>
      <c r="CG317" s="413" t="s">
        <v>196</v>
      </c>
      <c r="CH317" s="414"/>
      <c r="CI317" s="414"/>
      <c r="CJ317" s="414"/>
      <c r="CK317" s="414"/>
      <c r="CL317" s="414"/>
      <c r="CM317" s="414"/>
      <c r="CN317" s="414"/>
      <c r="CO317" s="414"/>
      <c r="CP317" s="414"/>
      <c r="CQ317" s="415"/>
      <c r="CR317" s="413"/>
      <c r="CS317" s="414"/>
      <c r="CT317" s="414"/>
      <c r="CU317" s="414"/>
      <c r="CV317" s="414"/>
      <c r="CW317" s="414"/>
      <c r="CX317" s="414"/>
      <c r="CY317" s="414"/>
      <c r="CZ317" s="414"/>
      <c r="DA317" s="414"/>
      <c r="DB317" s="414"/>
      <c r="DC317" s="414"/>
      <c r="DD317" s="415"/>
      <c r="DE317" s="428">
        <f>SUM(DE318:DQ341)</f>
        <v>33522</v>
      </c>
      <c r="DF317" s="429"/>
      <c r="DG317" s="429"/>
      <c r="DH317" s="429"/>
      <c r="DI317" s="429"/>
      <c r="DJ317" s="429"/>
      <c r="DK317" s="429"/>
      <c r="DL317" s="429"/>
      <c r="DM317" s="429"/>
      <c r="DN317" s="429"/>
      <c r="DO317" s="429"/>
      <c r="DP317" s="429"/>
      <c r="DQ317" s="430"/>
      <c r="DR317" s="428">
        <f>SUM(DR318:ED341)</f>
        <v>74700</v>
      </c>
      <c r="DS317" s="429"/>
      <c r="DT317" s="429"/>
      <c r="DU317" s="429"/>
      <c r="DV317" s="429"/>
      <c r="DW317" s="429"/>
      <c r="DX317" s="429"/>
      <c r="DY317" s="429"/>
      <c r="DZ317" s="429"/>
      <c r="EA317" s="429"/>
      <c r="EB317" s="429"/>
      <c r="EC317" s="429"/>
      <c r="ED317" s="430"/>
      <c r="EE317" s="428"/>
      <c r="EF317" s="429"/>
      <c r="EG317" s="429"/>
      <c r="EH317" s="429"/>
      <c r="EI317" s="429"/>
      <c r="EJ317" s="429"/>
      <c r="EK317" s="429"/>
      <c r="EL317" s="429"/>
      <c r="EM317" s="429"/>
      <c r="EN317" s="429"/>
      <c r="EO317" s="429"/>
      <c r="EP317" s="429"/>
      <c r="EQ317" s="430"/>
      <c r="ER317" s="410"/>
      <c r="ES317" s="411"/>
      <c r="ET317" s="411"/>
      <c r="EU317" s="411"/>
      <c r="EV317" s="411"/>
      <c r="EW317" s="411"/>
      <c r="EX317" s="411"/>
      <c r="EY317" s="411"/>
      <c r="EZ317" s="411"/>
      <c r="FA317" s="411"/>
      <c r="FB317" s="412"/>
      <c r="FC317" s="423"/>
      <c r="FD317" s="424"/>
      <c r="FE317" s="424"/>
      <c r="FF317" s="424"/>
      <c r="FG317" s="424"/>
      <c r="FH317" s="424"/>
      <c r="FI317" s="424"/>
      <c r="FJ317" s="424"/>
      <c r="FK317" s="424"/>
      <c r="FL317" s="424"/>
      <c r="FO317" s="278"/>
      <c r="FP317" s="278"/>
      <c r="FQ317" s="275">
        <f t="shared" si="7"/>
        <v>74700</v>
      </c>
    </row>
    <row r="318" spans="1:173" ht="15" customHeight="1">
      <c r="A318" s="336" t="s">
        <v>831</v>
      </c>
      <c r="B318" s="337"/>
      <c r="C318" s="337"/>
      <c r="D318" s="337"/>
      <c r="E318" s="337"/>
      <c r="F318" s="337"/>
      <c r="G318" s="337"/>
      <c r="H318" s="337"/>
      <c r="I318" s="337"/>
      <c r="J318" s="337"/>
      <c r="K318" s="337"/>
      <c r="L318" s="337"/>
      <c r="M318" s="337"/>
      <c r="N318" s="337"/>
      <c r="O318" s="337"/>
      <c r="P318" s="337"/>
      <c r="Q318" s="337"/>
      <c r="R318" s="337"/>
      <c r="S318" s="337"/>
      <c r="T318" s="337"/>
      <c r="U318" s="337"/>
      <c r="V318" s="337"/>
      <c r="W318" s="337"/>
      <c r="X318" s="337"/>
      <c r="Y318" s="337"/>
      <c r="Z318" s="337"/>
      <c r="AA318" s="337"/>
      <c r="AB318" s="337"/>
      <c r="AC318" s="337"/>
      <c r="AD318" s="337"/>
      <c r="AE318" s="337"/>
      <c r="AF318" s="337"/>
      <c r="AG318" s="337"/>
      <c r="AH318" s="337"/>
      <c r="AI318" s="337"/>
      <c r="AJ318" s="337"/>
      <c r="AK318" s="337"/>
      <c r="AL318" s="337"/>
      <c r="AM318" s="337"/>
      <c r="AN318" s="337"/>
      <c r="AO318" s="337"/>
      <c r="AP318" s="337"/>
      <c r="AQ318" s="337"/>
      <c r="AR318" s="337"/>
      <c r="AS318" s="337"/>
      <c r="AT318" s="337"/>
      <c r="AU318" s="337"/>
      <c r="AV318" s="337"/>
      <c r="AW318" s="337"/>
      <c r="AX318" s="337"/>
      <c r="AY318" s="337"/>
      <c r="AZ318" s="337"/>
      <c r="BA318" s="337"/>
      <c r="BB318" s="337"/>
      <c r="BC318" s="337"/>
      <c r="BD318" s="337"/>
      <c r="BE318" s="337"/>
      <c r="BF318" s="337"/>
      <c r="BG318" s="337"/>
      <c r="BH318" s="337"/>
      <c r="BI318" s="337"/>
      <c r="BJ318" s="337"/>
      <c r="BK318" s="338"/>
      <c r="BL318" s="339"/>
      <c r="BM318" s="340"/>
      <c r="BN318" s="340"/>
      <c r="BO318" s="340"/>
      <c r="BP318" s="340"/>
      <c r="BQ318" s="340"/>
      <c r="BR318" s="340"/>
      <c r="BS318" s="341"/>
      <c r="BT318" s="342" t="s">
        <v>610</v>
      </c>
      <c r="BU318" s="343"/>
      <c r="BV318" s="343"/>
      <c r="BW318" s="343"/>
      <c r="BX318" s="343"/>
      <c r="BY318" s="343"/>
      <c r="BZ318" s="343"/>
      <c r="CA318" s="343"/>
      <c r="CB318" s="343"/>
      <c r="CC318" s="343"/>
      <c r="CD318" s="343"/>
      <c r="CE318" s="343"/>
      <c r="CF318" s="344"/>
      <c r="CG318" s="345" t="s">
        <v>827</v>
      </c>
      <c r="CH318" s="340"/>
      <c r="CI318" s="340"/>
      <c r="CJ318" s="340"/>
      <c r="CK318" s="340"/>
      <c r="CL318" s="340"/>
      <c r="CM318" s="340"/>
      <c r="CN318" s="340"/>
      <c r="CO318" s="340"/>
      <c r="CP318" s="340"/>
      <c r="CQ318" s="341"/>
      <c r="CR318" s="345"/>
      <c r="CS318" s="340"/>
      <c r="CT318" s="340"/>
      <c r="CU318" s="340"/>
      <c r="CV318" s="340"/>
      <c r="CW318" s="340"/>
      <c r="CX318" s="340"/>
      <c r="CY318" s="340"/>
      <c r="CZ318" s="340"/>
      <c r="DA318" s="340"/>
      <c r="DB318" s="340"/>
      <c r="DC318" s="340"/>
      <c r="DD318" s="341"/>
      <c r="DE318" s="346">
        <f>5880-1380</f>
        <v>4500</v>
      </c>
      <c r="DF318" s="347"/>
      <c r="DG318" s="347"/>
      <c r="DH318" s="347"/>
      <c r="DI318" s="347"/>
      <c r="DJ318" s="347"/>
      <c r="DK318" s="347"/>
      <c r="DL318" s="347"/>
      <c r="DM318" s="347"/>
      <c r="DN318" s="347"/>
      <c r="DO318" s="347"/>
      <c r="DP318" s="347"/>
      <c r="DQ318" s="348"/>
      <c r="DR318" s="425">
        <f>6200-6200</f>
        <v>0</v>
      </c>
      <c r="DS318" s="426"/>
      <c r="DT318" s="426"/>
      <c r="DU318" s="426"/>
      <c r="DV318" s="426"/>
      <c r="DW318" s="426"/>
      <c r="DX318" s="426"/>
      <c r="DY318" s="426"/>
      <c r="DZ318" s="426"/>
      <c r="EA318" s="426"/>
      <c r="EB318" s="426"/>
      <c r="EC318" s="426"/>
      <c r="ED318" s="427"/>
      <c r="EE318" s="346"/>
      <c r="EF318" s="347"/>
      <c r="EG318" s="347"/>
      <c r="EH318" s="347"/>
      <c r="EI318" s="347"/>
      <c r="EJ318" s="347"/>
      <c r="EK318" s="347"/>
      <c r="EL318" s="347"/>
      <c r="EM318" s="347"/>
      <c r="EN318" s="347"/>
      <c r="EO318" s="347"/>
      <c r="EP318" s="347"/>
      <c r="EQ318" s="348"/>
      <c r="ER318" s="349"/>
      <c r="ES318" s="350"/>
      <c r="ET318" s="350"/>
      <c r="EU318" s="350"/>
      <c r="EV318" s="350"/>
      <c r="EW318" s="350"/>
      <c r="EX318" s="350"/>
      <c r="EY318" s="350"/>
      <c r="EZ318" s="350"/>
      <c r="FA318" s="350"/>
      <c r="FB318" s="351"/>
      <c r="FC318" s="352"/>
      <c r="FD318" s="353"/>
      <c r="FE318" s="353"/>
      <c r="FF318" s="353"/>
      <c r="FG318" s="353"/>
      <c r="FH318" s="353"/>
      <c r="FI318" s="353"/>
      <c r="FJ318" s="353"/>
      <c r="FK318" s="353"/>
      <c r="FL318" s="353"/>
      <c r="FO318" s="275"/>
      <c r="FP318" s="275"/>
      <c r="FQ318" s="275">
        <f t="shared" si="7"/>
        <v>0</v>
      </c>
    </row>
    <row r="319" spans="1:173" ht="16.8" customHeight="1">
      <c r="A319" s="336" t="s">
        <v>832</v>
      </c>
      <c r="B319" s="337"/>
      <c r="C319" s="337"/>
      <c r="D319" s="337"/>
      <c r="E319" s="337"/>
      <c r="F319" s="337"/>
      <c r="G319" s="337"/>
      <c r="H319" s="337"/>
      <c r="I319" s="337"/>
      <c r="J319" s="337"/>
      <c r="K319" s="337"/>
      <c r="L319" s="337"/>
      <c r="M319" s="337"/>
      <c r="N319" s="337"/>
      <c r="O319" s="337"/>
      <c r="P319" s="337"/>
      <c r="Q319" s="337"/>
      <c r="R319" s="337"/>
      <c r="S319" s="337"/>
      <c r="T319" s="337"/>
      <c r="U319" s="337"/>
      <c r="V319" s="337"/>
      <c r="W319" s="337"/>
      <c r="X319" s="337"/>
      <c r="Y319" s="337"/>
      <c r="Z319" s="337"/>
      <c r="AA319" s="337"/>
      <c r="AB319" s="337"/>
      <c r="AC319" s="337"/>
      <c r="AD319" s="337"/>
      <c r="AE319" s="337"/>
      <c r="AF319" s="337"/>
      <c r="AG319" s="337"/>
      <c r="AH319" s="337"/>
      <c r="AI319" s="337"/>
      <c r="AJ319" s="337"/>
      <c r="AK319" s="337"/>
      <c r="AL319" s="337"/>
      <c r="AM319" s="337"/>
      <c r="AN319" s="337"/>
      <c r="AO319" s="337"/>
      <c r="AP319" s="337"/>
      <c r="AQ319" s="337"/>
      <c r="AR319" s="337"/>
      <c r="AS319" s="337"/>
      <c r="AT319" s="337"/>
      <c r="AU319" s="337"/>
      <c r="AV319" s="337"/>
      <c r="AW319" s="337"/>
      <c r="AX319" s="337"/>
      <c r="AY319" s="337"/>
      <c r="AZ319" s="337"/>
      <c r="BA319" s="337"/>
      <c r="BB319" s="337"/>
      <c r="BC319" s="337"/>
      <c r="BD319" s="337"/>
      <c r="BE319" s="337"/>
      <c r="BF319" s="337"/>
      <c r="BG319" s="337"/>
      <c r="BH319" s="337"/>
      <c r="BI319" s="337"/>
      <c r="BJ319" s="337"/>
      <c r="BK319" s="338"/>
      <c r="BL319" s="339"/>
      <c r="BM319" s="340"/>
      <c r="BN319" s="340"/>
      <c r="BO319" s="340"/>
      <c r="BP319" s="340"/>
      <c r="BQ319" s="340"/>
      <c r="BR319" s="340"/>
      <c r="BS319" s="341"/>
      <c r="BT319" s="342" t="s">
        <v>610</v>
      </c>
      <c r="BU319" s="343"/>
      <c r="BV319" s="343"/>
      <c r="BW319" s="343"/>
      <c r="BX319" s="343"/>
      <c r="BY319" s="343"/>
      <c r="BZ319" s="343"/>
      <c r="CA319" s="343"/>
      <c r="CB319" s="343"/>
      <c r="CC319" s="343"/>
      <c r="CD319" s="343"/>
      <c r="CE319" s="343"/>
      <c r="CF319" s="344"/>
      <c r="CG319" s="345" t="s">
        <v>827</v>
      </c>
      <c r="CH319" s="340"/>
      <c r="CI319" s="340"/>
      <c r="CJ319" s="340"/>
      <c r="CK319" s="340"/>
      <c r="CL319" s="340"/>
      <c r="CM319" s="340"/>
      <c r="CN319" s="340"/>
      <c r="CO319" s="340"/>
      <c r="CP319" s="340"/>
      <c r="CQ319" s="341"/>
      <c r="CR319" s="345"/>
      <c r="CS319" s="340"/>
      <c r="CT319" s="340"/>
      <c r="CU319" s="340"/>
      <c r="CV319" s="340"/>
      <c r="CW319" s="340"/>
      <c r="CX319" s="340"/>
      <c r="CY319" s="340"/>
      <c r="CZ319" s="340"/>
      <c r="DA319" s="340"/>
      <c r="DB319" s="340"/>
      <c r="DC319" s="340"/>
      <c r="DD319" s="341"/>
      <c r="DE319" s="346">
        <f>20000-18665</f>
        <v>1335</v>
      </c>
      <c r="DF319" s="347"/>
      <c r="DG319" s="347"/>
      <c r="DH319" s="347"/>
      <c r="DI319" s="347"/>
      <c r="DJ319" s="347"/>
      <c r="DK319" s="347"/>
      <c r="DL319" s="347"/>
      <c r="DM319" s="347"/>
      <c r="DN319" s="347"/>
      <c r="DO319" s="347"/>
      <c r="DP319" s="347"/>
      <c r="DQ319" s="348"/>
      <c r="DR319" s="346">
        <v>20000</v>
      </c>
      <c r="DS319" s="347"/>
      <c r="DT319" s="347"/>
      <c r="DU319" s="347"/>
      <c r="DV319" s="347"/>
      <c r="DW319" s="347"/>
      <c r="DX319" s="347"/>
      <c r="DY319" s="347"/>
      <c r="DZ319" s="347"/>
      <c r="EA319" s="347"/>
      <c r="EB319" s="347"/>
      <c r="EC319" s="347"/>
      <c r="ED319" s="348"/>
      <c r="EE319" s="346"/>
      <c r="EF319" s="347"/>
      <c r="EG319" s="347"/>
      <c r="EH319" s="347"/>
      <c r="EI319" s="347"/>
      <c r="EJ319" s="347"/>
      <c r="EK319" s="347"/>
      <c r="EL319" s="347"/>
      <c r="EM319" s="347"/>
      <c r="EN319" s="347"/>
      <c r="EO319" s="347"/>
      <c r="EP319" s="347"/>
      <c r="EQ319" s="348"/>
      <c r="ER319" s="349"/>
      <c r="ES319" s="350"/>
      <c r="ET319" s="350"/>
      <c r="EU319" s="350"/>
      <c r="EV319" s="350"/>
      <c r="EW319" s="350"/>
      <c r="EX319" s="350"/>
      <c r="EY319" s="350"/>
      <c r="EZ319" s="350"/>
      <c r="FA319" s="350"/>
      <c r="FB319" s="351"/>
      <c r="FC319" s="352"/>
      <c r="FD319" s="353"/>
      <c r="FE319" s="353"/>
      <c r="FF319" s="353"/>
      <c r="FG319" s="353"/>
      <c r="FH319" s="353"/>
      <c r="FI319" s="353"/>
      <c r="FJ319" s="353"/>
      <c r="FK319" s="353"/>
      <c r="FL319" s="353"/>
      <c r="FO319" s="275"/>
      <c r="FP319" s="275"/>
      <c r="FQ319" s="275">
        <f t="shared" si="7"/>
        <v>20000</v>
      </c>
    </row>
    <row r="320" spans="1:173" ht="15.6" customHeight="1">
      <c r="A320" s="336" t="s">
        <v>833</v>
      </c>
      <c r="B320" s="337"/>
      <c r="C320" s="337"/>
      <c r="D320" s="337"/>
      <c r="E320" s="337"/>
      <c r="F320" s="337"/>
      <c r="G320" s="337"/>
      <c r="H320" s="337"/>
      <c r="I320" s="337"/>
      <c r="J320" s="337"/>
      <c r="K320" s="337"/>
      <c r="L320" s="337"/>
      <c r="M320" s="337"/>
      <c r="N320" s="337"/>
      <c r="O320" s="337"/>
      <c r="P320" s="337"/>
      <c r="Q320" s="337"/>
      <c r="R320" s="337"/>
      <c r="S320" s="337"/>
      <c r="T320" s="337"/>
      <c r="U320" s="337"/>
      <c r="V320" s="337"/>
      <c r="W320" s="337"/>
      <c r="X320" s="337"/>
      <c r="Y320" s="337"/>
      <c r="Z320" s="337"/>
      <c r="AA320" s="337"/>
      <c r="AB320" s="337"/>
      <c r="AC320" s="337"/>
      <c r="AD320" s="337"/>
      <c r="AE320" s="337"/>
      <c r="AF320" s="337"/>
      <c r="AG320" s="337"/>
      <c r="AH320" s="337"/>
      <c r="AI320" s="337"/>
      <c r="AJ320" s="337"/>
      <c r="AK320" s="337"/>
      <c r="AL320" s="337"/>
      <c r="AM320" s="337"/>
      <c r="AN320" s="337"/>
      <c r="AO320" s="337"/>
      <c r="AP320" s="337"/>
      <c r="AQ320" s="337"/>
      <c r="AR320" s="337"/>
      <c r="AS320" s="337"/>
      <c r="AT320" s="337"/>
      <c r="AU320" s="337"/>
      <c r="AV320" s="337"/>
      <c r="AW320" s="337"/>
      <c r="AX320" s="337"/>
      <c r="AY320" s="337"/>
      <c r="AZ320" s="337"/>
      <c r="BA320" s="337"/>
      <c r="BB320" s="337"/>
      <c r="BC320" s="337"/>
      <c r="BD320" s="337"/>
      <c r="BE320" s="337"/>
      <c r="BF320" s="337"/>
      <c r="BG320" s="337"/>
      <c r="BH320" s="337"/>
      <c r="BI320" s="337"/>
      <c r="BJ320" s="337"/>
      <c r="BK320" s="338"/>
      <c r="BL320" s="339"/>
      <c r="BM320" s="340"/>
      <c r="BN320" s="340"/>
      <c r="BO320" s="340"/>
      <c r="BP320" s="340"/>
      <c r="BQ320" s="340"/>
      <c r="BR320" s="340"/>
      <c r="BS320" s="341"/>
      <c r="BT320" s="342" t="s">
        <v>610</v>
      </c>
      <c r="BU320" s="343"/>
      <c r="BV320" s="343"/>
      <c r="BW320" s="343"/>
      <c r="BX320" s="343"/>
      <c r="BY320" s="343"/>
      <c r="BZ320" s="343"/>
      <c r="CA320" s="343"/>
      <c r="CB320" s="343"/>
      <c r="CC320" s="343"/>
      <c r="CD320" s="343"/>
      <c r="CE320" s="343"/>
      <c r="CF320" s="344"/>
      <c r="CG320" s="345" t="s">
        <v>827</v>
      </c>
      <c r="CH320" s="340"/>
      <c r="CI320" s="340"/>
      <c r="CJ320" s="340"/>
      <c r="CK320" s="340"/>
      <c r="CL320" s="340"/>
      <c r="CM320" s="340"/>
      <c r="CN320" s="340"/>
      <c r="CO320" s="340"/>
      <c r="CP320" s="340"/>
      <c r="CQ320" s="341"/>
      <c r="CR320" s="345"/>
      <c r="CS320" s="340"/>
      <c r="CT320" s="340"/>
      <c r="CU320" s="340"/>
      <c r="CV320" s="340"/>
      <c r="CW320" s="340"/>
      <c r="CX320" s="340"/>
      <c r="CY320" s="340"/>
      <c r="CZ320" s="340"/>
      <c r="DA320" s="340"/>
      <c r="DB320" s="340"/>
      <c r="DC320" s="340"/>
      <c r="DD320" s="341"/>
      <c r="DE320" s="346">
        <v>3000</v>
      </c>
      <c r="DF320" s="347"/>
      <c r="DG320" s="347"/>
      <c r="DH320" s="347"/>
      <c r="DI320" s="347"/>
      <c r="DJ320" s="347"/>
      <c r="DK320" s="347"/>
      <c r="DL320" s="347"/>
      <c r="DM320" s="347"/>
      <c r="DN320" s="347"/>
      <c r="DO320" s="347"/>
      <c r="DP320" s="347"/>
      <c r="DQ320" s="348"/>
      <c r="DR320" s="346">
        <f>3200-200</f>
        <v>3000</v>
      </c>
      <c r="DS320" s="347"/>
      <c r="DT320" s="347"/>
      <c r="DU320" s="347"/>
      <c r="DV320" s="347"/>
      <c r="DW320" s="347"/>
      <c r="DX320" s="347"/>
      <c r="DY320" s="347"/>
      <c r="DZ320" s="347"/>
      <c r="EA320" s="347"/>
      <c r="EB320" s="347"/>
      <c r="EC320" s="347"/>
      <c r="ED320" s="348"/>
      <c r="EE320" s="346"/>
      <c r="EF320" s="347"/>
      <c r="EG320" s="347"/>
      <c r="EH320" s="347"/>
      <c r="EI320" s="347"/>
      <c r="EJ320" s="347"/>
      <c r="EK320" s="347"/>
      <c r="EL320" s="347"/>
      <c r="EM320" s="347"/>
      <c r="EN320" s="347"/>
      <c r="EO320" s="347"/>
      <c r="EP320" s="347"/>
      <c r="EQ320" s="348"/>
      <c r="ER320" s="349"/>
      <c r="ES320" s="350"/>
      <c r="ET320" s="350"/>
      <c r="EU320" s="350"/>
      <c r="EV320" s="350"/>
      <c r="EW320" s="350"/>
      <c r="EX320" s="350"/>
      <c r="EY320" s="350"/>
      <c r="EZ320" s="350"/>
      <c r="FA320" s="350"/>
      <c r="FB320" s="351"/>
      <c r="FC320" s="352"/>
      <c r="FD320" s="353"/>
      <c r="FE320" s="353"/>
      <c r="FF320" s="353"/>
      <c r="FG320" s="353"/>
      <c r="FH320" s="353"/>
      <c r="FI320" s="353"/>
      <c r="FJ320" s="353"/>
      <c r="FK320" s="353"/>
      <c r="FL320" s="353"/>
      <c r="FO320" s="275"/>
      <c r="FP320" s="275"/>
      <c r="FQ320" s="275">
        <f t="shared" si="7"/>
        <v>3000</v>
      </c>
    </row>
    <row r="321" spans="1:173" ht="16.2" customHeight="1">
      <c r="A321" s="336" t="s">
        <v>1020</v>
      </c>
      <c r="B321" s="337"/>
      <c r="C321" s="337"/>
      <c r="D321" s="337"/>
      <c r="E321" s="337"/>
      <c r="F321" s="337"/>
      <c r="G321" s="337"/>
      <c r="H321" s="337"/>
      <c r="I321" s="337"/>
      <c r="J321" s="337"/>
      <c r="K321" s="337"/>
      <c r="L321" s="337"/>
      <c r="M321" s="337"/>
      <c r="N321" s="337"/>
      <c r="O321" s="337"/>
      <c r="P321" s="337"/>
      <c r="Q321" s="337"/>
      <c r="R321" s="337"/>
      <c r="S321" s="337"/>
      <c r="T321" s="337"/>
      <c r="U321" s="337"/>
      <c r="V321" s="337"/>
      <c r="W321" s="337"/>
      <c r="X321" s="337"/>
      <c r="Y321" s="337"/>
      <c r="Z321" s="337"/>
      <c r="AA321" s="337"/>
      <c r="AB321" s="337"/>
      <c r="AC321" s="337"/>
      <c r="AD321" s="337"/>
      <c r="AE321" s="337"/>
      <c r="AF321" s="337"/>
      <c r="AG321" s="337"/>
      <c r="AH321" s="337"/>
      <c r="AI321" s="337"/>
      <c r="AJ321" s="337"/>
      <c r="AK321" s="337"/>
      <c r="AL321" s="337"/>
      <c r="AM321" s="337"/>
      <c r="AN321" s="337"/>
      <c r="AO321" s="337"/>
      <c r="AP321" s="337"/>
      <c r="AQ321" s="337"/>
      <c r="AR321" s="337"/>
      <c r="AS321" s="337"/>
      <c r="AT321" s="337"/>
      <c r="AU321" s="337"/>
      <c r="AV321" s="337"/>
      <c r="AW321" s="337"/>
      <c r="AX321" s="337"/>
      <c r="AY321" s="337"/>
      <c r="AZ321" s="337"/>
      <c r="BA321" s="337"/>
      <c r="BB321" s="337"/>
      <c r="BC321" s="337"/>
      <c r="BD321" s="337"/>
      <c r="BE321" s="337"/>
      <c r="BF321" s="337"/>
      <c r="BG321" s="337"/>
      <c r="BH321" s="337"/>
      <c r="BI321" s="337"/>
      <c r="BJ321" s="337"/>
      <c r="BK321" s="338"/>
      <c r="BL321" s="339"/>
      <c r="BM321" s="340"/>
      <c r="BN321" s="340"/>
      <c r="BO321" s="340"/>
      <c r="BP321" s="340"/>
      <c r="BQ321" s="340"/>
      <c r="BR321" s="340"/>
      <c r="BS321" s="341"/>
      <c r="BT321" s="342" t="s">
        <v>610</v>
      </c>
      <c r="BU321" s="343"/>
      <c r="BV321" s="343"/>
      <c r="BW321" s="343"/>
      <c r="BX321" s="343"/>
      <c r="BY321" s="343"/>
      <c r="BZ321" s="343"/>
      <c r="CA321" s="343"/>
      <c r="CB321" s="343"/>
      <c r="CC321" s="343"/>
      <c r="CD321" s="343"/>
      <c r="CE321" s="343"/>
      <c r="CF321" s="344"/>
      <c r="CG321" s="345" t="s">
        <v>827</v>
      </c>
      <c r="CH321" s="340"/>
      <c r="CI321" s="340"/>
      <c r="CJ321" s="340"/>
      <c r="CK321" s="340"/>
      <c r="CL321" s="340"/>
      <c r="CM321" s="340"/>
      <c r="CN321" s="340"/>
      <c r="CO321" s="340"/>
      <c r="CP321" s="340"/>
      <c r="CQ321" s="341"/>
      <c r="CR321" s="345"/>
      <c r="CS321" s="340"/>
      <c r="CT321" s="340"/>
      <c r="CU321" s="340"/>
      <c r="CV321" s="340"/>
      <c r="CW321" s="340"/>
      <c r="CX321" s="340"/>
      <c r="CY321" s="340"/>
      <c r="CZ321" s="340"/>
      <c r="DA321" s="340"/>
      <c r="DB321" s="340"/>
      <c r="DC321" s="340"/>
      <c r="DD321" s="341"/>
      <c r="DE321" s="346">
        <v>0</v>
      </c>
      <c r="DF321" s="347"/>
      <c r="DG321" s="347"/>
      <c r="DH321" s="347"/>
      <c r="DI321" s="347"/>
      <c r="DJ321" s="347"/>
      <c r="DK321" s="347"/>
      <c r="DL321" s="347"/>
      <c r="DM321" s="347"/>
      <c r="DN321" s="347"/>
      <c r="DO321" s="347"/>
      <c r="DP321" s="347"/>
      <c r="DQ321" s="348"/>
      <c r="DR321" s="346">
        <v>5500</v>
      </c>
      <c r="DS321" s="347"/>
      <c r="DT321" s="347"/>
      <c r="DU321" s="347"/>
      <c r="DV321" s="347"/>
      <c r="DW321" s="347"/>
      <c r="DX321" s="347"/>
      <c r="DY321" s="347"/>
      <c r="DZ321" s="347"/>
      <c r="EA321" s="347"/>
      <c r="EB321" s="347"/>
      <c r="EC321" s="347"/>
      <c r="ED321" s="348"/>
      <c r="EE321" s="346"/>
      <c r="EF321" s="347"/>
      <c r="EG321" s="347"/>
      <c r="EH321" s="347"/>
      <c r="EI321" s="347"/>
      <c r="EJ321" s="347"/>
      <c r="EK321" s="347"/>
      <c r="EL321" s="347"/>
      <c r="EM321" s="347"/>
      <c r="EN321" s="347"/>
      <c r="EO321" s="347"/>
      <c r="EP321" s="347"/>
      <c r="EQ321" s="348"/>
      <c r="ER321" s="349"/>
      <c r="ES321" s="350"/>
      <c r="ET321" s="350"/>
      <c r="EU321" s="350"/>
      <c r="EV321" s="350"/>
      <c r="EW321" s="350"/>
      <c r="EX321" s="350"/>
      <c r="EY321" s="350"/>
      <c r="EZ321" s="350"/>
      <c r="FA321" s="350"/>
      <c r="FB321" s="351"/>
      <c r="FC321" s="352"/>
      <c r="FD321" s="353"/>
      <c r="FE321" s="353"/>
      <c r="FF321" s="353"/>
      <c r="FG321" s="353"/>
      <c r="FH321" s="353"/>
      <c r="FI321" s="353"/>
      <c r="FJ321" s="353"/>
      <c r="FK321" s="353"/>
      <c r="FL321" s="353"/>
      <c r="FO321" s="275"/>
      <c r="FP321" s="275"/>
      <c r="FQ321" s="275">
        <f t="shared" si="7"/>
        <v>5500</v>
      </c>
    </row>
    <row r="322" spans="1:173" ht="18" customHeight="1">
      <c r="A322" s="336" t="s">
        <v>1022</v>
      </c>
      <c r="B322" s="337"/>
      <c r="C322" s="337"/>
      <c r="D322" s="337"/>
      <c r="E322" s="337"/>
      <c r="F322" s="337"/>
      <c r="G322" s="337"/>
      <c r="H322" s="337"/>
      <c r="I322" s="337"/>
      <c r="J322" s="337"/>
      <c r="K322" s="337"/>
      <c r="L322" s="337"/>
      <c r="M322" s="337"/>
      <c r="N322" s="337"/>
      <c r="O322" s="337"/>
      <c r="P322" s="337"/>
      <c r="Q322" s="337"/>
      <c r="R322" s="337"/>
      <c r="S322" s="337"/>
      <c r="T322" s="337"/>
      <c r="U322" s="337"/>
      <c r="V322" s="337"/>
      <c r="W322" s="337"/>
      <c r="X322" s="337"/>
      <c r="Y322" s="337"/>
      <c r="Z322" s="337"/>
      <c r="AA322" s="337"/>
      <c r="AB322" s="337"/>
      <c r="AC322" s="337"/>
      <c r="AD322" s="337"/>
      <c r="AE322" s="337"/>
      <c r="AF322" s="337"/>
      <c r="AG322" s="337"/>
      <c r="AH322" s="337"/>
      <c r="AI322" s="337"/>
      <c r="AJ322" s="337"/>
      <c r="AK322" s="337"/>
      <c r="AL322" s="337"/>
      <c r="AM322" s="337"/>
      <c r="AN322" s="337"/>
      <c r="AO322" s="337"/>
      <c r="AP322" s="337"/>
      <c r="AQ322" s="337"/>
      <c r="AR322" s="337"/>
      <c r="AS322" s="337"/>
      <c r="AT322" s="337"/>
      <c r="AU322" s="337"/>
      <c r="AV322" s="337"/>
      <c r="AW322" s="337"/>
      <c r="AX322" s="337"/>
      <c r="AY322" s="337"/>
      <c r="AZ322" s="337"/>
      <c r="BA322" s="337"/>
      <c r="BB322" s="337"/>
      <c r="BC322" s="337"/>
      <c r="BD322" s="337"/>
      <c r="BE322" s="337"/>
      <c r="BF322" s="337"/>
      <c r="BG322" s="337"/>
      <c r="BH322" s="337"/>
      <c r="BI322" s="337"/>
      <c r="BJ322" s="337"/>
      <c r="BK322" s="338"/>
      <c r="BL322" s="339"/>
      <c r="BM322" s="340"/>
      <c r="BN322" s="340"/>
      <c r="BO322" s="340"/>
      <c r="BP322" s="340"/>
      <c r="BQ322" s="340"/>
      <c r="BR322" s="340"/>
      <c r="BS322" s="341"/>
      <c r="BT322" s="342" t="s">
        <v>610</v>
      </c>
      <c r="BU322" s="343"/>
      <c r="BV322" s="343"/>
      <c r="BW322" s="343"/>
      <c r="BX322" s="343"/>
      <c r="BY322" s="343"/>
      <c r="BZ322" s="343"/>
      <c r="CA322" s="343"/>
      <c r="CB322" s="343"/>
      <c r="CC322" s="343"/>
      <c r="CD322" s="343"/>
      <c r="CE322" s="343"/>
      <c r="CF322" s="344"/>
      <c r="CG322" s="345" t="s">
        <v>827</v>
      </c>
      <c r="CH322" s="340"/>
      <c r="CI322" s="340"/>
      <c r="CJ322" s="340"/>
      <c r="CK322" s="340"/>
      <c r="CL322" s="340"/>
      <c r="CM322" s="340"/>
      <c r="CN322" s="340"/>
      <c r="CO322" s="340"/>
      <c r="CP322" s="340"/>
      <c r="CQ322" s="341"/>
      <c r="CR322" s="345"/>
      <c r="CS322" s="340"/>
      <c r="CT322" s="340"/>
      <c r="CU322" s="340"/>
      <c r="CV322" s="340"/>
      <c r="CW322" s="340"/>
      <c r="CX322" s="340"/>
      <c r="CY322" s="340"/>
      <c r="CZ322" s="340"/>
      <c r="DA322" s="340"/>
      <c r="DB322" s="340"/>
      <c r="DC322" s="340"/>
      <c r="DD322" s="341"/>
      <c r="DE322" s="346">
        <v>0</v>
      </c>
      <c r="DF322" s="347"/>
      <c r="DG322" s="347"/>
      <c r="DH322" s="347"/>
      <c r="DI322" s="347"/>
      <c r="DJ322" s="347"/>
      <c r="DK322" s="347"/>
      <c r="DL322" s="347"/>
      <c r="DM322" s="347"/>
      <c r="DN322" s="347"/>
      <c r="DO322" s="347"/>
      <c r="DP322" s="347"/>
      <c r="DQ322" s="348"/>
      <c r="DR322" s="425">
        <f>37000-1400-600</f>
        <v>35000</v>
      </c>
      <c r="DS322" s="426"/>
      <c r="DT322" s="426"/>
      <c r="DU322" s="426"/>
      <c r="DV322" s="426"/>
      <c r="DW322" s="426"/>
      <c r="DX322" s="426"/>
      <c r="DY322" s="426"/>
      <c r="DZ322" s="426"/>
      <c r="EA322" s="426"/>
      <c r="EB322" s="426"/>
      <c r="EC322" s="426"/>
      <c r="ED322" s="427"/>
      <c r="EE322" s="346"/>
      <c r="EF322" s="347"/>
      <c r="EG322" s="347"/>
      <c r="EH322" s="347"/>
      <c r="EI322" s="347"/>
      <c r="EJ322" s="347"/>
      <c r="EK322" s="347"/>
      <c r="EL322" s="347"/>
      <c r="EM322" s="347"/>
      <c r="EN322" s="347"/>
      <c r="EO322" s="347"/>
      <c r="EP322" s="347"/>
      <c r="EQ322" s="348"/>
      <c r="ER322" s="349"/>
      <c r="ES322" s="350"/>
      <c r="ET322" s="350"/>
      <c r="EU322" s="350"/>
      <c r="EV322" s="350"/>
      <c r="EW322" s="350"/>
      <c r="EX322" s="350"/>
      <c r="EY322" s="350"/>
      <c r="EZ322" s="350"/>
      <c r="FA322" s="350"/>
      <c r="FB322" s="351"/>
      <c r="FC322" s="352"/>
      <c r="FD322" s="353"/>
      <c r="FE322" s="353"/>
      <c r="FF322" s="353"/>
      <c r="FG322" s="353"/>
      <c r="FH322" s="353"/>
      <c r="FI322" s="353"/>
      <c r="FJ322" s="353"/>
      <c r="FK322" s="353"/>
      <c r="FL322" s="353"/>
      <c r="FO322" s="275">
        <v>35000</v>
      </c>
      <c r="FP322" s="275"/>
      <c r="FQ322" s="275">
        <f t="shared" si="7"/>
        <v>0</v>
      </c>
    </row>
    <row r="323" spans="1:173" ht="16.8" customHeight="1">
      <c r="A323" s="336" t="s">
        <v>834</v>
      </c>
      <c r="B323" s="337"/>
      <c r="C323" s="337"/>
      <c r="D323" s="337"/>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337"/>
      <c r="AH323" s="337"/>
      <c r="AI323" s="337"/>
      <c r="AJ323" s="337"/>
      <c r="AK323" s="337"/>
      <c r="AL323" s="337"/>
      <c r="AM323" s="337"/>
      <c r="AN323" s="337"/>
      <c r="AO323" s="337"/>
      <c r="AP323" s="337"/>
      <c r="AQ323" s="337"/>
      <c r="AR323" s="337"/>
      <c r="AS323" s="337"/>
      <c r="AT323" s="337"/>
      <c r="AU323" s="337"/>
      <c r="AV323" s="337"/>
      <c r="AW323" s="337"/>
      <c r="AX323" s="337"/>
      <c r="AY323" s="337"/>
      <c r="AZ323" s="337"/>
      <c r="BA323" s="337"/>
      <c r="BB323" s="337"/>
      <c r="BC323" s="337"/>
      <c r="BD323" s="337"/>
      <c r="BE323" s="337"/>
      <c r="BF323" s="337"/>
      <c r="BG323" s="337"/>
      <c r="BH323" s="337"/>
      <c r="BI323" s="337"/>
      <c r="BJ323" s="337"/>
      <c r="BK323" s="338"/>
      <c r="BL323" s="339"/>
      <c r="BM323" s="340"/>
      <c r="BN323" s="340"/>
      <c r="BO323" s="340"/>
      <c r="BP323" s="340"/>
      <c r="BQ323" s="340"/>
      <c r="BR323" s="340"/>
      <c r="BS323" s="341"/>
      <c r="BT323" s="342" t="s">
        <v>610</v>
      </c>
      <c r="BU323" s="343"/>
      <c r="BV323" s="343"/>
      <c r="BW323" s="343"/>
      <c r="BX323" s="343"/>
      <c r="BY323" s="343"/>
      <c r="BZ323" s="343"/>
      <c r="CA323" s="343"/>
      <c r="CB323" s="343"/>
      <c r="CC323" s="343"/>
      <c r="CD323" s="343"/>
      <c r="CE323" s="343"/>
      <c r="CF323" s="344"/>
      <c r="CG323" s="345" t="s">
        <v>772</v>
      </c>
      <c r="CH323" s="340"/>
      <c r="CI323" s="340"/>
      <c r="CJ323" s="340"/>
      <c r="CK323" s="340"/>
      <c r="CL323" s="340"/>
      <c r="CM323" s="340"/>
      <c r="CN323" s="340"/>
      <c r="CO323" s="340"/>
      <c r="CP323" s="340"/>
      <c r="CQ323" s="341"/>
      <c r="CR323" s="345"/>
      <c r="CS323" s="340"/>
      <c r="CT323" s="340"/>
      <c r="CU323" s="340"/>
      <c r="CV323" s="340"/>
      <c r="CW323" s="340"/>
      <c r="CX323" s="340"/>
      <c r="CY323" s="340"/>
      <c r="CZ323" s="340"/>
      <c r="DA323" s="340"/>
      <c r="DB323" s="340"/>
      <c r="DC323" s="340"/>
      <c r="DD323" s="341"/>
      <c r="DE323" s="346">
        <v>3906</v>
      </c>
      <c r="DF323" s="347"/>
      <c r="DG323" s="347"/>
      <c r="DH323" s="347"/>
      <c r="DI323" s="347"/>
      <c r="DJ323" s="347"/>
      <c r="DK323" s="347"/>
      <c r="DL323" s="347"/>
      <c r="DM323" s="347"/>
      <c r="DN323" s="347"/>
      <c r="DO323" s="347"/>
      <c r="DP323" s="347"/>
      <c r="DQ323" s="348"/>
      <c r="DR323" s="346">
        <v>4100</v>
      </c>
      <c r="DS323" s="347"/>
      <c r="DT323" s="347"/>
      <c r="DU323" s="347"/>
      <c r="DV323" s="347"/>
      <c r="DW323" s="347"/>
      <c r="DX323" s="347"/>
      <c r="DY323" s="347"/>
      <c r="DZ323" s="347"/>
      <c r="EA323" s="347"/>
      <c r="EB323" s="347"/>
      <c r="EC323" s="347"/>
      <c r="ED323" s="348"/>
      <c r="EE323" s="346"/>
      <c r="EF323" s="347"/>
      <c r="EG323" s="347"/>
      <c r="EH323" s="347"/>
      <c r="EI323" s="347"/>
      <c r="EJ323" s="347"/>
      <c r="EK323" s="347"/>
      <c r="EL323" s="347"/>
      <c r="EM323" s="347"/>
      <c r="EN323" s="347"/>
      <c r="EO323" s="347"/>
      <c r="EP323" s="347"/>
      <c r="EQ323" s="348"/>
      <c r="ER323" s="349"/>
      <c r="ES323" s="350"/>
      <c r="ET323" s="350"/>
      <c r="EU323" s="350"/>
      <c r="EV323" s="350"/>
      <c r="EW323" s="350"/>
      <c r="EX323" s="350"/>
      <c r="EY323" s="350"/>
      <c r="EZ323" s="350"/>
      <c r="FA323" s="350"/>
      <c r="FB323" s="351"/>
      <c r="FC323" s="352"/>
      <c r="FD323" s="353"/>
      <c r="FE323" s="353"/>
      <c r="FF323" s="353"/>
      <c r="FG323" s="353"/>
      <c r="FH323" s="353"/>
      <c r="FI323" s="353"/>
      <c r="FJ323" s="353"/>
      <c r="FK323" s="353"/>
      <c r="FL323" s="353"/>
      <c r="FO323" s="275"/>
      <c r="FP323" s="275"/>
      <c r="FQ323" s="275">
        <f t="shared" si="7"/>
        <v>4100</v>
      </c>
    </row>
    <row r="324" spans="1:173" ht="13.8" customHeight="1">
      <c r="A324" s="336" t="s">
        <v>835</v>
      </c>
      <c r="B324" s="337"/>
      <c r="C324" s="337"/>
      <c r="D324" s="337"/>
      <c r="E324" s="337"/>
      <c r="F324" s="337"/>
      <c r="G324" s="337"/>
      <c r="H324" s="337"/>
      <c r="I324" s="337"/>
      <c r="J324" s="337"/>
      <c r="K324" s="337"/>
      <c r="L324" s="337"/>
      <c r="M324" s="337"/>
      <c r="N324" s="337"/>
      <c r="O324" s="337"/>
      <c r="P324" s="337"/>
      <c r="Q324" s="337"/>
      <c r="R324" s="337"/>
      <c r="S324" s="337"/>
      <c r="T324" s="337"/>
      <c r="U324" s="337"/>
      <c r="V324" s="337"/>
      <c r="W324" s="337"/>
      <c r="X324" s="337"/>
      <c r="Y324" s="337"/>
      <c r="Z324" s="337"/>
      <c r="AA324" s="337"/>
      <c r="AB324" s="337"/>
      <c r="AC324" s="337"/>
      <c r="AD324" s="337"/>
      <c r="AE324" s="337"/>
      <c r="AF324" s="337"/>
      <c r="AG324" s="337"/>
      <c r="AH324" s="337"/>
      <c r="AI324" s="337"/>
      <c r="AJ324" s="337"/>
      <c r="AK324" s="337"/>
      <c r="AL324" s="337"/>
      <c r="AM324" s="337"/>
      <c r="AN324" s="337"/>
      <c r="AO324" s="337"/>
      <c r="AP324" s="337"/>
      <c r="AQ324" s="337"/>
      <c r="AR324" s="337"/>
      <c r="AS324" s="337"/>
      <c r="AT324" s="337"/>
      <c r="AU324" s="337"/>
      <c r="AV324" s="337"/>
      <c r="AW324" s="337"/>
      <c r="AX324" s="337"/>
      <c r="AY324" s="337"/>
      <c r="AZ324" s="337"/>
      <c r="BA324" s="337"/>
      <c r="BB324" s="337"/>
      <c r="BC324" s="337"/>
      <c r="BD324" s="337"/>
      <c r="BE324" s="337"/>
      <c r="BF324" s="337"/>
      <c r="BG324" s="337"/>
      <c r="BH324" s="337"/>
      <c r="BI324" s="337"/>
      <c r="BJ324" s="337"/>
      <c r="BK324" s="338"/>
      <c r="BL324" s="339"/>
      <c r="BM324" s="340"/>
      <c r="BN324" s="340"/>
      <c r="BO324" s="340"/>
      <c r="BP324" s="340"/>
      <c r="BQ324" s="340"/>
      <c r="BR324" s="340"/>
      <c r="BS324" s="341"/>
      <c r="BT324" s="342" t="s">
        <v>610</v>
      </c>
      <c r="BU324" s="343"/>
      <c r="BV324" s="343"/>
      <c r="BW324" s="343"/>
      <c r="BX324" s="343"/>
      <c r="BY324" s="343"/>
      <c r="BZ324" s="343"/>
      <c r="CA324" s="343"/>
      <c r="CB324" s="343"/>
      <c r="CC324" s="343"/>
      <c r="CD324" s="343"/>
      <c r="CE324" s="343"/>
      <c r="CF324" s="344"/>
      <c r="CG324" s="345" t="s">
        <v>772</v>
      </c>
      <c r="CH324" s="340"/>
      <c r="CI324" s="340"/>
      <c r="CJ324" s="340"/>
      <c r="CK324" s="340"/>
      <c r="CL324" s="340"/>
      <c r="CM324" s="340"/>
      <c r="CN324" s="340"/>
      <c r="CO324" s="340"/>
      <c r="CP324" s="340"/>
      <c r="CQ324" s="341"/>
      <c r="CR324" s="345"/>
      <c r="CS324" s="340"/>
      <c r="CT324" s="340"/>
      <c r="CU324" s="340"/>
      <c r="CV324" s="340"/>
      <c r="CW324" s="340"/>
      <c r="CX324" s="340"/>
      <c r="CY324" s="340"/>
      <c r="CZ324" s="340"/>
      <c r="DA324" s="340"/>
      <c r="DB324" s="340"/>
      <c r="DC324" s="340"/>
      <c r="DD324" s="341"/>
      <c r="DE324" s="346">
        <f>12000-12000</f>
        <v>0</v>
      </c>
      <c r="DF324" s="347"/>
      <c r="DG324" s="347"/>
      <c r="DH324" s="347"/>
      <c r="DI324" s="347"/>
      <c r="DJ324" s="347"/>
      <c r="DK324" s="347"/>
      <c r="DL324" s="347"/>
      <c r="DM324" s="347"/>
      <c r="DN324" s="347"/>
      <c r="DO324" s="347"/>
      <c r="DP324" s="347"/>
      <c r="DQ324" s="348"/>
      <c r="DR324" s="346">
        <v>5500</v>
      </c>
      <c r="DS324" s="347"/>
      <c r="DT324" s="347"/>
      <c r="DU324" s="347"/>
      <c r="DV324" s="347"/>
      <c r="DW324" s="347"/>
      <c r="DX324" s="347"/>
      <c r="DY324" s="347"/>
      <c r="DZ324" s="347"/>
      <c r="EA324" s="347"/>
      <c r="EB324" s="347"/>
      <c r="EC324" s="347"/>
      <c r="ED324" s="348"/>
      <c r="EE324" s="346"/>
      <c r="EF324" s="347"/>
      <c r="EG324" s="347"/>
      <c r="EH324" s="347"/>
      <c r="EI324" s="347"/>
      <c r="EJ324" s="347"/>
      <c r="EK324" s="347"/>
      <c r="EL324" s="347"/>
      <c r="EM324" s="347"/>
      <c r="EN324" s="347"/>
      <c r="EO324" s="347"/>
      <c r="EP324" s="347"/>
      <c r="EQ324" s="348"/>
      <c r="ER324" s="349"/>
      <c r="ES324" s="350"/>
      <c r="ET324" s="350"/>
      <c r="EU324" s="350"/>
      <c r="EV324" s="350"/>
      <c r="EW324" s="350"/>
      <c r="EX324" s="350"/>
      <c r="EY324" s="350"/>
      <c r="EZ324" s="350"/>
      <c r="FA324" s="350"/>
      <c r="FB324" s="351"/>
      <c r="FC324" s="352"/>
      <c r="FD324" s="353"/>
      <c r="FE324" s="353"/>
      <c r="FF324" s="353"/>
      <c r="FG324" s="353"/>
      <c r="FH324" s="353"/>
      <c r="FI324" s="353"/>
      <c r="FJ324" s="353"/>
      <c r="FK324" s="353"/>
      <c r="FL324" s="353"/>
      <c r="FO324" s="275"/>
      <c r="FP324" s="275"/>
      <c r="FQ324" s="275">
        <f t="shared" si="7"/>
        <v>5500</v>
      </c>
    </row>
    <row r="325" spans="1:173" ht="15.6" hidden="1" customHeight="1">
      <c r="A325" s="336" t="s">
        <v>836</v>
      </c>
      <c r="B325" s="337"/>
      <c r="C325" s="337"/>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337"/>
      <c r="AE325" s="337"/>
      <c r="AF325" s="337"/>
      <c r="AG325" s="337"/>
      <c r="AH325" s="337"/>
      <c r="AI325" s="337"/>
      <c r="AJ325" s="337"/>
      <c r="AK325" s="337"/>
      <c r="AL325" s="337"/>
      <c r="AM325" s="337"/>
      <c r="AN325" s="337"/>
      <c r="AO325" s="337"/>
      <c r="AP325" s="337"/>
      <c r="AQ325" s="337"/>
      <c r="AR325" s="337"/>
      <c r="AS325" s="337"/>
      <c r="AT325" s="337"/>
      <c r="AU325" s="337"/>
      <c r="AV325" s="337"/>
      <c r="AW325" s="337"/>
      <c r="AX325" s="337"/>
      <c r="AY325" s="337"/>
      <c r="AZ325" s="337"/>
      <c r="BA325" s="337"/>
      <c r="BB325" s="337"/>
      <c r="BC325" s="337"/>
      <c r="BD325" s="337"/>
      <c r="BE325" s="337"/>
      <c r="BF325" s="337"/>
      <c r="BG325" s="337"/>
      <c r="BH325" s="337"/>
      <c r="BI325" s="337"/>
      <c r="BJ325" s="337"/>
      <c r="BK325" s="338"/>
      <c r="BL325" s="339"/>
      <c r="BM325" s="340"/>
      <c r="BN325" s="340"/>
      <c r="BO325" s="340"/>
      <c r="BP325" s="340"/>
      <c r="BQ325" s="340"/>
      <c r="BR325" s="340"/>
      <c r="BS325" s="341"/>
      <c r="BT325" s="342" t="s">
        <v>610</v>
      </c>
      <c r="BU325" s="343"/>
      <c r="BV325" s="343"/>
      <c r="BW325" s="343"/>
      <c r="BX325" s="343"/>
      <c r="BY325" s="343"/>
      <c r="BZ325" s="343"/>
      <c r="CA325" s="343"/>
      <c r="CB325" s="343"/>
      <c r="CC325" s="343"/>
      <c r="CD325" s="343"/>
      <c r="CE325" s="343"/>
      <c r="CF325" s="344"/>
      <c r="CG325" s="345" t="s">
        <v>772</v>
      </c>
      <c r="CH325" s="340"/>
      <c r="CI325" s="340"/>
      <c r="CJ325" s="340"/>
      <c r="CK325" s="340"/>
      <c r="CL325" s="340"/>
      <c r="CM325" s="340"/>
      <c r="CN325" s="340"/>
      <c r="CO325" s="340"/>
      <c r="CP325" s="340"/>
      <c r="CQ325" s="341"/>
      <c r="CR325" s="345"/>
      <c r="CS325" s="340"/>
      <c r="CT325" s="340"/>
      <c r="CU325" s="340"/>
      <c r="CV325" s="340"/>
      <c r="CW325" s="340"/>
      <c r="CX325" s="340"/>
      <c r="CY325" s="340"/>
      <c r="CZ325" s="340"/>
      <c r="DA325" s="340"/>
      <c r="DB325" s="340"/>
      <c r="DC325" s="340"/>
      <c r="DD325" s="341"/>
      <c r="DE325" s="346">
        <f>15000-15000</f>
        <v>0</v>
      </c>
      <c r="DF325" s="347"/>
      <c r="DG325" s="347"/>
      <c r="DH325" s="347"/>
      <c r="DI325" s="347"/>
      <c r="DJ325" s="347"/>
      <c r="DK325" s="347"/>
      <c r="DL325" s="347"/>
      <c r="DM325" s="347"/>
      <c r="DN325" s="347"/>
      <c r="DO325" s="347"/>
      <c r="DP325" s="347"/>
      <c r="DQ325" s="348"/>
      <c r="DR325" s="346">
        <v>0</v>
      </c>
      <c r="DS325" s="347"/>
      <c r="DT325" s="347"/>
      <c r="DU325" s="347"/>
      <c r="DV325" s="347"/>
      <c r="DW325" s="347"/>
      <c r="DX325" s="347"/>
      <c r="DY325" s="347"/>
      <c r="DZ325" s="347"/>
      <c r="EA325" s="347"/>
      <c r="EB325" s="347"/>
      <c r="EC325" s="347"/>
      <c r="ED325" s="348"/>
      <c r="EE325" s="346"/>
      <c r="EF325" s="347"/>
      <c r="EG325" s="347"/>
      <c r="EH325" s="347"/>
      <c r="EI325" s="347"/>
      <c r="EJ325" s="347"/>
      <c r="EK325" s="347"/>
      <c r="EL325" s="347"/>
      <c r="EM325" s="347"/>
      <c r="EN325" s="347"/>
      <c r="EO325" s="347"/>
      <c r="EP325" s="347"/>
      <c r="EQ325" s="348"/>
      <c r="ER325" s="349"/>
      <c r="ES325" s="350"/>
      <c r="ET325" s="350"/>
      <c r="EU325" s="350"/>
      <c r="EV325" s="350"/>
      <c r="EW325" s="350"/>
      <c r="EX325" s="350"/>
      <c r="EY325" s="350"/>
      <c r="EZ325" s="350"/>
      <c r="FA325" s="350"/>
      <c r="FB325" s="351"/>
      <c r="FC325" s="352"/>
      <c r="FD325" s="353"/>
      <c r="FE325" s="353"/>
      <c r="FF325" s="353"/>
      <c r="FG325" s="353"/>
      <c r="FH325" s="353"/>
      <c r="FI325" s="353"/>
      <c r="FJ325" s="353"/>
      <c r="FK325" s="353"/>
      <c r="FL325" s="353"/>
      <c r="FO325" s="275"/>
      <c r="FP325" s="275"/>
      <c r="FQ325" s="275">
        <f t="shared" si="7"/>
        <v>0</v>
      </c>
    </row>
    <row r="326" spans="1:173" ht="19.8" hidden="1" customHeight="1">
      <c r="A326" s="336" t="s">
        <v>837</v>
      </c>
      <c r="B326" s="337"/>
      <c r="C326" s="337"/>
      <c r="D326" s="337"/>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7"/>
      <c r="AB326" s="337"/>
      <c r="AC326" s="337"/>
      <c r="AD326" s="337"/>
      <c r="AE326" s="337"/>
      <c r="AF326" s="337"/>
      <c r="AG326" s="337"/>
      <c r="AH326" s="337"/>
      <c r="AI326" s="337"/>
      <c r="AJ326" s="337"/>
      <c r="AK326" s="337"/>
      <c r="AL326" s="337"/>
      <c r="AM326" s="337"/>
      <c r="AN326" s="337"/>
      <c r="AO326" s="337"/>
      <c r="AP326" s="337"/>
      <c r="AQ326" s="337"/>
      <c r="AR326" s="337"/>
      <c r="AS326" s="337"/>
      <c r="AT326" s="337"/>
      <c r="AU326" s="337"/>
      <c r="AV326" s="337"/>
      <c r="AW326" s="337"/>
      <c r="AX326" s="337"/>
      <c r="AY326" s="337"/>
      <c r="AZ326" s="337"/>
      <c r="BA326" s="337"/>
      <c r="BB326" s="337"/>
      <c r="BC326" s="337"/>
      <c r="BD326" s="337"/>
      <c r="BE326" s="337"/>
      <c r="BF326" s="337"/>
      <c r="BG326" s="337"/>
      <c r="BH326" s="337"/>
      <c r="BI326" s="337"/>
      <c r="BJ326" s="337"/>
      <c r="BK326" s="338"/>
      <c r="BL326" s="339"/>
      <c r="BM326" s="340"/>
      <c r="BN326" s="340"/>
      <c r="BO326" s="340"/>
      <c r="BP326" s="340"/>
      <c r="BQ326" s="340"/>
      <c r="BR326" s="340"/>
      <c r="BS326" s="341"/>
      <c r="BT326" s="342" t="s">
        <v>610</v>
      </c>
      <c r="BU326" s="343"/>
      <c r="BV326" s="343"/>
      <c r="BW326" s="343"/>
      <c r="BX326" s="343"/>
      <c r="BY326" s="343"/>
      <c r="BZ326" s="343"/>
      <c r="CA326" s="343"/>
      <c r="CB326" s="343"/>
      <c r="CC326" s="343"/>
      <c r="CD326" s="343"/>
      <c r="CE326" s="343"/>
      <c r="CF326" s="344"/>
      <c r="CG326" s="345" t="s">
        <v>772</v>
      </c>
      <c r="CH326" s="340"/>
      <c r="CI326" s="340"/>
      <c r="CJ326" s="340"/>
      <c r="CK326" s="340"/>
      <c r="CL326" s="340"/>
      <c r="CM326" s="340"/>
      <c r="CN326" s="340"/>
      <c r="CO326" s="340"/>
      <c r="CP326" s="340"/>
      <c r="CQ326" s="341"/>
      <c r="CR326" s="345"/>
      <c r="CS326" s="340"/>
      <c r="CT326" s="340"/>
      <c r="CU326" s="340"/>
      <c r="CV326" s="340"/>
      <c r="CW326" s="340"/>
      <c r="CX326" s="340"/>
      <c r="CY326" s="340"/>
      <c r="CZ326" s="340"/>
      <c r="DA326" s="340"/>
      <c r="DB326" s="340"/>
      <c r="DC326" s="340"/>
      <c r="DD326" s="341"/>
      <c r="DE326" s="346">
        <f>10000-10000</f>
        <v>0</v>
      </c>
      <c r="DF326" s="347"/>
      <c r="DG326" s="347"/>
      <c r="DH326" s="347"/>
      <c r="DI326" s="347"/>
      <c r="DJ326" s="347"/>
      <c r="DK326" s="347"/>
      <c r="DL326" s="347"/>
      <c r="DM326" s="347"/>
      <c r="DN326" s="347"/>
      <c r="DO326" s="347"/>
      <c r="DP326" s="347"/>
      <c r="DQ326" s="348"/>
      <c r="DR326" s="346">
        <v>0</v>
      </c>
      <c r="DS326" s="347"/>
      <c r="DT326" s="347"/>
      <c r="DU326" s="347"/>
      <c r="DV326" s="347"/>
      <c r="DW326" s="347"/>
      <c r="DX326" s="347"/>
      <c r="DY326" s="347"/>
      <c r="DZ326" s="347"/>
      <c r="EA326" s="347"/>
      <c r="EB326" s="347"/>
      <c r="EC326" s="347"/>
      <c r="ED326" s="348"/>
      <c r="EE326" s="346"/>
      <c r="EF326" s="347"/>
      <c r="EG326" s="347"/>
      <c r="EH326" s="347"/>
      <c r="EI326" s="347"/>
      <c r="EJ326" s="347"/>
      <c r="EK326" s="347"/>
      <c r="EL326" s="347"/>
      <c r="EM326" s="347"/>
      <c r="EN326" s="347"/>
      <c r="EO326" s="347"/>
      <c r="EP326" s="347"/>
      <c r="EQ326" s="348"/>
      <c r="ER326" s="349"/>
      <c r="ES326" s="350"/>
      <c r="ET326" s="350"/>
      <c r="EU326" s="350"/>
      <c r="EV326" s="350"/>
      <c r="EW326" s="350"/>
      <c r="EX326" s="350"/>
      <c r="EY326" s="350"/>
      <c r="EZ326" s="350"/>
      <c r="FA326" s="350"/>
      <c r="FB326" s="351"/>
      <c r="FC326" s="352"/>
      <c r="FD326" s="353"/>
      <c r="FE326" s="353"/>
      <c r="FF326" s="353"/>
      <c r="FG326" s="353"/>
      <c r="FH326" s="353"/>
      <c r="FI326" s="353"/>
      <c r="FJ326" s="353"/>
      <c r="FK326" s="353"/>
      <c r="FL326" s="353"/>
      <c r="FO326" s="275"/>
      <c r="FP326" s="275"/>
      <c r="FQ326" s="275">
        <f t="shared" si="7"/>
        <v>0</v>
      </c>
    </row>
    <row r="327" spans="1:173" ht="20.399999999999999" hidden="1" customHeight="1">
      <c r="A327" s="336" t="s">
        <v>838</v>
      </c>
      <c r="B327" s="337"/>
      <c r="C327" s="337"/>
      <c r="D327" s="337"/>
      <c r="E327" s="337"/>
      <c r="F327" s="337"/>
      <c r="G327" s="337"/>
      <c r="H327" s="337"/>
      <c r="I327" s="337"/>
      <c r="J327" s="337"/>
      <c r="K327" s="337"/>
      <c r="L327" s="337"/>
      <c r="M327" s="337"/>
      <c r="N327" s="337"/>
      <c r="O327" s="337"/>
      <c r="P327" s="337"/>
      <c r="Q327" s="337"/>
      <c r="R327" s="337"/>
      <c r="S327" s="337"/>
      <c r="T327" s="337"/>
      <c r="U327" s="337"/>
      <c r="V327" s="337"/>
      <c r="W327" s="337"/>
      <c r="X327" s="337"/>
      <c r="Y327" s="337"/>
      <c r="Z327" s="337"/>
      <c r="AA327" s="337"/>
      <c r="AB327" s="337"/>
      <c r="AC327" s="337"/>
      <c r="AD327" s="337"/>
      <c r="AE327" s="337"/>
      <c r="AF327" s="337"/>
      <c r="AG327" s="337"/>
      <c r="AH327" s="337"/>
      <c r="AI327" s="337"/>
      <c r="AJ327" s="337"/>
      <c r="AK327" s="337"/>
      <c r="AL327" s="337"/>
      <c r="AM327" s="337"/>
      <c r="AN327" s="337"/>
      <c r="AO327" s="337"/>
      <c r="AP327" s="337"/>
      <c r="AQ327" s="337"/>
      <c r="AR327" s="337"/>
      <c r="AS327" s="337"/>
      <c r="AT327" s="337"/>
      <c r="AU327" s="337"/>
      <c r="AV327" s="337"/>
      <c r="AW327" s="337"/>
      <c r="AX327" s="337"/>
      <c r="AY327" s="337"/>
      <c r="AZ327" s="337"/>
      <c r="BA327" s="337"/>
      <c r="BB327" s="337"/>
      <c r="BC327" s="337"/>
      <c r="BD327" s="337"/>
      <c r="BE327" s="337"/>
      <c r="BF327" s="337"/>
      <c r="BG327" s="337"/>
      <c r="BH327" s="337"/>
      <c r="BI327" s="337"/>
      <c r="BJ327" s="337"/>
      <c r="BK327" s="338"/>
      <c r="BL327" s="339"/>
      <c r="BM327" s="340"/>
      <c r="BN327" s="340"/>
      <c r="BO327" s="340"/>
      <c r="BP327" s="340"/>
      <c r="BQ327" s="340"/>
      <c r="BR327" s="340"/>
      <c r="BS327" s="341"/>
      <c r="BT327" s="342" t="s">
        <v>610</v>
      </c>
      <c r="BU327" s="343"/>
      <c r="BV327" s="343"/>
      <c r="BW327" s="343"/>
      <c r="BX327" s="343"/>
      <c r="BY327" s="343"/>
      <c r="BZ327" s="343"/>
      <c r="CA327" s="343"/>
      <c r="CB327" s="343"/>
      <c r="CC327" s="343"/>
      <c r="CD327" s="343"/>
      <c r="CE327" s="343"/>
      <c r="CF327" s="344"/>
      <c r="CG327" s="345" t="s">
        <v>772</v>
      </c>
      <c r="CH327" s="340"/>
      <c r="CI327" s="340"/>
      <c r="CJ327" s="340"/>
      <c r="CK327" s="340"/>
      <c r="CL327" s="340"/>
      <c r="CM327" s="340"/>
      <c r="CN327" s="340"/>
      <c r="CO327" s="340"/>
      <c r="CP327" s="340"/>
      <c r="CQ327" s="341"/>
      <c r="CR327" s="345"/>
      <c r="CS327" s="340"/>
      <c r="CT327" s="340"/>
      <c r="CU327" s="340"/>
      <c r="CV327" s="340"/>
      <c r="CW327" s="340"/>
      <c r="CX327" s="340"/>
      <c r="CY327" s="340"/>
      <c r="CZ327" s="340"/>
      <c r="DA327" s="340"/>
      <c r="DB327" s="340"/>
      <c r="DC327" s="340"/>
      <c r="DD327" s="341"/>
      <c r="DE327" s="346">
        <v>13781</v>
      </c>
      <c r="DF327" s="347"/>
      <c r="DG327" s="347"/>
      <c r="DH327" s="347"/>
      <c r="DI327" s="347"/>
      <c r="DJ327" s="347"/>
      <c r="DK327" s="347"/>
      <c r="DL327" s="347"/>
      <c r="DM327" s="347"/>
      <c r="DN327" s="347"/>
      <c r="DO327" s="347"/>
      <c r="DP327" s="347"/>
      <c r="DQ327" s="348"/>
      <c r="DR327" s="346">
        <v>0</v>
      </c>
      <c r="DS327" s="347"/>
      <c r="DT327" s="347"/>
      <c r="DU327" s="347"/>
      <c r="DV327" s="347"/>
      <c r="DW327" s="347"/>
      <c r="DX327" s="347"/>
      <c r="DY327" s="347"/>
      <c r="DZ327" s="347"/>
      <c r="EA327" s="347"/>
      <c r="EB327" s="347"/>
      <c r="EC327" s="347"/>
      <c r="ED327" s="348"/>
      <c r="EE327" s="346"/>
      <c r="EF327" s="347"/>
      <c r="EG327" s="347"/>
      <c r="EH327" s="347"/>
      <c r="EI327" s="347"/>
      <c r="EJ327" s="347"/>
      <c r="EK327" s="347"/>
      <c r="EL327" s="347"/>
      <c r="EM327" s="347"/>
      <c r="EN327" s="347"/>
      <c r="EO327" s="347"/>
      <c r="EP327" s="347"/>
      <c r="EQ327" s="348"/>
      <c r="ER327" s="349"/>
      <c r="ES327" s="350"/>
      <c r="ET327" s="350"/>
      <c r="EU327" s="350"/>
      <c r="EV327" s="350"/>
      <c r="EW327" s="350"/>
      <c r="EX327" s="350"/>
      <c r="EY327" s="350"/>
      <c r="EZ327" s="350"/>
      <c r="FA327" s="350"/>
      <c r="FB327" s="351"/>
      <c r="FC327" s="352"/>
      <c r="FD327" s="353"/>
      <c r="FE327" s="353"/>
      <c r="FF327" s="353"/>
      <c r="FG327" s="353"/>
      <c r="FH327" s="353"/>
      <c r="FI327" s="353"/>
      <c r="FJ327" s="353"/>
      <c r="FK327" s="353"/>
      <c r="FL327" s="353"/>
      <c r="FO327" s="275"/>
      <c r="FP327" s="275"/>
      <c r="FQ327" s="275">
        <f t="shared" si="7"/>
        <v>0</v>
      </c>
    </row>
    <row r="328" spans="1:173" ht="15" hidden="1" customHeight="1">
      <c r="A328" s="336" t="s">
        <v>839</v>
      </c>
      <c r="B328" s="337"/>
      <c r="C328" s="337"/>
      <c r="D328" s="337"/>
      <c r="E328" s="337"/>
      <c r="F328" s="337"/>
      <c r="G328" s="337"/>
      <c r="H328" s="337"/>
      <c r="I328" s="337"/>
      <c r="J328" s="337"/>
      <c r="K328" s="337"/>
      <c r="L328" s="337"/>
      <c r="M328" s="337"/>
      <c r="N328" s="337"/>
      <c r="O328" s="337"/>
      <c r="P328" s="337"/>
      <c r="Q328" s="337"/>
      <c r="R328" s="337"/>
      <c r="S328" s="337"/>
      <c r="T328" s="337"/>
      <c r="U328" s="337"/>
      <c r="V328" s="337"/>
      <c r="W328" s="337"/>
      <c r="X328" s="337"/>
      <c r="Y328" s="337"/>
      <c r="Z328" s="337"/>
      <c r="AA328" s="337"/>
      <c r="AB328" s="337"/>
      <c r="AC328" s="337"/>
      <c r="AD328" s="337"/>
      <c r="AE328" s="337"/>
      <c r="AF328" s="337"/>
      <c r="AG328" s="337"/>
      <c r="AH328" s="337"/>
      <c r="AI328" s="337"/>
      <c r="AJ328" s="337"/>
      <c r="AK328" s="337"/>
      <c r="AL328" s="337"/>
      <c r="AM328" s="337"/>
      <c r="AN328" s="337"/>
      <c r="AO328" s="337"/>
      <c r="AP328" s="337"/>
      <c r="AQ328" s="337"/>
      <c r="AR328" s="337"/>
      <c r="AS328" s="337"/>
      <c r="AT328" s="337"/>
      <c r="AU328" s="337"/>
      <c r="AV328" s="337"/>
      <c r="AW328" s="337"/>
      <c r="AX328" s="337"/>
      <c r="AY328" s="337"/>
      <c r="AZ328" s="337"/>
      <c r="BA328" s="337"/>
      <c r="BB328" s="337"/>
      <c r="BC328" s="337"/>
      <c r="BD328" s="337"/>
      <c r="BE328" s="337"/>
      <c r="BF328" s="337"/>
      <c r="BG328" s="337"/>
      <c r="BH328" s="337"/>
      <c r="BI328" s="337"/>
      <c r="BJ328" s="337"/>
      <c r="BK328" s="338"/>
      <c r="BL328" s="339"/>
      <c r="BM328" s="340"/>
      <c r="BN328" s="340"/>
      <c r="BO328" s="340"/>
      <c r="BP328" s="340"/>
      <c r="BQ328" s="340"/>
      <c r="BR328" s="340"/>
      <c r="BS328" s="341"/>
      <c r="BT328" s="342" t="s">
        <v>610</v>
      </c>
      <c r="BU328" s="343"/>
      <c r="BV328" s="343"/>
      <c r="BW328" s="343"/>
      <c r="BX328" s="343"/>
      <c r="BY328" s="343"/>
      <c r="BZ328" s="343"/>
      <c r="CA328" s="343"/>
      <c r="CB328" s="343"/>
      <c r="CC328" s="343"/>
      <c r="CD328" s="343"/>
      <c r="CE328" s="343"/>
      <c r="CF328" s="344"/>
      <c r="CG328" s="345" t="s">
        <v>772</v>
      </c>
      <c r="CH328" s="340"/>
      <c r="CI328" s="340"/>
      <c r="CJ328" s="340"/>
      <c r="CK328" s="340"/>
      <c r="CL328" s="340"/>
      <c r="CM328" s="340"/>
      <c r="CN328" s="340"/>
      <c r="CO328" s="340"/>
      <c r="CP328" s="340"/>
      <c r="CQ328" s="341"/>
      <c r="CR328" s="345"/>
      <c r="CS328" s="340"/>
      <c r="CT328" s="340"/>
      <c r="CU328" s="340"/>
      <c r="CV328" s="340"/>
      <c r="CW328" s="340"/>
      <c r="CX328" s="340"/>
      <c r="CY328" s="340"/>
      <c r="CZ328" s="340"/>
      <c r="DA328" s="340"/>
      <c r="DB328" s="340"/>
      <c r="DC328" s="340"/>
      <c r="DD328" s="341"/>
      <c r="DE328" s="346">
        <f>34548.13-29148.13</f>
        <v>5399.9999999999964</v>
      </c>
      <c r="DF328" s="347"/>
      <c r="DG328" s="347"/>
      <c r="DH328" s="347"/>
      <c r="DI328" s="347"/>
      <c r="DJ328" s="347"/>
      <c r="DK328" s="347"/>
      <c r="DL328" s="347"/>
      <c r="DM328" s="347"/>
      <c r="DN328" s="347"/>
      <c r="DO328" s="347"/>
      <c r="DP328" s="347"/>
      <c r="DQ328" s="348"/>
      <c r="DR328" s="346">
        <v>0</v>
      </c>
      <c r="DS328" s="347"/>
      <c r="DT328" s="347"/>
      <c r="DU328" s="347"/>
      <c r="DV328" s="347"/>
      <c r="DW328" s="347"/>
      <c r="DX328" s="347"/>
      <c r="DY328" s="347"/>
      <c r="DZ328" s="347"/>
      <c r="EA328" s="347"/>
      <c r="EB328" s="347"/>
      <c r="EC328" s="347"/>
      <c r="ED328" s="348"/>
      <c r="EE328" s="346"/>
      <c r="EF328" s="347"/>
      <c r="EG328" s="347"/>
      <c r="EH328" s="347"/>
      <c r="EI328" s="347"/>
      <c r="EJ328" s="347"/>
      <c r="EK328" s="347"/>
      <c r="EL328" s="347"/>
      <c r="EM328" s="347"/>
      <c r="EN328" s="347"/>
      <c r="EO328" s="347"/>
      <c r="EP328" s="347"/>
      <c r="EQ328" s="348"/>
      <c r="ER328" s="349"/>
      <c r="ES328" s="350"/>
      <c r="ET328" s="350"/>
      <c r="EU328" s="350"/>
      <c r="EV328" s="350"/>
      <c r="EW328" s="350"/>
      <c r="EX328" s="350"/>
      <c r="EY328" s="350"/>
      <c r="EZ328" s="350"/>
      <c r="FA328" s="350"/>
      <c r="FB328" s="351"/>
      <c r="FC328" s="352"/>
      <c r="FD328" s="353"/>
      <c r="FE328" s="353"/>
      <c r="FF328" s="353"/>
      <c r="FG328" s="353"/>
      <c r="FH328" s="353"/>
      <c r="FI328" s="353"/>
      <c r="FJ328" s="353"/>
      <c r="FK328" s="353"/>
      <c r="FL328" s="353"/>
      <c r="FO328" s="275"/>
      <c r="FP328" s="275"/>
      <c r="FQ328" s="275">
        <f t="shared" si="7"/>
        <v>0</v>
      </c>
    </row>
    <row r="329" spans="1:173" ht="16.2" customHeight="1">
      <c r="A329" s="336" t="s">
        <v>840</v>
      </c>
      <c r="B329" s="337"/>
      <c r="C329" s="337"/>
      <c r="D329" s="337"/>
      <c r="E329" s="337"/>
      <c r="F329" s="337"/>
      <c r="G329" s="337"/>
      <c r="H329" s="337"/>
      <c r="I329" s="337"/>
      <c r="J329" s="337"/>
      <c r="K329" s="337"/>
      <c r="L329" s="337"/>
      <c r="M329" s="337"/>
      <c r="N329" s="337"/>
      <c r="O329" s="337"/>
      <c r="P329" s="337"/>
      <c r="Q329" s="337"/>
      <c r="R329" s="337"/>
      <c r="S329" s="337"/>
      <c r="T329" s="337"/>
      <c r="U329" s="337"/>
      <c r="V329" s="337"/>
      <c r="W329" s="337"/>
      <c r="X329" s="337"/>
      <c r="Y329" s="337"/>
      <c r="Z329" s="337"/>
      <c r="AA329" s="337"/>
      <c r="AB329" s="337"/>
      <c r="AC329" s="337"/>
      <c r="AD329" s="337"/>
      <c r="AE329" s="337"/>
      <c r="AF329" s="337"/>
      <c r="AG329" s="337"/>
      <c r="AH329" s="337"/>
      <c r="AI329" s="337"/>
      <c r="AJ329" s="337"/>
      <c r="AK329" s="337"/>
      <c r="AL329" s="337"/>
      <c r="AM329" s="337"/>
      <c r="AN329" s="337"/>
      <c r="AO329" s="337"/>
      <c r="AP329" s="337"/>
      <c r="AQ329" s="337"/>
      <c r="AR329" s="337"/>
      <c r="AS329" s="337"/>
      <c r="AT329" s="337"/>
      <c r="AU329" s="337"/>
      <c r="AV329" s="337"/>
      <c r="AW329" s="337"/>
      <c r="AX329" s="337"/>
      <c r="AY329" s="337"/>
      <c r="AZ329" s="337"/>
      <c r="BA329" s="337"/>
      <c r="BB329" s="337"/>
      <c r="BC329" s="337"/>
      <c r="BD329" s="337"/>
      <c r="BE329" s="337"/>
      <c r="BF329" s="337"/>
      <c r="BG329" s="337"/>
      <c r="BH329" s="337"/>
      <c r="BI329" s="337"/>
      <c r="BJ329" s="337"/>
      <c r="BK329" s="338"/>
      <c r="BL329" s="339"/>
      <c r="BM329" s="340"/>
      <c r="BN329" s="340"/>
      <c r="BO329" s="340"/>
      <c r="BP329" s="340"/>
      <c r="BQ329" s="340"/>
      <c r="BR329" s="340"/>
      <c r="BS329" s="341"/>
      <c r="BT329" s="342" t="s">
        <v>610</v>
      </c>
      <c r="BU329" s="343"/>
      <c r="BV329" s="343"/>
      <c r="BW329" s="343"/>
      <c r="BX329" s="343"/>
      <c r="BY329" s="343"/>
      <c r="BZ329" s="343"/>
      <c r="CA329" s="343"/>
      <c r="CB329" s="343"/>
      <c r="CC329" s="343"/>
      <c r="CD329" s="343"/>
      <c r="CE329" s="343"/>
      <c r="CF329" s="344"/>
      <c r="CG329" s="345" t="s">
        <v>772</v>
      </c>
      <c r="CH329" s="340"/>
      <c r="CI329" s="340"/>
      <c r="CJ329" s="340"/>
      <c r="CK329" s="340"/>
      <c r="CL329" s="340"/>
      <c r="CM329" s="340"/>
      <c r="CN329" s="340"/>
      <c r="CO329" s="340"/>
      <c r="CP329" s="340"/>
      <c r="CQ329" s="341"/>
      <c r="CR329" s="345"/>
      <c r="CS329" s="340"/>
      <c r="CT329" s="340"/>
      <c r="CU329" s="340"/>
      <c r="CV329" s="340"/>
      <c r="CW329" s="340"/>
      <c r="CX329" s="340"/>
      <c r="CY329" s="340"/>
      <c r="CZ329" s="340"/>
      <c r="DA329" s="340"/>
      <c r="DB329" s="340"/>
      <c r="DC329" s="340"/>
      <c r="DD329" s="341"/>
      <c r="DE329" s="346">
        <v>1600</v>
      </c>
      <c r="DF329" s="347"/>
      <c r="DG329" s="347"/>
      <c r="DH329" s="347"/>
      <c r="DI329" s="347"/>
      <c r="DJ329" s="347"/>
      <c r="DK329" s="347"/>
      <c r="DL329" s="347"/>
      <c r="DM329" s="347"/>
      <c r="DN329" s="347"/>
      <c r="DO329" s="347"/>
      <c r="DP329" s="347"/>
      <c r="DQ329" s="348"/>
      <c r="DR329" s="425">
        <f>1700-100</f>
        <v>1600</v>
      </c>
      <c r="DS329" s="426"/>
      <c r="DT329" s="426"/>
      <c r="DU329" s="426"/>
      <c r="DV329" s="426"/>
      <c r="DW329" s="426"/>
      <c r="DX329" s="426"/>
      <c r="DY329" s="426"/>
      <c r="DZ329" s="426"/>
      <c r="EA329" s="426"/>
      <c r="EB329" s="426"/>
      <c r="EC329" s="426"/>
      <c r="ED329" s="427"/>
      <c r="EE329" s="346"/>
      <c r="EF329" s="347"/>
      <c r="EG329" s="347"/>
      <c r="EH329" s="347"/>
      <c r="EI329" s="347"/>
      <c r="EJ329" s="347"/>
      <c r="EK329" s="347"/>
      <c r="EL329" s="347"/>
      <c r="EM329" s="347"/>
      <c r="EN329" s="347"/>
      <c r="EO329" s="347"/>
      <c r="EP329" s="347"/>
      <c r="EQ329" s="348"/>
      <c r="ER329" s="349"/>
      <c r="ES329" s="350"/>
      <c r="ET329" s="350"/>
      <c r="EU329" s="350"/>
      <c r="EV329" s="350"/>
      <c r="EW329" s="350"/>
      <c r="EX329" s="350"/>
      <c r="EY329" s="350"/>
      <c r="EZ329" s="350"/>
      <c r="FA329" s="350"/>
      <c r="FB329" s="351"/>
      <c r="FC329" s="352"/>
      <c r="FD329" s="353"/>
      <c r="FE329" s="353"/>
      <c r="FF329" s="353"/>
      <c r="FG329" s="353"/>
      <c r="FH329" s="353"/>
      <c r="FI329" s="353"/>
      <c r="FJ329" s="353"/>
      <c r="FK329" s="353"/>
      <c r="FL329" s="353"/>
      <c r="FO329" s="275"/>
      <c r="FP329" s="275"/>
      <c r="FQ329" s="275">
        <f t="shared" si="7"/>
        <v>1600</v>
      </c>
    </row>
    <row r="330" spans="1:173" ht="12" hidden="1" customHeight="1">
      <c r="A330" s="441"/>
      <c r="B330" s="447"/>
      <c r="C330" s="447"/>
      <c r="D330" s="447"/>
      <c r="E330" s="447"/>
      <c r="F330" s="447"/>
      <c r="G330" s="447"/>
      <c r="H330" s="447"/>
      <c r="I330" s="447"/>
      <c r="J330" s="447"/>
      <c r="K330" s="447"/>
      <c r="L330" s="447"/>
      <c r="M330" s="447"/>
      <c r="N330" s="447"/>
      <c r="O330" s="447"/>
      <c r="P330" s="447"/>
      <c r="Q330" s="447"/>
      <c r="R330" s="447"/>
      <c r="S330" s="447"/>
      <c r="T330" s="447"/>
      <c r="U330" s="447"/>
      <c r="V330" s="447"/>
      <c r="W330" s="447"/>
      <c r="X330" s="447"/>
      <c r="Y330" s="447"/>
      <c r="Z330" s="447"/>
      <c r="AA330" s="447"/>
      <c r="AB330" s="447"/>
      <c r="AC330" s="447"/>
      <c r="AD330" s="447"/>
      <c r="AE330" s="447"/>
      <c r="AF330" s="447"/>
      <c r="AG330" s="447"/>
      <c r="AH330" s="447"/>
      <c r="AI330" s="447"/>
      <c r="AJ330" s="447"/>
      <c r="AK330" s="447"/>
      <c r="AL330" s="447"/>
      <c r="AM330" s="447"/>
      <c r="AN330" s="447"/>
      <c r="AO330" s="447"/>
      <c r="AP330" s="447"/>
      <c r="AQ330" s="447"/>
      <c r="AR330" s="447"/>
      <c r="AS330" s="447"/>
      <c r="AT330" s="447"/>
      <c r="AU330" s="447"/>
      <c r="AV330" s="447"/>
      <c r="AW330" s="447"/>
      <c r="AX330" s="447"/>
      <c r="AY330" s="447"/>
      <c r="AZ330" s="447"/>
      <c r="BA330" s="447"/>
      <c r="BB330" s="447"/>
      <c r="BC330" s="447"/>
      <c r="BD330" s="447"/>
      <c r="BE330" s="447"/>
      <c r="BF330" s="447"/>
      <c r="BG330" s="447"/>
      <c r="BH330" s="447"/>
      <c r="BI330" s="447"/>
      <c r="BJ330" s="447"/>
      <c r="BK330" s="448"/>
      <c r="BL330" s="339"/>
      <c r="BM330" s="340"/>
      <c r="BN330" s="340"/>
      <c r="BO330" s="340"/>
      <c r="BP330" s="340"/>
      <c r="BQ330" s="340"/>
      <c r="BR330" s="340"/>
      <c r="BS330" s="341"/>
      <c r="BT330" s="342"/>
      <c r="BU330" s="343"/>
      <c r="BV330" s="343"/>
      <c r="BW330" s="343"/>
      <c r="BX330" s="343"/>
      <c r="BY330" s="343"/>
      <c r="BZ330" s="343"/>
      <c r="CA330" s="343"/>
      <c r="CB330" s="343"/>
      <c r="CC330" s="343"/>
      <c r="CD330" s="343"/>
      <c r="CE330" s="343"/>
      <c r="CF330" s="344"/>
      <c r="CG330" s="345"/>
      <c r="CH330" s="340"/>
      <c r="CI330" s="340"/>
      <c r="CJ330" s="340"/>
      <c r="CK330" s="340"/>
      <c r="CL330" s="340"/>
      <c r="CM330" s="340"/>
      <c r="CN330" s="340"/>
      <c r="CO330" s="340"/>
      <c r="CP330" s="340"/>
      <c r="CQ330" s="341"/>
      <c r="CR330" s="345"/>
      <c r="CS330" s="340"/>
      <c r="CT330" s="340"/>
      <c r="CU330" s="340"/>
      <c r="CV330" s="340"/>
      <c r="CW330" s="340"/>
      <c r="CX330" s="340"/>
      <c r="CY330" s="340"/>
      <c r="CZ330" s="340"/>
      <c r="DA330" s="340"/>
      <c r="DB330" s="340"/>
      <c r="DC330" s="340"/>
      <c r="DD330" s="341"/>
      <c r="DE330" s="346"/>
      <c r="DF330" s="347"/>
      <c r="DG330" s="347"/>
      <c r="DH330" s="347"/>
      <c r="DI330" s="347"/>
      <c r="DJ330" s="347"/>
      <c r="DK330" s="347"/>
      <c r="DL330" s="347"/>
      <c r="DM330" s="347"/>
      <c r="DN330" s="347"/>
      <c r="DO330" s="347"/>
      <c r="DP330" s="347"/>
      <c r="DQ330" s="348"/>
      <c r="DR330" s="346"/>
      <c r="DS330" s="347"/>
      <c r="DT330" s="347"/>
      <c r="DU330" s="347"/>
      <c r="DV330" s="347"/>
      <c r="DW330" s="347"/>
      <c r="DX330" s="347"/>
      <c r="DY330" s="347"/>
      <c r="DZ330" s="347"/>
      <c r="EA330" s="347"/>
      <c r="EB330" s="347"/>
      <c r="EC330" s="347"/>
      <c r="ED330" s="348"/>
      <c r="EE330" s="346"/>
      <c r="EF330" s="347"/>
      <c r="EG330" s="347"/>
      <c r="EH330" s="347"/>
      <c r="EI330" s="347"/>
      <c r="EJ330" s="347"/>
      <c r="EK330" s="347"/>
      <c r="EL330" s="347"/>
      <c r="EM330" s="347"/>
      <c r="EN330" s="347"/>
      <c r="EO330" s="347"/>
      <c r="EP330" s="347"/>
      <c r="EQ330" s="348"/>
      <c r="ER330" s="349"/>
      <c r="ES330" s="350"/>
      <c r="ET330" s="350"/>
      <c r="EU330" s="350"/>
      <c r="EV330" s="350"/>
      <c r="EW330" s="350"/>
      <c r="EX330" s="350"/>
      <c r="EY330" s="350"/>
      <c r="EZ330" s="350"/>
      <c r="FA330" s="350"/>
      <c r="FB330" s="351"/>
      <c r="FC330" s="352"/>
      <c r="FD330" s="353"/>
      <c r="FE330" s="353"/>
      <c r="FF330" s="353"/>
      <c r="FG330" s="353"/>
      <c r="FH330" s="353"/>
      <c r="FI330" s="353"/>
      <c r="FJ330" s="353"/>
      <c r="FK330" s="353"/>
      <c r="FL330" s="353"/>
      <c r="FO330" s="275"/>
      <c r="FP330" s="275"/>
      <c r="FQ330" s="275">
        <f t="shared" si="7"/>
        <v>0</v>
      </c>
    </row>
    <row r="331" spans="1:173" ht="12" hidden="1" customHeight="1">
      <c r="A331" s="441"/>
      <c r="B331" s="447"/>
      <c r="C331" s="447"/>
      <c r="D331" s="447"/>
      <c r="E331" s="447"/>
      <c r="F331" s="447"/>
      <c r="G331" s="447"/>
      <c r="H331" s="447"/>
      <c r="I331" s="447"/>
      <c r="J331" s="447"/>
      <c r="K331" s="447"/>
      <c r="L331" s="447"/>
      <c r="M331" s="447"/>
      <c r="N331" s="447"/>
      <c r="O331" s="447"/>
      <c r="P331" s="447"/>
      <c r="Q331" s="447"/>
      <c r="R331" s="447"/>
      <c r="S331" s="447"/>
      <c r="T331" s="447"/>
      <c r="U331" s="447"/>
      <c r="V331" s="447"/>
      <c r="W331" s="447"/>
      <c r="X331" s="447"/>
      <c r="Y331" s="447"/>
      <c r="Z331" s="447"/>
      <c r="AA331" s="447"/>
      <c r="AB331" s="447"/>
      <c r="AC331" s="447"/>
      <c r="AD331" s="447"/>
      <c r="AE331" s="447"/>
      <c r="AF331" s="447"/>
      <c r="AG331" s="447"/>
      <c r="AH331" s="447"/>
      <c r="AI331" s="447"/>
      <c r="AJ331" s="447"/>
      <c r="AK331" s="447"/>
      <c r="AL331" s="447"/>
      <c r="AM331" s="447"/>
      <c r="AN331" s="447"/>
      <c r="AO331" s="447"/>
      <c r="AP331" s="447"/>
      <c r="AQ331" s="447"/>
      <c r="AR331" s="447"/>
      <c r="AS331" s="447"/>
      <c r="AT331" s="447"/>
      <c r="AU331" s="447"/>
      <c r="AV331" s="447"/>
      <c r="AW331" s="447"/>
      <c r="AX331" s="447"/>
      <c r="AY331" s="447"/>
      <c r="AZ331" s="447"/>
      <c r="BA331" s="447"/>
      <c r="BB331" s="447"/>
      <c r="BC331" s="447"/>
      <c r="BD331" s="447"/>
      <c r="BE331" s="447"/>
      <c r="BF331" s="447"/>
      <c r="BG331" s="447"/>
      <c r="BH331" s="447"/>
      <c r="BI331" s="447"/>
      <c r="BJ331" s="447"/>
      <c r="BK331" s="448"/>
      <c r="BL331" s="339"/>
      <c r="BM331" s="340"/>
      <c r="BN331" s="340"/>
      <c r="BO331" s="340"/>
      <c r="BP331" s="340"/>
      <c r="BQ331" s="340"/>
      <c r="BR331" s="340"/>
      <c r="BS331" s="341"/>
      <c r="BT331" s="342"/>
      <c r="BU331" s="343"/>
      <c r="BV331" s="343"/>
      <c r="BW331" s="343"/>
      <c r="BX331" s="343"/>
      <c r="BY331" s="343"/>
      <c r="BZ331" s="343"/>
      <c r="CA331" s="343"/>
      <c r="CB331" s="343"/>
      <c r="CC331" s="343"/>
      <c r="CD331" s="343"/>
      <c r="CE331" s="343"/>
      <c r="CF331" s="344"/>
      <c r="CG331" s="345"/>
      <c r="CH331" s="340"/>
      <c r="CI331" s="340"/>
      <c r="CJ331" s="340"/>
      <c r="CK331" s="340"/>
      <c r="CL331" s="340"/>
      <c r="CM331" s="340"/>
      <c r="CN331" s="340"/>
      <c r="CO331" s="340"/>
      <c r="CP331" s="340"/>
      <c r="CQ331" s="341"/>
      <c r="CR331" s="345"/>
      <c r="CS331" s="340"/>
      <c r="CT331" s="340"/>
      <c r="CU331" s="340"/>
      <c r="CV331" s="340"/>
      <c r="CW331" s="340"/>
      <c r="CX331" s="340"/>
      <c r="CY331" s="340"/>
      <c r="CZ331" s="340"/>
      <c r="DA331" s="340"/>
      <c r="DB331" s="340"/>
      <c r="DC331" s="340"/>
      <c r="DD331" s="341"/>
      <c r="DE331" s="346"/>
      <c r="DF331" s="347"/>
      <c r="DG331" s="347"/>
      <c r="DH331" s="347"/>
      <c r="DI331" s="347"/>
      <c r="DJ331" s="347"/>
      <c r="DK331" s="347"/>
      <c r="DL331" s="347"/>
      <c r="DM331" s="347"/>
      <c r="DN331" s="347"/>
      <c r="DO331" s="347"/>
      <c r="DP331" s="347"/>
      <c r="DQ331" s="348"/>
      <c r="DR331" s="346"/>
      <c r="DS331" s="347"/>
      <c r="DT331" s="347"/>
      <c r="DU331" s="347"/>
      <c r="DV331" s="347"/>
      <c r="DW331" s="347"/>
      <c r="DX331" s="347"/>
      <c r="DY331" s="347"/>
      <c r="DZ331" s="347"/>
      <c r="EA331" s="347"/>
      <c r="EB331" s="347"/>
      <c r="EC331" s="347"/>
      <c r="ED331" s="348"/>
      <c r="EE331" s="346"/>
      <c r="EF331" s="347"/>
      <c r="EG331" s="347"/>
      <c r="EH331" s="347"/>
      <c r="EI331" s="347"/>
      <c r="EJ331" s="347"/>
      <c r="EK331" s="347"/>
      <c r="EL331" s="347"/>
      <c r="EM331" s="347"/>
      <c r="EN331" s="347"/>
      <c r="EO331" s="347"/>
      <c r="EP331" s="347"/>
      <c r="EQ331" s="348"/>
      <c r="ER331" s="349"/>
      <c r="ES331" s="350"/>
      <c r="ET331" s="350"/>
      <c r="EU331" s="350"/>
      <c r="EV331" s="350"/>
      <c r="EW331" s="350"/>
      <c r="EX331" s="350"/>
      <c r="EY331" s="350"/>
      <c r="EZ331" s="350"/>
      <c r="FA331" s="350"/>
      <c r="FB331" s="351"/>
      <c r="FC331" s="352"/>
      <c r="FD331" s="353"/>
      <c r="FE331" s="353"/>
      <c r="FF331" s="353"/>
      <c r="FG331" s="353"/>
      <c r="FH331" s="353"/>
      <c r="FI331" s="353"/>
      <c r="FJ331" s="353"/>
      <c r="FK331" s="353"/>
      <c r="FL331" s="353"/>
      <c r="FO331" s="275"/>
      <c r="FP331" s="275"/>
      <c r="FQ331" s="275">
        <f t="shared" si="7"/>
        <v>0</v>
      </c>
    </row>
    <row r="332" spans="1:173" ht="12" hidden="1" customHeight="1">
      <c r="A332" s="441"/>
      <c r="B332" s="447"/>
      <c r="C332" s="447"/>
      <c r="D332" s="447"/>
      <c r="E332" s="447"/>
      <c r="F332" s="447"/>
      <c r="G332" s="447"/>
      <c r="H332" s="447"/>
      <c r="I332" s="447"/>
      <c r="J332" s="447"/>
      <c r="K332" s="447"/>
      <c r="L332" s="447"/>
      <c r="M332" s="447"/>
      <c r="N332" s="447"/>
      <c r="O332" s="447"/>
      <c r="P332" s="447"/>
      <c r="Q332" s="447"/>
      <c r="R332" s="447"/>
      <c r="S332" s="447"/>
      <c r="T332" s="447"/>
      <c r="U332" s="447"/>
      <c r="V332" s="447"/>
      <c r="W332" s="447"/>
      <c r="X332" s="447"/>
      <c r="Y332" s="447"/>
      <c r="Z332" s="447"/>
      <c r="AA332" s="447"/>
      <c r="AB332" s="447"/>
      <c r="AC332" s="447"/>
      <c r="AD332" s="447"/>
      <c r="AE332" s="447"/>
      <c r="AF332" s="447"/>
      <c r="AG332" s="447"/>
      <c r="AH332" s="447"/>
      <c r="AI332" s="447"/>
      <c r="AJ332" s="447"/>
      <c r="AK332" s="447"/>
      <c r="AL332" s="447"/>
      <c r="AM332" s="447"/>
      <c r="AN332" s="447"/>
      <c r="AO332" s="447"/>
      <c r="AP332" s="447"/>
      <c r="AQ332" s="447"/>
      <c r="AR332" s="447"/>
      <c r="AS332" s="447"/>
      <c r="AT332" s="447"/>
      <c r="AU332" s="447"/>
      <c r="AV332" s="447"/>
      <c r="AW332" s="447"/>
      <c r="AX332" s="447"/>
      <c r="AY332" s="447"/>
      <c r="AZ332" s="447"/>
      <c r="BA332" s="447"/>
      <c r="BB332" s="447"/>
      <c r="BC332" s="447"/>
      <c r="BD332" s="447"/>
      <c r="BE332" s="447"/>
      <c r="BF332" s="447"/>
      <c r="BG332" s="447"/>
      <c r="BH332" s="447"/>
      <c r="BI332" s="447"/>
      <c r="BJ332" s="447"/>
      <c r="BK332" s="448"/>
      <c r="BL332" s="339"/>
      <c r="BM332" s="340"/>
      <c r="BN332" s="340"/>
      <c r="BO332" s="340"/>
      <c r="BP332" s="340"/>
      <c r="BQ332" s="340"/>
      <c r="BR332" s="340"/>
      <c r="BS332" s="341"/>
      <c r="BT332" s="342"/>
      <c r="BU332" s="343"/>
      <c r="BV332" s="343"/>
      <c r="BW332" s="343"/>
      <c r="BX332" s="343"/>
      <c r="BY332" s="343"/>
      <c r="BZ332" s="343"/>
      <c r="CA332" s="343"/>
      <c r="CB332" s="343"/>
      <c r="CC332" s="343"/>
      <c r="CD332" s="343"/>
      <c r="CE332" s="343"/>
      <c r="CF332" s="344"/>
      <c r="CG332" s="345"/>
      <c r="CH332" s="340"/>
      <c r="CI332" s="340"/>
      <c r="CJ332" s="340"/>
      <c r="CK332" s="340"/>
      <c r="CL332" s="340"/>
      <c r="CM332" s="340"/>
      <c r="CN332" s="340"/>
      <c r="CO332" s="340"/>
      <c r="CP332" s="340"/>
      <c r="CQ332" s="341"/>
      <c r="CR332" s="345"/>
      <c r="CS332" s="340"/>
      <c r="CT332" s="340"/>
      <c r="CU332" s="340"/>
      <c r="CV332" s="340"/>
      <c r="CW332" s="340"/>
      <c r="CX332" s="340"/>
      <c r="CY332" s="340"/>
      <c r="CZ332" s="340"/>
      <c r="DA332" s="340"/>
      <c r="DB332" s="340"/>
      <c r="DC332" s="340"/>
      <c r="DD332" s="341"/>
      <c r="DE332" s="346"/>
      <c r="DF332" s="347"/>
      <c r="DG332" s="347"/>
      <c r="DH332" s="347"/>
      <c r="DI332" s="347"/>
      <c r="DJ332" s="347"/>
      <c r="DK332" s="347"/>
      <c r="DL332" s="347"/>
      <c r="DM332" s="347"/>
      <c r="DN332" s="347"/>
      <c r="DO332" s="347"/>
      <c r="DP332" s="347"/>
      <c r="DQ332" s="348"/>
      <c r="DR332" s="346"/>
      <c r="DS332" s="347"/>
      <c r="DT332" s="347"/>
      <c r="DU332" s="347"/>
      <c r="DV332" s="347"/>
      <c r="DW332" s="347"/>
      <c r="DX332" s="347"/>
      <c r="DY332" s="347"/>
      <c r="DZ332" s="347"/>
      <c r="EA332" s="347"/>
      <c r="EB332" s="347"/>
      <c r="EC332" s="347"/>
      <c r="ED332" s="348"/>
      <c r="EE332" s="346"/>
      <c r="EF332" s="347"/>
      <c r="EG332" s="347"/>
      <c r="EH332" s="347"/>
      <c r="EI332" s="347"/>
      <c r="EJ332" s="347"/>
      <c r="EK332" s="347"/>
      <c r="EL332" s="347"/>
      <c r="EM332" s="347"/>
      <c r="EN332" s="347"/>
      <c r="EO332" s="347"/>
      <c r="EP332" s="347"/>
      <c r="EQ332" s="348"/>
      <c r="ER332" s="349"/>
      <c r="ES332" s="350"/>
      <c r="ET332" s="350"/>
      <c r="EU332" s="350"/>
      <c r="EV332" s="350"/>
      <c r="EW332" s="350"/>
      <c r="EX332" s="350"/>
      <c r="EY332" s="350"/>
      <c r="EZ332" s="350"/>
      <c r="FA332" s="350"/>
      <c r="FB332" s="351"/>
      <c r="FC332" s="352"/>
      <c r="FD332" s="353"/>
      <c r="FE332" s="353"/>
      <c r="FF332" s="353"/>
      <c r="FG332" s="353"/>
      <c r="FH332" s="353"/>
      <c r="FI332" s="353"/>
      <c r="FJ332" s="353"/>
      <c r="FK332" s="353"/>
      <c r="FL332" s="353"/>
      <c r="FO332" s="275"/>
      <c r="FP332" s="275"/>
      <c r="FQ332" s="275">
        <f t="shared" si="7"/>
        <v>0</v>
      </c>
    </row>
    <row r="333" spans="1:173" ht="12" hidden="1" customHeight="1">
      <c r="A333" s="441"/>
      <c r="B333" s="447"/>
      <c r="C333" s="447"/>
      <c r="D333" s="447"/>
      <c r="E333" s="447"/>
      <c r="F333" s="447"/>
      <c r="G333" s="447"/>
      <c r="H333" s="447"/>
      <c r="I333" s="447"/>
      <c r="J333" s="447"/>
      <c r="K333" s="447"/>
      <c r="L333" s="447"/>
      <c r="M333" s="447"/>
      <c r="N333" s="447"/>
      <c r="O333" s="447"/>
      <c r="P333" s="447"/>
      <c r="Q333" s="447"/>
      <c r="R333" s="447"/>
      <c r="S333" s="447"/>
      <c r="T333" s="447"/>
      <c r="U333" s="447"/>
      <c r="V333" s="447"/>
      <c r="W333" s="447"/>
      <c r="X333" s="447"/>
      <c r="Y333" s="447"/>
      <c r="Z333" s="447"/>
      <c r="AA333" s="447"/>
      <c r="AB333" s="447"/>
      <c r="AC333" s="447"/>
      <c r="AD333" s="447"/>
      <c r="AE333" s="447"/>
      <c r="AF333" s="447"/>
      <c r="AG333" s="447"/>
      <c r="AH333" s="447"/>
      <c r="AI333" s="447"/>
      <c r="AJ333" s="447"/>
      <c r="AK333" s="447"/>
      <c r="AL333" s="447"/>
      <c r="AM333" s="447"/>
      <c r="AN333" s="447"/>
      <c r="AO333" s="447"/>
      <c r="AP333" s="447"/>
      <c r="AQ333" s="447"/>
      <c r="AR333" s="447"/>
      <c r="AS333" s="447"/>
      <c r="AT333" s="447"/>
      <c r="AU333" s="447"/>
      <c r="AV333" s="447"/>
      <c r="AW333" s="447"/>
      <c r="AX333" s="447"/>
      <c r="AY333" s="447"/>
      <c r="AZ333" s="447"/>
      <c r="BA333" s="447"/>
      <c r="BB333" s="447"/>
      <c r="BC333" s="447"/>
      <c r="BD333" s="447"/>
      <c r="BE333" s="447"/>
      <c r="BF333" s="447"/>
      <c r="BG333" s="447"/>
      <c r="BH333" s="447"/>
      <c r="BI333" s="447"/>
      <c r="BJ333" s="447"/>
      <c r="BK333" s="448"/>
      <c r="BL333" s="339"/>
      <c r="BM333" s="340"/>
      <c r="BN333" s="340"/>
      <c r="BO333" s="340"/>
      <c r="BP333" s="340"/>
      <c r="BQ333" s="340"/>
      <c r="BR333" s="340"/>
      <c r="BS333" s="341"/>
      <c r="BT333" s="342"/>
      <c r="BU333" s="343"/>
      <c r="BV333" s="343"/>
      <c r="BW333" s="343"/>
      <c r="BX333" s="343"/>
      <c r="BY333" s="343"/>
      <c r="BZ333" s="343"/>
      <c r="CA333" s="343"/>
      <c r="CB333" s="343"/>
      <c r="CC333" s="343"/>
      <c r="CD333" s="343"/>
      <c r="CE333" s="343"/>
      <c r="CF333" s="344"/>
      <c r="CG333" s="345"/>
      <c r="CH333" s="340"/>
      <c r="CI333" s="340"/>
      <c r="CJ333" s="340"/>
      <c r="CK333" s="340"/>
      <c r="CL333" s="340"/>
      <c r="CM333" s="340"/>
      <c r="CN333" s="340"/>
      <c r="CO333" s="340"/>
      <c r="CP333" s="340"/>
      <c r="CQ333" s="341"/>
      <c r="CR333" s="345"/>
      <c r="CS333" s="340"/>
      <c r="CT333" s="340"/>
      <c r="CU333" s="340"/>
      <c r="CV333" s="340"/>
      <c r="CW333" s="340"/>
      <c r="CX333" s="340"/>
      <c r="CY333" s="340"/>
      <c r="CZ333" s="340"/>
      <c r="DA333" s="340"/>
      <c r="DB333" s="340"/>
      <c r="DC333" s="340"/>
      <c r="DD333" s="341"/>
      <c r="DE333" s="346"/>
      <c r="DF333" s="347"/>
      <c r="DG333" s="347"/>
      <c r="DH333" s="347"/>
      <c r="DI333" s="347"/>
      <c r="DJ333" s="347"/>
      <c r="DK333" s="347"/>
      <c r="DL333" s="347"/>
      <c r="DM333" s="347"/>
      <c r="DN333" s="347"/>
      <c r="DO333" s="347"/>
      <c r="DP333" s="347"/>
      <c r="DQ333" s="348"/>
      <c r="DR333" s="346"/>
      <c r="DS333" s="347"/>
      <c r="DT333" s="347"/>
      <c r="DU333" s="347"/>
      <c r="DV333" s="347"/>
      <c r="DW333" s="347"/>
      <c r="DX333" s="347"/>
      <c r="DY333" s="347"/>
      <c r="DZ333" s="347"/>
      <c r="EA333" s="347"/>
      <c r="EB333" s="347"/>
      <c r="EC333" s="347"/>
      <c r="ED333" s="348"/>
      <c r="EE333" s="346"/>
      <c r="EF333" s="347"/>
      <c r="EG333" s="347"/>
      <c r="EH333" s="347"/>
      <c r="EI333" s="347"/>
      <c r="EJ333" s="347"/>
      <c r="EK333" s="347"/>
      <c r="EL333" s="347"/>
      <c r="EM333" s="347"/>
      <c r="EN333" s="347"/>
      <c r="EO333" s="347"/>
      <c r="EP333" s="347"/>
      <c r="EQ333" s="348"/>
      <c r="ER333" s="349"/>
      <c r="ES333" s="350"/>
      <c r="ET333" s="350"/>
      <c r="EU333" s="350"/>
      <c r="EV333" s="350"/>
      <c r="EW333" s="350"/>
      <c r="EX333" s="350"/>
      <c r="EY333" s="350"/>
      <c r="EZ333" s="350"/>
      <c r="FA333" s="350"/>
      <c r="FB333" s="351"/>
      <c r="FC333" s="352"/>
      <c r="FD333" s="353"/>
      <c r="FE333" s="353"/>
      <c r="FF333" s="353"/>
      <c r="FG333" s="353"/>
      <c r="FH333" s="353"/>
      <c r="FI333" s="353"/>
      <c r="FJ333" s="353"/>
      <c r="FK333" s="353"/>
      <c r="FL333" s="353"/>
      <c r="FO333" s="275"/>
      <c r="FP333" s="275"/>
      <c r="FQ333" s="275">
        <f t="shared" si="7"/>
        <v>0</v>
      </c>
    </row>
    <row r="334" spans="1:173" ht="12" hidden="1" customHeight="1">
      <c r="A334" s="441"/>
      <c r="B334" s="447"/>
      <c r="C334" s="447"/>
      <c r="D334" s="447"/>
      <c r="E334" s="447"/>
      <c r="F334" s="447"/>
      <c r="G334" s="447"/>
      <c r="H334" s="447"/>
      <c r="I334" s="447"/>
      <c r="J334" s="447"/>
      <c r="K334" s="447"/>
      <c r="L334" s="447"/>
      <c r="M334" s="447"/>
      <c r="N334" s="447"/>
      <c r="O334" s="447"/>
      <c r="P334" s="447"/>
      <c r="Q334" s="447"/>
      <c r="R334" s="447"/>
      <c r="S334" s="447"/>
      <c r="T334" s="447"/>
      <c r="U334" s="447"/>
      <c r="V334" s="447"/>
      <c r="W334" s="447"/>
      <c r="X334" s="447"/>
      <c r="Y334" s="447"/>
      <c r="Z334" s="447"/>
      <c r="AA334" s="447"/>
      <c r="AB334" s="447"/>
      <c r="AC334" s="447"/>
      <c r="AD334" s="447"/>
      <c r="AE334" s="447"/>
      <c r="AF334" s="447"/>
      <c r="AG334" s="447"/>
      <c r="AH334" s="447"/>
      <c r="AI334" s="447"/>
      <c r="AJ334" s="447"/>
      <c r="AK334" s="447"/>
      <c r="AL334" s="447"/>
      <c r="AM334" s="447"/>
      <c r="AN334" s="447"/>
      <c r="AO334" s="447"/>
      <c r="AP334" s="447"/>
      <c r="AQ334" s="447"/>
      <c r="AR334" s="447"/>
      <c r="AS334" s="447"/>
      <c r="AT334" s="447"/>
      <c r="AU334" s="447"/>
      <c r="AV334" s="447"/>
      <c r="AW334" s="447"/>
      <c r="AX334" s="447"/>
      <c r="AY334" s="447"/>
      <c r="AZ334" s="447"/>
      <c r="BA334" s="447"/>
      <c r="BB334" s="447"/>
      <c r="BC334" s="447"/>
      <c r="BD334" s="447"/>
      <c r="BE334" s="447"/>
      <c r="BF334" s="447"/>
      <c r="BG334" s="447"/>
      <c r="BH334" s="447"/>
      <c r="BI334" s="447"/>
      <c r="BJ334" s="447"/>
      <c r="BK334" s="448"/>
      <c r="BL334" s="339"/>
      <c r="BM334" s="340"/>
      <c r="BN334" s="340"/>
      <c r="BO334" s="340"/>
      <c r="BP334" s="340"/>
      <c r="BQ334" s="340"/>
      <c r="BR334" s="340"/>
      <c r="BS334" s="341"/>
      <c r="BT334" s="342"/>
      <c r="BU334" s="343"/>
      <c r="BV334" s="343"/>
      <c r="BW334" s="343"/>
      <c r="BX334" s="343"/>
      <c r="BY334" s="343"/>
      <c r="BZ334" s="343"/>
      <c r="CA334" s="343"/>
      <c r="CB334" s="343"/>
      <c r="CC334" s="343"/>
      <c r="CD334" s="343"/>
      <c r="CE334" s="343"/>
      <c r="CF334" s="344"/>
      <c r="CG334" s="345"/>
      <c r="CH334" s="340"/>
      <c r="CI334" s="340"/>
      <c r="CJ334" s="340"/>
      <c r="CK334" s="340"/>
      <c r="CL334" s="340"/>
      <c r="CM334" s="340"/>
      <c r="CN334" s="340"/>
      <c r="CO334" s="340"/>
      <c r="CP334" s="340"/>
      <c r="CQ334" s="341"/>
      <c r="CR334" s="345"/>
      <c r="CS334" s="340"/>
      <c r="CT334" s="340"/>
      <c r="CU334" s="340"/>
      <c r="CV334" s="340"/>
      <c r="CW334" s="340"/>
      <c r="CX334" s="340"/>
      <c r="CY334" s="340"/>
      <c r="CZ334" s="340"/>
      <c r="DA334" s="340"/>
      <c r="DB334" s="340"/>
      <c r="DC334" s="340"/>
      <c r="DD334" s="341"/>
      <c r="DE334" s="346"/>
      <c r="DF334" s="347"/>
      <c r="DG334" s="347"/>
      <c r="DH334" s="347"/>
      <c r="DI334" s="347"/>
      <c r="DJ334" s="347"/>
      <c r="DK334" s="347"/>
      <c r="DL334" s="347"/>
      <c r="DM334" s="347"/>
      <c r="DN334" s="347"/>
      <c r="DO334" s="347"/>
      <c r="DP334" s="347"/>
      <c r="DQ334" s="348"/>
      <c r="DR334" s="346"/>
      <c r="DS334" s="347"/>
      <c r="DT334" s="347"/>
      <c r="DU334" s="347"/>
      <c r="DV334" s="347"/>
      <c r="DW334" s="347"/>
      <c r="DX334" s="347"/>
      <c r="DY334" s="347"/>
      <c r="DZ334" s="347"/>
      <c r="EA334" s="347"/>
      <c r="EB334" s="347"/>
      <c r="EC334" s="347"/>
      <c r="ED334" s="348"/>
      <c r="EE334" s="346"/>
      <c r="EF334" s="347"/>
      <c r="EG334" s="347"/>
      <c r="EH334" s="347"/>
      <c r="EI334" s="347"/>
      <c r="EJ334" s="347"/>
      <c r="EK334" s="347"/>
      <c r="EL334" s="347"/>
      <c r="EM334" s="347"/>
      <c r="EN334" s="347"/>
      <c r="EO334" s="347"/>
      <c r="EP334" s="347"/>
      <c r="EQ334" s="348"/>
      <c r="ER334" s="349"/>
      <c r="ES334" s="350"/>
      <c r="ET334" s="350"/>
      <c r="EU334" s="350"/>
      <c r="EV334" s="350"/>
      <c r="EW334" s="350"/>
      <c r="EX334" s="350"/>
      <c r="EY334" s="350"/>
      <c r="EZ334" s="350"/>
      <c r="FA334" s="350"/>
      <c r="FB334" s="351"/>
      <c r="FC334" s="352"/>
      <c r="FD334" s="353"/>
      <c r="FE334" s="353"/>
      <c r="FF334" s="353"/>
      <c r="FG334" s="353"/>
      <c r="FH334" s="353"/>
      <c r="FI334" s="353"/>
      <c r="FJ334" s="353"/>
      <c r="FK334" s="353"/>
      <c r="FL334" s="353"/>
      <c r="FO334" s="275"/>
      <c r="FP334" s="275"/>
      <c r="FQ334" s="275">
        <f t="shared" ref="FQ334:FQ398" si="8">DR334-FO334-FP334</f>
        <v>0</v>
      </c>
    </row>
    <row r="335" spans="1:173" ht="12" hidden="1" customHeight="1">
      <c r="A335" s="441"/>
      <c r="B335" s="447"/>
      <c r="C335" s="447"/>
      <c r="D335" s="447"/>
      <c r="E335" s="447"/>
      <c r="F335" s="447"/>
      <c r="G335" s="447"/>
      <c r="H335" s="447"/>
      <c r="I335" s="447"/>
      <c r="J335" s="447"/>
      <c r="K335" s="447"/>
      <c r="L335" s="447"/>
      <c r="M335" s="447"/>
      <c r="N335" s="447"/>
      <c r="O335" s="447"/>
      <c r="P335" s="447"/>
      <c r="Q335" s="447"/>
      <c r="R335" s="447"/>
      <c r="S335" s="447"/>
      <c r="T335" s="447"/>
      <c r="U335" s="447"/>
      <c r="V335" s="447"/>
      <c r="W335" s="447"/>
      <c r="X335" s="447"/>
      <c r="Y335" s="447"/>
      <c r="Z335" s="447"/>
      <c r="AA335" s="447"/>
      <c r="AB335" s="447"/>
      <c r="AC335" s="447"/>
      <c r="AD335" s="447"/>
      <c r="AE335" s="447"/>
      <c r="AF335" s="447"/>
      <c r="AG335" s="447"/>
      <c r="AH335" s="447"/>
      <c r="AI335" s="447"/>
      <c r="AJ335" s="447"/>
      <c r="AK335" s="447"/>
      <c r="AL335" s="447"/>
      <c r="AM335" s="447"/>
      <c r="AN335" s="447"/>
      <c r="AO335" s="447"/>
      <c r="AP335" s="447"/>
      <c r="AQ335" s="447"/>
      <c r="AR335" s="447"/>
      <c r="AS335" s="447"/>
      <c r="AT335" s="447"/>
      <c r="AU335" s="447"/>
      <c r="AV335" s="447"/>
      <c r="AW335" s="447"/>
      <c r="AX335" s="447"/>
      <c r="AY335" s="447"/>
      <c r="AZ335" s="447"/>
      <c r="BA335" s="447"/>
      <c r="BB335" s="447"/>
      <c r="BC335" s="447"/>
      <c r="BD335" s="447"/>
      <c r="BE335" s="447"/>
      <c r="BF335" s="447"/>
      <c r="BG335" s="447"/>
      <c r="BH335" s="447"/>
      <c r="BI335" s="447"/>
      <c r="BJ335" s="447"/>
      <c r="BK335" s="448"/>
      <c r="BL335" s="339"/>
      <c r="BM335" s="340"/>
      <c r="BN335" s="340"/>
      <c r="BO335" s="340"/>
      <c r="BP335" s="340"/>
      <c r="BQ335" s="340"/>
      <c r="BR335" s="340"/>
      <c r="BS335" s="341"/>
      <c r="BT335" s="342"/>
      <c r="BU335" s="343"/>
      <c r="BV335" s="343"/>
      <c r="BW335" s="343"/>
      <c r="BX335" s="343"/>
      <c r="BY335" s="343"/>
      <c r="BZ335" s="343"/>
      <c r="CA335" s="343"/>
      <c r="CB335" s="343"/>
      <c r="CC335" s="343"/>
      <c r="CD335" s="343"/>
      <c r="CE335" s="343"/>
      <c r="CF335" s="344"/>
      <c r="CG335" s="345"/>
      <c r="CH335" s="340"/>
      <c r="CI335" s="340"/>
      <c r="CJ335" s="340"/>
      <c r="CK335" s="340"/>
      <c r="CL335" s="340"/>
      <c r="CM335" s="340"/>
      <c r="CN335" s="340"/>
      <c r="CO335" s="340"/>
      <c r="CP335" s="340"/>
      <c r="CQ335" s="341"/>
      <c r="CR335" s="345"/>
      <c r="CS335" s="340"/>
      <c r="CT335" s="340"/>
      <c r="CU335" s="340"/>
      <c r="CV335" s="340"/>
      <c r="CW335" s="340"/>
      <c r="CX335" s="340"/>
      <c r="CY335" s="340"/>
      <c r="CZ335" s="340"/>
      <c r="DA335" s="340"/>
      <c r="DB335" s="340"/>
      <c r="DC335" s="340"/>
      <c r="DD335" s="341"/>
      <c r="DE335" s="346"/>
      <c r="DF335" s="347"/>
      <c r="DG335" s="347"/>
      <c r="DH335" s="347"/>
      <c r="DI335" s="347"/>
      <c r="DJ335" s="347"/>
      <c r="DK335" s="347"/>
      <c r="DL335" s="347"/>
      <c r="DM335" s="347"/>
      <c r="DN335" s="347"/>
      <c r="DO335" s="347"/>
      <c r="DP335" s="347"/>
      <c r="DQ335" s="348"/>
      <c r="DR335" s="346"/>
      <c r="DS335" s="347"/>
      <c r="DT335" s="347"/>
      <c r="DU335" s="347"/>
      <c r="DV335" s="347"/>
      <c r="DW335" s="347"/>
      <c r="DX335" s="347"/>
      <c r="DY335" s="347"/>
      <c r="DZ335" s="347"/>
      <c r="EA335" s="347"/>
      <c r="EB335" s="347"/>
      <c r="EC335" s="347"/>
      <c r="ED335" s="348"/>
      <c r="EE335" s="346"/>
      <c r="EF335" s="347"/>
      <c r="EG335" s="347"/>
      <c r="EH335" s="347"/>
      <c r="EI335" s="347"/>
      <c r="EJ335" s="347"/>
      <c r="EK335" s="347"/>
      <c r="EL335" s="347"/>
      <c r="EM335" s="347"/>
      <c r="EN335" s="347"/>
      <c r="EO335" s="347"/>
      <c r="EP335" s="347"/>
      <c r="EQ335" s="348"/>
      <c r="ER335" s="349"/>
      <c r="ES335" s="350"/>
      <c r="ET335" s="350"/>
      <c r="EU335" s="350"/>
      <c r="EV335" s="350"/>
      <c r="EW335" s="350"/>
      <c r="EX335" s="350"/>
      <c r="EY335" s="350"/>
      <c r="EZ335" s="350"/>
      <c r="FA335" s="350"/>
      <c r="FB335" s="351"/>
      <c r="FC335" s="352"/>
      <c r="FD335" s="353"/>
      <c r="FE335" s="353"/>
      <c r="FF335" s="353"/>
      <c r="FG335" s="353"/>
      <c r="FH335" s="353"/>
      <c r="FI335" s="353"/>
      <c r="FJ335" s="353"/>
      <c r="FK335" s="353"/>
      <c r="FL335" s="353"/>
      <c r="FO335" s="275"/>
      <c r="FP335" s="275"/>
      <c r="FQ335" s="275">
        <f t="shared" si="8"/>
        <v>0</v>
      </c>
    </row>
    <row r="336" spans="1:173" ht="12" hidden="1" customHeight="1">
      <c r="A336" s="441"/>
      <c r="B336" s="447"/>
      <c r="C336" s="447"/>
      <c r="D336" s="447"/>
      <c r="E336" s="447"/>
      <c r="F336" s="447"/>
      <c r="G336" s="447"/>
      <c r="H336" s="447"/>
      <c r="I336" s="447"/>
      <c r="J336" s="447"/>
      <c r="K336" s="447"/>
      <c r="L336" s="447"/>
      <c r="M336" s="447"/>
      <c r="N336" s="447"/>
      <c r="O336" s="447"/>
      <c r="P336" s="447"/>
      <c r="Q336" s="447"/>
      <c r="R336" s="447"/>
      <c r="S336" s="447"/>
      <c r="T336" s="447"/>
      <c r="U336" s="447"/>
      <c r="V336" s="447"/>
      <c r="W336" s="447"/>
      <c r="X336" s="447"/>
      <c r="Y336" s="447"/>
      <c r="Z336" s="447"/>
      <c r="AA336" s="447"/>
      <c r="AB336" s="447"/>
      <c r="AC336" s="447"/>
      <c r="AD336" s="447"/>
      <c r="AE336" s="447"/>
      <c r="AF336" s="447"/>
      <c r="AG336" s="447"/>
      <c r="AH336" s="447"/>
      <c r="AI336" s="447"/>
      <c r="AJ336" s="447"/>
      <c r="AK336" s="447"/>
      <c r="AL336" s="447"/>
      <c r="AM336" s="447"/>
      <c r="AN336" s="447"/>
      <c r="AO336" s="447"/>
      <c r="AP336" s="447"/>
      <c r="AQ336" s="447"/>
      <c r="AR336" s="447"/>
      <c r="AS336" s="447"/>
      <c r="AT336" s="447"/>
      <c r="AU336" s="447"/>
      <c r="AV336" s="447"/>
      <c r="AW336" s="447"/>
      <c r="AX336" s="447"/>
      <c r="AY336" s="447"/>
      <c r="AZ336" s="447"/>
      <c r="BA336" s="447"/>
      <c r="BB336" s="447"/>
      <c r="BC336" s="447"/>
      <c r="BD336" s="447"/>
      <c r="BE336" s="447"/>
      <c r="BF336" s="447"/>
      <c r="BG336" s="447"/>
      <c r="BH336" s="447"/>
      <c r="BI336" s="447"/>
      <c r="BJ336" s="447"/>
      <c r="BK336" s="448"/>
      <c r="BL336" s="339"/>
      <c r="BM336" s="340"/>
      <c r="BN336" s="340"/>
      <c r="BO336" s="340"/>
      <c r="BP336" s="340"/>
      <c r="BQ336" s="340"/>
      <c r="BR336" s="340"/>
      <c r="BS336" s="341"/>
      <c r="BT336" s="342"/>
      <c r="BU336" s="343"/>
      <c r="BV336" s="343"/>
      <c r="BW336" s="343"/>
      <c r="BX336" s="343"/>
      <c r="BY336" s="343"/>
      <c r="BZ336" s="343"/>
      <c r="CA336" s="343"/>
      <c r="CB336" s="343"/>
      <c r="CC336" s="343"/>
      <c r="CD336" s="343"/>
      <c r="CE336" s="343"/>
      <c r="CF336" s="344"/>
      <c r="CG336" s="345"/>
      <c r="CH336" s="340"/>
      <c r="CI336" s="340"/>
      <c r="CJ336" s="340"/>
      <c r="CK336" s="340"/>
      <c r="CL336" s="340"/>
      <c r="CM336" s="340"/>
      <c r="CN336" s="340"/>
      <c r="CO336" s="340"/>
      <c r="CP336" s="340"/>
      <c r="CQ336" s="341"/>
      <c r="CR336" s="345"/>
      <c r="CS336" s="340"/>
      <c r="CT336" s="340"/>
      <c r="CU336" s="340"/>
      <c r="CV336" s="340"/>
      <c r="CW336" s="340"/>
      <c r="CX336" s="340"/>
      <c r="CY336" s="340"/>
      <c r="CZ336" s="340"/>
      <c r="DA336" s="340"/>
      <c r="DB336" s="340"/>
      <c r="DC336" s="340"/>
      <c r="DD336" s="341"/>
      <c r="DE336" s="346"/>
      <c r="DF336" s="347"/>
      <c r="DG336" s="347"/>
      <c r="DH336" s="347"/>
      <c r="DI336" s="347"/>
      <c r="DJ336" s="347"/>
      <c r="DK336" s="347"/>
      <c r="DL336" s="347"/>
      <c r="DM336" s="347"/>
      <c r="DN336" s="347"/>
      <c r="DO336" s="347"/>
      <c r="DP336" s="347"/>
      <c r="DQ336" s="348"/>
      <c r="DR336" s="346"/>
      <c r="DS336" s="347"/>
      <c r="DT336" s="347"/>
      <c r="DU336" s="347"/>
      <c r="DV336" s="347"/>
      <c r="DW336" s="347"/>
      <c r="DX336" s="347"/>
      <c r="DY336" s="347"/>
      <c r="DZ336" s="347"/>
      <c r="EA336" s="347"/>
      <c r="EB336" s="347"/>
      <c r="EC336" s="347"/>
      <c r="ED336" s="348"/>
      <c r="EE336" s="346"/>
      <c r="EF336" s="347"/>
      <c r="EG336" s="347"/>
      <c r="EH336" s="347"/>
      <c r="EI336" s="347"/>
      <c r="EJ336" s="347"/>
      <c r="EK336" s="347"/>
      <c r="EL336" s="347"/>
      <c r="EM336" s="347"/>
      <c r="EN336" s="347"/>
      <c r="EO336" s="347"/>
      <c r="EP336" s="347"/>
      <c r="EQ336" s="348"/>
      <c r="ER336" s="349"/>
      <c r="ES336" s="350"/>
      <c r="ET336" s="350"/>
      <c r="EU336" s="350"/>
      <c r="EV336" s="350"/>
      <c r="EW336" s="350"/>
      <c r="EX336" s="350"/>
      <c r="EY336" s="350"/>
      <c r="EZ336" s="350"/>
      <c r="FA336" s="350"/>
      <c r="FB336" s="351"/>
      <c r="FC336" s="352"/>
      <c r="FD336" s="353"/>
      <c r="FE336" s="353"/>
      <c r="FF336" s="353"/>
      <c r="FG336" s="353"/>
      <c r="FH336" s="353"/>
      <c r="FI336" s="353"/>
      <c r="FJ336" s="353"/>
      <c r="FK336" s="353"/>
      <c r="FL336" s="353"/>
      <c r="FO336" s="275"/>
      <c r="FP336" s="275"/>
      <c r="FQ336" s="275">
        <f t="shared" si="8"/>
        <v>0</v>
      </c>
    </row>
    <row r="337" spans="1:173" ht="12" hidden="1" customHeight="1">
      <c r="A337" s="441"/>
      <c r="B337" s="447"/>
      <c r="C337" s="447"/>
      <c r="D337" s="447"/>
      <c r="E337" s="447"/>
      <c r="F337" s="447"/>
      <c r="G337" s="447"/>
      <c r="H337" s="447"/>
      <c r="I337" s="447"/>
      <c r="J337" s="447"/>
      <c r="K337" s="447"/>
      <c r="L337" s="447"/>
      <c r="M337" s="447"/>
      <c r="N337" s="447"/>
      <c r="O337" s="447"/>
      <c r="P337" s="447"/>
      <c r="Q337" s="447"/>
      <c r="R337" s="447"/>
      <c r="S337" s="447"/>
      <c r="T337" s="447"/>
      <c r="U337" s="447"/>
      <c r="V337" s="447"/>
      <c r="W337" s="447"/>
      <c r="X337" s="447"/>
      <c r="Y337" s="447"/>
      <c r="Z337" s="447"/>
      <c r="AA337" s="447"/>
      <c r="AB337" s="447"/>
      <c r="AC337" s="447"/>
      <c r="AD337" s="447"/>
      <c r="AE337" s="447"/>
      <c r="AF337" s="447"/>
      <c r="AG337" s="447"/>
      <c r="AH337" s="447"/>
      <c r="AI337" s="447"/>
      <c r="AJ337" s="447"/>
      <c r="AK337" s="447"/>
      <c r="AL337" s="447"/>
      <c r="AM337" s="447"/>
      <c r="AN337" s="447"/>
      <c r="AO337" s="447"/>
      <c r="AP337" s="447"/>
      <c r="AQ337" s="447"/>
      <c r="AR337" s="447"/>
      <c r="AS337" s="447"/>
      <c r="AT337" s="447"/>
      <c r="AU337" s="447"/>
      <c r="AV337" s="447"/>
      <c r="AW337" s="447"/>
      <c r="AX337" s="447"/>
      <c r="AY337" s="447"/>
      <c r="AZ337" s="447"/>
      <c r="BA337" s="447"/>
      <c r="BB337" s="447"/>
      <c r="BC337" s="447"/>
      <c r="BD337" s="447"/>
      <c r="BE337" s="447"/>
      <c r="BF337" s="447"/>
      <c r="BG337" s="447"/>
      <c r="BH337" s="447"/>
      <c r="BI337" s="447"/>
      <c r="BJ337" s="447"/>
      <c r="BK337" s="448"/>
      <c r="BL337" s="339"/>
      <c r="BM337" s="340"/>
      <c r="BN337" s="340"/>
      <c r="BO337" s="340"/>
      <c r="BP337" s="340"/>
      <c r="BQ337" s="340"/>
      <c r="BR337" s="340"/>
      <c r="BS337" s="341"/>
      <c r="BT337" s="342"/>
      <c r="BU337" s="343"/>
      <c r="BV337" s="343"/>
      <c r="BW337" s="343"/>
      <c r="BX337" s="343"/>
      <c r="BY337" s="343"/>
      <c r="BZ337" s="343"/>
      <c r="CA337" s="343"/>
      <c r="CB337" s="343"/>
      <c r="CC337" s="343"/>
      <c r="CD337" s="343"/>
      <c r="CE337" s="343"/>
      <c r="CF337" s="344"/>
      <c r="CG337" s="345"/>
      <c r="CH337" s="340"/>
      <c r="CI337" s="340"/>
      <c r="CJ337" s="340"/>
      <c r="CK337" s="340"/>
      <c r="CL337" s="340"/>
      <c r="CM337" s="340"/>
      <c r="CN337" s="340"/>
      <c r="CO337" s="340"/>
      <c r="CP337" s="340"/>
      <c r="CQ337" s="341"/>
      <c r="CR337" s="345"/>
      <c r="CS337" s="340"/>
      <c r="CT337" s="340"/>
      <c r="CU337" s="340"/>
      <c r="CV337" s="340"/>
      <c r="CW337" s="340"/>
      <c r="CX337" s="340"/>
      <c r="CY337" s="340"/>
      <c r="CZ337" s="340"/>
      <c r="DA337" s="340"/>
      <c r="DB337" s="340"/>
      <c r="DC337" s="340"/>
      <c r="DD337" s="341"/>
      <c r="DE337" s="346"/>
      <c r="DF337" s="347"/>
      <c r="DG337" s="347"/>
      <c r="DH337" s="347"/>
      <c r="DI337" s="347"/>
      <c r="DJ337" s="347"/>
      <c r="DK337" s="347"/>
      <c r="DL337" s="347"/>
      <c r="DM337" s="347"/>
      <c r="DN337" s="347"/>
      <c r="DO337" s="347"/>
      <c r="DP337" s="347"/>
      <c r="DQ337" s="348"/>
      <c r="DR337" s="346"/>
      <c r="DS337" s="347"/>
      <c r="DT337" s="347"/>
      <c r="DU337" s="347"/>
      <c r="DV337" s="347"/>
      <c r="DW337" s="347"/>
      <c r="DX337" s="347"/>
      <c r="DY337" s="347"/>
      <c r="DZ337" s="347"/>
      <c r="EA337" s="347"/>
      <c r="EB337" s="347"/>
      <c r="EC337" s="347"/>
      <c r="ED337" s="348"/>
      <c r="EE337" s="346"/>
      <c r="EF337" s="347"/>
      <c r="EG337" s="347"/>
      <c r="EH337" s="347"/>
      <c r="EI337" s="347"/>
      <c r="EJ337" s="347"/>
      <c r="EK337" s="347"/>
      <c r="EL337" s="347"/>
      <c r="EM337" s="347"/>
      <c r="EN337" s="347"/>
      <c r="EO337" s="347"/>
      <c r="EP337" s="347"/>
      <c r="EQ337" s="348"/>
      <c r="ER337" s="349"/>
      <c r="ES337" s="350"/>
      <c r="ET337" s="350"/>
      <c r="EU337" s="350"/>
      <c r="EV337" s="350"/>
      <c r="EW337" s="350"/>
      <c r="EX337" s="350"/>
      <c r="EY337" s="350"/>
      <c r="EZ337" s="350"/>
      <c r="FA337" s="350"/>
      <c r="FB337" s="351"/>
      <c r="FC337" s="352"/>
      <c r="FD337" s="353"/>
      <c r="FE337" s="353"/>
      <c r="FF337" s="353"/>
      <c r="FG337" s="353"/>
      <c r="FH337" s="353"/>
      <c r="FI337" s="353"/>
      <c r="FJ337" s="353"/>
      <c r="FK337" s="353"/>
      <c r="FL337" s="353"/>
      <c r="FO337" s="275"/>
      <c r="FP337" s="275"/>
      <c r="FQ337" s="275">
        <f t="shared" si="8"/>
        <v>0</v>
      </c>
    </row>
    <row r="338" spans="1:173" ht="12" hidden="1" customHeight="1">
      <c r="A338" s="441"/>
      <c r="B338" s="447"/>
      <c r="C338" s="447"/>
      <c r="D338" s="447"/>
      <c r="E338" s="447"/>
      <c r="F338" s="447"/>
      <c r="G338" s="447"/>
      <c r="H338" s="447"/>
      <c r="I338" s="447"/>
      <c r="J338" s="447"/>
      <c r="K338" s="447"/>
      <c r="L338" s="447"/>
      <c r="M338" s="447"/>
      <c r="N338" s="447"/>
      <c r="O338" s="447"/>
      <c r="P338" s="447"/>
      <c r="Q338" s="447"/>
      <c r="R338" s="447"/>
      <c r="S338" s="447"/>
      <c r="T338" s="447"/>
      <c r="U338" s="447"/>
      <c r="V338" s="447"/>
      <c r="W338" s="447"/>
      <c r="X338" s="447"/>
      <c r="Y338" s="447"/>
      <c r="Z338" s="447"/>
      <c r="AA338" s="447"/>
      <c r="AB338" s="447"/>
      <c r="AC338" s="447"/>
      <c r="AD338" s="447"/>
      <c r="AE338" s="447"/>
      <c r="AF338" s="447"/>
      <c r="AG338" s="447"/>
      <c r="AH338" s="447"/>
      <c r="AI338" s="447"/>
      <c r="AJ338" s="447"/>
      <c r="AK338" s="447"/>
      <c r="AL338" s="447"/>
      <c r="AM338" s="447"/>
      <c r="AN338" s="447"/>
      <c r="AO338" s="447"/>
      <c r="AP338" s="447"/>
      <c r="AQ338" s="447"/>
      <c r="AR338" s="447"/>
      <c r="AS338" s="447"/>
      <c r="AT338" s="447"/>
      <c r="AU338" s="447"/>
      <c r="AV338" s="447"/>
      <c r="AW338" s="447"/>
      <c r="AX338" s="447"/>
      <c r="AY338" s="447"/>
      <c r="AZ338" s="447"/>
      <c r="BA338" s="447"/>
      <c r="BB338" s="447"/>
      <c r="BC338" s="447"/>
      <c r="BD338" s="447"/>
      <c r="BE338" s="447"/>
      <c r="BF338" s="447"/>
      <c r="BG338" s="447"/>
      <c r="BH338" s="447"/>
      <c r="BI338" s="447"/>
      <c r="BJ338" s="447"/>
      <c r="BK338" s="448"/>
      <c r="BL338" s="339"/>
      <c r="BM338" s="340"/>
      <c r="BN338" s="340"/>
      <c r="BO338" s="340"/>
      <c r="BP338" s="340"/>
      <c r="BQ338" s="340"/>
      <c r="BR338" s="340"/>
      <c r="BS338" s="341"/>
      <c r="BT338" s="342"/>
      <c r="BU338" s="343"/>
      <c r="BV338" s="343"/>
      <c r="BW338" s="343"/>
      <c r="BX338" s="343"/>
      <c r="BY338" s="343"/>
      <c r="BZ338" s="343"/>
      <c r="CA338" s="343"/>
      <c r="CB338" s="343"/>
      <c r="CC338" s="343"/>
      <c r="CD338" s="343"/>
      <c r="CE338" s="343"/>
      <c r="CF338" s="344"/>
      <c r="CG338" s="345"/>
      <c r="CH338" s="340"/>
      <c r="CI338" s="340"/>
      <c r="CJ338" s="340"/>
      <c r="CK338" s="340"/>
      <c r="CL338" s="340"/>
      <c r="CM338" s="340"/>
      <c r="CN338" s="340"/>
      <c r="CO338" s="340"/>
      <c r="CP338" s="340"/>
      <c r="CQ338" s="341"/>
      <c r="CR338" s="345"/>
      <c r="CS338" s="340"/>
      <c r="CT338" s="340"/>
      <c r="CU338" s="340"/>
      <c r="CV338" s="340"/>
      <c r="CW338" s="340"/>
      <c r="CX338" s="340"/>
      <c r="CY338" s="340"/>
      <c r="CZ338" s="340"/>
      <c r="DA338" s="340"/>
      <c r="DB338" s="340"/>
      <c r="DC338" s="340"/>
      <c r="DD338" s="341"/>
      <c r="DE338" s="346"/>
      <c r="DF338" s="347"/>
      <c r="DG338" s="347"/>
      <c r="DH338" s="347"/>
      <c r="DI338" s="347"/>
      <c r="DJ338" s="347"/>
      <c r="DK338" s="347"/>
      <c r="DL338" s="347"/>
      <c r="DM338" s="347"/>
      <c r="DN338" s="347"/>
      <c r="DO338" s="347"/>
      <c r="DP338" s="347"/>
      <c r="DQ338" s="348"/>
      <c r="DR338" s="346"/>
      <c r="DS338" s="347"/>
      <c r="DT338" s="347"/>
      <c r="DU338" s="347"/>
      <c r="DV338" s="347"/>
      <c r="DW338" s="347"/>
      <c r="DX338" s="347"/>
      <c r="DY338" s="347"/>
      <c r="DZ338" s="347"/>
      <c r="EA338" s="347"/>
      <c r="EB338" s="347"/>
      <c r="EC338" s="347"/>
      <c r="ED338" s="348"/>
      <c r="EE338" s="346"/>
      <c r="EF338" s="347"/>
      <c r="EG338" s="347"/>
      <c r="EH338" s="347"/>
      <c r="EI338" s="347"/>
      <c r="EJ338" s="347"/>
      <c r="EK338" s="347"/>
      <c r="EL338" s="347"/>
      <c r="EM338" s="347"/>
      <c r="EN338" s="347"/>
      <c r="EO338" s="347"/>
      <c r="EP338" s="347"/>
      <c r="EQ338" s="348"/>
      <c r="ER338" s="349"/>
      <c r="ES338" s="350"/>
      <c r="ET338" s="350"/>
      <c r="EU338" s="350"/>
      <c r="EV338" s="350"/>
      <c r="EW338" s="350"/>
      <c r="EX338" s="350"/>
      <c r="EY338" s="350"/>
      <c r="EZ338" s="350"/>
      <c r="FA338" s="350"/>
      <c r="FB338" s="351"/>
      <c r="FC338" s="352"/>
      <c r="FD338" s="353"/>
      <c r="FE338" s="353"/>
      <c r="FF338" s="353"/>
      <c r="FG338" s="353"/>
      <c r="FH338" s="353"/>
      <c r="FI338" s="353"/>
      <c r="FJ338" s="353"/>
      <c r="FK338" s="353"/>
      <c r="FL338" s="353"/>
      <c r="FO338" s="275"/>
      <c r="FP338" s="275"/>
      <c r="FQ338" s="275">
        <f t="shared" si="8"/>
        <v>0</v>
      </c>
    </row>
    <row r="339" spans="1:173" ht="12" hidden="1" customHeight="1">
      <c r="A339" s="441"/>
      <c r="B339" s="447"/>
      <c r="C339" s="447"/>
      <c r="D339" s="447"/>
      <c r="E339" s="447"/>
      <c r="F339" s="447"/>
      <c r="G339" s="447"/>
      <c r="H339" s="447"/>
      <c r="I339" s="447"/>
      <c r="J339" s="447"/>
      <c r="K339" s="447"/>
      <c r="L339" s="447"/>
      <c r="M339" s="447"/>
      <c r="N339" s="447"/>
      <c r="O339" s="447"/>
      <c r="P339" s="447"/>
      <c r="Q339" s="447"/>
      <c r="R339" s="447"/>
      <c r="S339" s="447"/>
      <c r="T339" s="447"/>
      <c r="U339" s="447"/>
      <c r="V339" s="447"/>
      <c r="W339" s="447"/>
      <c r="X339" s="447"/>
      <c r="Y339" s="447"/>
      <c r="Z339" s="447"/>
      <c r="AA339" s="447"/>
      <c r="AB339" s="447"/>
      <c r="AC339" s="447"/>
      <c r="AD339" s="447"/>
      <c r="AE339" s="447"/>
      <c r="AF339" s="447"/>
      <c r="AG339" s="447"/>
      <c r="AH339" s="447"/>
      <c r="AI339" s="447"/>
      <c r="AJ339" s="447"/>
      <c r="AK339" s="447"/>
      <c r="AL339" s="447"/>
      <c r="AM339" s="447"/>
      <c r="AN339" s="447"/>
      <c r="AO339" s="447"/>
      <c r="AP339" s="447"/>
      <c r="AQ339" s="447"/>
      <c r="AR339" s="447"/>
      <c r="AS339" s="447"/>
      <c r="AT339" s="447"/>
      <c r="AU339" s="447"/>
      <c r="AV339" s="447"/>
      <c r="AW339" s="447"/>
      <c r="AX339" s="447"/>
      <c r="AY339" s="447"/>
      <c r="AZ339" s="447"/>
      <c r="BA339" s="447"/>
      <c r="BB339" s="447"/>
      <c r="BC339" s="447"/>
      <c r="BD339" s="447"/>
      <c r="BE339" s="447"/>
      <c r="BF339" s="447"/>
      <c r="BG339" s="447"/>
      <c r="BH339" s="447"/>
      <c r="BI339" s="447"/>
      <c r="BJ339" s="447"/>
      <c r="BK339" s="448"/>
      <c r="BL339" s="339"/>
      <c r="BM339" s="340"/>
      <c r="BN339" s="340"/>
      <c r="BO339" s="340"/>
      <c r="BP339" s="340"/>
      <c r="BQ339" s="340"/>
      <c r="BR339" s="340"/>
      <c r="BS339" s="341"/>
      <c r="BT339" s="342"/>
      <c r="BU339" s="343"/>
      <c r="BV339" s="343"/>
      <c r="BW339" s="343"/>
      <c r="BX339" s="343"/>
      <c r="BY339" s="343"/>
      <c r="BZ339" s="343"/>
      <c r="CA339" s="343"/>
      <c r="CB339" s="343"/>
      <c r="CC339" s="343"/>
      <c r="CD339" s="343"/>
      <c r="CE339" s="343"/>
      <c r="CF339" s="344"/>
      <c r="CG339" s="345"/>
      <c r="CH339" s="340"/>
      <c r="CI339" s="340"/>
      <c r="CJ339" s="340"/>
      <c r="CK339" s="340"/>
      <c r="CL339" s="340"/>
      <c r="CM339" s="340"/>
      <c r="CN339" s="340"/>
      <c r="CO339" s="340"/>
      <c r="CP339" s="340"/>
      <c r="CQ339" s="341"/>
      <c r="CR339" s="345"/>
      <c r="CS339" s="340"/>
      <c r="CT339" s="340"/>
      <c r="CU339" s="340"/>
      <c r="CV339" s="340"/>
      <c r="CW339" s="340"/>
      <c r="CX339" s="340"/>
      <c r="CY339" s="340"/>
      <c r="CZ339" s="340"/>
      <c r="DA339" s="340"/>
      <c r="DB339" s="340"/>
      <c r="DC339" s="340"/>
      <c r="DD339" s="341"/>
      <c r="DE339" s="346"/>
      <c r="DF339" s="347"/>
      <c r="DG339" s="347"/>
      <c r="DH339" s="347"/>
      <c r="DI339" s="347"/>
      <c r="DJ339" s="347"/>
      <c r="DK339" s="347"/>
      <c r="DL339" s="347"/>
      <c r="DM339" s="347"/>
      <c r="DN339" s="347"/>
      <c r="DO339" s="347"/>
      <c r="DP339" s="347"/>
      <c r="DQ339" s="348"/>
      <c r="DR339" s="346"/>
      <c r="DS339" s="347"/>
      <c r="DT339" s="347"/>
      <c r="DU339" s="347"/>
      <c r="DV339" s="347"/>
      <c r="DW339" s="347"/>
      <c r="DX339" s="347"/>
      <c r="DY339" s="347"/>
      <c r="DZ339" s="347"/>
      <c r="EA339" s="347"/>
      <c r="EB339" s="347"/>
      <c r="EC339" s="347"/>
      <c r="ED339" s="348"/>
      <c r="EE339" s="346"/>
      <c r="EF339" s="347"/>
      <c r="EG339" s="347"/>
      <c r="EH339" s="347"/>
      <c r="EI339" s="347"/>
      <c r="EJ339" s="347"/>
      <c r="EK339" s="347"/>
      <c r="EL339" s="347"/>
      <c r="EM339" s="347"/>
      <c r="EN339" s="347"/>
      <c r="EO339" s="347"/>
      <c r="EP339" s="347"/>
      <c r="EQ339" s="348"/>
      <c r="ER339" s="349"/>
      <c r="ES339" s="350"/>
      <c r="ET339" s="350"/>
      <c r="EU339" s="350"/>
      <c r="EV339" s="350"/>
      <c r="EW339" s="350"/>
      <c r="EX339" s="350"/>
      <c r="EY339" s="350"/>
      <c r="EZ339" s="350"/>
      <c r="FA339" s="350"/>
      <c r="FB339" s="351"/>
      <c r="FC339" s="352"/>
      <c r="FD339" s="353"/>
      <c r="FE339" s="353"/>
      <c r="FF339" s="353"/>
      <c r="FG339" s="353"/>
      <c r="FH339" s="353"/>
      <c r="FI339" s="353"/>
      <c r="FJ339" s="353"/>
      <c r="FK339" s="353"/>
      <c r="FL339" s="353"/>
      <c r="FO339" s="275"/>
      <c r="FP339" s="275"/>
      <c r="FQ339" s="275">
        <f t="shared" si="8"/>
        <v>0</v>
      </c>
    </row>
    <row r="340" spans="1:173" ht="12" hidden="1" customHeight="1">
      <c r="A340" s="441"/>
      <c r="B340" s="447"/>
      <c r="C340" s="447"/>
      <c r="D340" s="447"/>
      <c r="E340" s="447"/>
      <c r="F340" s="447"/>
      <c r="G340" s="447"/>
      <c r="H340" s="447"/>
      <c r="I340" s="447"/>
      <c r="J340" s="447"/>
      <c r="K340" s="447"/>
      <c r="L340" s="447"/>
      <c r="M340" s="447"/>
      <c r="N340" s="447"/>
      <c r="O340" s="447"/>
      <c r="P340" s="447"/>
      <c r="Q340" s="447"/>
      <c r="R340" s="447"/>
      <c r="S340" s="447"/>
      <c r="T340" s="447"/>
      <c r="U340" s="447"/>
      <c r="V340" s="447"/>
      <c r="W340" s="447"/>
      <c r="X340" s="447"/>
      <c r="Y340" s="447"/>
      <c r="Z340" s="447"/>
      <c r="AA340" s="447"/>
      <c r="AB340" s="447"/>
      <c r="AC340" s="447"/>
      <c r="AD340" s="447"/>
      <c r="AE340" s="447"/>
      <c r="AF340" s="447"/>
      <c r="AG340" s="447"/>
      <c r="AH340" s="447"/>
      <c r="AI340" s="447"/>
      <c r="AJ340" s="447"/>
      <c r="AK340" s="447"/>
      <c r="AL340" s="447"/>
      <c r="AM340" s="447"/>
      <c r="AN340" s="447"/>
      <c r="AO340" s="447"/>
      <c r="AP340" s="447"/>
      <c r="AQ340" s="447"/>
      <c r="AR340" s="447"/>
      <c r="AS340" s="447"/>
      <c r="AT340" s="447"/>
      <c r="AU340" s="447"/>
      <c r="AV340" s="447"/>
      <c r="AW340" s="447"/>
      <c r="AX340" s="447"/>
      <c r="AY340" s="447"/>
      <c r="AZ340" s="447"/>
      <c r="BA340" s="447"/>
      <c r="BB340" s="447"/>
      <c r="BC340" s="447"/>
      <c r="BD340" s="447"/>
      <c r="BE340" s="447"/>
      <c r="BF340" s="447"/>
      <c r="BG340" s="447"/>
      <c r="BH340" s="447"/>
      <c r="BI340" s="447"/>
      <c r="BJ340" s="447"/>
      <c r="BK340" s="448"/>
      <c r="BL340" s="339"/>
      <c r="BM340" s="340"/>
      <c r="BN340" s="340"/>
      <c r="BO340" s="340"/>
      <c r="BP340" s="340"/>
      <c r="BQ340" s="340"/>
      <c r="BR340" s="340"/>
      <c r="BS340" s="341"/>
      <c r="BT340" s="342"/>
      <c r="BU340" s="343"/>
      <c r="BV340" s="343"/>
      <c r="BW340" s="343"/>
      <c r="BX340" s="343"/>
      <c r="BY340" s="343"/>
      <c r="BZ340" s="343"/>
      <c r="CA340" s="343"/>
      <c r="CB340" s="343"/>
      <c r="CC340" s="343"/>
      <c r="CD340" s="343"/>
      <c r="CE340" s="343"/>
      <c r="CF340" s="344"/>
      <c r="CG340" s="345"/>
      <c r="CH340" s="340"/>
      <c r="CI340" s="340"/>
      <c r="CJ340" s="340"/>
      <c r="CK340" s="340"/>
      <c r="CL340" s="340"/>
      <c r="CM340" s="340"/>
      <c r="CN340" s="340"/>
      <c r="CO340" s="340"/>
      <c r="CP340" s="340"/>
      <c r="CQ340" s="341"/>
      <c r="CR340" s="345"/>
      <c r="CS340" s="340"/>
      <c r="CT340" s="340"/>
      <c r="CU340" s="340"/>
      <c r="CV340" s="340"/>
      <c r="CW340" s="340"/>
      <c r="CX340" s="340"/>
      <c r="CY340" s="340"/>
      <c r="CZ340" s="340"/>
      <c r="DA340" s="340"/>
      <c r="DB340" s="340"/>
      <c r="DC340" s="340"/>
      <c r="DD340" s="341"/>
      <c r="DE340" s="346"/>
      <c r="DF340" s="347"/>
      <c r="DG340" s="347"/>
      <c r="DH340" s="347"/>
      <c r="DI340" s="347"/>
      <c r="DJ340" s="347"/>
      <c r="DK340" s="347"/>
      <c r="DL340" s="347"/>
      <c r="DM340" s="347"/>
      <c r="DN340" s="347"/>
      <c r="DO340" s="347"/>
      <c r="DP340" s="347"/>
      <c r="DQ340" s="348"/>
      <c r="DR340" s="346"/>
      <c r="DS340" s="347"/>
      <c r="DT340" s="347"/>
      <c r="DU340" s="347"/>
      <c r="DV340" s="347"/>
      <c r="DW340" s="347"/>
      <c r="DX340" s="347"/>
      <c r="DY340" s="347"/>
      <c r="DZ340" s="347"/>
      <c r="EA340" s="347"/>
      <c r="EB340" s="347"/>
      <c r="EC340" s="347"/>
      <c r="ED340" s="348"/>
      <c r="EE340" s="346"/>
      <c r="EF340" s="347"/>
      <c r="EG340" s="347"/>
      <c r="EH340" s="347"/>
      <c r="EI340" s="347"/>
      <c r="EJ340" s="347"/>
      <c r="EK340" s="347"/>
      <c r="EL340" s="347"/>
      <c r="EM340" s="347"/>
      <c r="EN340" s="347"/>
      <c r="EO340" s="347"/>
      <c r="EP340" s="347"/>
      <c r="EQ340" s="348"/>
      <c r="ER340" s="349"/>
      <c r="ES340" s="350"/>
      <c r="ET340" s="350"/>
      <c r="EU340" s="350"/>
      <c r="EV340" s="350"/>
      <c r="EW340" s="350"/>
      <c r="EX340" s="350"/>
      <c r="EY340" s="350"/>
      <c r="EZ340" s="350"/>
      <c r="FA340" s="350"/>
      <c r="FB340" s="351"/>
      <c r="FC340" s="352"/>
      <c r="FD340" s="353"/>
      <c r="FE340" s="353"/>
      <c r="FF340" s="353"/>
      <c r="FG340" s="353"/>
      <c r="FH340" s="353"/>
      <c r="FI340" s="353"/>
      <c r="FJ340" s="353"/>
      <c r="FK340" s="353"/>
      <c r="FL340" s="353"/>
      <c r="FO340" s="275"/>
      <c r="FP340" s="275"/>
      <c r="FQ340" s="275">
        <f t="shared" si="8"/>
        <v>0</v>
      </c>
    </row>
    <row r="341" spans="1:173" ht="12" hidden="1" customHeight="1">
      <c r="A341" s="441"/>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c r="AG341" s="442"/>
      <c r="AH341" s="442"/>
      <c r="AI341" s="442"/>
      <c r="AJ341" s="442"/>
      <c r="AK341" s="442"/>
      <c r="AL341" s="442"/>
      <c r="AM341" s="442"/>
      <c r="AN341" s="442"/>
      <c r="AO341" s="442"/>
      <c r="AP341" s="442"/>
      <c r="AQ341" s="442"/>
      <c r="AR341" s="442"/>
      <c r="AS341" s="442"/>
      <c r="AT341" s="442"/>
      <c r="AU341" s="442"/>
      <c r="AV341" s="442"/>
      <c r="AW341" s="442"/>
      <c r="AX341" s="442"/>
      <c r="AY341" s="442"/>
      <c r="AZ341" s="442"/>
      <c r="BA341" s="442"/>
      <c r="BB341" s="442"/>
      <c r="BC341" s="442"/>
      <c r="BD341" s="442"/>
      <c r="BE341" s="442"/>
      <c r="BF341" s="442"/>
      <c r="BG341" s="442"/>
      <c r="BH341" s="442"/>
      <c r="BI341" s="442"/>
      <c r="BJ341" s="442"/>
      <c r="BK341" s="443"/>
      <c r="BL341" s="339"/>
      <c r="BM341" s="340"/>
      <c r="BN341" s="340"/>
      <c r="BO341" s="340"/>
      <c r="BP341" s="340"/>
      <c r="BQ341" s="340"/>
      <c r="BR341" s="340"/>
      <c r="BS341" s="341"/>
      <c r="BT341" s="345"/>
      <c r="BU341" s="340"/>
      <c r="BV341" s="340"/>
      <c r="BW341" s="340"/>
      <c r="BX341" s="340"/>
      <c r="BY341" s="340"/>
      <c r="BZ341" s="340"/>
      <c r="CA341" s="340"/>
      <c r="CB341" s="340"/>
      <c r="CC341" s="340"/>
      <c r="CD341" s="340"/>
      <c r="CE341" s="340"/>
      <c r="CF341" s="341"/>
      <c r="CG341" s="345"/>
      <c r="CH341" s="340"/>
      <c r="CI341" s="340"/>
      <c r="CJ341" s="340"/>
      <c r="CK341" s="340"/>
      <c r="CL341" s="340"/>
      <c r="CM341" s="340"/>
      <c r="CN341" s="340"/>
      <c r="CO341" s="340"/>
      <c r="CP341" s="340"/>
      <c r="CQ341" s="341"/>
      <c r="CR341" s="345"/>
      <c r="CS341" s="340"/>
      <c r="CT341" s="340"/>
      <c r="CU341" s="340"/>
      <c r="CV341" s="340"/>
      <c r="CW341" s="340"/>
      <c r="CX341" s="340"/>
      <c r="CY341" s="340"/>
      <c r="CZ341" s="340"/>
      <c r="DA341" s="340"/>
      <c r="DB341" s="340"/>
      <c r="DC341" s="340"/>
      <c r="DD341" s="341"/>
      <c r="DE341" s="349"/>
      <c r="DF341" s="350"/>
      <c r="DG341" s="350"/>
      <c r="DH341" s="350"/>
      <c r="DI341" s="350"/>
      <c r="DJ341" s="350"/>
      <c r="DK341" s="350"/>
      <c r="DL341" s="350"/>
      <c r="DM341" s="350"/>
      <c r="DN341" s="350"/>
      <c r="DO341" s="350"/>
      <c r="DP341" s="350"/>
      <c r="DQ341" s="351"/>
      <c r="DR341" s="349"/>
      <c r="DS341" s="350"/>
      <c r="DT341" s="350"/>
      <c r="DU341" s="350"/>
      <c r="DV341" s="350"/>
      <c r="DW341" s="350"/>
      <c r="DX341" s="350"/>
      <c r="DY341" s="350"/>
      <c r="DZ341" s="350"/>
      <c r="EA341" s="350"/>
      <c r="EB341" s="350"/>
      <c r="EC341" s="350"/>
      <c r="ED341" s="351"/>
      <c r="EE341" s="349"/>
      <c r="EF341" s="350"/>
      <c r="EG341" s="350"/>
      <c r="EH341" s="350"/>
      <c r="EI341" s="350"/>
      <c r="EJ341" s="350"/>
      <c r="EK341" s="350"/>
      <c r="EL341" s="350"/>
      <c r="EM341" s="350"/>
      <c r="EN341" s="350"/>
      <c r="EO341" s="350"/>
      <c r="EP341" s="350"/>
      <c r="EQ341" s="351"/>
      <c r="ER341" s="349"/>
      <c r="ES341" s="350"/>
      <c r="ET341" s="350"/>
      <c r="EU341" s="350"/>
      <c r="EV341" s="350"/>
      <c r="EW341" s="350"/>
      <c r="EX341" s="350"/>
      <c r="EY341" s="350"/>
      <c r="EZ341" s="350"/>
      <c r="FA341" s="350"/>
      <c r="FB341" s="351"/>
      <c r="FC341" s="352"/>
      <c r="FD341" s="353"/>
      <c r="FE341" s="353"/>
      <c r="FF341" s="353"/>
      <c r="FG341" s="353"/>
      <c r="FH341" s="353"/>
      <c r="FI341" s="353"/>
      <c r="FJ341" s="353"/>
      <c r="FK341" s="353"/>
      <c r="FL341" s="353"/>
      <c r="FO341" s="275"/>
      <c r="FP341" s="275"/>
      <c r="FQ341" s="275">
        <f t="shared" si="8"/>
        <v>0</v>
      </c>
    </row>
    <row r="342" spans="1:173" ht="12" hidden="1" customHeight="1">
      <c r="A342" s="461" t="s">
        <v>375</v>
      </c>
      <c r="B342" s="462"/>
      <c r="C342" s="462"/>
      <c r="D342" s="462"/>
      <c r="E342" s="462"/>
      <c r="F342" s="462"/>
      <c r="G342" s="462"/>
      <c r="H342" s="462"/>
      <c r="I342" s="462"/>
      <c r="J342" s="462"/>
      <c r="K342" s="462"/>
      <c r="L342" s="462"/>
      <c r="M342" s="462"/>
      <c r="N342" s="462"/>
      <c r="O342" s="462"/>
      <c r="P342" s="462"/>
      <c r="Q342" s="462"/>
      <c r="R342" s="462"/>
      <c r="S342" s="462"/>
      <c r="T342" s="462"/>
      <c r="U342" s="462"/>
      <c r="V342" s="462"/>
      <c r="W342" s="462"/>
      <c r="X342" s="462"/>
      <c r="Y342" s="462"/>
      <c r="Z342" s="462"/>
      <c r="AA342" s="462"/>
      <c r="AB342" s="462"/>
      <c r="AC342" s="462"/>
      <c r="AD342" s="462"/>
      <c r="AE342" s="462"/>
      <c r="AF342" s="462"/>
      <c r="AG342" s="462"/>
      <c r="AH342" s="462"/>
      <c r="AI342" s="462"/>
      <c r="AJ342" s="462"/>
      <c r="AK342" s="462"/>
      <c r="AL342" s="462"/>
      <c r="AM342" s="462"/>
      <c r="AN342" s="462"/>
      <c r="AO342" s="462"/>
      <c r="AP342" s="462"/>
      <c r="AQ342" s="462"/>
      <c r="AR342" s="462"/>
      <c r="AS342" s="462"/>
      <c r="AT342" s="462"/>
      <c r="AU342" s="462"/>
      <c r="AV342" s="462"/>
      <c r="AW342" s="462"/>
      <c r="AX342" s="462"/>
      <c r="AY342" s="462"/>
      <c r="AZ342" s="462"/>
      <c r="BA342" s="462"/>
      <c r="BB342" s="462"/>
      <c r="BC342" s="462"/>
      <c r="BD342" s="462"/>
      <c r="BE342" s="462"/>
      <c r="BF342" s="462"/>
      <c r="BG342" s="462"/>
      <c r="BH342" s="462"/>
      <c r="BI342" s="462"/>
      <c r="BJ342" s="462"/>
      <c r="BK342" s="463"/>
      <c r="BL342" s="460" t="s">
        <v>1103</v>
      </c>
      <c r="BM342" s="363"/>
      <c r="BN342" s="363"/>
      <c r="BO342" s="363"/>
      <c r="BP342" s="363"/>
      <c r="BQ342" s="363"/>
      <c r="BR342" s="363"/>
      <c r="BS342" s="364"/>
      <c r="BT342" s="362" t="s">
        <v>109</v>
      </c>
      <c r="BU342" s="363"/>
      <c r="BV342" s="363"/>
      <c r="BW342" s="363"/>
      <c r="BX342" s="363"/>
      <c r="BY342" s="363"/>
      <c r="BZ342" s="363"/>
      <c r="CA342" s="363"/>
      <c r="CB342" s="363"/>
      <c r="CC342" s="363"/>
      <c r="CD342" s="363"/>
      <c r="CE342" s="363"/>
      <c r="CF342" s="364"/>
      <c r="CG342" s="362" t="s">
        <v>376</v>
      </c>
      <c r="CH342" s="363"/>
      <c r="CI342" s="363"/>
      <c r="CJ342" s="363"/>
      <c r="CK342" s="363"/>
      <c r="CL342" s="363"/>
      <c r="CM342" s="363"/>
      <c r="CN342" s="363"/>
      <c r="CO342" s="363"/>
      <c r="CP342" s="363"/>
      <c r="CQ342" s="364"/>
      <c r="CR342" s="362"/>
      <c r="CS342" s="363"/>
      <c r="CT342" s="363"/>
      <c r="CU342" s="363"/>
      <c r="CV342" s="363"/>
      <c r="CW342" s="363"/>
      <c r="CX342" s="363"/>
      <c r="CY342" s="363"/>
      <c r="CZ342" s="363"/>
      <c r="DA342" s="363"/>
      <c r="DB342" s="363"/>
      <c r="DC342" s="363"/>
      <c r="DD342" s="364"/>
      <c r="DE342" s="365">
        <f>SUM(DE343)</f>
        <v>0</v>
      </c>
      <c r="DF342" s="366"/>
      <c r="DG342" s="366"/>
      <c r="DH342" s="366"/>
      <c r="DI342" s="366"/>
      <c r="DJ342" s="366"/>
      <c r="DK342" s="366"/>
      <c r="DL342" s="366"/>
      <c r="DM342" s="366"/>
      <c r="DN342" s="366"/>
      <c r="DO342" s="366"/>
      <c r="DP342" s="366"/>
      <c r="DQ342" s="367"/>
      <c r="DR342" s="365">
        <f>SUM(DR343)</f>
        <v>0</v>
      </c>
      <c r="DS342" s="366"/>
      <c r="DT342" s="366"/>
      <c r="DU342" s="366"/>
      <c r="DV342" s="366"/>
      <c r="DW342" s="366"/>
      <c r="DX342" s="366"/>
      <c r="DY342" s="366"/>
      <c r="DZ342" s="366"/>
      <c r="EA342" s="366"/>
      <c r="EB342" s="366"/>
      <c r="EC342" s="366"/>
      <c r="ED342" s="367"/>
      <c r="EE342" s="365"/>
      <c r="EF342" s="366"/>
      <c r="EG342" s="366"/>
      <c r="EH342" s="366"/>
      <c r="EI342" s="366"/>
      <c r="EJ342" s="366"/>
      <c r="EK342" s="366"/>
      <c r="EL342" s="366"/>
      <c r="EM342" s="366"/>
      <c r="EN342" s="366"/>
      <c r="EO342" s="366"/>
      <c r="EP342" s="366"/>
      <c r="EQ342" s="367"/>
      <c r="ER342" s="349"/>
      <c r="ES342" s="350"/>
      <c r="ET342" s="350"/>
      <c r="EU342" s="350"/>
      <c r="EV342" s="350"/>
      <c r="EW342" s="350"/>
      <c r="EX342" s="350"/>
      <c r="EY342" s="350"/>
      <c r="EZ342" s="350"/>
      <c r="FA342" s="350"/>
      <c r="FB342" s="351"/>
      <c r="FC342" s="352"/>
      <c r="FD342" s="353"/>
      <c r="FE342" s="353"/>
      <c r="FF342" s="353"/>
      <c r="FG342" s="353"/>
      <c r="FH342" s="353"/>
      <c r="FI342" s="353"/>
      <c r="FJ342" s="353"/>
      <c r="FK342" s="353"/>
      <c r="FL342" s="353"/>
      <c r="FO342" s="275"/>
      <c r="FP342" s="275"/>
      <c r="FQ342" s="275">
        <f t="shared" si="8"/>
        <v>0</v>
      </c>
    </row>
    <row r="343" spans="1:173" ht="12" hidden="1" customHeight="1">
      <c r="A343" s="441"/>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c r="AG343" s="442"/>
      <c r="AH343" s="442"/>
      <c r="AI343" s="442"/>
      <c r="AJ343" s="442"/>
      <c r="AK343" s="442"/>
      <c r="AL343" s="442"/>
      <c r="AM343" s="442"/>
      <c r="AN343" s="442"/>
      <c r="AO343" s="442"/>
      <c r="AP343" s="442"/>
      <c r="AQ343" s="442"/>
      <c r="AR343" s="442"/>
      <c r="AS343" s="442"/>
      <c r="AT343" s="442"/>
      <c r="AU343" s="442"/>
      <c r="AV343" s="442"/>
      <c r="AW343" s="442"/>
      <c r="AX343" s="442"/>
      <c r="AY343" s="442"/>
      <c r="AZ343" s="442"/>
      <c r="BA343" s="442"/>
      <c r="BB343" s="442"/>
      <c r="BC343" s="442"/>
      <c r="BD343" s="442"/>
      <c r="BE343" s="442"/>
      <c r="BF343" s="442"/>
      <c r="BG343" s="442"/>
      <c r="BH343" s="442"/>
      <c r="BI343" s="442"/>
      <c r="BJ343" s="442"/>
      <c r="BK343" s="443"/>
      <c r="BL343" s="339"/>
      <c r="BM343" s="340"/>
      <c r="BN343" s="340"/>
      <c r="BO343" s="340"/>
      <c r="BP343" s="340"/>
      <c r="BQ343" s="340"/>
      <c r="BR343" s="340"/>
      <c r="BS343" s="341"/>
      <c r="BT343" s="342"/>
      <c r="BU343" s="343"/>
      <c r="BV343" s="343"/>
      <c r="BW343" s="343"/>
      <c r="BX343" s="343"/>
      <c r="BY343" s="343"/>
      <c r="BZ343" s="343"/>
      <c r="CA343" s="343"/>
      <c r="CB343" s="343"/>
      <c r="CC343" s="343"/>
      <c r="CD343" s="343"/>
      <c r="CE343" s="343"/>
      <c r="CF343" s="344"/>
      <c r="CG343" s="345"/>
      <c r="CH343" s="340"/>
      <c r="CI343" s="340"/>
      <c r="CJ343" s="340"/>
      <c r="CK343" s="340"/>
      <c r="CL343" s="340"/>
      <c r="CM343" s="340"/>
      <c r="CN343" s="340"/>
      <c r="CO343" s="340"/>
      <c r="CP343" s="340"/>
      <c r="CQ343" s="341"/>
      <c r="CR343" s="345"/>
      <c r="CS343" s="340"/>
      <c r="CT343" s="340"/>
      <c r="CU343" s="340"/>
      <c r="CV343" s="340"/>
      <c r="CW343" s="340"/>
      <c r="CX343" s="340"/>
      <c r="CY343" s="340"/>
      <c r="CZ343" s="340"/>
      <c r="DA343" s="340"/>
      <c r="DB343" s="340"/>
      <c r="DC343" s="340"/>
      <c r="DD343" s="341"/>
      <c r="DE343" s="349">
        <v>0</v>
      </c>
      <c r="DF343" s="350"/>
      <c r="DG343" s="350"/>
      <c r="DH343" s="350"/>
      <c r="DI343" s="350"/>
      <c r="DJ343" s="350"/>
      <c r="DK343" s="350"/>
      <c r="DL343" s="350"/>
      <c r="DM343" s="350"/>
      <c r="DN343" s="350"/>
      <c r="DO343" s="350"/>
      <c r="DP343" s="350"/>
      <c r="DQ343" s="351"/>
      <c r="DR343" s="349">
        <v>0</v>
      </c>
      <c r="DS343" s="350"/>
      <c r="DT343" s="350"/>
      <c r="DU343" s="350"/>
      <c r="DV343" s="350"/>
      <c r="DW343" s="350"/>
      <c r="DX343" s="350"/>
      <c r="DY343" s="350"/>
      <c r="DZ343" s="350"/>
      <c r="EA343" s="350"/>
      <c r="EB343" s="350"/>
      <c r="EC343" s="350"/>
      <c r="ED343" s="351"/>
      <c r="EE343" s="349"/>
      <c r="EF343" s="350"/>
      <c r="EG343" s="350"/>
      <c r="EH343" s="350"/>
      <c r="EI343" s="350"/>
      <c r="EJ343" s="350"/>
      <c r="EK343" s="350"/>
      <c r="EL343" s="350"/>
      <c r="EM343" s="350"/>
      <c r="EN343" s="350"/>
      <c r="EO343" s="350"/>
      <c r="EP343" s="350"/>
      <c r="EQ343" s="351"/>
      <c r="ER343" s="349"/>
      <c r="ES343" s="350"/>
      <c r="ET343" s="350"/>
      <c r="EU343" s="350"/>
      <c r="EV343" s="350"/>
      <c r="EW343" s="350"/>
      <c r="EX343" s="350"/>
      <c r="EY343" s="350"/>
      <c r="EZ343" s="350"/>
      <c r="FA343" s="350"/>
      <c r="FB343" s="351"/>
      <c r="FC343" s="352"/>
      <c r="FD343" s="353"/>
      <c r="FE343" s="353"/>
      <c r="FF343" s="353"/>
      <c r="FG343" s="353"/>
      <c r="FH343" s="353"/>
      <c r="FI343" s="353"/>
      <c r="FJ343" s="353"/>
      <c r="FK343" s="353"/>
      <c r="FL343" s="353"/>
      <c r="FO343" s="275"/>
      <c r="FP343" s="275"/>
      <c r="FQ343" s="275">
        <f t="shared" si="8"/>
        <v>0</v>
      </c>
    </row>
    <row r="344" spans="1:173" ht="12" hidden="1" customHeight="1">
      <c r="A344" s="441"/>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c r="AG344" s="442"/>
      <c r="AH344" s="442"/>
      <c r="AI344" s="442"/>
      <c r="AJ344" s="442"/>
      <c r="AK344" s="442"/>
      <c r="AL344" s="442"/>
      <c r="AM344" s="442"/>
      <c r="AN344" s="442"/>
      <c r="AO344" s="442"/>
      <c r="AP344" s="442"/>
      <c r="AQ344" s="442"/>
      <c r="AR344" s="442"/>
      <c r="AS344" s="442"/>
      <c r="AT344" s="442"/>
      <c r="AU344" s="442"/>
      <c r="AV344" s="442"/>
      <c r="AW344" s="442"/>
      <c r="AX344" s="442"/>
      <c r="AY344" s="442"/>
      <c r="AZ344" s="442"/>
      <c r="BA344" s="442"/>
      <c r="BB344" s="442"/>
      <c r="BC344" s="442"/>
      <c r="BD344" s="442"/>
      <c r="BE344" s="442"/>
      <c r="BF344" s="442"/>
      <c r="BG344" s="442"/>
      <c r="BH344" s="442"/>
      <c r="BI344" s="442"/>
      <c r="BJ344" s="442"/>
      <c r="BK344" s="443"/>
      <c r="BL344" s="339"/>
      <c r="BM344" s="340"/>
      <c r="BN344" s="340"/>
      <c r="BO344" s="340"/>
      <c r="BP344" s="340"/>
      <c r="BQ344" s="340"/>
      <c r="BR344" s="340"/>
      <c r="BS344" s="341"/>
      <c r="BT344" s="345"/>
      <c r="BU344" s="340"/>
      <c r="BV344" s="340"/>
      <c r="BW344" s="340"/>
      <c r="BX344" s="340"/>
      <c r="BY344" s="340"/>
      <c r="BZ344" s="340"/>
      <c r="CA344" s="340"/>
      <c r="CB344" s="340"/>
      <c r="CC344" s="340"/>
      <c r="CD344" s="340"/>
      <c r="CE344" s="340"/>
      <c r="CF344" s="341"/>
      <c r="CG344" s="345"/>
      <c r="CH344" s="340"/>
      <c r="CI344" s="340"/>
      <c r="CJ344" s="340"/>
      <c r="CK344" s="340"/>
      <c r="CL344" s="340"/>
      <c r="CM344" s="340"/>
      <c r="CN344" s="340"/>
      <c r="CO344" s="340"/>
      <c r="CP344" s="340"/>
      <c r="CQ344" s="341"/>
      <c r="CR344" s="345"/>
      <c r="CS344" s="340"/>
      <c r="CT344" s="340"/>
      <c r="CU344" s="340"/>
      <c r="CV344" s="340"/>
      <c r="CW344" s="340"/>
      <c r="CX344" s="340"/>
      <c r="CY344" s="340"/>
      <c r="CZ344" s="340"/>
      <c r="DA344" s="340"/>
      <c r="DB344" s="340"/>
      <c r="DC344" s="340"/>
      <c r="DD344" s="341"/>
      <c r="DE344" s="349"/>
      <c r="DF344" s="350"/>
      <c r="DG344" s="350"/>
      <c r="DH344" s="350"/>
      <c r="DI344" s="350"/>
      <c r="DJ344" s="350"/>
      <c r="DK344" s="350"/>
      <c r="DL344" s="350"/>
      <c r="DM344" s="350"/>
      <c r="DN344" s="350"/>
      <c r="DO344" s="350"/>
      <c r="DP344" s="350"/>
      <c r="DQ344" s="351"/>
      <c r="DR344" s="349"/>
      <c r="DS344" s="350"/>
      <c r="DT344" s="350"/>
      <c r="DU344" s="350"/>
      <c r="DV344" s="350"/>
      <c r="DW344" s="350"/>
      <c r="DX344" s="350"/>
      <c r="DY344" s="350"/>
      <c r="DZ344" s="350"/>
      <c r="EA344" s="350"/>
      <c r="EB344" s="350"/>
      <c r="EC344" s="350"/>
      <c r="ED344" s="351"/>
      <c r="EE344" s="349"/>
      <c r="EF344" s="350"/>
      <c r="EG344" s="350"/>
      <c r="EH344" s="350"/>
      <c r="EI344" s="350"/>
      <c r="EJ344" s="350"/>
      <c r="EK344" s="350"/>
      <c r="EL344" s="350"/>
      <c r="EM344" s="350"/>
      <c r="EN344" s="350"/>
      <c r="EO344" s="350"/>
      <c r="EP344" s="350"/>
      <c r="EQ344" s="351"/>
      <c r="ER344" s="349"/>
      <c r="ES344" s="350"/>
      <c r="ET344" s="350"/>
      <c r="EU344" s="350"/>
      <c r="EV344" s="350"/>
      <c r="EW344" s="350"/>
      <c r="EX344" s="350"/>
      <c r="EY344" s="350"/>
      <c r="EZ344" s="350"/>
      <c r="FA344" s="350"/>
      <c r="FB344" s="351"/>
      <c r="FC344" s="352"/>
      <c r="FD344" s="353"/>
      <c r="FE344" s="353"/>
      <c r="FF344" s="353"/>
      <c r="FG344" s="353"/>
      <c r="FH344" s="353"/>
      <c r="FI344" s="353"/>
      <c r="FJ344" s="353"/>
      <c r="FK344" s="353"/>
      <c r="FL344" s="353"/>
      <c r="FO344" s="275"/>
      <c r="FP344" s="275"/>
      <c r="FQ344" s="275">
        <f t="shared" si="8"/>
        <v>0</v>
      </c>
    </row>
    <row r="345" spans="1:173" ht="12" customHeight="1">
      <c r="A345" s="461" t="s">
        <v>217</v>
      </c>
      <c r="B345" s="462"/>
      <c r="C345" s="462"/>
      <c r="D345" s="462"/>
      <c r="E345" s="462"/>
      <c r="F345" s="462"/>
      <c r="G345" s="462"/>
      <c r="H345" s="462"/>
      <c r="I345" s="462"/>
      <c r="J345" s="462"/>
      <c r="K345" s="462"/>
      <c r="L345" s="462"/>
      <c r="M345" s="462"/>
      <c r="N345" s="462"/>
      <c r="O345" s="462"/>
      <c r="P345" s="462"/>
      <c r="Q345" s="462"/>
      <c r="R345" s="462"/>
      <c r="S345" s="462"/>
      <c r="T345" s="462"/>
      <c r="U345" s="462"/>
      <c r="V345" s="462"/>
      <c r="W345" s="462"/>
      <c r="X345" s="462"/>
      <c r="Y345" s="462"/>
      <c r="Z345" s="462"/>
      <c r="AA345" s="462"/>
      <c r="AB345" s="462"/>
      <c r="AC345" s="462"/>
      <c r="AD345" s="462"/>
      <c r="AE345" s="462"/>
      <c r="AF345" s="462"/>
      <c r="AG345" s="462"/>
      <c r="AH345" s="462"/>
      <c r="AI345" s="462"/>
      <c r="AJ345" s="462"/>
      <c r="AK345" s="462"/>
      <c r="AL345" s="462"/>
      <c r="AM345" s="462"/>
      <c r="AN345" s="462"/>
      <c r="AO345" s="462"/>
      <c r="AP345" s="462"/>
      <c r="AQ345" s="462"/>
      <c r="AR345" s="462"/>
      <c r="AS345" s="462"/>
      <c r="AT345" s="462"/>
      <c r="AU345" s="462"/>
      <c r="AV345" s="462"/>
      <c r="AW345" s="462"/>
      <c r="AX345" s="462"/>
      <c r="AY345" s="462"/>
      <c r="AZ345" s="462"/>
      <c r="BA345" s="462"/>
      <c r="BB345" s="462"/>
      <c r="BC345" s="462"/>
      <c r="BD345" s="462"/>
      <c r="BE345" s="462"/>
      <c r="BF345" s="462"/>
      <c r="BG345" s="462"/>
      <c r="BH345" s="462"/>
      <c r="BI345" s="462"/>
      <c r="BJ345" s="462"/>
      <c r="BK345" s="463"/>
      <c r="BL345" s="460" t="s">
        <v>1104</v>
      </c>
      <c r="BM345" s="363"/>
      <c r="BN345" s="363"/>
      <c r="BO345" s="363"/>
      <c r="BP345" s="363"/>
      <c r="BQ345" s="363"/>
      <c r="BR345" s="363"/>
      <c r="BS345" s="364"/>
      <c r="BT345" s="362" t="s">
        <v>109</v>
      </c>
      <c r="BU345" s="363"/>
      <c r="BV345" s="363"/>
      <c r="BW345" s="363"/>
      <c r="BX345" s="363"/>
      <c r="BY345" s="363"/>
      <c r="BZ345" s="363"/>
      <c r="CA345" s="363"/>
      <c r="CB345" s="363"/>
      <c r="CC345" s="363"/>
      <c r="CD345" s="363"/>
      <c r="CE345" s="363"/>
      <c r="CF345" s="364"/>
      <c r="CG345" s="362" t="s">
        <v>214</v>
      </c>
      <c r="CH345" s="363"/>
      <c r="CI345" s="363"/>
      <c r="CJ345" s="363"/>
      <c r="CK345" s="363"/>
      <c r="CL345" s="363"/>
      <c r="CM345" s="363"/>
      <c r="CN345" s="363"/>
      <c r="CO345" s="363"/>
      <c r="CP345" s="363"/>
      <c r="CQ345" s="364"/>
      <c r="CR345" s="362"/>
      <c r="CS345" s="363"/>
      <c r="CT345" s="363"/>
      <c r="CU345" s="363"/>
      <c r="CV345" s="363"/>
      <c r="CW345" s="363"/>
      <c r="CX345" s="363"/>
      <c r="CY345" s="363"/>
      <c r="CZ345" s="363"/>
      <c r="DA345" s="363"/>
      <c r="DB345" s="363"/>
      <c r="DC345" s="363"/>
      <c r="DD345" s="364"/>
      <c r="DE345" s="365">
        <f>DE346+DE352+DE368</f>
        <v>1263558.77</v>
      </c>
      <c r="DF345" s="366"/>
      <c r="DG345" s="366"/>
      <c r="DH345" s="366"/>
      <c r="DI345" s="366"/>
      <c r="DJ345" s="366"/>
      <c r="DK345" s="366"/>
      <c r="DL345" s="366"/>
      <c r="DM345" s="366"/>
      <c r="DN345" s="366"/>
      <c r="DO345" s="366"/>
      <c r="DP345" s="366"/>
      <c r="DQ345" s="367"/>
      <c r="DR345" s="365">
        <f>DR346+DR352+DR368</f>
        <v>72756</v>
      </c>
      <c r="DS345" s="366"/>
      <c r="DT345" s="366"/>
      <c r="DU345" s="366"/>
      <c r="DV345" s="366"/>
      <c r="DW345" s="366"/>
      <c r="DX345" s="366"/>
      <c r="DY345" s="366"/>
      <c r="DZ345" s="366"/>
      <c r="EA345" s="366"/>
      <c r="EB345" s="366"/>
      <c r="EC345" s="366"/>
      <c r="ED345" s="367"/>
      <c r="EE345" s="365"/>
      <c r="EF345" s="366"/>
      <c r="EG345" s="366"/>
      <c r="EH345" s="366"/>
      <c r="EI345" s="366"/>
      <c r="EJ345" s="366"/>
      <c r="EK345" s="366"/>
      <c r="EL345" s="366"/>
      <c r="EM345" s="366"/>
      <c r="EN345" s="366"/>
      <c r="EO345" s="366"/>
      <c r="EP345" s="366"/>
      <c r="EQ345" s="367"/>
      <c r="ER345" s="349"/>
      <c r="ES345" s="350"/>
      <c r="ET345" s="350"/>
      <c r="EU345" s="350"/>
      <c r="EV345" s="350"/>
      <c r="EW345" s="350"/>
      <c r="EX345" s="350"/>
      <c r="EY345" s="350"/>
      <c r="EZ345" s="350"/>
      <c r="FA345" s="350"/>
      <c r="FB345" s="351"/>
      <c r="FC345" s="352"/>
      <c r="FD345" s="353"/>
      <c r="FE345" s="353"/>
      <c r="FF345" s="353"/>
      <c r="FG345" s="353"/>
      <c r="FH345" s="353"/>
      <c r="FI345" s="353"/>
      <c r="FJ345" s="353"/>
      <c r="FK345" s="353"/>
      <c r="FL345" s="353"/>
      <c r="FO345" s="275"/>
      <c r="FP345" s="275"/>
      <c r="FQ345" s="275">
        <f t="shared" si="8"/>
        <v>72756</v>
      </c>
    </row>
    <row r="346" spans="1:173" s="215" customFormat="1" ht="12" customHeight="1">
      <c r="A346" s="437" t="s">
        <v>939</v>
      </c>
      <c r="B346" s="438"/>
      <c r="C346" s="438"/>
      <c r="D346" s="438"/>
      <c r="E346" s="438"/>
      <c r="F346" s="438"/>
      <c r="G346" s="438"/>
      <c r="H346" s="438"/>
      <c r="I346" s="438"/>
      <c r="J346" s="438"/>
      <c r="K346" s="438"/>
      <c r="L346" s="438"/>
      <c r="M346" s="438"/>
      <c r="N346" s="438"/>
      <c r="O346" s="438"/>
      <c r="P346" s="438"/>
      <c r="Q346" s="438"/>
      <c r="R346" s="438"/>
      <c r="S346" s="438"/>
      <c r="T346" s="438"/>
      <c r="U346" s="438"/>
      <c r="V346" s="438"/>
      <c r="W346" s="438"/>
      <c r="X346" s="438"/>
      <c r="Y346" s="438"/>
      <c r="Z346" s="438"/>
      <c r="AA346" s="438"/>
      <c r="AB346" s="438"/>
      <c r="AC346" s="438"/>
      <c r="AD346" s="438"/>
      <c r="AE346" s="438"/>
      <c r="AF346" s="438"/>
      <c r="AG346" s="438"/>
      <c r="AH346" s="438"/>
      <c r="AI346" s="438"/>
      <c r="AJ346" s="438"/>
      <c r="AK346" s="438"/>
      <c r="AL346" s="438"/>
      <c r="AM346" s="438"/>
      <c r="AN346" s="438"/>
      <c r="AO346" s="438"/>
      <c r="AP346" s="438"/>
      <c r="AQ346" s="438"/>
      <c r="AR346" s="438"/>
      <c r="AS346" s="438"/>
      <c r="AT346" s="438"/>
      <c r="AU346" s="438"/>
      <c r="AV346" s="438"/>
      <c r="AW346" s="438"/>
      <c r="AX346" s="438"/>
      <c r="AY346" s="438"/>
      <c r="AZ346" s="438"/>
      <c r="BA346" s="438"/>
      <c r="BB346" s="438"/>
      <c r="BC346" s="438"/>
      <c r="BD346" s="438"/>
      <c r="BE346" s="438"/>
      <c r="BF346" s="438"/>
      <c r="BG346" s="438"/>
      <c r="BH346" s="438"/>
      <c r="BI346" s="438"/>
      <c r="BJ346" s="438"/>
      <c r="BK346" s="439"/>
      <c r="BL346" s="440"/>
      <c r="BM346" s="414"/>
      <c r="BN346" s="414"/>
      <c r="BO346" s="414"/>
      <c r="BP346" s="414"/>
      <c r="BQ346" s="414"/>
      <c r="BR346" s="414"/>
      <c r="BS346" s="415"/>
      <c r="BT346" s="413" t="s">
        <v>109</v>
      </c>
      <c r="BU346" s="414"/>
      <c r="BV346" s="414"/>
      <c r="BW346" s="414"/>
      <c r="BX346" s="414"/>
      <c r="BY346" s="414"/>
      <c r="BZ346" s="414"/>
      <c r="CA346" s="414"/>
      <c r="CB346" s="414"/>
      <c r="CC346" s="414"/>
      <c r="CD346" s="414"/>
      <c r="CE346" s="414"/>
      <c r="CF346" s="415"/>
      <c r="CG346" s="413" t="s">
        <v>214</v>
      </c>
      <c r="CH346" s="414"/>
      <c r="CI346" s="414"/>
      <c r="CJ346" s="414"/>
      <c r="CK346" s="414"/>
      <c r="CL346" s="414"/>
      <c r="CM346" s="414"/>
      <c r="CN346" s="414"/>
      <c r="CO346" s="414"/>
      <c r="CP346" s="414"/>
      <c r="CQ346" s="415"/>
      <c r="CR346" s="413"/>
      <c r="CS346" s="414"/>
      <c r="CT346" s="414"/>
      <c r="CU346" s="414"/>
      <c r="CV346" s="414"/>
      <c r="CW346" s="414"/>
      <c r="CX346" s="414"/>
      <c r="CY346" s="414"/>
      <c r="CZ346" s="414"/>
      <c r="DA346" s="414"/>
      <c r="DB346" s="414"/>
      <c r="DC346" s="414"/>
      <c r="DD346" s="415"/>
      <c r="DE346" s="428">
        <f>SUM(DE347:DQ351)</f>
        <v>86438</v>
      </c>
      <c r="DF346" s="429"/>
      <c r="DG346" s="429"/>
      <c r="DH346" s="429"/>
      <c r="DI346" s="429"/>
      <c r="DJ346" s="429"/>
      <c r="DK346" s="429"/>
      <c r="DL346" s="429"/>
      <c r="DM346" s="429"/>
      <c r="DN346" s="429"/>
      <c r="DO346" s="429"/>
      <c r="DP346" s="429"/>
      <c r="DQ346" s="430"/>
      <c r="DR346" s="428">
        <f>SUM(DR347:ED351)</f>
        <v>48406</v>
      </c>
      <c r="DS346" s="429"/>
      <c r="DT346" s="429"/>
      <c r="DU346" s="429"/>
      <c r="DV346" s="429"/>
      <c r="DW346" s="429"/>
      <c r="DX346" s="429"/>
      <c r="DY346" s="429"/>
      <c r="DZ346" s="429"/>
      <c r="EA346" s="429"/>
      <c r="EB346" s="429"/>
      <c r="EC346" s="429"/>
      <c r="ED346" s="430"/>
      <c r="EE346" s="428"/>
      <c r="EF346" s="429"/>
      <c r="EG346" s="429"/>
      <c r="EH346" s="429"/>
      <c r="EI346" s="429"/>
      <c r="EJ346" s="429"/>
      <c r="EK346" s="429"/>
      <c r="EL346" s="429"/>
      <c r="EM346" s="429"/>
      <c r="EN346" s="429"/>
      <c r="EO346" s="429"/>
      <c r="EP346" s="429"/>
      <c r="EQ346" s="430"/>
      <c r="ER346" s="410"/>
      <c r="ES346" s="411"/>
      <c r="ET346" s="411"/>
      <c r="EU346" s="411"/>
      <c r="EV346" s="411"/>
      <c r="EW346" s="411"/>
      <c r="EX346" s="411"/>
      <c r="EY346" s="411"/>
      <c r="EZ346" s="411"/>
      <c r="FA346" s="411"/>
      <c r="FB346" s="412"/>
      <c r="FC346" s="423"/>
      <c r="FD346" s="424"/>
      <c r="FE346" s="424"/>
      <c r="FF346" s="424"/>
      <c r="FG346" s="424"/>
      <c r="FH346" s="424"/>
      <c r="FI346" s="424"/>
      <c r="FJ346" s="424"/>
      <c r="FK346" s="424"/>
      <c r="FL346" s="424"/>
      <c r="FO346" s="278"/>
      <c r="FP346" s="278"/>
      <c r="FQ346" s="275">
        <f t="shared" si="8"/>
        <v>48406</v>
      </c>
    </row>
    <row r="347" spans="1:173" ht="16.8" hidden="1" customHeight="1">
      <c r="A347" s="336" t="s">
        <v>957</v>
      </c>
      <c r="B347" s="337"/>
      <c r="C347" s="337"/>
      <c r="D347" s="337"/>
      <c r="E347" s="337"/>
      <c r="F347" s="337"/>
      <c r="G347" s="337"/>
      <c r="H347" s="337"/>
      <c r="I347" s="337"/>
      <c r="J347" s="337"/>
      <c r="K347" s="337"/>
      <c r="L347" s="337"/>
      <c r="M347" s="337"/>
      <c r="N347" s="337"/>
      <c r="O347" s="337"/>
      <c r="P347" s="337"/>
      <c r="Q347" s="337"/>
      <c r="R347" s="337"/>
      <c r="S347" s="337"/>
      <c r="T347" s="337"/>
      <c r="U347" s="337"/>
      <c r="V347" s="337"/>
      <c r="W347" s="337"/>
      <c r="X347" s="337"/>
      <c r="Y347" s="337"/>
      <c r="Z347" s="337"/>
      <c r="AA347" s="337"/>
      <c r="AB347" s="337"/>
      <c r="AC347" s="337"/>
      <c r="AD347" s="337"/>
      <c r="AE347" s="337"/>
      <c r="AF347" s="337"/>
      <c r="AG347" s="337"/>
      <c r="AH347" s="337"/>
      <c r="AI347" s="337"/>
      <c r="AJ347" s="337"/>
      <c r="AK347" s="337"/>
      <c r="AL347" s="337"/>
      <c r="AM347" s="337"/>
      <c r="AN347" s="337"/>
      <c r="AO347" s="337"/>
      <c r="AP347" s="337"/>
      <c r="AQ347" s="337"/>
      <c r="AR347" s="337"/>
      <c r="AS347" s="337"/>
      <c r="AT347" s="337"/>
      <c r="AU347" s="337"/>
      <c r="AV347" s="337"/>
      <c r="AW347" s="337"/>
      <c r="AX347" s="337"/>
      <c r="AY347" s="337"/>
      <c r="AZ347" s="337"/>
      <c r="BA347" s="337"/>
      <c r="BB347" s="337"/>
      <c r="BC347" s="337"/>
      <c r="BD347" s="337"/>
      <c r="BE347" s="337"/>
      <c r="BF347" s="337"/>
      <c r="BG347" s="337"/>
      <c r="BH347" s="337"/>
      <c r="BI347" s="337"/>
      <c r="BJ347" s="337"/>
      <c r="BK347" s="338"/>
      <c r="BL347" s="339"/>
      <c r="BM347" s="340"/>
      <c r="BN347" s="340"/>
      <c r="BO347" s="340"/>
      <c r="BP347" s="340"/>
      <c r="BQ347" s="340"/>
      <c r="BR347" s="340"/>
      <c r="BS347" s="341"/>
      <c r="BT347" s="342" t="s">
        <v>784</v>
      </c>
      <c r="BU347" s="343"/>
      <c r="BV347" s="343"/>
      <c r="BW347" s="343"/>
      <c r="BX347" s="343"/>
      <c r="BY347" s="343"/>
      <c r="BZ347" s="343"/>
      <c r="CA347" s="343"/>
      <c r="CB347" s="343"/>
      <c r="CC347" s="343"/>
      <c r="CD347" s="343"/>
      <c r="CE347" s="343"/>
      <c r="CF347" s="344"/>
      <c r="CG347" s="345" t="s">
        <v>870</v>
      </c>
      <c r="CH347" s="340"/>
      <c r="CI347" s="340"/>
      <c r="CJ347" s="340"/>
      <c r="CK347" s="340"/>
      <c r="CL347" s="340"/>
      <c r="CM347" s="340"/>
      <c r="CN347" s="340"/>
      <c r="CO347" s="340"/>
      <c r="CP347" s="340"/>
      <c r="CQ347" s="341"/>
      <c r="CR347" s="345"/>
      <c r="CS347" s="340"/>
      <c r="CT347" s="340"/>
      <c r="CU347" s="340"/>
      <c r="CV347" s="340"/>
      <c r="CW347" s="340"/>
      <c r="CX347" s="340"/>
      <c r="CY347" s="340"/>
      <c r="CZ347" s="340"/>
      <c r="DA347" s="340"/>
      <c r="DB347" s="340"/>
      <c r="DC347" s="340"/>
      <c r="DD347" s="341"/>
      <c r="DE347" s="346">
        <f>960</f>
        <v>960</v>
      </c>
      <c r="DF347" s="347"/>
      <c r="DG347" s="347"/>
      <c r="DH347" s="347"/>
      <c r="DI347" s="347"/>
      <c r="DJ347" s="347"/>
      <c r="DK347" s="347"/>
      <c r="DL347" s="347"/>
      <c r="DM347" s="347"/>
      <c r="DN347" s="347"/>
      <c r="DO347" s="347"/>
      <c r="DP347" s="347"/>
      <c r="DQ347" s="348"/>
      <c r="DR347" s="346">
        <v>0</v>
      </c>
      <c r="DS347" s="347"/>
      <c r="DT347" s="347"/>
      <c r="DU347" s="347"/>
      <c r="DV347" s="347"/>
      <c r="DW347" s="347"/>
      <c r="DX347" s="347"/>
      <c r="DY347" s="347"/>
      <c r="DZ347" s="347"/>
      <c r="EA347" s="347"/>
      <c r="EB347" s="347"/>
      <c r="EC347" s="347"/>
      <c r="ED347" s="348"/>
      <c r="EE347" s="346"/>
      <c r="EF347" s="347"/>
      <c r="EG347" s="347"/>
      <c r="EH347" s="347"/>
      <c r="EI347" s="347"/>
      <c r="EJ347" s="347"/>
      <c r="EK347" s="347"/>
      <c r="EL347" s="347"/>
      <c r="EM347" s="347"/>
      <c r="EN347" s="347"/>
      <c r="EO347" s="347"/>
      <c r="EP347" s="347"/>
      <c r="EQ347" s="348"/>
      <c r="ER347" s="349"/>
      <c r="ES347" s="350"/>
      <c r="ET347" s="350"/>
      <c r="EU347" s="350"/>
      <c r="EV347" s="350"/>
      <c r="EW347" s="350"/>
      <c r="EX347" s="350"/>
      <c r="EY347" s="350"/>
      <c r="EZ347" s="350"/>
      <c r="FA347" s="350"/>
      <c r="FB347" s="351"/>
      <c r="FC347" s="352"/>
      <c r="FD347" s="353"/>
      <c r="FE347" s="353"/>
      <c r="FF347" s="353"/>
      <c r="FG347" s="353"/>
      <c r="FH347" s="353"/>
      <c r="FI347" s="353"/>
      <c r="FJ347" s="353"/>
      <c r="FK347" s="353"/>
      <c r="FL347" s="353"/>
      <c r="FO347" s="275"/>
      <c r="FP347" s="275"/>
      <c r="FQ347" s="275">
        <f t="shared" si="8"/>
        <v>0</v>
      </c>
    </row>
    <row r="348" spans="1:173" ht="13.2" hidden="1" customHeight="1">
      <c r="A348" s="336" t="s">
        <v>958</v>
      </c>
      <c r="B348" s="337"/>
      <c r="C348" s="337"/>
      <c r="D348" s="337"/>
      <c r="E348" s="337"/>
      <c r="F348" s="337"/>
      <c r="G348" s="337"/>
      <c r="H348" s="337"/>
      <c r="I348" s="337"/>
      <c r="J348" s="337"/>
      <c r="K348" s="337"/>
      <c r="L348" s="337"/>
      <c r="M348" s="337"/>
      <c r="N348" s="337"/>
      <c r="O348" s="337"/>
      <c r="P348" s="337"/>
      <c r="Q348" s="337"/>
      <c r="R348" s="337"/>
      <c r="S348" s="337"/>
      <c r="T348" s="337"/>
      <c r="U348" s="337"/>
      <c r="V348" s="337"/>
      <c r="W348" s="337"/>
      <c r="X348" s="337"/>
      <c r="Y348" s="337"/>
      <c r="Z348" s="337"/>
      <c r="AA348" s="337"/>
      <c r="AB348" s="337"/>
      <c r="AC348" s="337"/>
      <c r="AD348" s="337"/>
      <c r="AE348" s="337"/>
      <c r="AF348" s="337"/>
      <c r="AG348" s="337"/>
      <c r="AH348" s="337"/>
      <c r="AI348" s="337"/>
      <c r="AJ348" s="337"/>
      <c r="AK348" s="337"/>
      <c r="AL348" s="337"/>
      <c r="AM348" s="337"/>
      <c r="AN348" s="337"/>
      <c r="AO348" s="337"/>
      <c r="AP348" s="337"/>
      <c r="AQ348" s="337"/>
      <c r="AR348" s="337"/>
      <c r="AS348" s="337"/>
      <c r="AT348" s="337"/>
      <c r="AU348" s="337"/>
      <c r="AV348" s="337"/>
      <c r="AW348" s="337"/>
      <c r="AX348" s="337"/>
      <c r="AY348" s="337"/>
      <c r="AZ348" s="337"/>
      <c r="BA348" s="337"/>
      <c r="BB348" s="337"/>
      <c r="BC348" s="337"/>
      <c r="BD348" s="337"/>
      <c r="BE348" s="337"/>
      <c r="BF348" s="337"/>
      <c r="BG348" s="337"/>
      <c r="BH348" s="337"/>
      <c r="BI348" s="337"/>
      <c r="BJ348" s="337"/>
      <c r="BK348" s="338"/>
      <c r="BL348" s="339"/>
      <c r="BM348" s="340"/>
      <c r="BN348" s="340"/>
      <c r="BO348" s="340"/>
      <c r="BP348" s="340"/>
      <c r="BQ348" s="340"/>
      <c r="BR348" s="340"/>
      <c r="BS348" s="341"/>
      <c r="BT348" s="342" t="s">
        <v>784</v>
      </c>
      <c r="BU348" s="343"/>
      <c r="BV348" s="343"/>
      <c r="BW348" s="343"/>
      <c r="BX348" s="343"/>
      <c r="BY348" s="343"/>
      <c r="BZ348" s="343"/>
      <c r="CA348" s="343"/>
      <c r="CB348" s="343"/>
      <c r="CC348" s="343"/>
      <c r="CD348" s="343"/>
      <c r="CE348" s="343"/>
      <c r="CF348" s="344"/>
      <c r="CG348" s="345" t="s">
        <v>870</v>
      </c>
      <c r="CH348" s="340"/>
      <c r="CI348" s="340"/>
      <c r="CJ348" s="340"/>
      <c r="CK348" s="340"/>
      <c r="CL348" s="340"/>
      <c r="CM348" s="340"/>
      <c r="CN348" s="340"/>
      <c r="CO348" s="340"/>
      <c r="CP348" s="340"/>
      <c r="CQ348" s="341"/>
      <c r="CR348" s="345"/>
      <c r="CS348" s="340"/>
      <c r="CT348" s="340"/>
      <c r="CU348" s="340"/>
      <c r="CV348" s="340"/>
      <c r="CW348" s="340"/>
      <c r="CX348" s="340"/>
      <c r="CY348" s="340"/>
      <c r="CZ348" s="340"/>
      <c r="DA348" s="340"/>
      <c r="DB348" s="340"/>
      <c r="DC348" s="340"/>
      <c r="DD348" s="341"/>
      <c r="DE348" s="346">
        <f>85478</f>
        <v>85478</v>
      </c>
      <c r="DF348" s="347"/>
      <c r="DG348" s="347"/>
      <c r="DH348" s="347"/>
      <c r="DI348" s="347"/>
      <c r="DJ348" s="347"/>
      <c r="DK348" s="347"/>
      <c r="DL348" s="347"/>
      <c r="DM348" s="347"/>
      <c r="DN348" s="347"/>
      <c r="DO348" s="347"/>
      <c r="DP348" s="347"/>
      <c r="DQ348" s="348"/>
      <c r="DR348" s="346">
        <v>0</v>
      </c>
      <c r="DS348" s="347"/>
      <c r="DT348" s="347"/>
      <c r="DU348" s="347"/>
      <c r="DV348" s="347"/>
      <c r="DW348" s="347"/>
      <c r="DX348" s="347"/>
      <c r="DY348" s="347"/>
      <c r="DZ348" s="347"/>
      <c r="EA348" s="347"/>
      <c r="EB348" s="347"/>
      <c r="EC348" s="347"/>
      <c r="ED348" s="348"/>
      <c r="EE348" s="346"/>
      <c r="EF348" s="347"/>
      <c r="EG348" s="347"/>
      <c r="EH348" s="347"/>
      <c r="EI348" s="347"/>
      <c r="EJ348" s="347"/>
      <c r="EK348" s="347"/>
      <c r="EL348" s="347"/>
      <c r="EM348" s="347"/>
      <c r="EN348" s="347"/>
      <c r="EO348" s="347"/>
      <c r="EP348" s="347"/>
      <c r="EQ348" s="348"/>
      <c r="ER348" s="349"/>
      <c r="ES348" s="350"/>
      <c r="ET348" s="350"/>
      <c r="EU348" s="350"/>
      <c r="EV348" s="350"/>
      <c r="EW348" s="350"/>
      <c r="EX348" s="350"/>
      <c r="EY348" s="350"/>
      <c r="EZ348" s="350"/>
      <c r="FA348" s="350"/>
      <c r="FB348" s="351"/>
      <c r="FC348" s="352"/>
      <c r="FD348" s="353"/>
      <c r="FE348" s="353"/>
      <c r="FF348" s="353"/>
      <c r="FG348" s="353"/>
      <c r="FH348" s="353"/>
      <c r="FI348" s="353"/>
      <c r="FJ348" s="353"/>
      <c r="FK348" s="353"/>
      <c r="FL348" s="353"/>
      <c r="FO348" s="275"/>
      <c r="FP348" s="275"/>
      <c r="FQ348" s="275">
        <f t="shared" si="8"/>
        <v>0</v>
      </c>
    </row>
    <row r="349" spans="1:173" ht="12" customHeight="1">
      <c r="A349" s="336" t="s">
        <v>1073</v>
      </c>
      <c r="B349" s="337"/>
      <c r="C349" s="337"/>
      <c r="D349" s="337"/>
      <c r="E349" s="337"/>
      <c r="F349" s="337"/>
      <c r="G349" s="337"/>
      <c r="H349" s="337"/>
      <c r="I349" s="337"/>
      <c r="J349" s="337"/>
      <c r="K349" s="337"/>
      <c r="L349" s="337"/>
      <c r="M349" s="337"/>
      <c r="N349" s="337"/>
      <c r="O349" s="337"/>
      <c r="P349" s="337"/>
      <c r="Q349" s="337"/>
      <c r="R349" s="337"/>
      <c r="S349" s="337"/>
      <c r="T349" s="337"/>
      <c r="U349" s="337"/>
      <c r="V349" s="337"/>
      <c r="W349" s="337"/>
      <c r="X349" s="337"/>
      <c r="Y349" s="337"/>
      <c r="Z349" s="337"/>
      <c r="AA349" s="337"/>
      <c r="AB349" s="337"/>
      <c r="AC349" s="337"/>
      <c r="AD349" s="337"/>
      <c r="AE349" s="337"/>
      <c r="AF349" s="337"/>
      <c r="AG349" s="337"/>
      <c r="AH349" s="337"/>
      <c r="AI349" s="337"/>
      <c r="AJ349" s="337"/>
      <c r="AK349" s="337"/>
      <c r="AL349" s="337"/>
      <c r="AM349" s="337"/>
      <c r="AN349" s="337"/>
      <c r="AO349" s="337"/>
      <c r="AP349" s="337"/>
      <c r="AQ349" s="337"/>
      <c r="AR349" s="337"/>
      <c r="AS349" s="337"/>
      <c r="AT349" s="337"/>
      <c r="AU349" s="337"/>
      <c r="AV349" s="337"/>
      <c r="AW349" s="337"/>
      <c r="AX349" s="337"/>
      <c r="AY349" s="337"/>
      <c r="AZ349" s="337"/>
      <c r="BA349" s="337"/>
      <c r="BB349" s="337"/>
      <c r="BC349" s="337"/>
      <c r="BD349" s="337"/>
      <c r="BE349" s="337"/>
      <c r="BF349" s="337"/>
      <c r="BG349" s="337"/>
      <c r="BH349" s="337"/>
      <c r="BI349" s="337"/>
      <c r="BJ349" s="337"/>
      <c r="BK349" s="338"/>
      <c r="BL349" s="339"/>
      <c r="BM349" s="340"/>
      <c r="BN349" s="340"/>
      <c r="BO349" s="340"/>
      <c r="BP349" s="340"/>
      <c r="BQ349" s="340"/>
      <c r="BR349" s="340"/>
      <c r="BS349" s="341"/>
      <c r="BT349" s="342" t="s">
        <v>784</v>
      </c>
      <c r="BU349" s="343"/>
      <c r="BV349" s="343"/>
      <c r="BW349" s="343"/>
      <c r="BX349" s="343"/>
      <c r="BY349" s="343"/>
      <c r="BZ349" s="343"/>
      <c r="CA349" s="343"/>
      <c r="CB349" s="343"/>
      <c r="CC349" s="343"/>
      <c r="CD349" s="343"/>
      <c r="CE349" s="343"/>
      <c r="CF349" s="344"/>
      <c r="CG349" s="345" t="s">
        <v>1074</v>
      </c>
      <c r="CH349" s="340"/>
      <c r="CI349" s="340"/>
      <c r="CJ349" s="340"/>
      <c r="CK349" s="340"/>
      <c r="CL349" s="340"/>
      <c r="CM349" s="340"/>
      <c r="CN349" s="340"/>
      <c r="CO349" s="340"/>
      <c r="CP349" s="340"/>
      <c r="CQ349" s="341"/>
      <c r="CR349" s="345"/>
      <c r="CS349" s="340"/>
      <c r="CT349" s="340"/>
      <c r="CU349" s="340"/>
      <c r="CV349" s="340"/>
      <c r="CW349" s="340"/>
      <c r="CX349" s="340"/>
      <c r="CY349" s="340"/>
      <c r="CZ349" s="340"/>
      <c r="DA349" s="340"/>
      <c r="DB349" s="340"/>
      <c r="DC349" s="340"/>
      <c r="DD349" s="341"/>
      <c r="DE349" s="349"/>
      <c r="DF349" s="350"/>
      <c r="DG349" s="350"/>
      <c r="DH349" s="350"/>
      <c r="DI349" s="350"/>
      <c r="DJ349" s="350"/>
      <c r="DK349" s="350"/>
      <c r="DL349" s="350"/>
      <c r="DM349" s="350"/>
      <c r="DN349" s="350"/>
      <c r="DO349" s="350"/>
      <c r="DP349" s="350"/>
      <c r="DQ349" s="351"/>
      <c r="DR349" s="425">
        <f>48406</f>
        <v>48406</v>
      </c>
      <c r="DS349" s="426"/>
      <c r="DT349" s="426"/>
      <c r="DU349" s="426"/>
      <c r="DV349" s="426"/>
      <c r="DW349" s="426"/>
      <c r="DX349" s="426"/>
      <c r="DY349" s="426"/>
      <c r="DZ349" s="426"/>
      <c r="EA349" s="426"/>
      <c r="EB349" s="426"/>
      <c r="EC349" s="426"/>
      <c r="ED349" s="427"/>
      <c r="EE349" s="349"/>
      <c r="EF349" s="350"/>
      <c r="EG349" s="350"/>
      <c r="EH349" s="350"/>
      <c r="EI349" s="350"/>
      <c r="EJ349" s="350"/>
      <c r="EK349" s="350"/>
      <c r="EL349" s="350"/>
      <c r="EM349" s="350"/>
      <c r="EN349" s="350"/>
      <c r="EO349" s="350"/>
      <c r="EP349" s="350"/>
      <c r="EQ349" s="351"/>
      <c r="ER349" s="349"/>
      <c r="ES349" s="350"/>
      <c r="ET349" s="350"/>
      <c r="EU349" s="350"/>
      <c r="EV349" s="350"/>
      <c r="EW349" s="350"/>
      <c r="EX349" s="350"/>
      <c r="EY349" s="350"/>
      <c r="EZ349" s="350"/>
      <c r="FA349" s="350"/>
      <c r="FB349" s="351"/>
      <c r="FC349" s="352"/>
      <c r="FD349" s="353"/>
      <c r="FE349" s="353"/>
      <c r="FF349" s="353"/>
      <c r="FG349" s="353"/>
      <c r="FH349" s="353"/>
      <c r="FI349" s="353"/>
      <c r="FJ349" s="353"/>
      <c r="FK349" s="353"/>
      <c r="FL349" s="353"/>
      <c r="FO349" s="275">
        <v>48406</v>
      </c>
      <c r="FP349" s="275"/>
      <c r="FQ349" s="275">
        <f t="shared" si="8"/>
        <v>0</v>
      </c>
    </row>
    <row r="350" spans="1:173" ht="12" hidden="1" customHeight="1">
      <c r="A350" s="441"/>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c r="AG350" s="442"/>
      <c r="AH350" s="442"/>
      <c r="AI350" s="442"/>
      <c r="AJ350" s="442"/>
      <c r="AK350" s="442"/>
      <c r="AL350" s="442"/>
      <c r="AM350" s="442"/>
      <c r="AN350" s="442"/>
      <c r="AO350" s="442"/>
      <c r="AP350" s="442"/>
      <c r="AQ350" s="442"/>
      <c r="AR350" s="442"/>
      <c r="AS350" s="442"/>
      <c r="AT350" s="442"/>
      <c r="AU350" s="442"/>
      <c r="AV350" s="442"/>
      <c r="AW350" s="442"/>
      <c r="AX350" s="442"/>
      <c r="AY350" s="442"/>
      <c r="AZ350" s="442"/>
      <c r="BA350" s="442"/>
      <c r="BB350" s="442"/>
      <c r="BC350" s="442"/>
      <c r="BD350" s="442"/>
      <c r="BE350" s="442"/>
      <c r="BF350" s="442"/>
      <c r="BG350" s="442"/>
      <c r="BH350" s="442"/>
      <c r="BI350" s="442"/>
      <c r="BJ350" s="442"/>
      <c r="BK350" s="443"/>
      <c r="BL350" s="339"/>
      <c r="BM350" s="340"/>
      <c r="BN350" s="340"/>
      <c r="BO350" s="340"/>
      <c r="BP350" s="340"/>
      <c r="BQ350" s="340"/>
      <c r="BR350" s="340"/>
      <c r="BS350" s="341"/>
      <c r="BT350" s="342"/>
      <c r="BU350" s="343"/>
      <c r="BV350" s="343"/>
      <c r="BW350" s="343"/>
      <c r="BX350" s="343"/>
      <c r="BY350" s="343"/>
      <c r="BZ350" s="343"/>
      <c r="CA350" s="343"/>
      <c r="CB350" s="343"/>
      <c r="CC350" s="343"/>
      <c r="CD350" s="343"/>
      <c r="CE350" s="343"/>
      <c r="CF350" s="344"/>
      <c r="CG350" s="345"/>
      <c r="CH350" s="340"/>
      <c r="CI350" s="340"/>
      <c r="CJ350" s="340"/>
      <c r="CK350" s="340"/>
      <c r="CL350" s="340"/>
      <c r="CM350" s="340"/>
      <c r="CN350" s="340"/>
      <c r="CO350" s="340"/>
      <c r="CP350" s="340"/>
      <c r="CQ350" s="341"/>
      <c r="CR350" s="345"/>
      <c r="CS350" s="340"/>
      <c r="CT350" s="340"/>
      <c r="CU350" s="340"/>
      <c r="CV350" s="340"/>
      <c r="CW350" s="340"/>
      <c r="CX350" s="340"/>
      <c r="CY350" s="340"/>
      <c r="CZ350" s="340"/>
      <c r="DA350" s="340"/>
      <c r="DB350" s="340"/>
      <c r="DC350" s="340"/>
      <c r="DD350" s="341"/>
      <c r="DE350" s="349"/>
      <c r="DF350" s="350"/>
      <c r="DG350" s="350"/>
      <c r="DH350" s="350"/>
      <c r="DI350" s="350"/>
      <c r="DJ350" s="350"/>
      <c r="DK350" s="350"/>
      <c r="DL350" s="350"/>
      <c r="DM350" s="350"/>
      <c r="DN350" s="350"/>
      <c r="DO350" s="350"/>
      <c r="DP350" s="350"/>
      <c r="DQ350" s="351"/>
      <c r="DR350" s="349"/>
      <c r="DS350" s="350"/>
      <c r="DT350" s="350"/>
      <c r="DU350" s="350"/>
      <c r="DV350" s="350"/>
      <c r="DW350" s="350"/>
      <c r="DX350" s="350"/>
      <c r="DY350" s="350"/>
      <c r="DZ350" s="350"/>
      <c r="EA350" s="350"/>
      <c r="EB350" s="350"/>
      <c r="EC350" s="350"/>
      <c r="ED350" s="351"/>
      <c r="EE350" s="349"/>
      <c r="EF350" s="350"/>
      <c r="EG350" s="350"/>
      <c r="EH350" s="350"/>
      <c r="EI350" s="350"/>
      <c r="EJ350" s="350"/>
      <c r="EK350" s="350"/>
      <c r="EL350" s="350"/>
      <c r="EM350" s="350"/>
      <c r="EN350" s="350"/>
      <c r="EO350" s="350"/>
      <c r="EP350" s="350"/>
      <c r="EQ350" s="351"/>
      <c r="ER350" s="349"/>
      <c r="ES350" s="350"/>
      <c r="ET350" s="350"/>
      <c r="EU350" s="350"/>
      <c r="EV350" s="350"/>
      <c r="EW350" s="350"/>
      <c r="EX350" s="350"/>
      <c r="EY350" s="350"/>
      <c r="EZ350" s="350"/>
      <c r="FA350" s="350"/>
      <c r="FB350" s="351"/>
      <c r="FC350" s="352"/>
      <c r="FD350" s="353"/>
      <c r="FE350" s="353"/>
      <c r="FF350" s="353"/>
      <c r="FG350" s="353"/>
      <c r="FH350" s="353"/>
      <c r="FI350" s="353"/>
      <c r="FJ350" s="353"/>
      <c r="FK350" s="353"/>
      <c r="FL350" s="353"/>
      <c r="FO350" s="275"/>
      <c r="FP350" s="275"/>
      <c r="FQ350" s="275">
        <f t="shared" si="8"/>
        <v>0</v>
      </c>
    </row>
    <row r="351" spans="1:173" ht="12" hidden="1" customHeight="1">
      <c r="A351" s="441"/>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c r="AG351" s="442"/>
      <c r="AH351" s="442"/>
      <c r="AI351" s="442"/>
      <c r="AJ351" s="442"/>
      <c r="AK351" s="442"/>
      <c r="AL351" s="442"/>
      <c r="AM351" s="442"/>
      <c r="AN351" s="442"/>
      <c r="AO351" s="442"/>
      <c r="AP351" s="442"/>
      <c r="AQ351" s="442"/>
      <c r="AR351" s="442"/>
      <c r="AS351" s="442"/>
      <c r="AT351" s="442"/>
      <c r="AU351" s="442"/>
      <c r="AV351" s="442"/>
      <c r="AW351" s="442"/>
      <c r="AX351" s="442"/>
      <c r="AY351" s="442"/>
      <c r="AZ351" s="442"/>
      <c r="BA351" s="442"/>
      <c r="BB351" s="442"/>
      <c r="BC351" s="442"/>
      <c r="BD351" s="442"/>
      <c r="BE351" s="442"/>
      <c r="BF351" s="442"/>
      <c r="BG351" s="442"/>
      <c r="BH351" s="442"/>
      <c r="BI351" s="442"/>
      <c r="BJ351" s="442"/>
      <c r="BK351" s="443"/>
      <c r="BL351" s="339"/>
      <c r="BM351" s="340"/>
      <c r="BN351" s="340"/>
      <c r="BO351" s="340"/>
      <c r="BP351" s="340"/>
      <c r="BQ351" s="340"/>
      <c r="BR351" s="340"/>
      <c r="BS351" s="341"/>
      <c r="BT351" s="342"/>
      <c r="BU351" s="343"/>
      <c r="BV351" s="343"/>
      <c r="BW351" s="343"/>
      <c r="BX351" s="343"/>
      <c r="BY351" s="343"/>
      <c r="BZ351" s="343"/>
      <c r="CA351" s="343"/>
      <c r="CB351" s="343"/>
      <c r="CC351" s="343"/>
      <c r="CD351" s="343"/>
      <c r="CE351" s="343"/>
      <c r="CF351" s="344"/>
      <c r="CG351" s="345"/>
      <c r="CH351" s="340"/>
      <c r="CI351" s="340"/>
      <c r="CJ351" s="340"/>
      <c r="CK351" s="340"/>
      <c r="CL351" s="340"/>
      <c r="CM351" s="340"/>
      <c r="CN351" s="340"/>
      <c r="CO351" s="340"/>
      <c r="CP351" s="340"/>
      <c r="CQ351" s="341"/>
      <c r="CR351" s="345"/>
      <c r="CS351" s="340"/>
      <c r="CT351" s="340"/>
      <c r="CU351" s="340"/>
      <c r="CV351" s="340"/>
      <c r="CW351" s="340"/>
      <c r="CX351" s="340"/>
      <c r="CY351" s="340"/>
      <c r="CZ351" s="340"/>
      <c r="DA351" s="340"/>
      <c r="DB351" s="340"/>
      <c r="DC351" s="340"/>
      <c r="DD351" s="341"/>
      <c r="DE351" s="349"/>
      <c r="DF351" s="350"/>
      <c r="DG351" s="350"/>
      <c r="DH351" s="350"/>
      <c r="DI351" s="350"/>
      <c r="DJ351" s="350"/>
      <c r="DK351" s="350"/>
      <c r="DL351" s="350"/>
      <c r="DM351" s="350"/>
      <c r="DN351" s="350"/>
      <c r="DO351" s="350"/>
      <c r="DP351" s="350"/>
      <c r="DQ351" s="351"/>
      <c r="DR351" s="349"/>
      <c r="DS351" s="350"/>
      <c r="DT351" s="350"/>
      <c r="DU351" s="350"/>
      <c r="DV351" s="350"/>
      <c r="DW351" s="350"/>
      <c r="DX351" s="350"/>
      <c r="DY351" s="350"/>
      <c r="DZ351" s="350"/>
      <c r="EA351" s="350"/>
      <c r="EB351" s="350"/>
      <c r="EC351" s="350"/>
      <c r="ED351" s="351"/>
      <c r="EE351" s="349"/>
      <c r="EF351" s="350"/>
      <c r="EG351" s="350"/>
      <c r="EH351" s="350"/>
      <c r="EI351" s="350"/>
      <c r="EJ351" s="350"/>
      <c r="EK351" s="350"/>
      <c r="EL351" s="350"/>
      <c r="EM351" s="350"/>
      <c r="EN351" s="350"/>
      <c r="EO351" s="350"/>
      <c r="EP351" s="350"/>
      <c r="EQ351" s="351"/>
      <c r="ER351" s="349"/>
      <c r="ES351" s="350"/>
      <c r="ET351" s="350"/>
      <c r="EU351" s="350"/>
      <c r="EV351" s="350"/>
      <c r="EW351" s="350"/>
      <c r="EX351" s="350"/>
      <c r="EY351" s="350"/>
      <c r="EZ351" s="350"/>
      <c r="FA351" s="350"/>
      <c r="FB351" s="351"/>
      <c r="FC351" s="352"/>
      <c r="FD351" s="353"/>
      <c r="FE351" s="353"/>
      <c r="FF351" s="353"/>
      <c r="FG351" s="353"/>
      <c r="FH351" s="353"/>
      <c r="FI351" s="353"/>
      <c r="FJ351" s="353"/>
      <c r="FK351" s="353"/>
      <c r="FL351" s="353"/>
      <c r="FO351" s="275"/>
      <c r="FP351" s="275"/>
      <c r="FQ351" s="275">
        <f t="shared" si="8"/>
        <v>0</v>
      </c>
    </row>
    <row r="352" spans="1:173" s="215" customFormat="1" ht="12" customHeight="1">
      <c r="A352" s="437" t="s">
        <v>940</v>
      </c>
      <c r="B352" s="438"/>
      <c r="C352" s="438"/>
      <c r="D352" s="438"/>
      <c r="E352" s="438"/>
      <c r="F352" s="438"/>
      <c r="G352" s="438"/>
      <c r="H352" s="438"/>
      <c r="I352" s="438"/>
      <c r="J352" s="438"/>
      <c r="K352" s="438"/>
      <c r="L352" s="438"/>
      <c r="M352" s="438"/>
      <c r="N352" s="438"/>
      <c r="O352" s="438"/>
      <c r="P352" s="438"/>
      <c r="Q352" s="438"/>
      <c r="R352" s="438"/>
      <c r="S352" s="438"/>
      <c r="T352" s="438"/>
      <c r="U352" s="438"/>
      <c r="V352" s="438"/>
      <c r="W352" s="438"/>
      <c r="X352" s="438"/>
      <c r="Y352" s="438"/>
      <c r="Z352" s="438"/>
      <c r="AA352" s="438"/>
      <c r="AB352" s="438"/>
      <c r="AC352" s="438"/>
      <c r="AD352" s="438"/>
      <c r="AE352" s="438"/>
      <c r="AF352" s="438"/>
      <c r="AG352" s="438"/>
      <c r="AH352" s="438"/>
      <c r="AI352" s="438"/>
      <c r="AJ352" s="438"/>
      <c r="AK352" s="438"/>
      <c r="AL352" s="438"/>
      <c r="AM352" s="438"/>
      <c r="AN352" s="438"/>
      <c r="AO352" s="438"/>
      <c r="AP352" s="438"/>
      <c r="AQ352" s="438"/>
      <c r="AR352" s="438"/>
      <c r="AS352" s="438"/>
      <c r="AT352" s="438"/>
      <c r="AU352" s="438"/>
      <c r="AV352" s="438"/>
      <c r="AW352" s="438"/>
      <c r="AX352" s="438"/>
      <c r="AY352" s="438"/>
      <c r="AZ352" s="438"/>
      <c r="BA352" s="438"/>
      <c r="BB352" s="438"/>
      <c r="BC352" s="438"/>
      <c r="BD352" s="438"/>
      <c r="BE352" s="438"/>
      <c r="BF352" s="438"/>
      <c r="BG352" s="438"/>
      <c r="BH352" s="438"/>
      <c r="BI352" s="438"/>
      <c r="BJ352" s="438"/>
      <c r="BK352" s="439"/>
      <c r="BL352" s="440"/>
      <c r="BM352" s="414"/>
      <c r="BN352" s="414"/>
      <c r="BO352" s="414"/>
      <c r="BP352" s="414"/>
      <c r="BQ352" s="414"/>
      <c r="BR352" s="414"/>
      <c r="BS352" s="415"/>
      <c r="BT352" s="413" t="s">
        <v>109</v>
      </c>
      <c r="BU352" s="414"/>
      <c r="BV352" s="414"/>
      <c r="BW352" s="414"/>
      <c r="BX352" s="414"/>
      <c r="BY352" s="414"/>
      <c r="BZ352" s="414"/>
      <c r="CA352" s="414"/>
      <c r="CB352" s="414"/>
      <c r="CC352" s="414"/>
      <c r="CD352" s="414"/>
      <c r="CE352" s="414"/>
      <c r="CF352" s="415"/>
      <c r="CG352" s="413" t="s">
        <v>214</v>
      </c>
      <c r="CH352" s="414"/>
      <c r="CI352" s="414"/>
      <c r="CJ352" s="414"/>
      <c r="CK352" s="414"/>
      <c r="CL352" s="414"/>
      <c r="CM352" s="414"/>
      <c r="CN352" s="414"/>
      <c r="CO352" s="414"/>
      <c r="CP352" s="414"/>
      <c r="CQ352" s="415"/>
      <c r="CR352" s="413"/>
      <c r="CS352" s="414"/>
      <c r="CT352" s="414"/>
      <c r="CU352" s="414"/>
      <c r="CV352" s="414"/>
      <c r="CW352" s="414"/>
      <c r="CX352" s="414"/>
      <c r="CY352" s="414"/>
      <c r="CZ352" s="414"/>
      <c r="DA352" s="414"/>
      <c r="DB352" s="414"/>
      <c r="DC352" s="414"/>
      <c r="DD352" s="415"/>
      <c r="DE352" s="428">
        <f>DE353+DE361</f>
        <v>1110342.77</v>
      </c>
      <c r="DF352" s="429"/>
      <c r="DG352" s="429"/>
      <c r="DH352" s="429"/>
      <c r="DI352" s="429"/>
      <c r="DJ352" s="429"/>
      <c r="DK352" s="429"/>
      <c r="DL352" s="429"/>
      <c r="DM352" s="429"/>
      <c r="DN352" s="429"/>
      <c r="DO352" s="429"/>
      <c r="DP352" s="429"/>
      <c r="DQ352" s="430"/>
      <c r="DR352" s="428">
        <f>DR353+DR361</f>
        <v>23300</v>
      </c>
      <c r="DS352" s="429"/>
      <c r="DT352" s="429"/>
      <c r="DU352" s="429"/>
      <c r="DV352" s="429"/>
      <c r="DW352" s="429"/>
      <c r="DX352" s="429"/>
      <c r="DY352" s="429"/>
      <c r="DZ352" s="429"/>
      <c r="EA352" s="429"/>
      <c r="EB352" s="429"/>
      <c r="EC352" s="429"/>
      <c r="ED352" s="430"/>
      <c r="EE352" s="428"/>
      <c r="EF352" s="429"/>
      <c r="EG352" s="429"/>
      <c r="EH352" s="429"/>
      <c r="EI352" s="429"/>
      <c r="EJ352" s="429"/>
      <c r="EK352" s="429"/>
      <c r="EL352" s="429"/>
      <c r="EM352" s="429"/>
      <c r="EN352" s="429"/>
      <c r="EO352" s="429"/>
      <c r="EP352" s="429"/>
      <c r="EQ352" s="430"/>
      <c r="ER352" s="410"/>
      <c r="ES352" s="411"/>
      <c r="ET352" s="411"/>
      <c r="EU352" s="411"/>
      <c r="EV352" s="411"/>
      <c r="EW352" s="411"/>
      <c r="EX352" s="411"/>
      <c r="EY352" s="411"/>
      <c r="EZ352" s="411"/>
      <c r="FA352" s="411"/>
      <c r="FB352" s="412"/>
      <c r="FC352" s="423"/>
      <c r="FD352" s="424"/>
      <c r="FE352" s="424"/>
      <c r="FF352" s="424"/>
      <c r="FG352" s="424"/>
      <c r="FH352" s="424"/>
      <c r="FI352" s="424"/>
      <c r="FJ352" s="424"/>
      <c r="FK352" s="424"/>
      <c r="FL352" s="424"/>
      <c r="FO352" s="278"/>
      <c r="FP352" s="278"/>
      <c r="FQ352" s="275">
        <f t="shared" si="8"/>
        <v>23300</v>
      </c>
    </row>
    <row r="353" spans="1:173" s="215" customFormat="1" ht="12" customHeight="1">
      <c r="A353" s="437" t="s">
        <v>941</v>
      </c>
      <c r="B353" s="438"/>
      <c r="C353" s="438"/>
      <c r="D353" s="438"/>
      <c r="E353" s="438"/>
      <c r="F353" s="438"/>
      <c r="G353" s="438"/>
      <c r="H353" s="438"/>
      <c r="I353" s="438"/>
      <c r="J353" s="438"/>
      <c r="K353" s="438"/>
      <c r="L353" s="438"/>
      <c r="M353" s="438"/>
      <c r="N353" s="438"/>
      <c r="O353" s="438"/>
      <c r="P353" s="438"/>
      <c r="Q353" s="438"/>
      <c r="R353" s="438"/>
      <c r="S353" s="438"/>
      <c r="T353" s="438"/>
      <c r="U353" s="438"/>
      <c r="V353" s="438"/>
      <c r="W353" s="438"/>
      <c r="X353" s="438"/>
      <c r="Y353" s="438"/>
      <c r="Z353" s="438"/>
      <c r="AA353" s="438"/>
      <c r="AB353" s="438"/>
      <c r="AC353" s="438"/>
      <c r="AD353" s="438"/>
      <c r="AE353" s="438"/>
      <c r="AF353" s="438"/>
      <c r="AG353" s="438"/>
      <c r="AH353" s="438"/>
      <c r="AI353" s="438"/>
      <c r="AJ353" s="438"/>
      <c r="AK353" s="438"/>
      <c r="AL353" s="438"/>
      <c r="AM353" s="438"/>
      <c r="AN353" s="438"/>
      <c r="AO353" s="438"/>
      <c r="AP353" s="438"/>
      <c r="AQ353" s="438"/>
      <c r="AR353" s="438"/>
      <c r="AS353" s="438"/>
      <c r="AT353" s="438"/>
      <c r="AU353" s="438"/>
      <c r="AV353" s="438"/>
      <c r="AW353" s="438"/>
      <c r="AX353" s="438"/>
      <c r="AY353" s="438"/>
      <c r="AZ353" s="438"/>
      <c r="BA353" s="438"/>
      <c r="BB353" s="438"/>
      <c r="BC353" s="438"/>
      <c r="BD353" s="438"/>
      <c r="BE353" s="438"/>
      <c r="BF353" s="438"/>
      <c r="BG353" s="438"/>
      <c r="BH353" s="438"/>
      <c r="BI353" s="438"/>
      <c r="BJ353" s="438"/>
      <c r="BK353" s="439"/>
      <c r="BL353" s="440"/>
      <c r="BM353" s="414"/>
      <c r="BN353" s="414"/>
      <c r="BO353" s="414"/>
      <c r="BP353" s="414"/>
      <c r="BQ353" s="414"/>
      <c r="BR353" s="414"/>
      <c r="BS353" s="415"/>
      <c r="BT353" s="413" t="s">
        <v>109</v>
      </c>
      <c r="BU353" s="414"/>
      <c r="BV353" s="414"/>
      <c r="BW353" s="414"/>
      <c r="BX353" s="414"/>
      <c r="BY353" s="414"/>
      <c r="BZ353" s="414"/>
      <c r="CA353" s="414"/>
      <c r="CB353" s="414"/>
      <c r="CC353" s="414"/>
      <c r="CD353" s="414"/>
      <c r="CE353" s="414"/>
      <c r="CF353" s="415"/>
      <c r="CG353" s="413" t="s">
        <v>214</v>
      </c>
      <c r="CH353" s="414"/>
      <c r="CI353" s="414"/>
      <c r="CJ353" s="414"/>
      <c r="CK353" s="414"/>
      <c r="CL353" s="414"/>
      <c r="CM353" s="414"/>
      <c r="CN353" s="414"/>
      <c r="CO353" s="414"/>
      <c r="CP353" s="414"/>
      <c r="CQ353" s="415"/>
      <c r="CR353" s="413"/>
      <c r="CS353" s="414"/>
      <c r="CT353" s="414"/>
      <c r="CU353" s="414"/>
      <c r="CV353" s="414"/>
      <c r="CW353" s="414"/>
      <c r="CX353" s="414"/>
      <c r="CY353" s="414"/>
      <c r="CZ353" s="414"/>
      <c r="DA353" s="414"/>
      <c r="DB353" s="414"/>
      <c r="DC353" s="414"/>
      <c r="DD353" s="415"/>
      <c r="DE353" s="428">
        <f>SUM(DE354:DQ360)</f>
        <v>764854.32000000007</v>
      </c>
      <c r="DF353" s="429"/>
      <c r="DG353" s="429"/>
      <c r="DH353" s="429"/>
      <c r="DI353" s="429"/>
      <c r="DJ353" s="429"/>
      <c r="DK353" s="429"/>
      <c r="DL353" s="429"/>
      <c r="DM353" s="429"/>
      <c r="DN353" s="429"/>
      <c r="DO353" s="429"/>
      <c r="DP353" s="429"/>
      <c r="DQ353" s="430"/>
      <c r="DR353" s="428">
        <f>SUM(DR354:ED360)</f>
        <v>0</v>
      </c>
      <c r="DS353" s="429"/>
      <c r="DT353" s="429"/>
      <c r="DU353" s="429"/>
      <c r="DV353" s="429"/>
      <c r="DW353" s="429"/>
      <c r="DX353" s="429"/>
      <c r="DY353" s="429"/>
      <c r="DZ353" s="429"/>
      <c r="EA353" s="429"/>
      <c r="EB353" s="429"/>
      <c r="EC353" s="429"/>
      <c r="ED353" s="430"/>
      <c r="EE353" s="428"/>
      <c r="EF353" s="429"/>
      <c r="EG353" s="429"/>
      <c r="EH353" s="429"/>
      <c r="EI353" s="429"/>
      <c r="EJ353" s="429"/>
      <c r="EK353" s="429"/>
      <c r="EL353" s="429"/>
      <c r="EM353" s="429"/>
      <c r="EN353" s="429"/>
      <c r="EO353" s="429"/>
      <c r="EP353" s="429"/>
      <c r="EQ353" s="430"/>
      <c r="ER353" s="410"/>
      <c r="ES353" s="411"/>
      <c r="ET353" s="411"/>
      <c r="EU353" s="411"/>
      <c r="EV353" s="411"/>
      <c r="EW353" s="411"/>
      <c r="EX353" s="411"/>
      <c r="EY353" s="411"/>
      <c r="EZ353" s="411"/>
      <c r="FA353" s="411"/>
      <c r="FB353" s="412"/>
      <c r="FC353" s="423"/>
      <c r="FD353" s="424"/>
      <c r="FE353" s="424"/>
      <c r="FF353" s="424"/>
      <c r="FG353" s="424"/>
      <c r="FH353" s="424"/>
      <c r="FI353" s="424"/>
      <c r="FJ353" s="424"/>
      <c r="FK353" s="424"/>
      <c r="FL353" s="424"/>
      <c r="FO353" s="278"/>
      <c r="FP353" s="278"/>
      <c r="FQ353" s="275">
        <f t="shared" si="8"/>
        <v>0</v>
      </c>
    </row>
    <row r="354" spans="1:173" s="174" customFormat="1" ht="21" hidden="1" customHeight="1">
      <c r="A354" s="441" t="s">
        <v>850</v>
      </c>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c r="AG354" s="442"/>
      <c r="AH354" s="442"/>
      <c r="AI354" s="442"/>
      <c r="AJ354" s="442"/>
      <c r="AK354" s="442"/>
      <c r="AL354" s="442"/>
      <c r="AM354" s="442"/>
      <c r="AN354" s="442"/>
      <c r="AO354" s="442"/>
      <c r="AP354" s="442"/>
      <c r="AQ354" s="442"/>
      <c r="AR354" s="442"/>
      <c r="AS354" s="442"/>
      <c r="AT354" s="442"/>
      <c r="AU354" s="442"/>
      <c r="AV354" s="442"/>
      <c r="AW354" s="442"/>
      <c r="AX354" s="442"/>
      <c r="AY354" s="442"/>
      <c r="AZ354" s="442"/>
      <c r="BA354" s="442"/>
      <c r="BB354" s="442"/>
      <c r="BC354" s="442"/>
      <c r="BD354" s="442"/>
      <c r="BE354" s="442"/>
      <c r="BF354" s="442"/>
      <c r="BG354" s="442"/>
      <c r="BH354" s="442"/>
      <c r="BI354" s="442"/>
      <c r="BJ354" s="442"/>
      <c r="BK354" s="443"/>
      <c r="BL354" s="392"/>
      <c r="BM354" s="393"/>
      <c r="BN354" s="393"/>
      <c r="BO354" s="393"/>
      <c r="BP354" s="393"/>
      <c r="BQ354" s="393"/>
      <c r="BR354" s="393"/>
      <c r="BS354" s="394"/>
      <c r="BT354" s="395" t="s">
        <v>849</v>
      </c>
      <c r="BU354" s="396"/>
      <c r="BV354" s="396"/>
      <c r="BW354" s="396"/>
      <c r="BX354" s="396"/>
      <c r="BY354" s="396"/>
      <c r="BZ354" s="396"/>
      <c r="CA354" s="396"/>
      <c r="CB354" s="396"/>
      <c r="CC354" s="396"/>
      <c r="CD354" s="396"/>
      <c r="CE354" s="396"/>
      <c r="CF354" s="397"/>
      <c r="CG354" s="398" t="s">
        <v>870</v>
      </c>
      <c r="CH354" s="393"/>
      <c r="CI354" s="393"/>
      <c r="CJ354" s="393"/>
      <c r="CK354" s="393"/>
      <c r="CL354" s="393"/>
      <c r="CM354" s="393"/>
      <c r="CN354" s="393"/>
      <c r="CO354" s="393"/>
      <c r="CP354" s="393"/>
      <c r="CQ354" s="394"/>
      <c r="CR354" s="398"/>
      <c r="CS354" s="393"/>
      <c r="CT354" s="393"/>
      <c r="CU354" s="393"/>
      <c r="CV354" s="393"/>
      <c r="CW354" s="393"/>
      <c r="CX354" s="393"/>
      <c r="CY354" s="393"/>
      <c r="CZ354" s="393"/>
      <c r="DA354" s="393"/>
      <c r="DB354" s="393"/>
      <c r="DC354" s="393"/>
      <c r="DD354" s="394"/>
      <c r="DE354" s="402">
        <f>542933.91</f>
        <v>542933.91</v>
      </c>
      <c r="DF354" s="403"/>
      <c r="DG354" s="403"/>
      <c r="DH354" s="403"/>
      <c r="DI354" s="403"/>
      <c r="DJ354" s="403"/>
      <c r="DK354" s="403"/>
      <c r="DL354" s="403"/>
      <c r="DM354" s="403"/>
      <c r="DN354" s="403"/>
      <c r="DO354" s="403"/>
      <c r="DP354" s="403"/>
      <c r="DQ354" s="404"/>
      <c r="DR354" s="402">
        <v>0</v>
      </c>
      <c r="DS354" s="403"/>
      <c r="DT354" s="403"/>
      <c r="DU354" s="403"/>
      <c r="DV354" s="403"/>
      <c r="DW354" s="403"/>
      <c r="DX354" s="403"/>
      <c r="DY354" s="403"/>
      <c r="DZ354" s="403"/>
      <c r="EA354" s="403"/>
      <c r="EB354" s="403"/>
      <c r="EC354" s="403"/>
      <c r="ED354" s="404"/>
      <c r="EE354" s="402"/>
      <c r="EF354" s="403"/>
      <c r="EG354" s="403"/>
      <c r="EH354" s="403"/>
      <c r="EI354" s="403"/>
      <c r="EJ354" s="403"/>
      <c r="EK354" s="403"/>
      <c r="EL354" s="403"/>
      <c r="EM354" s="403"/>
      <c r="EN354" s="403"/>
      <c r="EO354" s="403"/>
      <c r="EP354" s="403"/>
      <c r="EQ354" s="404"/>
      <c r="ER354" s="402"/>
      <c r="ES354" s="403"/>
      <c r="ET354" s="403"/>
      <c r="EU354" s="403"/>
      <c r="EV354" s="403"/>
      <c r="EW354" s="403"/>
      <c r="EX354" s="403"/>
      <c r="EY354" s="403"/>
      <c r="EZ354" s="403"/>
      <c r="FA354" s="403"/>
      <c r="FB354" s="404"/>
      <c r="FC354" s="408"/>
      <c r="FD354" s="409"/>
      <c r="FE354" s="409"/>
      <c r="FF354" s="409"/>
      <c r="FG354" s="409"/>
      <c r="FH354" s="409"/>
      <c r="FI354" s="409"/>
      <c r="FJ354" s="409"/>
      <c r="FK354" s="409"/>
      <c r="FL354" s="409"/>
      <c r="FO354" s="279"/>
      <c r="FP354" s="279"/>
      <c r="FQ354" s="275">
        <f t="shared" si="8"/>
        <v>0</v>
      </c>
    </row>
    <row r="355" spans="1:173" s="174" customFormat="1" ht="21" hidden="1" customHeight="1">
      <c r="A355" s="441" t="s">
        <v>851</v>
      </c>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c r="AG355" s="442"/>
      <c r="AH355" s="442"/>
      <c r="AI355" s="442"/>
      <c r="AJ355" s="442"/>
      <c r="AK355" s="442"/>
      <c r="AL355" s="442"/>
      <c r="AM355" s="442"/>
      <c r="AN355" s="442"/>
      <c r="AO355" s="442"/>
      <c r="AP355" s="442"/>
      <c r="AQ355" s="442"/>
      <c r="AR355" s="442"/>
      <c r="AS355" s="442"/>
      <c r="AT355" s="442"/>
      <c r="AU355" s="442"/>
      <c r="AV355" s="442"/>
      <c r="AW355" s="442"/>
      <c r="AX355" s="442"/>
      <c r="AY355" s="442"/>
      <c r="AZ355" s="442"/>
      <c r="BA355" s="442"/>
      <c r="BB355" s="442"/>
      <c r="BC355" s="442"/>
      <c r="BD355" s="442"/>
      <c r="BE355" s="442"/>
      <c r="BF355" s="442"/>
      <c r="BG355" s="442"/>
      <c r="BH355" s="442"/>
      <c r="BI355" s="442"/>
      <c r="BJ355" s="442"/>
      <c r="BK355" s="443"/>
      <c r="BL355" s="392"/>
      <c r="BM355" s="393"/>
      <c r="BN355" s="393"/>
      <c r="BO355" s="393"/>
      <c r="BP355" s="393"/>
      <c r="BQ355" s="393"/>
      <c r="BR355" s="393"/>
      <c r="BS355" s="394"/>
      <c r="BT355" s="395" t="s">
        <v>849</v>
      </c>
      <c r="BU355" s="396"/>
      <c r="BV355" s="396"/>
      <c r="BW355" s="396"/>
      <c r="BX355" s="396"/>
      <c r="BY355" s="396"/>
      <c r="BZ355" s="396"/>
      <c r="CA355" s="396"/>
      <c r="CB355" s="396"/>
      <c r="CC355" s="396"/>
      <c r="CD355" s="396"/>
      <c r="CE355" s="396"/>
      <c r="CF355" s="397"/>
      <c r="CG355" s="398" t="s">
        <v>870</v>
      </c>
      <c r="CH355" s="393"/>
      <c r="CI355" s="393"/>
      <c r="CJ355" s="393"/>
      <c r="CK355" s="393"/>
      <c r="CL355" s="393"/>
      <c r="CM355" s="393"/>
      <c r="CN355" s="393"/>
      <c r="CO355" s="393"/>
      <c r="CP355" s="393"/>
      <c r="CQ355" s="394"/>
      <c r="CR355" s="398"/>
      <c r="CS355" s="393"/>
      <c r="CT355" s="393"/>
      <c r="CU355" s="393"/>
      <c r="CV355" s="393"/>
      <c r="CW355" s="393"/>
      <c r="CX355" s="393"/>
      <c r="CY355" s="393"/>
      <c r="CZ355" s="393"/>
      <c r="DA355" s="393"/>
      <c r="DB355" s="393"/>
      <c r="DC355" s="393"/>
      <c r="DD355" s="394"/>
      <c r="DE355" s="402">
        <v>221920.41</v>
      </c>
      <c r="DF355" s="403"/>
      <c r="DG355" s="403"/>
      <c r="DH355" s="403"/>
      <c r="DI355" s="403"/>
      <c r="DJ355" s="403"/>
      <c r="DK355" s="403"/>
      <c r="DL355" s="403"/>
      <c r="DM355" s="403"/>
      <c r="DN355" s="403"/>
      <c r="DO355" s="403"/>
      <c r="DP355" s="403"/>
      <c r="DQ355" s="404"/>
      <c r="DR355" s="402">
        <v>0</v>
      </c>
      <c r="DS355" s="403"/>
      <c r="DT355" s="403"/>
      <c r="DU355" s="403"/>
      <c r="DV355" s="403"/>
      <c r="DW355" s="403"/>
      <c r="DX355" s="403"/>
      <c r="DY355" s="403"/>
      <c r="DZ355" s="403"/>
      <c r="EA355" s="403"/>
      <c r="EB355" s="403"/>
      <c r="EC355" s="403"/>
      <c r="ED355" s="404"/>
      <c r="EE355" s="402"/>
      <c r="EF355" s="403"/>
      <c r="EG355" s="403"/>
      <c r="EH355" s="403"/>
      <c r="EI355" s="403"/>
      <c r="EJ355" s="403"/>
      <c r="EK355" s="403"/>
      <c r="EL355" s="403"/>
      <c r="EM355" s="403"/>
      <c r="EN355" s="403"/>
      <c r="EO355" s="403"/>
      <c r="EP355" s="403"/>
      <c r="EQ355" s="404"/>
      <c r="ER355" s="402"/>
      <c r="ES355" s="403"/>
      <c r="ET355" s="403"/>
      <c r="EU355" s="403"/>
      <c r="EV355" s="403"/>
      <c r="EW355" s="403"/>
      <c r="EX355" s="403"/>
      <c r="EY355" s="403"/>
      <c r="EZ355" s="403"/>
      <c r="FA355" s="403"/>
      <c r="FB355" s="404"/>
      <c r="FC355" s="408"/>
      <c r="FD355" s="409"/>
      <c r="FE355" s="409"/>
      <c r="FF355" s="409"/>
      <c r="FG355" s="409"/>
      <c r="FH355" s="409"/>
      <c r="FI355" s="409"/>
      <c r="FJ355" s="409"/>
      <c r="FK355" s="409"/>
      <c r="FL355" s="409"/>
      <c r="FO355" s="279"/>
      <c r="FP355" s="279"/>
      <c r="FQ355" s="275">
        <f t="shared" si="8"/>
        <v>0</v>
      </c>
    </row>
    <row r="356" spans="1:173" ht="37.200000000000003" hidden="1" customHeight="1">
      <c r="A356" s="441"/>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c r="AG356" s="442"/>
      <c r="AH356" s="442"/>
      <c r="AI356" s="442"/>
      <c r="AJ356" s="442"/>
      <c r="AK356" s="442"/>
      <c r="AL356" s="442"/>
      <c r="AM356" s="442"/>
      <c r="AN356" s="442"/>
      <c r="AO356" s="442"/>
      <c r="AP356" s="442"/>
      <c r="AQ356" s="442"/>
      <c r="AR356" s="442"/>
      <c r="AS356" s="442"/>
      <c r="AT356" s="442"/>
      <c r="AU356" s="442"/>
      <c r="AV356" s="442"/>
      <c r="AW356" s="442"/>
      <c r="AX356" s="442"/>
      <c r="AY356" s="442"/>
      <c r="AZ356" s="442"/>
      <c r="BA356" s="442"/>
      <c r="BB356" s="442"/>
      <c r="BC356" s="442"/>
      <c r="BD356" s="442"/>
      <c r="BE356" s="442"/>
      <c r="BF356" s="442"/>
      <c r="BG356" s="442"/>
      <c r="BH356" s="442"/>
      <c r="BI356" s="442"/>
      <c r="BJ356" s="442"/>
      <c r="BK356" s="443"/>
      <c r="BL356" s="339"/>
      <c r="BM356" s="340"/>
      <c r="BN356" s="340"/>
      <c r="BO356" s="340"/>
      <c r="BP356" s="340"/>
      <c r="BQ356" s="340"/>
      <c r="BR356" s="340"/>
      <c r="BS356" s="341"/>
      <c r="BT356" s="395"/>
      <c r="BU356" s="396"/>
      <c r="BV356" s="396"/>
      <c r="BW356" s="396"/>
      <c r="BX356" s="396"/>
      <c r="BY356" s="396"/>
      <c r="BZ356" s="396"/>
      <c r="CA356" s="396"/>
      <c r="CB356" s="396"/>
      <c r="CC356" s="396"/>
      <c r="CD356" s="396"/>
      <c r="CE356" s="396"/>
      <c r="CF356" s="397"/>
      <c r="CG356" s="345"/>
      <c r="CH356" s="340"/>
      <c r="CI356" s="340"/>
      <c r="CJ356" s="340"/>
      <c r="CK356" s="340"/>
      <c r="CL356" s="340"/>
      <c r="CM356" s="340"/>
      <c r="CN356" s="340"/>
      <c r="CO356" s="340"/>
      <c r="CP356" s="340"/>
      <c r="CQ356" s="341"/>
      <c r="CR356" s="345"/>
      <c r="CS356" s="340"/>
      <c r="CT356" s="340"/>
      <c r="CU356" s="340"/>
      <c r="CV356" s="340"/>
      <c r="CW356" s="340"/>
      <c r="CX356" s="340"/>
      <c r="CY356" s="340"/>
      <c r="CZ356" s="340"/>
      <c r="DA356" s="340"/>
      <c r="DB356" s="340"/>
      <c r="DC356" s="340"/>
      <c r="DD356" s="341"/>
      <c r="DE356" s="405"/>
      <c r="DF356" s="406"/>
      <c r="DG356" s="406"/>
      <c r="DH356" s="406"/>
      <c r="DI356" s="406"/>
      <c r="DJ356" s="406"/>
      <c r="DK356" s="406"/>
      <c r="DL356" s="406"/>
      <c r="DM356" s="406"/>
      <c r="DN356" s="406"/>
      <c r="DO356" s="406"/>
      <c r="DP356" s="406"/>
      <c r="DQ356" s="407"/>
      <c r="DR356" s="405"/>
      <c r="DS356" s="406"/>
      <c r="DT356" s="406"/>
      <c r="DU356" s="406"/>
      <c r="DV356" s="406"/>
      <c r="DW356" s="406"/>
      <c r="DX356" s="406"/>
      <c r="DY356" s="406"/>
      <c r="DZ356" s="406"/>
      <c r="EA356" s="406"/>
      <c r="EB356" s="406"/>
      <c r="EC356" s="406"/>
      <c r="ED356" s="407"/>
      <c r="EE356" s="405"/>
      <c r="EF356" s="406"/>
      <c r="EG356" s="406"/>
      <c r="EH356" s="406"/>
      <c r="EI356" s="406"/>
      <c r="EJ356" s="406"/>
      <c r="EK356" s="406"/>
      <c r="EL356" s="406"/>
      <c r="EM356" s="406"/>
      <c r="EN356" s="406"/>
      <c r="EO356" s="406"/>
      <c r="EP356" s="406"/>
      <c r="EQ356" s="407"/>
      <c r="ER356" s="349"/>
      <c r="ES356" s="350"/>
      <c r="ET356" s="350"/>
      <c r="EU356" s="350"/>
      <c r="EV356" s="350"/>
      <c r="EW356" s="350"/>
      <c r="EX356" s="350"/>
      <c r="EY356" s="350"/>
      <c r="EZ356" s="350"/>
      <c r="FA356" s="350"/>
      <c r="FB356" s="351"/>
      <c r="FC356" s="352"/>
      <c r="FD356" s="353"/>
      <c r="FE356" s="353"/>
      <c r="FF356" s="353"/>
      <c r="FG356" s="353"/>
      <c r="FH356" s="353"/>
      <c r="FI356" s="353"/>
      <c r="FJ356" s="353"/>
      <c r="FK356" s="353"/>
      <c r="FL356" s="353"/>
      <c r="FO356" s="275"/>
      <c r="FP356" s="275"/>
      <c r="FQ356" s="275">
        <f t="shared" si="8"/>
        <v>0</v>
      </c>
    </row>
    <row r="357" spans="1:173" ht="15" hidden="1" customHeight="1">
      <c r="A357" s="336"/>
      <c r="B357" s="418"/>
      <c r="C357" s="418"/>
      <c r="D357" s="418"/>
      <c r="E357" s="418"/>
      <c r="F357" s="418"/>
      <c r="G357" s="418"/>
      <c r="H357" s="418"/>
      <c r="I357" s="418"/>
      <c r="J357" s="418"/>
      <c r="K357" s="418"/>
      <c r="L357" s="418"/>
      <c r="M357" s="418"/>
      <c r="N357" s="418"/>
      <c r="O357" s="418"/>
      <c r="P357" s="418"/>
      <c r="Q357" s="418"/>
      <c r="R357" s="418"/>
      <c r="S357" s="418"/>
      <c r="T357" s="418"/>
      <c r="U357" s="418"/>
      <c r="V357" s="418"/>
      <c r="W357" s="418"/>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418"/>
      <c r="AT357" s="418"/>
      <c r="AU357" s="418"/>
      <c r="AV357" s="418"/>
      <c r="AW357" s="418"/>
      <c r="AX357" s="418"/>
      <c r="AY357" s="418"/>
      <c r="AZ357" s="418"/>
      <c r="BA357" s="418"/>
      <c r="BB357" s="418"/>
      <c r="BC357" s="418"/>
      <c r="BD357" s="418"/>
      <c r="BE357" s="418"/>
      <c r="BF357" s="418"/>
      <c r="BG357" s="418"/>
      <c r="BH357" s="418"/>
      <c r="BI357" s="418"/>
      <c r="BJ357" s="418"/>
      <c r="BK357" s="419"/>
      <c r="BL357" s="339"/>
      <c r="BM357" s="340"/>
      <c r="BN357" s="340"/>
      <c r="BO357" s="340"/>
      <c r="BP357" s="340"/>
      <c r="BQ357" s="340"/>
      <c r="BR357" s="340"/>
      <c r="BS357" s="341"/>
      <c r="BT357" s="342"/>
      <c r="BU357" s="343"/>
      <c r="BV357" s="343"/>
      <c r="BW357" s="343"/>
      <c r="BX357" s="343"/>
      <c r="BY357" s="343"/>
      <c r="BZ357" s="343"/>
      <c r="CA357" s="343"/>
      <c r="CB357" s="343"/>
      <c r="CC357" s="343"/>
      <c r="CD357" s="343"/>
      <c r="CE357" s="343"/>
      <c r="CF357" s="344"/>
      <c r="CG357" s="345"/>
      <c r="CH357" s="340"/>
      <c r="CI357" s="340"/>
      <c r="CJ357" s="340"/>
      <c r="CK357" s="340"/>
      <c r="CL357" s="340"/>
      <c r="CM357" s="340"/>
      <c r="CN357" s="340"/>
      <c r="CO357" s="340"/>
      <c r="CP357" s="340"/>
      <c r="CQ357" s="341"/>
      <c r="CR357" s="345"/>
      <c r="CS357" s="340"/>
      <c r="CT357" s="340"/>
      <c r="CU357" s="340"/>
      <c r="CV357" s="340"/>
      <c r="CW357" s="340"/>
      <c r="CX357" s="340"/>
      <c r="CY357" s="340"/>
      <c r="CZ357" s="340"/>
      <c r="DA357" s="340"/>
      <c r="DB357" s="340"/>
      <c r="DC357" s="340"/>
      <c r="DD357" s="341"/>
      <c r="DE357" s="349"/>
      <c r="DF357" s="350"/>
      <c r="DG357" s="350"/>
      <c r="DH357" s="350"/>
      <c r="DI357" s="350"/>
      <c r="DJ357" s="350"/>
      <c r="DK357" s="350"/>
      <c r="DL357" s="350"/>
      <c r="DM357" s="350"/>
      <c r="DN357" s="350"/>
      <c r="DO357" s="350"/>
      <c r="DP357" s="350"/>
      <c r="DQ357" s="351"/>
      <c r="DR357" s="349"/>
      <c r="DS357" s="350"/>
      <c r="DT357" s="350"/>
      <c r="DU357" s="350"/>
      <c r="DV357" s="350"/>
      <c r="DW357" s="350"/>
      <c r="DX357" s="350"/>
      <c r="DY357" s="350"/>
      <c r="DZ357" s="350"/>
      <c r="EA357" s="350"/>
      <c r="EB357" s="350"/>
      <c r="EC357" s="350"/>
      <c r="ED357" s="351"/>
      <c r="EE357" s="349"/>
      <c r="EF357" s="350"/>
      <c r="EG357" s="350"/>
      <c r="EH357" s="350"/>
      <c r="EI357" s="350"/>
      <c r="EJ357" s="350"/>
      <c r="EK357" s="350"/>
      <c r="EL357" s="350"/>
      <c r="EM357" s="350"/>
      <c r="EN357" s="350"/>
      <c r="EO357" s="350"/>
      <c r="EP357" s="350"/>
      <c r="EQ357" s="351"/>
      <c r="ER357" s="349"/>
      <c r="ES357" s="350"/>
      <c r="ET357" s="350"/>
      <c r="EU357" s="350"/>
      <c r="EV357" s="350"/>
      <c r="EW357" s="350"/>
      <c r="EX357" s="350"/>
      <c r="EY357" s="350"/>
      <c r="EZ357" s="350"/>
      <c r="FA357" s="350"/>
      <c r="FB357" s="351"/>
      <c r="FC357" s="352"/>
      <c r="FD357" s="353"/>
      <c r="FE357" s="353"/>
      <c r="FF357" s="353"/>
      <c r="FG357" s="353"/>
      <c r="FH357" s="353"/>
      <c r="FI357" s="353"/>
      <c r="FJ357" s="353"/>
      <c r="FK357" s="353"/>
      <c r="FL357" s="353"/>
      <c r="FO357" s="275"/>
      <c r="FP357" s="275"/>
      <c r="FQ357" s="275">
        <f t="shared" si="8"/>
        <v>0</v>
      </c>
    </row>
    <row r="358" spans="1:173" ht="15" hidden="1" customHeight="1">
      <c r="A358" s="336"/>
      <c r="B358" s="337"/>
      <c r="C358" s="337"/>
      <c r="D358" s="337"/>
      <c r="E358" s="337"/>
      <c r="F358" s="337"/>
      <c r="G358" s="337"/>
      <c r="H358" s="337"/>
      <c r="I358" s="337"/>
      <c r="J358" s="337"/>
      <c r="K358" s="337"/>
      <c r="L358" s="337"/>
      <c r="M358" s="337"/>
      <c r="N358" s="337"/>
      <c r="O358" s="337"/>
      <c r="P358" s="337"/>
      <c r="Q358" s="337"/>
      <c r="R358" s="337"/>
      <c r="S358" s="337"/>
      <c r="T358" s="337"/>
      <c r="U358" s="337"/>
      <c r="V358" s="337"/>
      <c r="W358" s="337"/>
      <c r="X358" s="337"/>
      <c r="Y358" s="337"/>
      <c r="Z358" s="337"/>
      <c r="AA358" s="337"/>
      <c r="AB358" s="337"/>
      <c r="AC358" s="337"/>
      <c r="AD358" s="337"/>
      <c r="AE358" s="337"/>
      <c r="AF358" s="337"/>
      <c r="AG358" s="337"/>
      <c r="AH358" s="337"/>
      <c r="AI358" s="337"/>
      <c r="AJ358" s="337"/>
      <c r="AK358" s="337"/>
      <c r="AL358" s="337"/>
      <c r="AM358" s="337"/>
      <c r="AN358" s="337"/>
      <c r="AO358" s="337"/>
      <c r="AP358" s="337"/>
      <c r="AQ358" s="337"/>
      <c r="AR358" s="337"/>
      <c r="AS358" s="337"/>
      <c r="AT358" s="337"/>
      <c r="AU358" s="337"/>
      <c r="AV358" s="337"/>
      <c r="AW358" s="337"/>
      <c r="AX358" s="337"/>
      <c r="AY358" s="337"/>
      <c r="AZ358" s="337"/>
      <c r="BA358" s="337"/>
      <c r="BB358" s="337"/>
      <c r="BC358" s="337"/>
      <c r="BD358" s="337"/>
      <c r="BE358" s="337"/>
      <c r="BF358" s="337"/>
      <c r="BG358" s="337"/>
      <c r="BH358" s="337"/>
      <c r="BI358" s="337"/>
      <c r="BJ358" s="337"/>
      <c r="BK358" s="338"/>
      <c r="BL358" s="339"/>
      <c r="BM358" s="340"/>
      <c r="BN358" s="340"/>
      <c r="BO358" s="340"/>
      <c r="BP358" s="340"/>
      <c r="BQ358" s="340"/>
      <c r="BR358" s="340"/>
      <c r="BS358" s="341"/>
      <c r="BT358" s="342"/>
      <c r="BU358" s="343"/>
      <c r="BV358" s="343"/>
      <c r="BW358" s="343"/>
      <c r="BX358" s="343"/>
      <c r="BY358" s="343"/>
      <c r="BZ358" s="343"/>
      <c r="CA358" s="343"/>
      <c r="CB358" s="343"/>
      <c r="CC358" s="343"/>
      <c r="CD358" s="343"/>
      <c r="CE358" s="343"/>
      <c r="CF358" s="344"/>
      <c r="CG358" s="345"/>
      <c r="CH358" s="340"/>
      <c r="CI358" s="340"/>
      <c r="CJ358" s="340"/>
      <c r="CK358" s="340"/>
      <c r="CL358" s="340"/>
      <c r="CM358" s="340"/>
      <c r="CN358" s="340"/>
      <c r="CO358" s="340"/>
      <c r="CP358" s="340"/>
      <c r="CQ358" s="341"/>
      <c r="CR358" s="345"/>
      <c r="CS358" s="340"/>
      <c r="CT358" s="340"/>
      <c r="CU358" s="340"/>
      <c r="CV358" s="340"/>
      <c r="CW358" s="340"/>
      <c r="CX358" s="340"/>
      <c r="CY358" s="340"/>
      <c r="CZ358" s="340"/>
      <c r="DA358" s="340"/>
      <c r="DB358" s="340"/>
      <c r="DC358" s="340"/>
      <c r="DD358" s="341"/>
      <c r="DE358" s="349"/>
      <c r="DF358" s="350"/>
      <c r="DG358" s="350"/>
      <c r="DH358" s="350"/>
      <c r="DI358" s="350"/>
      <c r="DJ358" s="350"/>
      <c r="DK358" s="350"/>
      <c r="DL358" s="350"/>
      <c r="DM358" s="350"/>
      <c r="DN358" s="350"/>
      <c r="DO358" s="350"/>
      <c r="DP358" s="350"/>
      <c r="DQ358" s="351"/>
      <c r="DR358" s="349"/>
      <c r="DS358" s="350"/>
      <c r="DT358" s="350"/>
      <c r="DU358" s="350"/>
      <c r="DV358" s="350"/>
      <c r="DW358" s="350"/>
      <c r="DX358" s="350"/>
      <c r="DY358" s="350"/>
      <c r="DZ358" s="350"/>
      <c r="EA358" s="350"/>
      <c r="EB358" s="350"/>
      <c r="EC358" s="350"/>
      <c r="ED358" s="351"/>
      <c r="EE358" s="349"/>
      <c r="EF358" s="350"/>
      <c r="EG358" s="350"/>
      <c r="EH358" s="350"/>
      <c r="EI358" s="350"/>
      <c r="EJ358" s="350"/>
      <c r="EK358" s="350"/>
      <c r="EL358" s="350"/>
      <c r="EM358" s="350"/>
      <c r="EN358" s="350"/>
      <c r="EO358" s="350"/>
      <c r="EP358" s="350"/>
      <c r="EQ358" s="351"/>
      <c r="ER358" s="349"/>
      <c r="ES358" s="350"/>
      <c r="ET358" s="350"/>
      <c r="EU358" s="350"/>
      <c r="EV358" s="350"/>
      <c r="EW358" s="350"/>
      <c r="EX358" s="350"/>
      <c r="EY358" s="350"/>
      <c r="EZ358" s="350"/>
      <c r="FA358" s="350"/>
      <c r="FB358" s="351"/>
      <c r="FC358" s="352"/>
      <c r="FD358" s="353"/>
      <c r="FE358" s="353"/>
      <c r="FF358" s="353"/>
      <c r="FG358" s="353"/>
      <c r="FH358" s="353"/>
      <c r="FI358" s="353"/>
      <c r="FJ358" s="353"/>
      <c r="FK358" s="353"/>
      <c r="FL358" s="353"/>
      <c r="FO358" s="275"/>
      <c r="FP358" s="275"/>
      <c r="FQ358" s="275">
        <f t="shared" si="8"/>
        <v>0</v>
      </c>
    </row>
    <row r="359" spans="1:173" ht="15" hidden="1" customHeight="1">
      <c r="A359" s="336"/>
      <c r="B359" s="337"/>
      <c r="C359" s="337"/>
      <c r="D359" s="337"/>
      <c r="E359" s="337"/>
      <c r="F359" s="337"/>
      <c r="G359" s="337"/>
      <c r="H359" s="337"/>
      <c r="I359" s="337"/>
      <c r="J359" s="337"/>
      <c r="K359" s="337"/>
      <c r="L359" s="337"/>
      <c r="M359" s="337"/>
      <c r="N359" s="337"/>
      <c r="O359" s="337"/>
      <c r="P359" s="337"/>
      <c r="Q359" s="337"/>
      <c r="R359" s="337"/>
      <c r="S359" s="337"/>
      <c r="T359" s="337"/>
      <c r="U359" s="337"/>
      <c r="V359" s="337"/>
      <c r="W359" s="337"/>
      <c r="X359" s="337"/>
      <c r="Y359" s="337"/>
      <c r="Z359" s="337"/>
      <c r="AA359" s="337"/>
      <c r="AB359" s="337"/>
      <c r="AC359" s="337"/>
      <c r="AD359" s="337"/>
      <c r="AE359" s="337"/>
      <c r="AF359" s="337"/>
      <c r="AG359" s="337"/>
      <c r="AH359" s="337"/>
      <c r="AI359" s="337"/>
      <c r="AJ359" s="337"/>
      <c r="AK359" s="337"/>
      <c r="AL359" s="337"/>
      <c r="AM359" s="337"/>
      <c r="AN359" s="337"/>
      <c r="AO359" s="337"/>
      <c r="AP359" s="337"/>
      <c r="AQ359" s="337"/>
      <c r="AR359" s="337"/>
      <c r="AS359" s="337"/>
      <c r="AT359" s="337"/>
      <c r="AU359" s="337"/>
      <c r="AV359" s="337"/>
      <c r="AW359" s="337"/>
      <c r="AX359" s="337"/>
      <c r="AY359" s="337"/>
      <c r="AZ359" s="337"/>
      <c r="BA359" s="337"/>
      <c r="BB359" s="337"/>
      <c r="BC359" s="337"/>
      <c r="BD359" s="337"/>
      <c r="BE359" s="337"/>
      <c r="BF359" s="337"/>
      <c r="BG359" s="337"/>
      <c r="BH359" s="337"/>
      <c r="BI359" s="337"/>
      <c r="BJ359" s="337"/>
      <c r="BK359" s="338"/>
      <c r="BL359" s="339"/>
      <c r="BM359" s="340"/>
      <c r="BN359" s="340"/>
      <c r="BO359" s="340"/>
      <c r="BP359" s="340"/>
      <c r="BQ359" s="340"/>
      <c r="BR359" s="340"/>
      <c r="BS359" s="341"/>
      <c r="BT359" s="345"/>
      <c r="BU359" s="340"/>
      <c r="BV359" s="340"/>
      <c r="BW359" s="340"/>
      <c r="BX359" s="340"/>
      <c r="BY359" s="340"/>
      <c r="BZ359" s="340"/>
      <c r="CA359" s="340"/>
      <c r="CB359" s="340"/>
      <c r="CC359" s="340"/>
      <c r="CD359" s="340"/>
      <c r="CE359" s="340"/>
      <c r="CF359" s="341"/>
      <c r="CG359" s="345"/>
      <c r="CH359" s="340"/>
      <c r="CI359" s="340"/>
      <c r="CJ359" s="340"/>
      <c r="CK359" s="340"/>
      <c r="CL359" s="340"/>
      <c r="CM359" s="340"/>
      <c r="CN359" s="340"/>
      <c r="CO359" s="340"/>
      <c r="CP359" s="340"/>
      <c r="CQ359" s="341"/>
      <c r="CR359" s="345"/>
      <c r="CS359" s="340"/>
      <c r="CT359" s="340"/>
      <c r="CU359" s="340"/>
      <c r="CV359" s="340"/>
      <c r="CW359" s="340"/>
      <c r="CX359" s="340"/>
      <c r="CY359" s="340"/>
      <c r="CZ359" s="340"/>
      <c r="DA359" s="340"/>
      <c r="DB359" s="340"/>
      <c r="DC359" s="340"/>
      <c r="DD359" s="341"/>
      <c r="DE359" s="349"/>
      <c r="DF359" s="350"/>
      <c r="DG359" s="350"/>
      <c r="DH359" s="350"/>
      <c r="DI359" s="350"/>
      <c r="DJ359" s="350"/>
      <c r="DK359" s="350"/>
      <c r="DL359" s="350"/>
      <c r="DM359" s="350"/>
      <c r="DN359" s="350"/>
      <c r="DO359" s="350"/>
      <c r="DP359" s="350"/>
      <c r="DQ359" s="351"/>
      <c r="DR359" s="349"/>
      <c r="DS359" s="350"/>
      <c r="DT359" s="350"/>
      <c r="DU359" s="350"/>
      <c r="DV359" s="350"/>
      <c r="DW359" s="350"/>
      <c r="DX359" s="350"/>
      <c r="DY359" s="350"/>
      <c r="DZ359" s="350"/>
      <c r="EA359" s="350"/>
      <c r="EB359" s="350"/>
      <c r="EC359" s="350"/>
      <c r="ED359" s="351"/>
      <c r="EE359" s="349"/>
      <c r="EF359" s="350"/>
      <c r="EG359" s="350"/>
      <c r="EH359" s="350"/>
      <c r="EI359" s="350"/>
      <c r="EJ359" s="350"/>
      <c r="EK359" s="350"/>
      <c r="EL359" s="350"/>
      <c r="EM359" s="350"/>
      <c r="EN359" s="350"/>
      <c r="EO359" s="350"/>
      <c r="EP359" s="350"/>
      <c r="EQ359" s="351"/>
      <c r="ER359" s="349"/>
      <c r="ES359" s="350"/>
      <c r="ET359" s="350"/>
      <c r="EU359" s="350"/>
      <c r="EV359" s="350"/>
      <c r="EW359" s="350"/>
      <c r="EX359" s="350"/>
      <c r="EY359" s="350"/>
      <c r="EZ359" s="350"/>
      <c r="FA359" s="350"/>
      <c r="FB359" s="351"/>
      <c r="FC359" s="352"/>
      <c r="FD359" s="353"/>
      <c r="FE359" s="353"/>
      <c r="FF359" s="353"/>
      <c r="FG359" s="353"/>
      <c r="FH359" s="353"/>
      <c r="FI359" s="353"/>
      <c r="FJ359" s="353"/>
      <c r="FK359" s="353"/>
      <c r="FL359" s="353"/>
      <c r="FO359" s="275"/>
      <c r="FP359" s="275"/>
      <c r="FQ359" s="275">
        <f t="shared" si="8"/>
        <v>0</v>
      </c>
    </row>
    <row r="360" spans="1:173" ht="15" hidden="1" customHeight="1">
      <c r="A360" s="336"/>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418"/>
      <c r="AT360" s="418"/>
      <c r="AU360" s="418"/>
      <c r="AV360" s="418"/>
      <c r="AW360" s="418"/>
      <c r="AX360" s="418"/>
      <c r="AY360" s="418"/>
      <c r="AZ360" s="418"/>
      <c r="BA360" s="418"/>
      <c r="BB360" s="418"/>
      <c r="BC360" s="418"/>
      <c r="BD360" s="418"/>
      <c r="BE360" s="418"/>
      <c r="BF360" s="418"/>
      <c r="BG360" s="418"/>
      <c r="BH360" s="418"/>
      <c r="BI360" s="418"/>
      <c r="BJ360" s="418"/>
      <c r="BK360" s="419"/>
      <c r="BL360" s="339"/>
      <c r="BM360" s="340"/>
      <c r="BN360" s="340"/>
      <c r="BO360" s="340"/>
      <c r="BP360" s="340"/>
      <c r="BQ360" s="340"/>
      <c r="BR360" s="340"/>
      <c r="BS360" s="341"/>
      <c r="BT360" s="342"/>
      <c r="BU360" s="343"/>
      <c r="BV360" s="343"/>
      <c r="BW360" s="343"/>
      <c r="BX360" s="343"/>
      <c r="BY360" s="343"/>
      <c r="BZ360" s="343"/>
      <c r="CA360" s="343"/>
      <c r="CB360" s="343"/>
      <c r="CC360" s="343"/>
      <c r="CD360" s="343"/>
      <c r="CE360" s="343"/>
      <c r="CF360" s="344"/>
      <c r="CG360" s="345"/>
      <c r="CH360" s="340"/>
      <c r="CI360" s="340"/>
      <c r="CJ360" s="340"/>
      <c r="CK360" s="340"/>
      <c r="CL360" s="340"/>
      <c r="CM360" s="340"/>
      <c r="CN360" s="340"/>
      <c r="CO360" s="340"/>
      <c r="CP360" s="340"/>
      <c r="CQ360" s="341"/>
      <c r="CR360" s="345"/>
      <c r="CS360" s="340"/>
      <c r="CT360" s="340"/>
      <c r="CU360" s="340"/>
      <c r="CV360" s="340"/>
      <c r="CW360" s="340"/>
      <c r="CX360" s="340"/>
      <c r="CY360" s="340"/>
      <c r="CZ360" s="340"/>
      <c r="DA360" s="340"/>
      <c r="DB360" s="340"/>
      <c r="DC360" s="340"/>
      <c r="DD360" s="341"/>
      <c r="DE360" s="349"/>
      <c r="DF360" s="350"/>
      <c r="DG360" s="350"/>
      <c r="DH360" s="350"/>
      <c r="DI360" s="350"/>
      <c r="DJ360" s="350"/>
      <c r="DK360" s="350"/>
      <c r="DL360" s="350"/>
      <c r="DM360" s="350"/>
      <c r="DN360" s="350"/>
      <c r="DO360" s="350"/>
      <c r="DP360" s="350"/>
      <c r="DQ360" s="351"/>
      <c r="DR360" s="349"/>
      <c r="DS360" s="350"/>
      <c r="DT360" s="350"/>
      <c r="DU360" s="350"/>
      <c r="DV360" s="350"/>
      <c r="DW360" s="350"/>
      <c r="DX360" s="350"/>
      <c r="DY360" s="350"/>
      <c r="DZ360" s="350"/>
      <c r="EA360" s="350"/>
      <c r="EB360" s="350"/>
      <c r="EC360" s="350"/>
      <c r="ED360" s="351"/>
      <c r="EE360" s="349"/>
      <c r="EF360" s="350"/>
      <c r="EG360" s="350"/>
      <c r="EH360" s="350"/>
      <c r="EI360" s="350"/>
      <c r="EJ360" s="350"/>
      <c r="EK360" s="350"/>
      <c r="EL360" s="350"/>
      <c r="EM360" s="350"/>
      <c r="EN360" s="350"/>
      <c r="EO360" s="350"/>
      <c r="EP360" s="350"/>
      <c r="EQ360" s="351"/>
      <c r="ER360" s="349"/>
      <c r="ES360" s="350"/>
      <c r="ET360" s="350"/>
      <c r="EU360" s="350"/>
      <c r="EV360" s="350"/>
      <c r="EW360" s="350"/>
      <c r="EX360" s="350"/>
      <c r="EY360" s="350"/>
      <c r="EZ360" s="350"/>
      <c r="FA360" s="350"/>
      <c r="FB360" s="351"/>
      <c r="FC360" s="352"/>
      <c r="FD360" s="353"/>
      <c r="FE360" s="353"/>
      <c r="FF360" s="353"/>
      <c r="FG360" s="353"/>
      <c r="FH360" s="353"/>
      <c r="FI360" s="353"/>
      <c r="FJ360" s="353"/>
      <c r="FK360" s="353"/>
      <c r="FL360" s="353"/>
      <c r="FO360" s="275"/>
      <c r="FP360" s="275"/>
      <c r="FQ360" s="275">
        <f t="shared" si="8"/>
        <v>0</v>
      </c>
    </row>
    <row r="361" spans="1:173" s="215" customFormat="1" ht="12" customHeight="1">
      <c r="A361" s="437" t="s">
        <v>942</v>
      </c>
      <c r="B361" s="438"/>
      <c r="C361" s="438"/>
      <c r="D361" s="438"/>
      <c r="E361" s="438"/>
      <c r="F361" s="438"/>
      <c r="G361" s="438"/>
      <c r="H361" s="438"/>
      <c r="I361" s="438"/>
      <c r="J361" s="438"/>
      <c r="K361" s="438"/>
      <c r="L361" s="438"/>
      <c r="M361" s="438"/>
      <c r="N361" s="438"/>
      <c r="O361" s="438"/>
      <c r="P361" s="438"/>
      <c r="Q361" s="438"/>
      <c r="R361" s="438"/>
      <c r="S361" s="438"/>
      <c r="T361" s="438"/>
      <c r="U361" s="438"/>
      <c r="V361" s="438"/>
      <c r="W361" s="438"/>
      <c r="X361" s="438"/>
      <c r="Y361" s="438"/>
      <c r="Z361" s="438"/>
      <c r="AA361" s="438"/>
      <c r="AB361" s="438"/>
      <c r="AC361" s="438"/>
      <c r="AD361" s="438"/>
      <c r="AE361" s="438"/>
      <c r="AF361" s="438"/>
      <c r="AG361" s="438"/>
      <c r="AH361" s="438"/>
      <c r="AI361" s="438"/>
      <c r="AJ361" s="438"/>
      <c r="AK361" s="438"/>
      <c r="AL361" s="438"/>
      <c r="AM361" s="438"/>
      <c r="AN361" s="438"/>
      <c r="AO361" s="438"/>
      <c r="AP361" s="438"/>
      <c r="AQ361" s="438"/>
      <c r="AR361" s="438"/>
      <c r="AS361" s="438"/>
      <c r="AT361" s="438"/>
      <c r="AU361" s="438"/>
      <c r="AV361" s="438"/>
      <c r="AW361" s="438"/>
      <c r="AX361" s="438"/>
      <c r="AY361" s="438"/>
      <c r="AZ361" s="438"/>
      <c r="BA361" s="438"/>
      <c r="BB361" s="438"/>
      <c r="BC361" s="438"/>
      <c r="BD361" s="438"/>
      <c r="BE361" s="438"/>
      <c r="BF361" s="438"/>
      <c r="BG361" s="438"/>
      <c r="BH361" s="438"/>
      <c r="BI361" s="438"/>
      <c r="BJ361" s="438"/>
      <c r="BK361" s="439"/>
      <c r="BL361" s="440"/>
      <c r="BM361" s="414"/>
      <c r="BN361" s="414"/>
      <c r="BO361" s="414"/>
      <c r="BP361" s="414"/>
      <c r="BQ361" s="414"/>
      <c r="BR361" s="414"/>
      <c r="BS361" s="415"/>
      <c r="BT361" s="413" t="s">
        <v>109</v>
      </c>
      <c r="BU361" s="414"/>
      <c r="BV361" s="414"/>
      <c r="BW361" s="414"/>
      <c r="BX361" s="414"/>
      <c r="BY361" s="414"/>
      <c r="BZ361" s="414"/>
      <c r="CA361" s="414"/>
      <c r="CB361" s="414"/>
      <c r="CC361" s="414"/>
      <c r="CD361" s="414"/>
      <c r="CE361" s="414"/>
      <c r="CF361" s="415"/>
      <c r="CG361" s="413" t="s">
        <v>214</v>
      </c>
      <c r="CH361" s="414"/>
      <c r="CI361" s="414"/>
      <c r="CJ361" s="414"/>
      <c r="CK361" s="414"/>
      <c r="CL361" s="414"/>
      <c r="CM361" s="414"/>
      <c r="CN361" s="414"/>
      <c r="CO361" s="414"/>
      <c r="CP361" s="414"/>
      <c r="CQ361" s="415"/>
      <c r="CR361" s="413"/>
      <c r="CS361" s="414"/>
      <c r="CT361" s="414"/>
      <c r="CU361" s="414"/>
      <c r="CV361" s="414"/>
      <c r="CW361" s="414"/>
      <c r="CX361" s="414"/>
      <c r="CY361" s="414"/>
      <c r="CZ361" s="414"/>
      <c r="DA361" s="414"/>
      <c r="DB361" s="414"/>
      <c r="DC361" s="414"/>
      <c r="DD361" s="415"/>
      <c r="DE361" s="428">
        <f>SUM(DE362:DQ367)</f>
        <v>345488.45</v>
      </c>
      <c r="DF361" s="429"/>
      <c r="DG361" s="429"/>
      <c r="DH361" s="429"/>
      <c r="DI361" s="429"/>
      <c r="DJ361" s="429"/>
      <c r="DK361" s="429"/>
      <c r="DL361" s="429"/>
      <c r="DM361" s="429"/>
      <c r="DN361" s="429"/>
      <c r="DO361" s="429"/>
      <c r="DP361" s="429"/>
      <c r="DQ361" s="430"/>
      <c r="DR361" s="428">
        <f>SUM(DR362:ED367)</f>
        <v>23300</v>
      </c>
      <c r="DS361" s="429"/>
      <c r="DT361" s="429"/>
      <c r="DU361" s="429"/>
      <c r="DV361" s="429"/>
      <c r="DW361" s="429"/>
      <c r="DX361" s="429"/>
      <c r="DY361" s="429"/>
      <c r="DZ361" s="429"/>
      <c r="EA361" s="429"/>
      <c r="EB361" s="429"/>
      <c r="EC361" s="429"/>
      <c r="ED361" s="430"/>
      <c r="EE361" s="428"/>
      <c r="EF361" s="429"/>
      <c r="EG361" s="429"/>
      <c r="EH361" s="429"/>
      <c r="EI361" s="429"/>
      <c r="EJ361" s="429"/>
      <c r="EK361" s="429"/>
      <c r="EL361" s="429"/>
      <c r="EM361" s="429"/>
      <c r="EN361" s="429"/>
      <c r="EO361" s="429"/>
      <c r="EP361" s="429"/>
      <c r="EQ361" s="430"/>
      <c r="ER361" s="410"/>
      <c r="ES361" s="411"/>
      <c r="ET361" s="411"/>
      <c r="EU361" s="411"/>
      <c r="EV361" s="411"/>
      <c r="EW361" s="411"/>
      <c r="EX361" s="411"/>
      <c r="EY361" s="411"/>
      <c r="EZ361" s="411"/>
      <c r="FA361" s="411"/>
      <c r="FB361" s="412"/>
      <c r="FC361" s="423"/>
      <c r="FD361" s="424"/>
      <c r="FE361" s="424"/>
      <c r="FF361" s="424"/>
      <c r="FG361" s="424"/>
      <c r="FH361" s="424"/>
      <c r="FI361" s="424"/>
      <c r="FJ361" s="424"/>
      <c r="FK361" s="424"/>
      <c r="FL361" s="424"/>
      <c r="FO361" s="278"/>
      <c r="FP361" s="278"/>
      <c r="FQ361" s="275">
        <f t="shared" si="8"/>
        <v>23300</v>
      </c>
    </row>
    <row r="362" spans="1:173" s="174" customFormat="1" ht="21" hidden="1" customHeight="1">
      <c r="A362" s="441" t="s">
        <v>852</v>
      </c>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c r="AG362" s="442"/>
      <c r="AH362" s="442"/>
      <c r="AI362" s="442"/>
      <c r="AJ362" s="442"/>
      <c r="AK362" s="442"/>
      <c r="AL362" s="442"/>
      <c r="AM362" s="442"/>
      <c r="AN362" s="442"/>
      <c r="AO362" s="442"/>
      <c r="AP362" s="442"/>
      <c r="AQ362" s="442"/>
      <c r="AR362" s="442"/>
      <c r="AS362" s="442"/>
      <c r="AT362" s="442"/>
      <c r="AU362" s="442"/>
      <c r="AV362" s="442"/>
      <c r="AW362" s="442"/>
      <c r="AX362" s="442"/>
      <c r="AY362" s="442"/>
      <c r="AZ362" s="442"/>
      <c r="BA362" s="442"/>
      <c r="BB362" s="442"/>
      <c r="BC362" s="442"/>
      <c r="BD362" s="442"/>
      <c r="BE362" s="442"/>
      <c r="BF362" s="442"/>
      <c r="BG362" s="442"/>
      <c r="BH362" s="442"/>
      <c r="BI362" s="442"/>
      <c r="BJ362" s="442"/>
      <c r="BK362" s="443"/>
      <c r="BL362" s="392"/>
      <c r="BM362" s="393"/>
      <c r="BN362" s="393"/>
      <c r="BO362" s="393"/>
      <c r="BP362" s="393"/>
      <c r="BQ362" s="393"/>
      <c r="BR362" s="393"/>
      <c r="BS362" s="394"/>
      <c r="BT362" s="395" t="s">
        <v>849</v>
      </c>
      <c r="BU362" s="396"/>
      <c r="BV362" s="396"/>
      <c r="BW362" s="396"/>
      <c r="BX362" s="396"/>
      <c r="BY362" s="396"/>
      <c r="BZ362" s="396"/>
      <c r="CA362" s="396"/>
      <c r="CB362" s="396"/>
      <c r="CC362" s="396"/>
      <c r="CD362" s="396"/>
      <c r="CE362" s="396"/>
      <c r="CF362" s="397"/>
      <c r="CG362" s="398" t="s">
        <v>870</v>
      </c>
      <c r="CH362" s="393"/>
      <c r="CI362" s="393"/>
      <c r="CJ362" s="393"/>
      <c r="CK362" s="393"/>
      <c r="CL362" s="393"/>
      <c r="CM362" s="393"/>
      <c r="CN362" s="393"/>
      <c r="CO362" s="393"/>
      <c r="CP362" s="393"/>
      <c r="CQ362" s="394"/>
      <c r="CR362" s="398"/>
      <c r="CS362" s="393"/>
      <c r="CT362" s="393"/>
      <c r="CU362" s="393"/>
      <c r="CV362" s="393"/>
      <c r="CW362" s="393"/>
      <c r="CX362" s="393"/>
      <c r="CY362" s="393"/>
      <c r="CZ362" s="393"/>
      <c r="DA362" s="393"/>
      <c r="DB362" s="393"/>
      <c r="DC362" s="393"/>
      <c r="DD362" s="394"/>
      <c r="DE362" s="402">
        <v>40318.449999999997</v>
      </c>
      <c r="DF362" s="403"/>
      <c r="DG362" s="403"/>
      <c r="DH362" s="403"/>
      <c r="DI362" s="403"/>
      <c r="DJ362" s="403"/>
      <c r="DK362" s="403"/>
      <c r="DL362" s="403"/>
      <c r="DM362" s="403"/>
      <c r="DN362" s="403"/>
      <c r="DO362" s="403"/>
      <c r="DP362" s="403"/>
      <c r="DQ362" s="404"/>
      <c r="DR362" s="402">
        <v>0</v>
      </c>
      <c r="DS362" s="403"/>
      <c r="DT362" s="403"/>
      <c r="DU362" s="403"/>
      <c r="DV362" s="403"/>
      <c r="DW362" s="403"/>
      <c r="DX362" s="403"/>
      <c r="DY362" s="403"/>
      <c r="DZ362" s="403"/>
      <c r="EA362" s="403"/>
      <c r="EB362" s="403"/>
      <c r="EC362" s="403"/>
      <c r="ED362" s="404"/>
      <c r="EE362" s="402"/>
      <c r="EF362" s="403"/>
      <c r="EG362" s="403"/>
      <c r="EH362" s="403"/>
      <c r="EI362" s="403"/>
      <c r="EJ362" s="403"/>
      <c r="EK362" s="403"/>
      <c r="EL362" s="403"/>
      <c r="EM362" s="403"/>
      <c r="EN362" s="403"/>
      <c r="EO362" s="403"/>
      <c r="EP362" s="403"/>
      <c r="EQ362" s="404"/>
      <c r="ER362" s="402"/>
      <c r="ES362" s="403"/>
      <c r="ET362" s="403"/>
      <c r="EU362" s="403"/>
      <c r="EV362" s="403"/>
      <c r="EW362" s="403"/>
      <c r="EX362" s="403"/>
      <c r="EY362" s="403"/>
      <c r="EZ362" s="403"/>
      <c r="FA362" s="403"/>
      <c r="FB362" s="404"/>
      <c r="FC362" s="408"/>
      <c r="FD362" s="409"/>
      <c r="FE362" s="409"/>
      <c r="FF362" s="409"/>
      <c r="FG362" s="409"/>
      <c r="FH362" s="409"/>
      <c r="FI362" s="409"/>
      <c r="FJ362" s="409"/>
      <c r="FK362" s="409"/>
      <c r="FL362" s="409"/>
      <c r="FO362" s="279"/>
      <c r="FP362" s="279"/>
      <c r="FQ362" s="275">
        <f t="shared" si="8"/>
        <v>0</v>
      </c>
    </row>
    <row r="363" spans="1:173" s="174" customFormat="1" ht="28.2" hidden="1" customHeight="1">
      <c r="A363" s="444" t="s">
        <v>976</v>
      </c>
      <c r="B363" s="445"/>
      <c r="C363" s="445"/>
      <c r="D363" s="445"/>
      <c r="E363" s="445"/>
      <c r="F363" s="445"/>
      <c r="G363" s="445"/>
      <c r="H363" s="445"/>
      <c r="I363" s="445"/>
      <c r="J363" s="445"/>
      <c r="K363" s="445"/>
      <c r="L363" s="445"/>
      <c r="M363" s="445"/>
      <c r="N363" s="445"/>
      <c r="O363" s="445"/>
      <c r="P363" s="445"/>
      <c r="Q363" s="445"/>
      <c r="R363" s="445"/>
      <c r="S363" s="445"/>
      <c r="T363" s="445"/>
      <c r="U363" s="445"/>
      <c r="V363" s="445"/>
      <c r="W363" s="445"/>
      <c r="X363" s="445"/>
      <c r="Y363" s="445"/>
      <c r="Z363" s="445"/>
      <c r="AA363" s="445"/>
      <c r="AB363" s="445"/>
      <c r="AC363" s="445"/>
      <c r="AD363" s="445"/>
      <c r="AE363" s="445"/>
      <c r="AF363" s="445"/>
      <c r="AG363" s="445"/>
      <c r="AH363" s="445"/>
      <c r="AI363" s="445"/>
      <c r="AJ363" s="445"/>
      <c r="AK363" s="445"/>
      <c r="AL363" s="445"/>
      <c r="AM363" s="445"/>
      <c r="AN363" s="445"/>
      <c r="AO363" s="445"/>
      <c r="AP363" s="445"/>
      <c r="AQ363" s="445"/>
      <c r="AR363" s="445"/>
      <c r="AS363" s="445"/>
      <c r="AT363" s="445"/>
      <c r="AU363" s="445"/>
      <c r="AV363" s="445"/>
      <c r="AW363" s="445"/>
      <c r="AX363" s="445"/>
      <c r="AY363" s="445"/>
      <c r="AZ363" s="445"/>
      <c r="BA363" s="445"/>
      <c r="BB363" s="445"/>
      <c r="BC363" s="445"/>
      <c r="BD363" s="445"/>
      <c r="BE363" s="445"/>
      <c r="BF363" s="445"/>
      <c r="BG363" s="445"/>
      <c r="BH363" s="445"/>
      <c r="BI363" s="445"/>
      <c r="BJ363" s="445"/>
      <c r="BK363" s="446"/>
      <c r="BL363" s="392"/>
      <c r="BM363" s="393"/>
      <c r="BN363" s="393"/>
      <c r="BO363" s="393"/>
      <c r="BP363" s="393"/>
      <c r="BQ363" s="393"/>
      <c r="BR363" s="393"/>
      <c r="BS363" s="394"/>
      <c r="BT363" s="398" t="s">
        <v>854</v>
      </c>
      <c r="BU363" s="393"/>
      <c r="BV363" s="393"/>
      <c r="BW363" s="393"/>
      <c r="BX363" s="393"/>
      <c r="BY363" s="393"/>
      <c r="BZ363" s="393"/>
      <c r="CA363" s="393"/>
      <c r="CB363" s="393"/>
      <c r="CC363" s="393"/>
      <c r="CD363" s="393"/>
      <c r="CE363" s="393"/>
      <c r="CF363" s="394"/>
      <c r="CG363" s="398" t="s">
        <v>870</v>
      </c>
      <c r="CH363" s="393"/>
      <c r="CI363" s="393"/>
      <c r="CJ363" s="393"/>
      <c r="CK363" s="393"/>
      <c r="CL363" s="393"/>
      <c r="CM363" s="393"/>
      <c r="CN363" s="393"/>
      <c r="CO363" s="393"/>
      <c r="CP363" s="393"/>
      <c r="CQ363" s="394"/>
      <c r="CR363" s="398"/>
      <c r="CS363" s="393"/>
      <c r="CT363" s="393"/>
      <c r="CU363" s="393"/>
      <c r="CV363" s="393"/>
      <c r="CW363" s="393"/>
      <c r="CX363" s="393"/>
      <c r="CY363" s="393"/>
      <c r="CZ363" s="393"/>
      <c r="DA363" s="393"/>
      <c r="DB363" s="393"/>
      <c r="DC363" s="393"/>
      <c r="DD363" s="394"/>
      <c r="DE363" s="405">
        <v>104990</v>
      </c>
      <c r="DF363" s="406"/>
      <c r="DG363" s="406"/>
      <c r="DH363" s="406"/>
      <c r="DI363" s="406"/>
      <c r="DJ363" s="406"/>
      <c r="DK363" s="406"/>
      <c r="DL363" s="406"/>
      <c r="DM363" s="406"/>
      <c r="DN363" s="406"/>
      <c r="DO363" s="406"/>
      <c r="DP363" s="406"/>
      <c r="DQ363" s="407"/>
      <c r="DR363" s="405">
        <v>0</v>
      </c>
      <c r="DS363" s="406"/>
      <c r="DT363" s="406"/>
      <c r="DU363" s="406"/>
      <c r="DV363" s="406"/>
      <c r="DW363" s="406"/>
      <c r="DX363" s="406"/>
      <c r="DY363" s="406"/>
      <c r="DZ363" s="406"/>
      <c r="EA363" s="406"/>
      <c r="EB363" s="406"/>
      <c r="EC363" s="406"/>
      <c r="ED363" s="407"/>
      <c r="EE363" s="405"/>
      <c r="EF363" s="406"/>
      <c r="EG363" s="406"/>
      <c r="EH363" s="406"/>
      <c r="EI363" s="406"/>
      <c r="EJ363" s="406"/>
      <c r="EK363" s="406"/>
      <c r="EL363" s="406"/>
      <c r="EM363" s="406"/>
      <c r="EN363" s="406"/>
      <c r="EO363" s="406"/>
      <c r="EP363" s="406"/>
      <c r="EQ363" s="407"/>
      <c r="ER363" s="402"/>
      <c r="ES363" s="403"/>
      <c r="ET363" s="403"/>
      <c r="EU363" s="403"/>
      <c r="EV363" s="403"/>
      <c r="EW363" s="403"/>
      <c r="EX363" s="403"/>
      <c r="EY363" s="403"/>
      <c r="EZ363" s="403"/>
      <c r="FA363" s="403"/>
      <c r="FB363" s="404"/>
      <c r="FC363" s="408"/>
      <c r="FD363" s="409"/>
      <c r="FE363" s="409"/>
      <c r="FF363" s="409"/>
      <c r="FG363" s="409"/>
      <c r="FH363" s="409"/>
      <c r="FI363" s="409"/>
      <c r="FJ363" s="409"/>
      <c r="FK363" s="409"/>
      <c r="FL363" s="409"/>
      <c r="FO363" s="279"/>
      <c r="FP363" s="279"/>
      <c r="FQ363" s="275">
        <f t="shared" si="8"/>
        <v>0</v>
      </c>
    </row>
    <row r="364" spans="1:173" ht="24" hidden="1" customHeight="1">
      <c r="A364" s="444" t="s">
        <v>977</v>
      </c>
      <c r="B364" s="445"/>
      <c r="C364" s="445"/>
      <c r="D364" s="445"/>
      <c r="E364" s="445"/>
      <c r="F364" s="445"/>
      <c r="G364" s="445"/>
      <c r="H364" s="445"/>
      <c r="I364" s="445"/>
      <c r="J364" s="445"/>
      <c r="K364" s="445"/>
      <c r="L364" s="445"/>
      <c r="M364" s="445"/>
      <c r="N364" s="445"/>
      <c r="O364" s="445"/>
      <c r="P364" s="445"/>
      <c r="Q364" s="445"/>
      <c r="R364" s="445"/>
      <c r="S364" s="445"/>
      <c r="T364" s="445"/>
      <c r="U364" s="445"/>
      <c r="V364" s="445"/>
      <c r="W364" s="445"/>
      <c r="X364" s="445"/>
      <c r="Y364" s="445"/>
      <c r="Z364" s="445"/>
      <c r="AA364" s="445"/>
      <c r="AB364" s="445"/>
      <c r="AC364" s="445"/>
      <c r="AD364" s="445"/>
      <c r="AE364" s="445"/>
      <c r="AF364" s="445"/>
      <c r="AG364" s="445"/>
      <c r="AH364" s="445"/>
      <c r="AI364" s="445"/>
      <c r="AJ364" s="445"/>
      <c r="AK364" s="445"/>
      <c r="AL364" s="445"/>
      <c r="AM364" s="445"/>
      <c r="AN364" s="445"/>
      <c r="AO364" s="445"/>
      <c r="AP364" s="445"/>
      <c r="AQ364" s="445"/>
      <c r="AR364" s="445"/>
      <c r="AS364" s="445"/>
      <c r="AT364" s="445"/>
      <c r="AU364" s="445"/>
      <c r="AV364" s="445"/>
      <c r="AW364" s="445"/>
      <c r="AX364" s="445"/>
      <c r="AY364" s="445"/>
      <c r="AZ364" s="445"/>
      <c r="BA364" s="445"/>
      <c r="BB364" s="445"/>
      <c r="BC364" s="445"/>
      <c r="BD364" s="445"/>
      <c r="BE364" s="445"/>
      <c r="BF364" s="445"/>
      <c r="BG364" s="445"/>
      <c r="BH364" s="445"/>
      <c r="BI364" s="445"/>
      <c r="BJ364" s="445"/>
      <c r="BK364" s="446"/>
      <c r="BL364" s="392"/>
      <c r="BM364" s="393"/>
      <c r="BN364" s="393"/>
      <c r="BO364" s="393"/>
      <c r="BP364" s="393"/>
      <c r="BQ364" s="393"/>
      <c r="BR364" s="393"/>
      <c r="BS364" s="394"/>
      <c r="BT364" s="398" t="s">
        <v>978</v>
      </c>
      <c r="BU364" s="393"/>
      <c r="BV364" s="393"/>
      <c r="BW364" s="393"/>
      <c r="BX364" s="393"/>
      <c r="BY364" s="393"/>
      <c r="BZ364" s="393"/>
      <c r="CA364" s="393"/>
      <c r="CB364" s="393"/>
      <c r="CC364" s="393"/>
      <c r="CD364" s="393"/>
      <c r="CE364" s="393"/>
      <c r="CF364" s="394"/>
      <c r="CG364" s="398" t="s">
        <v>870</v>
      </c>
      <c r="CH364" s="393"/>
      <c r="CI364" s="393"/>
      <c r="CJ364" s="393"/>
      <c r="CK364" s="393"/>
      <c r="CL364" s="393"/>
      <c r="CM364" s="393"/>
      <c r="CN364" s="393"/>
      <c r="CO364" s="393"/>
      <c r="CP364" s="393"/>
      <c r="CQ364" s="394"/>
      <c r="CR364" s="398"/>
      <c r="CS364" s="393"/>
      <c r="CT364" s="393"/>
      <c r="CU364" s="393"/>
      <c r="CV364" s="393"/>
      <c r="CW364" s="393"/>
      <c r="CX364" s="393"/>
      <c r="CY364" s="393"/>
      <c r="CZ364" s="393"/>
      <c r="DA364" s="393"/>
      <c r="DB364" s="393"/>
      <c r="DC364" s="393"/>
      <c r="DD364" s="394"/>
      <c r="DE364" s="405">
        <v>200180</v>
      </c>
      <c r="DF364" s="406"/>
      <c r="DG364" s="406"/>
      <c r="DH364" s="406"/>
      <c r="DI364" s="406"/>
      <c r="DJ364" s="406"/>
      <c r="DK364" s="406"/>
      <c r="DL364" s="406"/>
      <c r="DM364" s="406"/>
      <c r="DN364" s="406"/>
      <c r="DO364" s="406"/>
      <c r="DP364" s="406"/>
      <c r="DQ364" s="407"/>
      <c r="DR364" s="405">
        <v>0</v>
      </c>
      <c r="DS364" s="406"/>
      <c r="DT364" s="406"/>
      <c r="DU364" s="406"/>
      <c r="DV364" s="406"/>
      <c r="DW364" s="406"/>
      <c r="DX364" s="406"/>
      <c r="DY364" s="406"/>
      <c r="DZ364" s="406"/>
      <c r="EA364" s="406"/>
      <c r="EB364" s="406"/>
      <c r="EC364" s="406"/>
      <c r="ED364" s="407"/>
      <c r="EE364" s="405"/>
      <c r="EF364" s="406"/>
      <c r="EG364" s="406"/>
      <c r="EH364" s="406"/>
      <c r="EI364" s="406"/>
      <c r="EJ364" s="406"/>
      <c r="EK364" s="406"/>
      <c r="EL364" s="406"/>
      <c r="EM364" s="406"/>
      <c r="EN364" s="406"/>
      <c r="EO364" s="406"/>
      <c r="EP364" s="406"/>
      <c r="EQ364" s="407"/>
      <c r="ER364" s="349"/>
      <c r="ES364" s="350"/>
      <c r="ET364" s="350"/>
      <c r="EU364" s="350"/>
      <c r="EV364" s="350"/>
      <c r="EW364" s="350"/>
      <c r="EX364" s="350"/>
      <c r="EY364" s="350"/>
      <c r="EZ364" s="350"/>
      <c r="FA364" s="350"/>
      <c r="FB364" s="351"/>
      <c r="FC364" s="352"/>
      <c r="FD364" s="353"/>
      <c r="FE364" s="353"/>
      <c r="FF364" s="353"/>
      <c r="FG364" s="353"/>
      <c r="FH364" s="353"/>
      <c r="FI364" s="353"/>
      <c r="FJ364" s="353"/>
      <c r="FK364" s="353"/>
      <c r="FL364" s="353"/>
      <c r="FO364" s="275"/>
      <c r="FP364" s="275"/>
      <c r="FQ364" s="275">
        <f t="shared" si="8"/>
        <v>0</v>
      </c>
    </row>
    <row r="365" spans="1:173" s="174" customFormat="1" ht="23.4" customHeight="1">
      <c r="A365" s="389" t="s">
        <v>1146</v>
      </c>
      <c r="B365" s="390"/>
      <c r="C365" s="390"/>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90"/>
      <c r="AK365" s="390"/>
      <c r="AL365" s="390"/>
      <c r="AM365" s="390"/>
      <c r="AN365" s="390"/>
      <c r="AO365" s="390"/>
      <c r="AP365" s="390"/>
      <c r="AQ365" s="390"/>
      <c r="AR365" s="390"/>
      <c r="AS365" s="390"/>
      <c r="AT365" s="390"/>
      <c r="AU365" s="390"/>
      <c r="AV365" s="390"/>
      <c r="AW365" s="390"/>
      <c r="AX365" s="390"/>
      <c r="AY365" s="390"/>
      <c r="AZ365" s="390"/>
      <c r="BA365" s="390"/>
      <c r="BB365" s="390"/>
      <c r="BC365" s="390"/>
      <c r="BD365" s="390"/>
      <c r="BE365" s="390"/>
      <c r="BF365" s="390"/>
      <c r="BG365" s="390"/>
      <c r="BH365" s="390"/>
      <c r="BI365" s="390"/>
      <c r="BJ365" s="390"/>
      <c r="BK365" s="391"/>
      <c r="BL365" s="392"/>
      <c r="BM365" s="393"/>
      <c r="BN365" s="393"/>
      <c r="BO365" s="393"/>
      <c r="BP365" s="393"/>
      <c r="BQ365" s="393"/>
      <c r="BR365" s="393"/>
      <c r="BS365" s="394"/>
      <c r="BT365" s="395" t="s">
        <v>1006</v>
      </c>
      <c r="BU365" s="396"/>
      <c r="BV365" s="396"/>
      <c r="BW365" s="396"/>
      <c r="BX365" s="396"/>
      <c r="BY365" s="396"/>
      <c r="BZ365" s="396"/>
      <c r="CA365" s="396"/>
      <c r="CB365" s="396"/>
      <c r="CC365" s="396"/>
      <c r="CD365" s="396"/>
      <c r="CE365" s="396"/>
      <c r="CF365" s="397"/>
      <c r="CG365" s="398" t="s">
        <v>870</v>
      </c>
      <c r="CH365" s="393"/>
      <c r="CI365" s="393"/>
      <c r="CJ365" s="393"/>
      <c r="CK365" s="393"/>
      <c r="CL365" s="393"/>
      <c r="CM365" s="393"/>
      <c r="CN365" s="393"/>
      <c r="CO365" s="393"/>
      <c r="CP365" s="393"/>
      <c r="CQ365" s="394"/>
      <c r="CR365" s="398"/>
      <c r="CS365" s="393"/>
      <c r="CT365" s="393"/>
      <c r="CU365" s="393"/>
      <c r="CV365" s="393"/>
      <c r="CW365" s="393"/>
      <c r="CX365" s="393"/>
      <c r="CY365" s="393"/>
      <c r="CZ365" s="393"/>
      <c r="DA365" s="393"/>
      <c r="DB365" s="393"/>
      <c r="DC365" s="393"/>
      <c r="DD365" s="394"/>
      <c r="DE365" s="402">
        <v>0</v>
      </c>
      <c r="DF365" s="403"/>
      <c r="DG365" s="403"/>
      <c r="DH365" s="403"/>
      <c r="DI365" s="403"/>
      <c r="DJ365" s="403"/>
      <c r="DK365" s="403"/>
      <c r="DL365" s="403"/>
      <c r="DM365" s="403"/>
      <c r="DN365" s="403"/>
      <c r="DO365" s="403"/>
      <c r="DP365" s="403"/>
      <c r="DQ365" s="404"/>
      <c r="DR365" s="402">
        <f>14480+2520</f>
        <v>17000</v>
      </c>
      <c r="DS365" s="403"/>
      <c r="DT365" s="403"/>
      <c r="DU365" s="403"/>
      <c r="DV365" s="403"/>
      <c r="DW365" s="403"/>
      <c r="DX365" s="403"/>
      <c r="DY365" s="403"/>
      <c r="DZ365" s="403"/>
      <c r="EA365" s="403"/>
      <c r="EB365" s="403"/>
      <c r="EC365" s="403"/>
      <c r="ED365" s="404"/>
      <c r="EE365" s="349"/>
      <c r="EF365" s="350"/>
      <c r="EG365" s="350"/>
      <c r="EH365" s="350"/>
      <c r="EI365" s="350"/>
      <c r="EJ365" s="350"/>
      <c r="EK365" s="350"/>
      <c r="EL365" s="350"/>
      <c r="EM365" s="350"/>
      <c r="EN365" s="350"/>
      <c r="EO365" s="350"/>
      <c r="EP365" s="350"/>
      <c r="EQ365" s="351"/>
      <c r="ER365" s="402"/>
      <c r="ES365" s="403"/>
      <c r="ET365" s="403"/>
      <c r="EU365" s="403"/>
      <c r="EV365" s="403"/>
      <c r="EW365" s="403"/>
      <c r="EX365" s="403"/>
      <c r="EY365" s="403"/>
      <c r="EZ365" s="403"/>
      <c r="FA365" s="403"/>
      <c r="FB365" s="404"/>
      <c r="FC365" s="408"/>
      <c r="FD365" s="409"/>
      <c r="FE365" s="409"/>
      <c r="FF365" s="409"/>
      <c r="FG365" s="409"/>
      <c r="FH365" s="409"/>
      <c r="FI365" s="409"/>
      <c r="FJ365" s="409"/>
      <c r="FK365" s="409"/>
      <c r="FL365" s="409"/>
      <c r="FO365" s="279"/>
      <c r="FP365" s="279"/>
      <c r="FQ365" s="275">
        <f t="shared" si="8"/>
        <v>17000</v>
      </c>
    </row>
    <row r="366" spans="1:173" ht="23.4" customHeight="1">
      <c r="A366" s="389" t="s">
        <v>1010</v>
      </c>
      <c r="B366" s="390"/>
      <c r="C366" s="390"/>
      <c r="D366" s="390"/>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c r="AG366" s="390"/>
      <c r="AH366" s="390"/>
      <c r="AI366" s="390"/>
      <c r="AJ366" s="390"/>
      <c r="AK366" s="390"/>
      <c r="AL366" s="390"/>
      <c r="AM366" s="390"/>
      <c r="AN366" s="390"/>
      <c r="AO366" s="390"/>
      <c r="AP366" s="390"/>
      <c r="AQ366" s="390"/>
      <c r="AR366" s="390"/>
      <c r="AS366" s="390"/>
      <c r="AT366" s="390"/>
      <c r="AU366" s="390"/>
      <c r="AV366" s="390"/>
      <c r="AW366" s="390"/>
      <c r="AX366" s="390"/>
      <c r="AY366" s="390"/>
      <c r="AZ366" s="390"/>
      <c r="BA366" s="390"/>
      <c r="BB366" s="390"/>
      <c r="BC366" s="390"/>
      <c r="BD366" s="390"/>
      <c r="BE366" s="390"/>
      <c r="BF366" s="390"/>
      <c r="BG366" s="390"/>
      <c r="BH366" s="390"/>
      <c r="BI366" s="390"/>
      <c r="BJ366" s="390"/>
      <c r="BK366" s="391"/>
      <c r="BL366" s="392"/>
      <c r="BM366" s="393"/>
      <c r="BN366" s="393"/>
      <c r="BO366" s="393"/>
      <c r="BP366" s="393"/>
      <c r="BQ366" s="393"/>
      <c r="BR366" s="393"/>
      <c r="BS366" s="394"/>
      <c r="BT366" s="395" t="s">
        <v>1009</v>
      </c>
      <c r="BU366" s="396"/>
      <c r="BV366" s="396"/>
      <c r="BW366" s="396"/>
      <c r="BX366" s="396"/>
      <c r="BY366" s="396"/>
      <c r="BZ366" s="396"/>
      <c r="CA366" s="396"/>
      <c r="CB366" s="396"/>
      <c r="CC366" s="396"/>
      <c r="CD366" s="396"/>
      <c r="CE366" s="396"/>
      <c r="CF366" s="397"/>
      <c r="CG366" s="398" t="s">
        <v>870</v>
      </c>
      <c r="CH366" s="393"/>
      <c r="CI366" s="393"/>
      <c r="CJ366" s="393"/>
      <c r="CK366" s="393"/>
      <c r="CL366" s="393"/>
      <c r="CM366" s="393"/>
      <c r="CN366" s="393"/>
      <c r="CO366" s="393"/>
      <c r="CP366" s="393"/>
      <c r="CQ366" s="394"/>
      <c r="CR366" s="345"/>
      <c r="CS366" s="340"/>
      <c r="CT366" s="340"/>
      <c r="CU366" s="340"/>
      <c r="CV366" s="340"/>
      <c r="CW366" s="340"/>
      <c r="CX366" s="340"/>
      <c r="CY366" s="340"/>
      <c r="CZ366" s="340"/>
      <c r="DA366" s="340"/>
      <c r="DB366" s="340"/>
      <c r="DC366" s="340"/>
      <c r="DD366" s="341"/>
      <c r="DE366" s="349"/>
      <c r="DF366" s="350"/>
      <c r="DG366" s="350"/>
      <c r="DH366" s="350"/>
      <c r="DI366" s="350"/>
      <c r="DJ366" s="350"/>
      <c r="DK366" s="350"/>
      <c r="DL366" s="350"/>
      <c r="DM366" s="350"/>
      <c r="DN366" s="350"/>
      <c r="DO366" s="350"/>
      <c r="DP366" s="350"/>
      <c r="DQ366" s="351"/>
      <c r="DR366" s="399">
        <f>6300</f>
        <v>6300</v>
      </c>
      <c r="DS366" s="400"/>
      <c r="DT366" s="400"/>
      <c r="DU366" s="400"/>
      <c r="DV366" s="400"/>
      <c r="DW366" s="400"/>
      <c r="DX366" s="400"/>
      <c r="DY366" s="400"/>
      <c r="DZ366" s="400"/>
      <c r="EA366" s="400"/>
      <c r="EB366" s="400"/>
      <c r="EC366" s="400"/>
      <c r="ED366" s="401"/>
      <c r="EE366" s="349"/>
      <c r="EF366" s="350"/>
      <c r="EG366" s="350"/>
      <c r="EH366" s="350"/>
      <c r="EI366" s="350"/>
      <c r="EJ366" s="350"/>
      <c r="EK366" s="350"/>
      <c r="EL366" s="350"/>
      <c r="EM366" s="350"/>
      <c r="EN366" s="350"/>
      <c r="EO366" s="350"/>
      <c r="EP366" s="350"/>
      <c r="EQ366" s="351"/>
      <c r="ER366" s="349"/>
      <c r="ES366" s="350"/>
      <c r="ET366" s="350"/>
      <c r="EU366" s="350"/>
      <c r="EV366" s="350"/>
      <c r="EW366" s="350"/>
      <c r="EX366" s="350"/>
      <c r="EY366" s="350"/>
      <c r="EZ366" s="350"/>
      <c r="FA366" s="350"/>
      <c r="FB366" s="351"/>
      <c r="FC366" s="352"/>
      <c r="FD366" s="353"/>
      <c r="FE366" s="353"/>
      <c r="FF366" s="353"/>
      <c r="FG366" s="353"/>
      <c r="FH366" s="353"/>
      <c r="FI366" s="353"/>
      <c r="FJ366" s="353"/>
      <c r="FK366" s="353"/>
      <c r="FL366" s="353"/>
      <c r="FO366" s="275">
        <f>6300</f>
        <v>6300</v>
      </c>
      <c r="FP366" s="275"/>
      <c r="FQ366" s="275">
        <f t="shared" ref="FQ366" si="9">DR366-FO366-FP366</f>
        <v>0</v>
      </c>
    </row>
    <row r="367" spans="1:173" ht="23.4" hidden="1" customHeight="1">
      <c r="A367" s="389"/>
      <c r="B367" s="390"/>
      <c r="C367" s="390"/>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0"/>
      <c r="AY367" s="390"/>
      <c r="AZ367" s="390"/>
      <c r="BA367" s="390"/>
      <c r="BB367" s="390"/>
      <c r="BC367" s="390"/>
      <c r="BD367" s="390"/>
      <c r="BE367" s="390"/>
      <c r="BF367" s="390"/>
      <c r="BG367" s="390"/>
      <c r="BH367" s="390"/>
      <c r="BI367" s="390"/>
      <c r="BJ367" s="390"/>
      <c r="BK367" s="391"/>
      <c r="BL367" s="392"/>
      <c r="BM367" s="393"/>
      <c r="BN367" s="393"/>
      <c r="BO367" s="393"/>
      <c r="BP367" s="393"/>
      <c r="BQ367" s="393"/>
      <c r="BR367" s="393"/>
      <c r="BS367" s="394"/>
      <c r="BT367" s="395"/>
      <c r="BU367" s="396"/>
      <c r="BV367" s="396"/>
      <c r="BW367" s="396"/>
      <c r="BX367" s="396"/>
      <c r="BY367" s="396"/>
      <c r="BZ367" s="396"/>
      <c r="CA367" s="396"/>
      <c r="CB367" s="396"/>
      <c r="CC367" s="396"/>
      <c r="CD367" s="396"/>
      <c r="CE367" s="396"/>
      <c r="CF367" s="397"/>
      <c r="CG367" s="345"/>
      <c r="CH367" s="340"/>
      <c r="CI367" s="340"/>
      <c r="CJ367" s="340"/>
      <c r="CK367" s="340"/>
      <c r="CL367" s="340"/>
      <c r="CM367" s="340"/>
      <c r="CN367" s="340"/>
      <c r="CO367" s="340"/>
      <c r="CP367" s="340"/>
      <c r="CQ367" s="341"/>
      <c r="CR367" s="345"/>
      <c r="CS367" s="340"/>
      <c r="CT367" s="340"/>
      <c r="CU367" s="340"/>
      <c r="CV367" s="340"/>
      <c r="CW367" s="340"/>
      <c r="CX367" s="340"/>
      <c r="CY367" s="340"/>
      <c r="CZ367" s="340"/>
      <c r="DA367" s="340"/>
      <c r="DB367" s="340"/>
      <c r="DC367" s="340"/>
      <c r="DD367" s="341"/>
      <c r="DE367" s="349"/>
      <c r="DF367" s="350"/>
      <c r="DG367" s="350"/>
      <c r="DH367" s="350"/>
      <c r="DI367" s="350"/>
      <c r="DJ367" s="350"/>
      <c r="DK367" s="350"/>
      <c r="DL367" s="350"/>
      <c r="DM367" s="350"/>
      <c r="DN367" s="350"/>
      <c r="DO367" s="350"/>
      <c r="DP367" s="350"/>
      <c r="DQ367" s="351"/>
      <c r="DR367" s="349"/>
      <c r="DS367" s="350"/>
      <c r="DT367" s="350"/>
      <c r="DU367" s="350"/>
      <c r="DV367" s="350"/>
      <c r="DW367" s="350"/>
      <c r="DX367" s="350"/>
      <c r="DY367" s="350"/>
      <c r="DZ367" s="350"/>
      <c r="EA367" s="350"/>
      <c r="EB367" s="350"/>
      <c r="EC367" s="350"/>
      <c r="ED367" s="351"/>
      <c r="EE367" s="349"/>
      <c r="EF367" s="350"/>
      <c r="EG367" s="350"/>
      <c r="EH367" s="350"/>
      <c r="EI367" s="350"/>
      <c r="EJ367" s="350"/>
      <c r="EK367" s="350"/>
      <c r="EL367" s="350"/>
      <c r="EM367" s="350"/>
      <c r="EN367" s="350"/>
      <c r="EO367" s="350"/>
      <c r="EP367" s="350"/>
      <c r="EQ367" s="351"/>
      <c r="ER367" s="349"/>
      <c r="ES367" s="350"/>
      <c r="ET367" s="350"/>
      <c r="EU367" s="350"/>
      <c r="EV367" s="350"/>
      <c r="EW367" s="350"/>
      <c r="EX367" s="350"/>
      <c r="EY367" s="350"/>
      <c r="EZ367" s="350"/>
      <c r="FA367" s="350"/>
      <c r="FB367" s="351"/>
      <c r="FC367" s="352"/>
      <c r="FD367" s="353"/>
      <c r="FE367" s="353"/>
      <c r="FF367" s="353"/>
      <c r="FG367" s="353"/>
      <c r="FH367" s="353"/>
      <c r="FI367" s="353"/>
      <c r="FJ367" s="353"/>
      <c r="FK367" s="353"/>
      <c r="FL367" s="353"/>
      <c r="FO367" s="275"/>
      <c r="FP367" s="275"/>
      <c r="FQ367" s="275">
        <f t="shared" si="8"/>
        <v>0</v>
      </c>
    </row>
    <row r="368" spans="1:173" s="215" customFormat="1" ht="12" customHeight="1">
      <c r="A368" s="437" t="s">
        <v>943</v>
      </c>
      <c r="B368" s="438"/>
      <c r="C368" s="438"/>
      <c r="D368" s="438"/>
      <c r="E368" s="438"/>
      <c r="F368" s="438"/>
      <c r="G368" s="438"/>
      <c r="H368" s="438"/>
      <c r="I368" s="438"/>
      <c r="J368" s="438"/>
      <c r="K368" s="438"/>
      <c r="L368" s="438"/>
      <c r="M368" s="438"/>
      <c r="N368" s="438"/>
      <c r="O368" s="438"/>
      <c r="P368" s="438"/>
      <c r="Q368" s="438"/>
      <c r="R368" s="438"/>
      <c r="S368" s="438"/>
      <c r="T368" s="438"/>
      <c r="U368" s="438"/>
      <c r="V368" s="438"/>
      <c r="W368" s="438"/>
      <c r="X368" s="438"/>
      <c r="Y368" s="438"/>
      <c r="Z368" s="438"/>
      <c r="AA368" s="438"/>
      <c r="AB368" s="438"/>
      <c r="AC368" s="438"/>
      <c r="AD368" s="438"/>
      <c r="AE368" s="438"/>
      <c r="AF368" s="438"/>
      <c r="AG368" s="438"/>
      <c r="AH368" s="438"/>
      <c r="AI368" s="438"/>
      <c r="AJ368" s="438"/>
      <c r="AK368" s="438"/>
      <c r="AL368" s="438"/>
      <c r="AM368" s="438"/>
      <c r="AN368" s="438"/>
      <c r="AO368" s="438"/>
      <c r="AP368" s="438"/>
      <c r="AQ368" s="438"/>
      <c r="AR368" s="438"/>
      <c r="AS368" s="438"/>
      <c r="AT368" s="438"/>
      <c r="AU368" s="438"/>
      <c r="AV368" s="438"/>
      <c r="AW368" s="438"/>
      <c r="AX368" s="438"/>
      <c r="AY368" s="438"/>
      <c r="AZ368" s="438"/>
      <c r="BA368" s="438"/>
      <c r="BB368" s="438"/>
      <c r="BC368" s="438"/>
      <c r="BD368" s="438"/>
      <c r="BE368" s="438"/>
      <c r="BF368" s="438"/>
      <c r="BG368" s="438"/>
      <c r="BH368" s="438"/>
      <c r="BI368" s="438"/>
      <c r="BJ368" s="438"/>
      <c r="BK368" s="439"/>
      <c r="BL368" s="440"/>
      <c r="BM368" s="414"/>
      <c r="BN368" s="414"/>
      <c r="BO368" s="414"/>
      <c r="BP368" s="414"/>
      <c r="BQ368" s="414"/>
      <c r="BR368" s="414"/>
      <c r="BS368" s="415"/>
      <c r="BT368" s="413" t="s">
        <v>109</v>
      </c>
      <c r="BU368" s="414"/>
      <c r="BV368" s="414"/>
      <c r="BW368" s="414"/>
      <c r="BX368" s="414"/>
      <c r="BY368" s="414"/>
      <c r="BZ368" s="414"/>
      <c r="CA368" s="414"/>
      <c r="CB368" s="414"/>
      <c r="CC368" s="414"/>
      <c r="CD368" s="414"/>
      <c r="CE368" s="414"/>
      <c r="CF368" s="415"/>
      <c r="CG368" s="413" t="s">
        <v>214</v>
      </c>
      <c r="CH368" s="414"/>
      <c r="CI368" s="414"/>
      <c r="CJ368" s="414"/>
      <c r="CK368" s="414"/>
      <c r="CL368" s="414"/>
      <c r="CM368" s="414"/>
      <c r="CN368" s="414"/>
      <c r="CO368" s="414"/>
      <c r="CP368" s="414"/>
      <c r="CQ368" s="415"/>
      <c r="CR368" s="413"/>
      <c r="CS368" s="414"/>
      <c r="CT368" s="414"/>
      <c r="CU368" s="414"/>
      <c r="CV368" s="414"/>
      <c r="CW368" s="414"/>
      <c r="CX368" s="414"/>
      <c r="CY368" s="414"/>
      <c r="CZ368" s="414"/>
      <c r="DA368" s="414"/>
      <c r="DB368" s="414"/>
      <c r="DC368" s="414"/>
      <c r="DD368" s="415"/>
      <c r="DE368" s="428">
        <f>SUM(DE369:DQ374)</f>
        <v>66778</v>
      </c>
      <c r="DF368" s="429"/>
      <c r="DG368" s="429"/>
      <c r="DH368" s="429"/>
      <c r="DI368" s="429"/>
      <c r="DJ368" s="429"/>
      <c r="DK368" s="429"/>
      <c r="DL368" s="429"/>
      <c r="DM368" s="429"/>
      <c r="DN368" s="429"/>
      <c r="DO368" s="429"/>
      <c r="DP368" s="429"/>
      <c r="DQ368" s="430"/>
      <c r="DR368" s="428">
        <f>SUM(DR369:ED374)</f>
        <v>1050</v>
      </c>
      <c r="DS368" s="429"/>
      <c r="DT368" s="429"/>
      <c r="DU368" s="429"/>
      <c r="DV368" s="429"/>
      <c r="DW368" s="429"/>
      <c r="DX368" s="429"/>
      <c r="DY368" s="429"/>
      <c r="DZ368" s="429"/>
      <c r="EA368" s="429"/>
      <c r="EB368" s="429"/>
      <c r="EC368" s="429"/>
      <c r="ED368" s="430"/>
      <c r="EE368" s="428"/>
      <c r="EF368" s="429"/>
      <c r="EG368" s="429"/>
      <c r="EH368" s="429"/>
      <c r="EI368" s="429"/>
      <c r="EJ368" s="429"/>
      <c r="EK368" s="429"/>
      <c r="EL368" s="429"/>
      <c r="EM368" s="429"/>
      <c r="EN368" s="429"/>
      <c r="EO368" s="429"/>
      <c r="EP368" s="429"/>
      <c r="EQ368" s="430"/>
      <c r="ER368" s="410"/>
      <c r="ES368" s="411"/>
      <c r="ET368" s="411"/>
      <c r="EU368" s="411"/>
      <c r="EV368" s="411"/>
      <c r="EW368" s="411"/>
      <c r="EX368" s="411"/>
      <c r="EY368" s="411"/>
      <c r="EZ368" s="411"/>
      <c r="FA368" s="411"/>
      <c r="FB368" s="412"/>
      <c r="FC368" s="423"/>
      <c r="FD368" s="424"/>
      <c r="FE368" s="424"/>
      <c r="FF368" s="424"/>
      <c r="FG368" s="424"/>
      <c r="FH368" s="424"/>
      <c r="FI368" s="424"/>
      <c r="FJ368" s="424"/>
      <c r="FK368" s="424"/>
      <c r="FL368" s="424"/>
      <c r="FO368" s="278"/>
      <c r="FP368" s="278"/>
      <c r="FQ368" s="275">
        <f t="shared" si="8"/>
        <v>1050</v>
      </c>
    </row>
    <row r="369" spans="1:173" ht="32.4" hidden="1" customHeight="1">
      <c r="A369" s="336" t="s">
        <v>864</v>
      </c>
      <c r="B369" s="337"/>
      <c r="C369" s="337"/>
      <c r="D369" s="337"/>
      <c r="E369" s="337"/>
      <c r="F369" s="337"/>
      <c r="G369" s="337"/>
      <c r="H369" s="337"/>
      <c r="I369" s="337"/>
      <c r="J369" s="337"/>
      <c r="K369" s="337"/>
      <c r="L369" s="337"/>
      <c r="M369" s="337"/>
      <c r="N369" s="337"/>
      <c r="O369" s="337"/>
      <c r="P369" s="337"/>
      <c r="Q369" s="337"/>
      <c r="R369" s="337"/>
      <c r="S369" s="337"/>
      <c r="T369" s="337"/>
      <c r="U369" s="337"/>
      <c r="V369" s="337"/>
      <c r="W369" s="337"/>
      <c r="X369" s="337"/>
      <c r="Y369" s="337"/>
      <c r="Z369" s="337"/>
      <c r="AA369" s="337"/>
      <c r="AB369" s="337"/>
      <c r="AC369" s="337"/>
      <c r="AD369" s="337"/>
      <c r="AE369" s="337"/>
      <c r="AF369" s="337"/>
      <c r="AG369" s="337"/>
      <c r="AH369" s="337"/>
      <c r="AI369" s="337"/>
      <c r="AJ369" s="337"/>
      <c r="AK369" s="337"/>
      <c r="AL369" s="337"/>
      <c r="AM369" s="337"/>
      <c r="AN369" s="337"/>
      <c r="AO369" s="337"/>
      <c r="AP369" s="337"/>
      <c r="AQ369" s="337"/>
      <c r="AR369" s="337"/>
      <c r="AS369" s="337"/>
      <c r="AT369" s="337"/>
      <c r="AU369" s="337"/>
      <c r="AV369" s="337"/>
      <c r="AW369" s="337"/>
      <c r="AX369" s="337"/>
      <c r="AY369" s="337"/>
      <c r="AZ369" s="337"/>
      <c r="BA369" s="337"/>
      <c r="BB369" s="337"/>
      <c r="BC369" s="337"/>
      <c r="BD369" s="337"/>
      <c r="BE369" s="337"/>
      <c r="BF369" s="337"/>
      <c r="BG369" s="337"/>
      <c r="BH369" s="337"/>
      <c r="BI369" s="337"/>
      <c r="BJ369" s="337"/>
      <c r="BK369" s="338"/>
      <c r="BL369" s="339"/>
      <c r="BM369" s="340"/>
      <c r="BN369" s="340"/>
      <c r="BO369" s="340"/>
      <c r="BP369" s="340"/>
      <c r="BQ369" s="340"/>
      <c r="BR369" s="340"/>
      <c r="BS369" s="341"/>
      <c r="BT369" s="342" t="s">
        <v>610</v>
      </c>
      <c r="BU369" s="343"/>
      <c r="BV369" s="343"/>
      <c r="BW369" s="343"/>
      <c r="BX369" s="343"/>
      <c r="BY369" s="343"/>
      <c r="BZ369" s="343"/>
      <c r="CA369" s="343"/>
      <c r="CB369" s="343"/>
      <c r="CC369" s="343"/>
      <c r="CD369" s="343"/>
      <c r="CE369" s="343"/>
      <c r="CF369" s="344"/>
      <c r="CG369" s="345" t="s">
        <v>870</v>
      </c>
      <c r="CH369" s="340"/>
      <c r="CI369" s="340"/>
      <c r="CJ369" s="340"/>
      <c r="CK369" s="340"/>
      <c r="CL369" s="340"/>
      <c r="CM369" s="340"/>
      <c r="CN369" s="340"/>
      <c r="CO369" s="340"/>
      <c r="CP369" s="340"/>
      <c r="CQ369" s="341"/>
      <c r="CR369" s="345"/>
      <c r="CS369" s="340"/>
      <c r="CT369" s="340"/>
      <c r="CU369" s="340"/>
      <c r="CV369" s="340"/>
      <c r="CW369" s="340"/>
      <c r="CX369" s="340"/>
      <c r="CY369" s="340"/>
      <c r="CZ369" s="340"/>
      <c r="DA369" s="340"/>
      <c r="DB369" s="340"/>
      <c r="DC369" s="340"/>
      <c r="DD369" s="341"/>
      <c r="DE369" s="346">
        <f>20000-16010</f>
        <v>3990</v>
      </c>
      <c r="DF369" s="347"/>
      <c r="DG369" s="347"/>
      <c r="DH369" s="347"/>
      <c r="DI369" s="347"/>
      <c r="DJ369" s="347"/>
      <c r="DK369" s="347"/>
      <c r="DL369" s="347"/>
      <c r="DM369" s="347"/>
      <c r="DN369" s="347"/>
      <c r="DO369" s="347"/>
      <c r="DP369" s="347"/>
      <c r="DQ369" s="348"/>
      <c r="DR369" s="346">
        <v>0</v>
      </c>
      <c r="DS369" s="347"/>
      <c r="DT369" s="347"/>
      <c r="DU369" s="347"/>
      <c r="DV369" s="347"/>
      <c r="DW369" s="347"/>
      <c r="DX369" s="347"/>
      <c r="DY369" s="347"/>
      <c r="DZ369" s="347"/>
      <c r="EA369" s="347"/>
      <c r="EB369" s="347"/>
      <c r="EC369" s="347"/>
      <c r="ED369" s="348"/>
      <c r="EE369" s="346"/>
      <c r="EF369" s="347"/>
      <c r="EG369" s="347"/>
      <c r="EH369" s="347"/>
      <c r="EI369" s="347"/>
      <c r="EJ369" s="347"/>
      <c r="EK369" s="347"/>
      <c r="EL369" s="347"/>
      <c r="EM369" s="347"/>
      <c r="EN369" s="347"/>
      <c r="EO369" s="347"/>
      <c r="EP369" s="347"/>
      <c r="EQ369" s="348"/>
      <c r="ER369" s="349"/>
      <c r="ES369" s="350"/>
      <c r="ET369" s="350"/>
      <c r="EU369" s="350"/>
      <c r="EV369" s="350"/>
      <c r="EW369" s="350"/>
      <c r="EX369" s="350"/>
      <c r="EY369" s="350"/>
      <c r="EZ369" s="350"/>
      <c r="FA369" s="350"/>
      <c r="FB369" s="351"/>
      <c r="FC369" s="352"/>
      <c r="FD369" s="353"/>
      <c r="FE369" s="353"/>
      <c r="FF369" s="353"/>
      <c r="FG369" s="353"/>
      <c r="FH369" s="353"/>
      <c r="FI369" s="353"/>
      <c r="FJ369" s="353"/>
      <c r="FK369" s="353"/>
      <c r="FL369" s="353"/>
      <c r="FO369" s="275"/>
      <c r="FP369" s="275"/>
      <c r="FQ369" s="275">
        <f t="shared" si="8"/>
        <v>0</v>
      </c>
    </row>
    <row r="370" spans="1:173" ht="12" customHeight="1">
      <c r="A370" s="336" t="s">
        <v>848</v>
      </c>
      <c r="B370" s="337"/>
      <c r="C370" s="337"/>
      <c r="D370" s="337"/>
      <c r="E370" s="337"/>
      <c r="F370" s="337"/>
      <c r="G370" s="337"/>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c r="AH370" s="337"/>
      <c r="AI370" s="337"/>
      <c r="AJ370" s="337"/>
      <c r="AK370" s="337"/>
      <c r="AL370" s="337"/>
      <c r="AM370" s="337"/>
      <c r="AN370" s="337"/>
      <c r="AO370" s="337"/>
      <c r="AP370" s="337"/>
      <c r="AQ370" s="337"/>
      <c r="AR370" s="337"/>
      <c r="AS370" s="337"/>
      <c r="AT370" s="337"/>
      <c r="AU370" s="337"/>
      <c r="AV370" s="337"/>
      <c r="AW370" s="337"/>
      <c r="AX370" s="337"/>
      <c r="AY370" s="337"/>
      <c r="AZ370" s="337"/>
      <c r="BA370" s="337"/>
      <c r="BB370" s="337"/>
      <c r="BC370" s="337"/>
      <c r="BD370" s="337"/>
      <c r="BE370" s="337"/>
      <c r="BF370" s="337"/>
      <c r="BG370" s="337"/>
      <c r="BH370" s="337"/>
      <c r="BI370" s="337"/>
      <c r="BJ370" s="337"/>
      <c r="BK370" s="338"/>
      <c r="BL370" s="339"/>
      <c r="BM370" s="340"/>
      <c r="BN370" s="340"/>
      <c r="BO370" s="340"/>
      <c r="BP370" s="340"/>
      <c r="BQ370" s="340"/>
      <c r="BR370" s="340"/>
      <c r="BS370" s="341"/>
      <c r="BT370" s="342" t="s">
        <v>610</v>
      </c>
      <c r="BU370" s="343"/>
      <c r="BV370" s="343"/>
      <c r="BW370" s="343"/>
      <c r="BX370" s="343"/>
      <c r="BY370" s="343"/>
      <c r="BZ370" s="343"/>
      <c r="CA370" s="343"/>
      <c r="CB370" s="343"/>
      <c r="CC370" s="343"/>
      <c r="CD370" s="343"/>
      <c r="CE370" s="343"/>
      <c r="CF370" s="344"/>
      <c r="CG370" s="345" t="s">
        <v>870</v>
      </c>
      <c r="CH370" s="340"/>
      <c r="CI370" s="340"/>
      <c r="CJ370" s="340"/>
      <c r="CK370" s="340"/>
      <c r="CL370" s="340"/>
      <c r="CM370" s="340"/>
      <c r="CN370" s="340"/>
      <c r="CO370" s="340"/>
      <c r="CP370" s="340"/>
      <c r="CQ370" s="341"/>
      <c r="CR370" s="345"/>
      <c r="CS370" s="340"/>
      <c r="CT370" s="340"/>
      <c r="CU370" s="340"/>
      <c r="CV370" s="340"/>
      <c r="CW370" s="340"/>
      <c r="CX370" s="340"/>
      <c r="CY370" s="340"/>
      <c r="CZ370" s="340"/>
      <c r="DA370" s="340"/>
      <c r="DB370" s="340"/>
      <c r="DC370" s="340"/>
      <c r="DD370" s="341"/>
      <c r="DE370" s="346">
        <f>110000-47212</f>
        <v>62788</v>
      </c>
      <c r="DF370" s="347"/>
      <c r="DG370" s="347"/>
      <c r="DH370" s="347"/>
      <c r="DI370" s="347"/>
      <c r="DJ370" s="347"/>
      <c r="DK370" s="347"/>
      <c r="DL370" s="347"/>
      <c r="DM370" s="347"/>
      <c r="DN370" s="347"/>
      <c r="DO370" s="347"/>
      <c r="DP370" s="347"/>
      <c r="DQ370" s="348"/>
      <c r="DR370" s="425">
        <f>10000-2950-6000</f>
        <v>1050</v>
      </c>
      <c r="DS370" s="426"/>
      <c r="DT370" s="426"/>
      <c r="DU370" s="426"/>
      <c r="DV370" s="426"/>
      <c r="DW370" s="426"/>
      <c r="DX370" s="426"/>
      <c r="DY370" s="426"/>
      <c r="DZ370" s="426"/>
      <c r="EA370" s="426"/>
      <c r="EB370" s="426"/>
      <c r="EC370" s="426"/>
      <c r="ED370" s="427"/>
      <c r="EE370" s="349"/>
      <c r="EF370" s="350"/>
      <c r="EG370" s="350"/>
      <c r="EH370" s="350"/>
      <c r="EI370" s="350"/>
      <c r="EJ370" s="350"/>
      <c r="EK370" s="350"/>
      <c r="EL370" s="350"/>
      <c r="EM370" s="350"/>
      <c r="EN370" s="350"/>
      <c r="EO370" s="350"/>
      <c r="EP370" s="350"/>
      <c r="EQ370" s="351"/>
      <c r="ER370" s="349"/>
      <c r="ES370" s="350"/>
      <c r="ET370" s="350"/>
      <c r="EU370" s="350"/>
      <c r="EV370" s="350"/>
      <c r="EW370" s="350"/>
      <c r="EX370" s="350"/>
      <c r="EY370" s="350"/>
      <c r="EZ370" s="350"/>
      <c r="FA370" s="350"/>
      <c r="FB370" s="351"/>
      <c r="FC370" s="352"/>
      <c r="FD370" s="353"/>
      <c r="FE370" s="353"/>
      <c r="FF370" s="353"/>
      <c r="FG370" s="353"/>
      <c r="FH370" s="353"/>
      <c r="FI370" s="353"/>
      <c r="FJ370" s="353"/>
      <c r="FK370" s="353"/>
      <c r="FL370" s="353"/>
      <c r="FO370" s="275"/>
      <c r="FP370" s="275"/>
      <c r="FQ370" s="275">
        <f t="shared" si="8"/>
        <v>1050</v>
      </c>
    </row>
    <row r="371" spans="1:173" ht="12" hidden="1" customHeight="1">
      <c r="A371" s="336"/>
      <c r="B371" s="337"/>
      <c r="C371" s="337"/>
      <c r="D371" s="337"/>
      <c r="E371" s="337"/>
      <c r="F371" s="337"/>
      <c r="G371" s="337"/>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c r="AH371" s="337"/>
      <c r="AI371" s="337"/>
      <c r="AJ371" s="337"/>
      <c r="AK371" s="337"/>
      <c r="AL371" s="337"/>
      <c r="AM371" s="337"/>
      <c r="AN371" s="337"/>
      <c r="AO371" s="337"/>
      <c r="AP371" s="337"/>
      <c r="AQ371" s="337"/>
      <c r="AR371" s="337"/>
      <c r="AS371" s="337"/>
      <c r="AT371" s="337"/>
      <c r="AU371" s="337"/>
      <c r="AV371" s="337"/>
      <c r="AW371" s="337"/>
      <c r="AX371" s="337"/>
      <c r="AY371" s="337"/>
      <c r="AZ371" s="337"/>
      <c r="BA371" s="337"/>
      <c r="BB371" s="337"/>
      <c r="BC371" s="337"/>
      <c r="BD371" s="337"/>
      <c r="BE371" s="337"/>
      <c r="BF371" s="337"/>
      <c r="BG371" s="337"/>
      <c r="BH371" s="337"/>
      <c r="BI371" s="337"/>
      <c r="BJ371" s="337"/>
      <c r="BK371" s="338"/>
      <c r="BL371" s="339"/>
      <c r="BM371" s="340"/>
      <c r="BN371" s="340"/>
      <c r="BO371" s="340"/>
      <c r="BP371" s="340"/>
      <c r="BQ371" s="340"/>
      <c r="BR371" s="340"/>
      <c r="BS371" s="341"/>
      <c r="BT371" s="345"/>
      <c r="BU371" s="340"/>
      <c r="BV371" s="340"/>
      <c r="BW371" s="340"/>
      <c r="BX371" s="340"/>
      <c r="BY371" s="340"/>
      <c r="BZ371" s="340"/>
      <c r="CA371" s="340"/>
      <c r="CB371" s="340"/>
      <c r="CC371" s="340"/>
      <c r="CD371" s="340"/>
      <c r="CE371" s="340"/>
      <c r="CF371" s="341"/>
      <c r="CG371" s="345"/>
      <c r="CH371" s="340"/>
      <c r="CI371" s="340"/>
      <c r="CJ371" s="340"/>
      <c r="CK371" s="340"/>
      <c r="CL371" s="340"/>
      <c r="CM371" s="340"/>
      <c r="CN371" s="340"/>
      <c r="CO371" s="340"/>
      <c r="CP371" s="340"/>
      <c r="CQ371" s="341"/>
      <c r="CR371" s="345"/>
      <c r="CS371" s="340"/>
      <c r="CT371" s="340"/>
      <c r="CU371" s="340"/>
      <c r="CV371" s="340"/>
      <c r="CW371" s="340"/>
      <c r="CX371" s="340"/>
      <c r="CY371" s="340"/>
      <c r="CZ371" s="340"/>
      <c r="DA371" s="340"/>
      <c r="DB371" s="340"/>
      <c r="DC371" s="340"/>
      <c r="DD371" s="341"/>
      <c r="DE371" s="346"/>
      <c r="DF371" s="347"/>
      <c r="DG371" s="347"/>
      <c r="DH371" s="347"/>
      <c r="DI371" s="347"/>
      <c r="DJ371" s="347"/>
      <c r="DK371" s="347"/>
      <c r="DL371" s="347"/>
      <c r="DM371" s="347"/>
      <c r="DN371" s="347"/>
      <c r="DO371" s="347"/>
      <c r="DP371" s="347"/>
      <c r="DQ371" s="348"/>
      <c r="DR371" s="346"/>
      <c r="DS371" s="347"/>
      <c r="DT371" s="347"/>
      <c r="DU371" s="347"/>
      <c r="DV371" s="347"/>
      <c r="DW371" s="347"/>
      <c r="DX371" s="347"/>
      <c r="DY371" s="347"/>
      <c r="DZ371" s="347"/>
      <c r="EA371" s="347"/>
      <c r="EB371" s="347"/>
      <c r="EC371" s="347"/>
      <c r="ED371" s="348"/>
      <c r="EE371" s="346"/>
      <c r="EF371" s="347"/>
      <c r="EG371" s="347"/>
      <c r="EH371" s="347"/>
      <c r="EI371" s="347"/>
      <c r="EJ371" s="347"/>
      <c r="EK371" s="347"/>
      <c r="EL371" s="347"/>
      <c r="EM371" s="347"/>
      <c r="EN371" s="347"/>
      <c r="EO371" s="347"/>
      <c r="EP371" s="347"/>
      <c r="EQ371" s="348"/>
      <c r="ER371" s="349"/>
      <c r="ES371" s="350"/>
      <c r="ET371" s="350"/>
      <c r="EU371" s="350"/>
      <c r="EV371" s="350"/>
      <c r="EW371" s="350"/>
      <c r="EX371" s="350"/>
      <c r="EY371" s="350"/>
      <c r="EZ371" s="350"/>
      <c r="FA371" s="350"/>
      <c r="FB371" s="351"/>
      <c r="FC371" s="352"/>
      <c r="FD371" s="353"/>
      <c r="FE371" s="353"/>
      <c r="FF371" s="353"/>
      <c r="FG371" s="353"/>
      <c r="FH371" s="353"/>
      <c r="FI371" s="353"/>
      <c r="FJ371" s="353"/>
      <c r="FK371" s="353"/>
      <c r="FL371" s="353"/>
      <c r="FO371" s="275"/>
      <c r="FP371" s="275"/>
      <c r="FQ371" s="275">
        <f t="shared" si="8"/>
        <v>0</v>
      </c>
    </row>
    <row r="372" spans="1:173" ht="12" hidden="1" customHeight="1">
      <c r="A372" s="336"/>
      <c r="B372" s="337"/>
      <c r="C372" s="337"/>
      <c r="D372" s="337"/>
      <c r="E372" s="337"/>
      <c r="F372" s="337"/>
      <c r="G372" s="337"/>
      <c r="H372" s="337"/>
      <c r="I372" s="337"/>
      <c r="J372" s="337"/>
      <c r="K372" s="337"/>
      <c r="L372" s="337"/>
      <c r="M372" s="337"/>
      <c r="N372" s="337"/>
      <c r="O372" s="337"/>
      <c r="P372" s="337"/>
      <c r="Q372" s="337"/>
      <c r="R372" s="337"/>
      <c r="S372" s="337"/>
      <c r="T372" s="337"/>
      <c r="U372" s="337"/>
      <c r="V372" s="337"/>
      <c r="W372" s="337"/>
      <c r="X372" s="337"/>
      <c r="Y372" s="337"/>
      <c r="Z372" s="337"/>
      <c r="AA372" s="337"/>
      <c r="AB372" s="337"/>
      <c r="AC372" s="337"/>
      <c r="AD372" s="337"/>
      <c r="AE372" s="337"/>
      <c r="AF372" s="337"/>
      <c r="AG372" s="337"/>
      <c r="AH372" s="337"/>
      <c r="AI372" s="337"/>
      <c r="AJ372" s="337"/>
      <c r="AK372" s="337"/>
      <c r="AL372" s="337"/>
      <c r="AM372" s="337"/>
      <c r="AN372" s="337"/>
      <c r="AO372" s="337"/>
      <c r="AP372" s="337"/>
      <c r="AQ372" s="337"/>
      <c r="AR372" s="337"/>
      <c r="AS372" s="337"/>
      <c r="AT372" s="337"/>
      <c r="AU372" s="337"/>
      <c r="AV372" s="337"/>
      <c r="AW372" s="337"/>
      <c r="AX372" s="337"/>
      <c r="AY372" s="337"/>
      <c r="AZ372" s="337"/>
      <c r="BA372" s="337"/>
      <c r="BB372" s="337"/>
      <c r="BC372" s="337"/>
      <c r="BD372" s="337"/>
      <c r="BE372" s="337"/>
      <c r="BF372" s="337"/>
      <c r="BG372" s="337"/>
      <c r="BH372" s="337"/>
      <c r="BI372" s="337"/>
      <c r="BJ372" s="337"/>
      <c r="BK372" s="338"/>
      <c r="BL372" s="339"/>
      <c r="BM372" s="340"/>
      <c r="BN372" s="340"/>
      <c r="BO372" s="340"/>
      <c r="BP372" s="340"/>
      <c r="BQ372" s="340"/>
      <c r="BR372" s="340"/>
      <c r="BS372" s="341"/>
      <c r="BT372" s="345"/>
      <c r="BU372" s="340"/>
      <c r="BV372" s="340"/>
      <c r="BW372" s="340"/>
      <c r="BX372" s="340"/>
      <c r="BY372" s="340"/>
      <c r="BZ372" s="340"/>
      <c r="CA372" s="340"/>
      <c r="CB372" s="340"/>
      <c r="CC372" s="340"/>
      <c r="CD372" s="340"/>
      <c r="CE372" s="340"/>
      <c r="CF372" s="341"/>
      <c r="CG372" s="345"/>
      <c r="CH372" s="340"/>
      <c r="CI372" s="340"/>
      <c r="CJ372" s="340"/>
      <c r="CK372" s="340"/>
      <c r="CL372" s="340"/>
      <c r="CM372" s="340"/>
      <c r="CN372" s="340"/>
      <c r="CO372" s="340"/>
      <c r="CP372" s="340"/>
      <c r="CQ372" s="341"/>
      <c r="CR372" s="345"/>
      <c r="CS372" s="340"/>
      <c r="CT372" s="340"/>
      <c r="CU372" s="340"/>
      <c r="CV372" s="340"/>
      <c r="CW372" s="340"/>
      <c r="CX372" s="340"/>
      <c r="CY372" s="340"/>
      <c r="CZ372" s="340"/>
      <c r="DA372" s="340"/>
      <c r="DB372" s="340"/>
      <c r="DC372" s="340"/>
      <c r="DD372" s="341"/>
      <c r="DE372" s="349"/>
      <c r="DF372" s="350"/>
      <c r="DG372" s="350"/>
      <c r="DH372" s="350"/>
      <c r="DI372" s="350"/>
      <c r="DJ372" s="350"/>
      <c r="DK372" s="350"/>
      <c r="DL372" s="350"/>
      <c r="DM372" s="350"/>
      <c r="DN372" s="350"/>
      <c r="DO372" s="350"/>
      <c r="DP372" s="350"/>
      <c r="DQ372" s="351"/>
      <c r="DR372" s="349"/>
      <c r="DS372" s="350"/>
      <c r="DT372" s="350"/>
      <c r="DU372" s="350"/>
      <c r="DV372" s="350"/>
      <c r="DW372" s="350"/>
      <c r="DX372" s="350"/>
      <c r="DY372" s="350"/>
      <c r="DZ372" s="350"/>
      <c r="EA372" s="350"/>
      <c r="EB372" s="350"/>
      <c r="EC372" s="350"/>
      <c r="ED372" s="351"/>
      <c r="EE372" s="349"/>
      <c r="EF372" s="350"/>
      <c r="EG372" s="350"/>
      <c r="EH372" s="350"/>
      <c r="EI372" s="350"/>
      <c r="EJ372" s="350"/>
      <c r="EK372" s="350"/>
      <c r="EL372" s="350"/>
      <c r="EM372" s="350"/>
      <c r="EN372" s="350"/>
      <c r="EO372" s="350"/>
      <c r="EP372" s="350"/>
      <c r="EQ372" s="351"/>
      <c r="ER372" s="349"/>
      <c r="ES372" s="350"/>
      <c r="ET372" s="350"/>
      <c r="EU372" s="350"/>
      <c r="EV372" s="350"/>
      <c r="EW372" s="350"/>
      <c r="EX372" s="350"/>
      <c r="EY372" s="350"/>
      <c r="EZ372" s="350"/>
      <c r="FA372" s="350"/>
      <c r="FB372" s="351"/>
      <c r="FC372" s="352"/>
      <c r="FD372" s="353"/>
      <c r="FE372" s="353"/>
      <c r="FF372" s="353"/>
      <c r="FG372" s="353"/>
      <c r="FH372" s="353"/>
      <c r="FI372" s="353"/>
      <c r="FJ372" s="353"/>
      <c r="FK372" s="353"/>
      <c r="FL372" s="353"/>
      <c r="FO372" s="275"/>
      <c r="FP372" s="275"/>
      <c r="FQ372" s="275">
        <f t="shared" si="8"/>
        <v>0</v>
      </c>
    </row>
    <row r="373" spans="1:173" ht="12" hidden="1" customHeight="1">
      <c r="A373" s="336"/>
      <c r="B373" s="337"/>
      <c r="C373" s="337"/>
      <c r="D373" s="337"/>
      <c r="E373" s="337"/>
      <c r="F373" s="337"/>
      <c r="G373" s="337"/>
      <c r="H373" s="337"/>
      <c r="I373" s="337"/>
      <c r="J373" s="337"/>
      <c r="K373" s="337"/>
      <c r="L373" s="337"/>
      <c r="M373" s="337"/>
      <c r="N373" s="337"/>
      <c r="O373" s="337"/>
      <c r="P373" s="337"/>
      <c r="Q373" s="337"/>
      <c r="R373" s="337"/>
      <c r="S373" s="337"/>
      <c r="T373" s="337"/>
      <c r="U373" s="337"/>
      <c r="V373" s="337"/>
      <c r="W373" s="337"/>
      <c r="X373" s="337"/>
      <c r="Y373" s="337"/>
      <c r="Z373" s="337"/>
      <c r="AA373" s="337"/>
      <c r="AB373" s="337"/>
      <c r="AC373" s="337"/>
      <c r="AD373" s="337"/>
      <c r="AE373" s="337"/>
      <c r="AF373" s="337"/>
      <c r="AG373" s="337"/>
      <c r="AH373" s="337"/>
      <c r="AI373" s="337"/>
      <c r="AJ373" s="337"/>
      <c r="AK373" s="337"/>
      <c r="AL373" s="337"/>
      <c r="AM373" s="337"/>
      <c r="AN373" s="337"/>
      <c r="AO373" s="337"/>
      <c r="AP373" s="337"/>
      <c r="AQ373" s="337"/>
      <c r="AR373" s="337"/>
      <c r="AS373" s="337"/>
      <c r="AT373" s="337"/>
      <c r="AU373" s="337"/>
      <c r="AV373" s="337"/>
      <c r="AW373" s="337"/>
      <c r="AX373" s="337"/>
      <c r="AY373" s="337"/>
      <c r="AZ373" s="337"/>
      <c r="BA373" s="337"/>
      <c r="BB373" s="337"/>
      <c r="BC373" s="337"/>
      <c r="BD373" s="337"/>
      <c r="BE373" s="337"/>
      <c r="BF373" s="337"/>
      <c r="BG373" s="337"/>
      <c r="BH373" s="337"/>
      <c r="BI373" s="337"/>
      <c r="BJ373" s="337"/>
      <c r="BK373" s="338"/>
      <c r="BL373" s="339"/>
      <c r="BM373" s="340"/>
      <c r="BN373" s="340"/>
      <c r="BO373" s="340"/>
      <c r="BP373" s="340"/>
      <c r="BQ373" s="340"/>
      <c r="BR373" s="340"/>
      <c r="BS373" s="341"/>
      <c r="BT373" s="345"/>
      <c r="BU373" s="340"/>
      <c r="BV373" s="340"/>
      <c r="BW373" s="340"/>
      <c r="BX373" s="340"/>
      <c r="BY373" s="340"/>
      <c r="BZ373" s="340"/>
      <c r="CA373" s="340"/>
      <c r="CB373" s="340"/>
      <c r="CC373" s="340"/>
      <c r="CD373" s="340"/>
      <c r="CE373" s="340"/>
      <c r="CF373" s="341"/>
      <c r="CG373" s="345"/>
      <c r="CH373" s="340"/>
      <c r="CI373" s="340"/>
      <c r="CJ373" s="340"/>
      <c r="CK373" s="340"/>
      <c r="CL373" s="340"/>
      <c r="CM373" s="340"/>
      <c r="CN373" s="340"/>
      <c r="CO373" s="340"/>
      <c r="CP373" s="340"/>
      <c r="CQ373" s="341"/>
      <c r="CR373" s="345"/>
      <c r="CS373" s="340"/>
      <c r="CT373" s="340"/>
      <c r="CU373" s="340"/>
      <c r="CV373" s="340"/>
      <c r="CW373" s="340"/>
      <c r="CX373" s="340"/>
      <c r="CY373" s="340"/>
      <c r="CZ373" s="340"/>
      <c r="DA373" s="340"/>
      <c r="DB373" s="340"/>
      <c r="DC373" s="340"/>
      <c r="DD373" s="341"/>
      <c r="DE373" s="349"/>
      <c r="DF373" s="350"/>
      <c r="DG373" s="350"/>
      <c r="DH373" s="350"/>
      <c r="DI373" s="350"/>
      <c r="DJ373" s="350"/>
      <c r="DK373" s="350"/>
      <c r="DL373" s="350"/>
      <c r="DM373" s="350"/>
      <c r="DN373" s="350"/>
      <c r="DO373" s="350"/>
      <c r="DP373" s="350"/>
      <c r="DQ373" s="351"/>
      <c r="DR373" s="349"/>
      <c r="DS373" s="350"/>
      <c r="DT373" s="350"/>
      <c r="DU373" s="350"/>
      <c r="DV373" s="350"/>
      <c r="DW373" s="350"/>
      <c r="DX373" s="350"/>
      <c r="DY373" s="350"/>
      <c r="DZ373" s="350"/>
      <c r="EA373" s="350"/>
      <c r="EB373" s="350"/>
      <c r="EC373" s="350"/>
      <c r="ED373" s="351"/>
      <c r="EE373" s="349"/>
      <c r="EF373" s="350"/>
      <c r="EG373" s="350"/>
      <c r="EH373" s="350"/>
      <c r="EI373" s="350"/>
      <c r="EJ373" s="350"/>
      <c r="EK373" s="350"/>
      <c r="EL373" s="350"/>
      <c r="EM373" s="350"/>
      <c r="EN373" s="350"/>
      <c r="EO373" s="350"/>
      <c r="EP373" s="350"/>
      <c r="EQ373" s="351"/>
      <c r="ER373" s="349"/>
      <c r="ES373" s="350"/>
      <c r="ET373" s="350"/>
      <c r="EU373" s="350"/>
      <c r="EV373" s="350"/>
      <c r="EW373" s="350"/>
      <c r="EX373" s="350"/>
      <c r="EY373" s="350"/>
      <c r="EZ373" s="350"/>
      <c r="FA373" s="350"/>
      <c r="FB373" s="351"/>
      <c r="FC373" s="352"/>
      <c r="FD373" s="353"/>
      <c r="FE373" s="353"/>
      <c r="FF373" s="353"/>
      <c r="FG373" s="353"/>
      <c r="FH373" s="353"/>
      <c r="FI373" s="353"/>
      <c r="FJ373" s="353"/>
      <c r="FK373" s="353"/>
      <c r="FL373" s="353"/>
      <c r="FO373" s="275"/>
      <c r="FP373" s="275"/>
      <c r="FQ373" s="275">
        <f t="shared" si="8"/>
        <v>0</v>
      </c>
    </row>
    <row r="374" spans="1:173" ht="12" hidden="1" customHeight="1">
      <c r="A374" s="336"/>
      <c r="B374" s="337"/>
      <c r="C374" s="337"/>
      <c r="D374" s="337"/>
      <c r="E374" s="337"/>
      <c r="F374" s="337"/>
      <c r="G374" s="337"/>
      <c r="H374" s="337"/>
      <c r="I374" s="337"/>
      <c r="J374" s="337"/>
      <c r="K374" s="337"/>
      <c r="L374" s="337"/>
      <c r="M374" s="337"/>
      <c r="N374" s="337"/>
      <c r="O374" s="337"/>
      <c r="P374" s="337"/>
      <c r="Q374" s="337"/>
      <c r="R374" s="337"/>
      <c r="S374" s="337"/>
      <c r="T374" s="337"/>
      <c r="U374" s="337"/>
      <c r="V374" s="337"/>
      <c r="W374" s="337"/>
      <c r="X374" s="337"/>
      <c r="Y374" s="337"/>
      <c r="Z374" s="337"/>
      <c r="AA374" s="337"/>
      <c r="AB374" s="337"/>
      <c r="AC374" s="337"/>
      <c r="AD374" s="337"/>
      <c r="AE374" s="337"/>
      <c r="AF374" s="337"/>
      <c r="AG374" s="337"/>
      <c r="AH374" s="337"/>
      <c r="AI374" s="337"/>
      <c r="AJ374" s="337"/>
      <c r="AK374" s="337"/>
      <c r="AL374" s="337"/>
      <c r="AM374" s="337"/>
      <c r="AN374" s="337"/>
      <c r="AO374" s="337"/>
      <c r="AP374" s="337"/>
      <c r="AQ374" s="337"/>
      <c r="AR374" s="337"/>
      <c r="AS374" s="337"/>
      <c r="AT374" s="337"/>
      <c r="AU374" s="337"/>
      <c r="AV374" s="337"/>
      <c r="AW374" s="337"/>
      <c r="AX374" s="337"/>
      <c r="AY374" s="337"/>
      <c r="AZ374" s="337"/>
      <c r="BA374" s="337"/>
      <c r="BB374" s="337"/>
      <c r="BC374" s="337"/>
      <c r="BD374" s="337"/>
      <c r="BE374" s="337"/>
      <c r="BF374" s="337"/>
      <c r="BG374" s="337"/>
      <c r="BH374" s="337"/>
      <c r="BI374" s="337"/>
      <c r="BJ374" s="337"/>
      <c r="BK374" s="338"/>
      <c r="BL374" s="339"/>
      <c r="BM374" s="340"/>
      <c r="BN374" s="340"/>
      <c r="BO374" s="340"/>
      <c r="BP374" s="340"/>
      <c r="BQ374" s="340"/>
      <c r="BR374" s="340"/>
      <c r="BS374" s="341"/>
      <c r="BT374" s="345"/>
      <c r="BU374" s="340"/>
      <c r="BV374" s="340"/>
      <c r="BW374" s="340"/>
      <c r="BX374" s="340"/>
      <c r="BY374" s="340"/>
      <c r="BZ374" s="340"/>
      <c r="CA374" s="340"/>
      <c r="CB374" s="340"/>
      <c r="CC374" s="340"/>
      <c r="CD374" s="340"/>
      <c r="CE374" s="340"/>
      <c r="CF374" s="341"/>
      <c r="CG374" s="345"/>
      <c r="CH374" s="340"/>
      <c r="CI374" s="340"/>
      <c r="CJ374" s="340"/>
      <c r="CK374" s="340"/>
      <c r="CL374" s="340"/>
      <c r="CM374" s="340"/>
      <c r="CN374" s="340"/>
      <c r="CO374" s="340"/>
      <c r="CP374" s="340"/>
      <c r="CQ374" s="341"/>
      <c r="CR374" s="345"/>
      <c r="CS374" s="340"/>
      <c r="CT374" s="340"/>
      <c r="CU374" s="340"/>
      <c r="CV374" s="340"/>
      <c r="CW374" s="340"/>
      <c r="CX374" s="340"/>
      <c r="CY374" s="340"/>
      <c r="CZ374" s="340"/>
      <c r="DA374" s="340"/>
      <c r="DB374" s="340"/>
      <c r="DC374" s="340"/>
      <c r="DD374" s="341"/>
      <c r="DE374" s="349"/>
      <c r="DF374" s="350"/>
      <c r="DG374" s="350"/>
      <c r="DH374" s="350"/>
      <c r="DI374" s="350"/>
      <c r="DJ374" s="350"/>
      <c r="DK374" s="350"/>
      <c r="DL374" s="350"/>
      <c r="DM374" s="350"/>
      <c r="DN374" s="350"/>
      <c r="DO374" s="350"/>
      <c r="DP374" s="350"/>
      <c r="DQ374" s="351"/>
      <c r="DR374" s="349"/>
      <c r="DS374" s="350"/>
      <c r="DT374" s="350"/>
      <c r="DU374" s="350"/>
      <c r="DV374" s="350"/>
      <c r="DW374" s="350"/>
      <c r="DX374" s="350"/>
      <c r="DY374" s="350"/>
      <c r="DZ374" s="350"/>
      <c r="EA374" s="350"/>
      <c r="EB374" s="350"/>
      <c r="EC374" s="350"/>
      <c r="ED374" s="351"/>
      <c r="EE374" s="349"/>
      <c r="EF374" s="350"/>
      <c r="EG374" s="350"/>
      <c r="EH374" s="350"/>
      <c r="EI374" s="350"/>
      <c r="EJ374" s="350"/>
      <c r="EK374" s="350"/>
      <c r="EL374" s="350"/>
      <c r="EM374" s="350"/>
      <c r="EN374" s="350"/>
      <c r="EO374" s="350"/>
      <c r="EP374" s="350"/>
      <c r="EQ374" s="351"/>
      <c r="ER374" s="349"/>
      <c r="ES374" s="350"/>
      <c r="ET374" s="350"/>
      <c r="EU374" s="350"/>
      <c r="EV374" s="350"/>
      <c r="EW374" s="350"/>
      <c r="EX374" s="350"/>
      <c r="EY374" s="350"/>
      <c r="EZ374" s="350"/>
      <c r="FA374" s="350"/>
      <c r="FB374" s="351"/>
      <c r="FC374" s="352"/>
      <c r="FD374" s="353"/>
      <c r="FE374" s="353"/>
      <c r="FF374" s="353"/>
      <c r="FG374" s="353"/>
      <c r="FH374" s="353"/>
      <c r="FI374" s="353"/>
      <c r="FJ374" s="353"/>
      <c r="FK374" s="353"/>
      <c r="FL374" s="353"/>
      <c r="FO374" s="275"/>
      <c r="FP374" s="275"/>
      <c r="FQ374" s="275">
        <f t="shared" si="8"/>
        <v>0</v>
      </c>
    </row>
    <row r="375" spans="1:173" ht="12" hidden="1" customHeight="1">
      <c r="A375" s="461" t="s">
        <v>216</v>
      </c>
      <c r="B375" s="462"/>
      <c r="C375" s="462"/>
      <c r="D375" s="462"/>
      <c r="E375" s="462"/>
      <c r="F375" s="462"/>
      <c r="G375" s="462"/>
      <c r="H375" s="462"/>
      <c r="I375" s="462"/>
      <c r="J375" s="462"/>
      <c r="K375" s="462"/>
      <c r="L375" s="462"/>
      <c r="M375" s="462"/>
      <c r="N375" s="462"/>
      <c r="O375" s="462"/>
      <c r="P375" s="462"/>
      <c r="Q375" s="462"/>
      <c r="R375" s="462"/>
      <c r="S375" s="462"/>
      <c r="T375" s="462"/>
      <c r="U375" s="462"/>
      <c r="V375" s="462"/>
      <c r="W375" s="462"/>
      <c r="X375" s="462"/>
      <c r="Y375" s="462"/>
      <c r="Z375" s="462"/>
      <c r="AA375" s="462"/>
      <c r="AB375" s="462"/>
      <c r="AC375" s="462"/>
      <c r="AD375" s="462"/>
      <c r="AE375" s="462"/>
      <c r="AF375" s="462"/>
      <c r="AG375" s="462"/>
      <c r="AH375" s="462"/>
      <c r="AI375" s="462"/>
      <c r="AJ375" s="462"/>
      <c r="AK375" s="462"/>
      <c r="AL375" s="462"/>
      <c r="AM375" s="462"/>
      <c r="AN375" s="462"/>
      <c r="AO375" s="462"/>
      <c r="AP375" s="462"/>
      <c r="AQ375" s="462"/>
      <c r="AR375" s="462"/>
      <c r="AS375" s="462"/>
      <c r="AT375" s="462"/>
      <c r="AU375" s="462"/>
      <c r="AV375" s="462"/>
      <c r="AW375" s="462"/>
      <c r="AX375" s="462"/>
      <c r="AY375" s="462"/>
      <c r="AZ375" s="462"/>
      <c r="BA375" s="462"/>
      <c r="BB375" s="462"/>
      <c r="BC375" s="462"/>
      <c r="BD375" s="462"/>
      <c r="BE375" s="462"/>
      <c r="BF375" s="462"/>
      <c r="BG375" s="462"/>
      <c r="BH375" s="462"/>
      <c r="BI375" s="462"/>
      <c r="BJ375" s="462"/>
      <c r="BK375" s="463"/>
      <c r="BL375" s="460" t="s">
        <v>1105</v>
      </c>
      <c r="BM375" s="363"/>
      <c r="BN375" s="363"/>
      <c r="BO375" s="363"/>
      <c r="BP375" s="363"/>
      <c r="BQ375" s="363"/>
      <c r="BR375" s="363"/>
      <c r="BS375" s="364"/>
      <c r="BT375" s="362" t="s">
        <v>109</v>
      </c>
      <c r="BU375" s="363"/>
      <c r="BV375" s="363"/>
      <c r="BW375" s="363"/>
      <c r="BX375" s="363"/>
      <c r="BY375" s="363"/>
      <c r="BZ375" s="363"/>
      <c r="CA375" s="363"/>
      <c r="CB375" s="363"/>
      <c r="CC375" s="363"/>
      <c r="CD375" s="363"/>
      <c r="CE375" s="363"/>
      <c r="CF375" s="364"/>
      <c r="CG375" s="362" t="s">
        <v>77</v>
      </c>
      <c r="CH375" s="363"/>
      <c r="CI375" s="363"/>
      <c r="CJ375" s="363"/>
      <c r="CK375" s="363"/>
      <c r="CL375" s="363"/>
      <c r="CM375" s="363"/>
      <c r="CN375" s="363"/>
      <c r="CO375" s="363"/>
      <c r="CP375" s="363"/>
      <c r="CQ375" s="364"/>
      <c r="CR375" s="362"/>
      <c r="CS375" s="363"/>
      <c r="CT375" s="363"/>
      <c r="CU375" s="363"/>
      <c r="CV375" s="363"/>
      <c r="CW375" s="363"/>
      <c r="CX375" s="363"/>
      <c r="CY375" s="363"/>
      <c r="CZ375" s="363"/>
      <c r="DA375" s="363"/>
      <c r="DB375" s="363"/>
      <c r="DC375" s="363"/>
      <c r="DD375" s="364"/>
      <c r="DE375" s="365">
        <f>DE376+DE387+DE408</f>
        <v>619795.67000000004</v>
      </c>
      <c r="DF375" s="366"/>
      <c r="DG375" s="366"/>
      <c r="DH375" s="366"/>
      <c r="DI375" s="366"/>
      <c r="DJ375" s="366"/>
      <c r="DK375" s="366"/>
      <c r="DL375" s="366"/>
      <c r="DM375" s="366"/>
      <c r="DN375" s="366"/>
      <c r="DO375" s="366"/>
      <c r="DP375" s="366"/>
      <c r="DQ375" s="367"/>
      <c r="DR375" s="365">
        <f>DR376+DR387+DR408</f>
        <v>214610.74</v>
      </c>
      <c r="DS375" s="366"/>
      <c r="DT375" s="366"/>
      <c r="DU375" s="366"/>
      <c r="DV375" s="366"/>
      <c r="DW375" s="366"/>
      <c r="DX375" s="366"/>
      <c r="DY375" s="366"/>
      <c r="DZ375" s="366"/>
      <c r="EA375" s="366"/>
      <c r="EB375" s="366"/>
      <c r="EC375" s="366"/>
      <c r="ED375" s="367"/>
      <c r="EE375" s="365"/>
      <c r="EF375" s="366"/>
      <c r="EG375" s="366"/>
      <c r="EH375" s="366"/>
      <c r="EI375" s="366"/>
      <c r="EJ375" s="366"/>
      <c r="EK375" s="366"/>
      <c r="EL375" s="366"/>
      <c r="EM375" s="366"/>
      <c r="EN375" s="366"/>
      <c r="EO375" s="366"/>
      <c r="EP375" s="366"/>
      <c r="EQ375" s="367"/>
      <c r="ER375" s="349"/>
      <c r="ES375" s="350"/>
      <c r="ET375" s="350"/>
      <c r="EU375" s="350"/>
      <c r="EV375" s="350"/>
      <c r="EW375" s="350"/>
      <c r="EX375" s="350"/>
      <c r="EY375" s="350"/>
      <c r="EZ375" s="350"/>
      <c r="FA375" s="350"/>
      <c r="FB375" s="351"/>
      <c r="FC375" s="352"/>
      <c r="FD375" s="353"/>
      <c r="FE375" s="353"/>
      <c r="FF375" s="353"/>
      <c r="FG375" s="353"/>
      <c r="FH375" s="353"/>
      <c r="FI375" s="353"/>
      <c r="FJ375" s="353"/>
      <c r="FK375" s="353"/>
      <c r="FL375" s="353"/>
      <c r="FO375" s="275"/>
      <c r="FP375" s="275"/>
      <c r="FQ375" s="275">
        <f t="shared" si="8"/>
        <v>214610.74</v>
      </c>
    </row>
    <row r="376" spans="1:173" s="215" customFormat="1" ht="12" customHeight="1">
      <c r="A376" s="437" t="s">
        <v>944</v>
      </c>
      <c r="B376" s="438"/>
      <c r="C376" s="438"/>
      <c r="D376" s="438"/>
      <c r="E376" s="438"/>
      <c r="F376" s="438"/>
      <c r="G376" s="438"/>
      <c r="H376" s="438"/>
      <c r="I376" s="438"/>
      <c r="J376" s="438"/>
      <c r="K376" s="438"/>
      <c r="L376" s="438"/>
      <c r="M376" s="438"/>
      <c r="N376" s="438"/>
      <c r="O376" s="438"/>
      <c r="P376" s="438"/>
      <c r="Q376" s="438"/>
      <c r="R376" s="438"/>
      <c r="S376" s="438"/>
      <c r="T376" s="438"/>
      <c r="U376" s="438"/>
      <c r="V376" s="438"/>
      <c r="W376" s="438"/>
      <c r="X376" s="438"/>
      <c r="Y376" s="438"/>
      <c r="Z376" s="438"/>
      <c r="AA376" s="438"/>
      <c r="AB376" s="438"/>
      <c r="AC376" s="438"/>
      <c r="AD376" s="438"/>
      <c r="AE376" s="438"/>
      <c r="AF376" s="438"/>
      <c r="AG376" s="438"/>
      <c r="AH376" s="438"/>
      <c r="AI376" s="438"/>
      <c r="AJ376" s="438"/>
      <c r="AK376" s="438"/>
      <c r="AL376" s="438"/>
      <c r="AM376" s="438"/>
      <c r="AN376" s="438"/>
      <c r="AO376" s="438"/>
      <c r="AP376" s="438"/>
      <c r="AQ376" s="438"/>
      <c r="AR376" s="438"/>
      <c r="AS376" s="438"/>
      <c r="AT376" s="438"/>
      <c r="AU376" s="438"/>
      <c r="AV376" s="438"/>
      <c r="AW376" s="438"/>
      <c r="AX376" s="438"/>
      <c r="AY376" s="438"/>
      <c r="AZ376" s="438"/>
      <c r="BA376" s="438"/>
      <c r="BB376" s="438"/>
      <c r="BC376" s="438"/>
      <c r="BD376" s="438"/>
      <c r="BE376" s="438"/>
      <c r="BF376" s="438"/>
      <c r="BG376" s="438"/>
      <c r="BH376" s="438"/>
      <c r="BI376" s="438"/>
      <c r="BJ376" s="438"/>
      <c r="BK376" s="439"/>
      <c r="BL376" s="440"/>
      <c r="BM376" s="414"/>
      <c r="BN376" s="414"/>
      <c r="BO376" s="414"/>
      <c r="BP376" s="414"/>
      <c r="BQ376" s="414"/>
      <c r="BR376" s="414"/>
      <c r="BS376" s="415"/>
      <c r="BT376" s="413" t="s">
        <v>109</v>
      </c>
      <c r="BU376" s="414"/>
      <c r="BV376" s="414"/>
      <c r="BW376" s="414"/>
      <c r="BX376" s="414"/>
      <c r="BY376" s="414"/>
      <c r="BZ376" s="414"/>
      <c r="CA376" s="414"/>
      <c r="CB376" s="414"/>
      <c r="CC376" s="414"/>
      <c r="CD376" s="414"/>
      <c r="CE376" s="414"/>
      <c r="CF376" s="415"/>
      <c r="CG376" s="413" t="s">
        <v>77</v>
      </c>
      <c r="CH376" s="414"/>
      <c r="CI376" s="414"/>
      <c r="CJ376" s="414"/>
      <c r="CK376" s="414"/>
      <c r="CL376" s="414"/>
      <c r="CM376" s="414"/>
      <c r="CN376" s="414"/>
      <c r="CO376" s="414"/>
      <c r="CP376" s="414"/>
      <c r="CQ376" s="415"/>
      <c r="CR376" s="413"/>
      <c r="CS376" s="414"/>
      <c r="CT376" s="414"/>
      <c r="CU376" s="414"/>
      <c r="CV376" s="414"/>
      <c r="CW376" s="414"/>
      <c r="CX376" s="414"/>
      <c r="CY376" s="414"/>
      <c r="CZ376" s="414"/>
      <c r="DA376" s="414"/>
      <c r="DB376" s="414"/>
      <c r="DC376" s="414"/>
      <c r="DD376" s="415"/>
      <c r="DE376" s="428">
        <f>SUM(DE377:DQ386)</f>
        <v>121272.57</v>
      </c>
      <c r="DF376" s="429"/>
      <c r="DG376" s="429"/>
      <c r="DH376" s="429"/>
      <c r="DI376" s="429"/>
      <c r="DJ376" s="429"/>
      <c r="DK376" s="429"/>
      <c r="DL376" s="429"/>
      <c r="DM376" s="429"/>
      <c r="DN376" s="429"/>
      <c r="DO376" s="429"/>
      <c r="DP376" s="429"/>
      <c r="DQ376" s="430"/>
      <c r="DR376" s="428">
        <f>SUM(DR377:ED386)</f>
        <v>101910.74</v>
      </c>
      <c r="DS376" s="429"/>
      <c r="DT376" s="429"/>
      <c r="DU376" s="429"/>
      <c r="DV376" s="429"/>
      <c r="DW376" s="429"/>
      <c r="DX376" s="429"/>
      <c r="DY376" s="429"/>
      <c r="DZ376" s="429"/>
      <c r="EA376" s="429"/>
      <c r="EB376" s="429"/>
      <c r="EC376" s="429"/>
      <c r="ED376" s="430"/>
      <c r="EE376" s="428"/>
      <c r="EF376" s="429"/>
      <c r="EG376" s="429"/>
      <c r="EH376" s="429"/>
      <c r="EI376" s="429"/>
      <c r="EJ376" s="429"/>
      <c r="EK376" s="429"/>
      <c r="EL376" s="429"/>
      <c r="EM376" s="429"/>
      <c r="EN376" s="429"/>
      <c r="EO376" s="429"/>
      <c r="EP376" s="429"/>
      <c r="EQ376" s="430"/>
      <c r="ER376" s="410"/>
      <c r="ES376" s="411"/>
      <c r="ET376" s="411"/>
      <c r="EU376" s="411"/>
      <c r="EV376" s="411"/>
      <c r="EW376" s="411"/>
      <c r="EX376" s="411"/>
      <c r="EY376" s="411"/>
      <c r="EZ376" s="411"/>
      <c r="FA376" s="411"/>
      <c r="FB376" s="412"/>
      <c r="FC376" s="423"/>
      <c r="FD376" s="424"/>
      <c r="FE376" s="424"/>
      <c r="FF376" s="424"/>
      <c r="FG376" s="424"/>
      <c r="FH376" s="424"/>
      <c r="FI376" s="424"/>
      <c r="FJ376" s="424"/>
      <c r="FK376" s="424"/>
      <c r="FL376" s="424"/>
      <c r="FO376" s="278"/>
      <c r="FP376" s="278"/>
      <c r="FQ376" s="275">
        <f t="shared" si="8"/>
        <v>101910.74</v>
      </c>
    </row>
    <row r="377" spans="1:173" ht="12" customHeight="1">
      <c r="A377" s="451" t="s">
        <v>971</v>
      </c>
      <c r="B377" s="452"/>
      <c r="C377" s="452"/>
      <c r="D377" s="452"/>
      <c r="E377" s="452"/>
      <c r="F377" s="452"/>
      <c r="G377" s="452"/>
      <c r="H377" s="452"/>
      <c r="I377" s="452"/>
      <c r="J377" s="452"/>
      <c r="K377" s="452"/>
      <c r="L377" s="452"/>
      <c r="M377" s="452"/>
      <c r="N377" s="452"/>
      <c r="O377" s="452"/>
      <c r="P377" s="452"/>
      <c r="Q377" s="452"/>
      <c r="R377" s="452"/>
      <c r="S377" s="452"/>
      <c r="T377" s="452"/>
      <c r="U377" s="452"/>
      <c r="V377" s="452"/>
      <c r="W377" s="452"/>
      <c r="X377" s="452"/>
      <c r="Y377" s="452"/>
      <c r="Z377" s="452"/>
      <c r="AA377" s="452"/>
      <c r="AB377" s="452"/>
      <c r="AC377" s="452"/>
      <c r="AD377" s="452"/>
      <c r="AE377" s="452"/>
      <c r="AF377" s="452"/>
      <c r="AG377" s="452"/>
      <c r="AH377" s="452"/>
      <c r="AI377" s="452"/>
      <c r="AJ377" s="452"/>
      <c r="AK377" s="452"/>
      <c r="AL377" s="452"/>
      <c r="AM377" s="452"/>
      <c r="AN377" s="452"/>
      <c r="AO377" s="452"/>
      <c r="AP377" s="452"/>
      <c r="AQ377" s="452"/>
      <c r="AR377" s="452"/>
      <c r="AS377" s="452"/>
      <c r="AT377" s="452"/>
      <c r="AU377" s="452"/>
      <c r="AV377" s="452"/>
      <c r="AW377" s="452"/>
      <c r="AX377" s="452"/>
      <c r="AY377" s="452"/>
      <c r="AZ377" s="452"/>
      <c r="BA377" s="452"/>
      <c r="BB377" s="452"/>
      <c r="BC377" s="452"/>
      <c r="BD377" s="452"/>
      <c r="BE377" s="452"/>
      <c r="BF377" s="452"/>
      <c r="BG377" s="452"/>
      <c r="BH377" s="452"/>
      <c r="BI377" s="452"/>
      <c r="BJ377" s="452"/>
      <c r="BK377" s="453"/>
      <c r="BL377" s="392"/>
      <c r="BM377" s="393"/>
      <c r="BN377" s="393"/>
      <c r="BO377" s="393"/>
      <c r="BP377" s="393"/>
      <c r="BQ377" s="393"/>
      <c r="BR377" s="393"/>
      <c r="BS377" s="394"/>
      <c r="BT377" s="342" t="s">
        <v>784</v>
      </c>
      <c r="BU377" s="343"/>
      <c r="BV377" s="343"/>
      <c r="BW377" s="343"/>
      <c r="BX377" s="343"/>
      <c r="BY377" s="343"/>
      <c r="BZ377" s="343"/>
      <c r="CA377" s="343"/>
      <c r="CB377" s="343"/>
      <c r="CC377" s="343"/>
      <c r="CD377" s="343"/>
      <c r="CE377" s="343"/>
      <c r="CF377" s="344"/>
      <c r="CG377" s="373" t="s">
        <v>857</v>
      </c>
      <c r="CH377" s="371"/>
      <c r="CI377" s="371"/>
      <c r="CJ377" s="371"/>
      <c r="CK377" s="371"/>
      <c r="CL377" s="371"/>
      <c r="CM377" s="371"/>
      <c r="CN377" s="371"/>
      <c r="CO377" s="371"/>
      <c r="CP377" s="371"/>
      <c r="CQ377" s="372"/>
      <c r="CR377" s="345"/>
      <c r="CS377" s="340"/>
      <c r="CT377" s="340"/>
      <c r="CU377" s="340"/>
      <c r="CV377" s="340"/>
      <c r="CW377" s="340"/>
      <c r="CX377" s="340"/>
      <c r="CY377" s="340"/>
      <c r="CZ377" s="340"/>
      <c r="DA377" s="340"/>
      <c r="DB377" s="340"/>
      <c r="DC377" s="340"/>
      <c r="DD377" s="341"/>
      <c r="DE377" s="346">
        <f>20000+6600+13400</f>
        <v>40000</v>
      </c>
      <c r="DF377" s="347"/>
      <c r="DG377" s="347"/>
      <c r="DH377" s="347"/>
      <c r="DI377" s="347"/>
      <c r="DJ377" s="347"/>
      <c r="DK377" s="347"/>
      <c r="DL377" s="347"/>
      <c r="DM377" s="347"/>
      <c r="DN377" s="347"/>
      <c r="DO377" s="347"/>
      <c r="DP377" s="347"/>
      <c r="DQ377" s="348"/>
      <c r="DR377" s="346">
        <f>42500</f>
        <v>42500</v>
      </c>
      <c r="DS377" s="347"/>
      <c r="DT377" s="347"/>
      <c r="DU377" s="347"/>
      <c r="DV377" s="347"/>
      <c r="DW377" s="347"/>
      <c r="DX377" s="347"/>
      <c r="DY377" s="347"/>
      <c r="DZ377" s="347"/>
      <c r="EA377" s="347"/>
      <c r="EB377" s="347"/>
      <c r="EC377" s="347"/>
      <c r="ED377" s="348"/>
      <c r="EE377" s="346"/>
      <c r="EF377" s="347"/>
      <c r="EG377" s="347"/>
      <c r="EH377" s="347"/>
      <c r="EI377" s="347"/>
      <c r="EJ377" s="347"/>
      <c r="EK377" s="347"/>
      <c r="EL377" s="347"/>
      <c r="EM377" s="347"/>
      <c r="EN377" s="347"/>
      <c r="EO377" s="347"/>
      <c r="EP377" s="347"/>
      <c r="EQ377" s="348"/>
      <c r="ER377" s="349"/>
      <c r="ES377" s="350"/>
      <c r="ET377" s="350"/>
      <c r="EU377" s="350"/>
      <c r="EV377" s="350"/>
      <c r="EW377" s="350"/>
      <c r="EX377" s="350"/>
      <c r="EY377" s="350"/>
      <c r="EZ377" s="350"/>
      <c r="FA377" s="350"/>
      <c r="FB377" s="351"/>
      <c r="FC377" s="416"/>
      <c r="FD377" s="417"/>
      <c r="FE377" s="417"/>
      <c r="FF377" s="417"/>
      <c r="FG377" s="417"/>
      <c r="FH377" s="417"/>
      <c r="FI377" s="417"/>
      <c r="FJ377" s="417"/>
      <c r="FK377" s="417"/>
      <c r="FL377" s="417"/>
      <c r="FO377" s="275"/>
      <c r="FP377" s="275"/>
      <c r="FQ377" s="275">
        <f t="shared" si="8"/>
        <v>42500</v>
      </c>
    </row>
    <row r="378" spans="1:173" ht="12" customHeight="1">
      <c r="A378" s="336" t="s">
        <v>871</v>
      </c>
      <c r="B378" s="337"/>
      <c r="C378" s="337"/>
      <c r="D378" s="337"/>
      <c r="E378" s="337"/>
      <c r="F378" s="337"/>
      <c r="G378" s="337"/>
      <c r="H378" s="337"/>
      <c r="I378" s="337"/>
      <c r="J378" s="337"/>
      <c r="K378" s="337"/>
      <c r="L378" s="337"/>
      <c r="M378" s="337"/>
      <c r="N378" s="337"/>
      <c r="O378" s="337"/>
      <c r="P378" s="337"/>
      <c r="Q378" s="337"/>
      <c r="R378" s="337"/>
      <c r="S378" s="337"/>
      <c r="T378" s="337"/>
      <c r="U378" s="337"/>
      <c r="V378" s="337"/>
      <c r="W378" s="337"/>
      <c r="X378" s="337"/>
      <c r="Y378" s="337"/>
      <c r="Z378" s="337"/>
      <c r="AA378" s="337"/>
      <c r="AB378" s="337"/>
      <c r="AC378" s="337"/>
      <c r="AD378" s="337"/>
      <c r="AE378" s="337"/>
      <c r="AF378" s="337"/>
      <c r="AG378" s="337"/>
      <c r="AH378" s="337"/>
      <c r="AI378" s="337"/>
      <c r="AJ378" s="337"/>
      <c r="AK378" s="337"/>
      <c r="AL378" s="337"/>
      <c r="AM378" s="337"/>
      <c r="AN378" s="337"/>
      <c r="AO378" s="337"/>
      <c r="AP378" s="337"/>
      <c r="AQ378" s="337"/>
      <c r="AR378" s="337"/>
      <c r="AS378" s="337"/>
      <c r="AT378" s="337"/>
      <c r="AU378" s="337"/>
      <c r="AV378" s="337"/>
      <c r="AW378" s="337"/>
      <c r="AX378" s="337"/>
      <c r="AY378" s="337"/>
      <c r="AZ378" s="337"/>
      <c r="BA378" s="337"/>
      <c r="BB378" s="337"/>
      <c r="BC378" s="337"/>
      <c r="BD378" s="337"/>
      <c r="BE378" s="337"/>
      <c r="BF378" s="337"/>
      <c r="BG378" s="337"/>
      <c r="BH378" s="337"/>
      <c r="BI378" s="337"/>
      <c r="BJ378" s="337"/>
      <c r="BK378" s="338"/>
      <c r="BL378" s="392"/>
      <c r="BM378" s="393"/>
      <c r="BN378" s="393"/>
      <c r="BO378" s="393"/>
      <c r="BP378" s="393"/>
      <c r="BQ378" s="393"/>
      <c r="BR378" s="393"/>
      <c r="BS378" s="394"/>
      <c r="BT378" s="342" t="s">
        <v>784</v>
      </c>
      <c r="BU378" s="343"/>
      <c r="BV378" s="343"/>
      <c r="BW378" s="343"/>
      <c r="BX378" s="343"/>
      <c r="BY378" s="343"/>
      <c r="BZ378" s="343"/>
      <c r="CA378" s="343"/>
      <c r="CB378" s="343"/>
      <c r="CC378" s="343"/>
      <c r="CD378" s="343"/>
      <c r="CE378" s="343"/>
      <c r="CF378" s="344"/>
      <c r="CG378" s="345" t="s">
        <v>857</v>
      </c>
      <c r="CH378" s="340"/>
      <c r="CI378" s="340"/>
      <c r="CJ378" s="340"/>
      <c r="CK378" s="340"/>
      <c r="CL378" s="340"/>
      <c r="CM378" s="340"/>
      <c r="CN378" s="340"/>
      <c r="CO378" s="340"/>
      <c r="CP378" s="340"/>
      <c r="CQ378" s="341"/>
      <c r="CR378" s="345"/>
      <c r="CS378" s="340"/>
      <c r="CT378" s="340"/>
      <c r="CU378" s="340"/>
      <c r="CV378" s="340"/>
      <c r="CW378" s="340"/>
      <c r="CX378" s="340"/>
      <c r="CY378" s="340"/>
      <c r="CZ378" s="340"/>
      <c r="DA378" s="340"/>
      <c r="DB378" s="340"/>
      <c r="DC378" s="340"/>
      <c r="DD378" s="341"/>
      <c r="DE378" s="346">
        <f>32000-2020</f>
        <v>29980</v>
      </c>
      <c r="DF378" s="347"/>
      <c r="DG378" s="347"/>
      <c r="DH378" s="347"/>
      <c r="DI378" s="347"/>
      <c r="DJ378" s="347"/>
      <c r="DK378" s="347"/>
      <c r="DL378" s="347"/>
      <c r="DM378" s="347"/>
      <c r="DN378" s="347"/>
      <c r="DO378" s="347"/>
      <c r="DP378" s="347"/>
      <c r="DQ378" s="348"/>
      <c r="DR378" s="425">
        <f>40000-27589.26</f>
        <v>12410.740000000002</v>
      </c>
      <c r="DS378" s="426"/>
      <c r="DT378" s="426"/>
      <c r="DU378" s="426"/>
      <c r="DV378" s="426"/>
      <c r="DW378" s="426"/>
      <c r="DX378" s="426"/>
      <c r="DY378" s="426"/>
      <c r="DZ378" s="426"/>
      <c r="EA378" s="426"/>
      <c r="EB378" s="426"/>
      <c r="EC378" s="426"/>
      <c r="ED378" s="427"/>
      <c r="EE378" s="346"/>
      <c r="EF378" s="347"/>
      <c r="EG378" s="347"/>
      <c r="EH378" s="347"/>
      <c r="EI378" s="347"/>
      <c r="EJ378" s="347"/>
      <c r="EK378" s="347"/>
      <c r="EL378" s="347"/>
      <c r="EM378" s="347"/>
      <c r="EN378" s="347"/>
      <c r="EO378" s="347"/>
      <c r="EP378" s="347"/>
      <c r="EQ378" s="348"/>
      <c r="ER378" s="349"/>
      <c r="ES378" s="350"/>
      <c r="ET378" s="350"/>
      <c r="EU378" s="350"/>
      <c r="EV378" s="350"/>
      <c r="EW378" s="350"/>
      <c r="EX378" s="350"/>
      <c r="EY378" s="350"/>
      <c r="EZ378" s="350"/>
      <c r="FA378" s="350"/>
      <c r="FB378" s="351"/>
      <c r="FC378" s="416"/>
      <c r="FD378" s="417"/>
      <c r="FE378" s="417"/>
      <c r="FF378" s="417"/>
      <c r="FG378" s="417"/>
      <c r="FH378" s="417"/>
      <c r="FI378" s="417"/>
      <c r="FJ378" s="417"/>
      <c r="FK378" s="417"/>
      <c r="FL378" s="417"/>
      <c r="FO378" s="275"/>
      <c r="FP378" s="275"/>
      <c r="FQ378" s="275">
        <f t="shared" si="8"/>
        <v>12410.740000000002</v>
      </c>
    </row>
    <row r="379" spans="1:173" s="219" customFormat="1" ht="13.95" customHeight="1">
      <c r="A379" s="451" t="s">
        <v>1031</v>
      </c>
      <c r="B379" s="452"/>
      <c r="C379" s="452"/>
      <c r="D379" s="452"/>
      <c r="E379" s="452"/>
      <c r="F379" s="452"/>
      <c r="G379" s="452"/>
      <c r="H379" s="452"/>
      <c r="I379" s="452"/>
      <c r="J379" s="452"/>
      <c r="K379" s="452"/>
      <c r="L379" s="452"/>
      <c r="M379" s="452"/>
      <c r="N379" s="452"/>
      <c r="O379" s="452"/>
      <c r="P379" s="452"/>
      <c r="Q379" s="452"/>
      <c r="R379" s="452"/>
      <c r="S379" s="452"/>
      <c r="T379" s="452"/>
      <c r="U379" s="452"/>
      <c r="V379" s="452"/>
      <c r="W379" s="452"/>
      <c r="X379" s="452"/>
      <c r="Y379" s="452"/>
      <c r="Z379" s="452"/>
      <c r="AA379" s="452"/>
      <c r="AB379" s="452"/>
      <c r="AC379" s="452"/>
      <c r="AD379" s="452"/>
      <c r="AE379" s="452"/>
      <c r="AF379" s="452"/>
      <c r="AG379" s="452"/>
      <c r="AH379" s="452"/>
      <c r="AI379" s="452"/>
      <c r="AJ379" s="452"/>
      <c r="AK379" s="452"/>
      <c r="AL379" s="452"/>
      <c r="AM379" s="452"/>
      <c r="AN379" s="452"/>
      <c r="AO379" s="452"/>
      <c r="AP379" s="452"/>
      <c r="AQ379" s="452"/>
      <c r="AR379" s="452"/>
      <c r="AS379" s="452"/>
      <c r="AT379" s="452"/>
      <c r="AU379" s="452"/>
      <c r="AV379" s="452"/>
      <c r="AW379" s="452"/>
      <c r="AX379" s="452"/>
      <c r="AY379" s="452"/>
      <c r="AZ379" s="452"/>
      <c r="BA379" s="452"/>
      <c r="BB379" s="452"/>
      <c r="BC379" s="452"/>
      <c r="BD379" s="452"/>
      <c r="BE379" s="452"/>
      <c r="BF379" s="452"/>
      <c r="BG379" s="452"/>
      <c r="BH379" s="452"/>
      <c r="BI379" s="452"/>
      <c r="BJ379" s="452"/>
      <c r="BK379" s="453"/>
      <c r="BL379" s="370"/>
      <c r="BM379" s="371"/>
      <c r="BN379" s="371"/>
      <c r="BO379" s="371"/>
      <c r="BP379" s="371"/>
      <c r="BQ379" s="371"/>
      <c r="BR379" s="371"/>
      <c r="BS379" s="372"/>
      <c r="BT379" s="420" t="s">
        <v>784</v>
      </c>
      <c r="BU379" s="421"/>
      <c r="BV379" s="421"/>
      <c r="BW379" s="421"/>
      <c r="BX379" s="421"/>
      <c r="BY379" s="421"/>
      <c r="BZ379" s="421"/>
      <c r="CA379" s="421"/>
      <c r="CB379" s="421"/>
      <c r="CC379" s="421"/>
      <c r="CD379" s="421"/>
      <c r="CE379" s="421"/>
      <c r="CF379" s="422"/>
      <c r="CG379" s="373" t="s">
        <v>857</v>
      </c>
      <c r="CH379" s="371"/>
      <c r="CI379" s="371"/>
      <c r="CJ379" s="371"/>
      <c r="CK379" s="371"/>
      <c r="CL379" s="371"/>
      <c r="CM379" s="371"/>
      <c r="CN379" s="371"/>
      <c r="CO379" s="371"/>
      <c r="CP379" s="371"/>
      <c r="CQ379" s="372"/>
      <c r="CR379" s="373"/>
      <c r="CS379" s="371"/>
      <c r="CT379" s="371"/>
      <c r="CU379" s="371"/>
      <c r="CV379" s="371"/>
      <c r="CW379" s="371"/>
      <c r="CX379" s="371"/>
      <c r="CY379" s="371"/>
      <c r="CZ379" s="371"/>
      <c r="DA379" s="371"/>
      <c r="DB379" s="371"/>
      <c r="DC379" s="371"/>
      <c r="DD379" s="372"/>
      <c r="DE379" s="346">
        <f>2600+37400+322.57</f>
        <v>40322.57</v>
      </c>
      <c r="DF379" s="347"/>
      <c r="DG379" s="347"/>
      <c r="DH379" s="347"/>
      <c r="DI379" s="347"/>
      <c r="DJ379" s="347"/>
      <c r="DK379" s="347"/>
      <c r="DL379" s="347"/>
      <c r="DM379" s="347"/>
      <c r="DN379" s="347"/>
      <c r="DO379" s="347"/>
      <c r="DP379" s="347"/>
      <c r="DQ379" s="348"/>
      <c r="DR379" s="425">
        <f>40000-20000</f>
        <v>20000</v>
      </c>
      <c r="DS379" s="426"/>
      <c r="DT379" s="426"/>
      <c r="DU379" s="426"/>
      <c r="DV379" s="426"/>
      <c r="DW379" s="426"/>
      <c r="DX379" s="426"/>
      <c r="DY379" s="426"/>
      <c r="DZ379" s="426"/>
      <c r="EA379" s="426"/>
      <c r="EB379" s="426"/>
      <c r="EC379" s="426"/>
      <c r="ED379" s="427"/>
      <c r="EE379" s="346"/>
      <c r="EF379" s="347"/>
      <c r="EG379" s="347"/>
      <c r="EH379" s="347"/>
      <c r="EI379" s="347"/>
      <c r="EJ379" s="347"/>
      <c r="EK379" s="347"/>
      <c r="EL379" s="347"/>
      <c r="EM379" s="347"/>
      <c r="EN379" s="347"/>
      <c r="EO379" s="347"/>
      <c r="EP379" s="347"/>
      <c r="EQ379" s="348"/>
      <c r="ER379" s="346"/>
      <c r="ES379" s="347"/>
      <c r="ET379" s="347"/>
      <c r="EU379" s="347"/>
      <c r="EV379" s="347"/>
      <c r="EW379" s="347"/>
      <c r="EX379" s="347"/>
      <c r="EY379" s="347"/>
      <c r="EZ379" s="347"/>
      <c r="FA379" s="347"/>
      <c r="FB379" s="348"/>
      <c r="FC379" s="681"/>
      <c r="FD379" s="682"/>
      <c r="FE379" s="682"/>
      <c r="FF379" s="682"/>
      <c r="FG379" s="682"/>
      <c r="FH379" s="682"/>
      <c r="FI379" s="682"/>
      <c r="FJ379" s="682"/>
      <c r="FK379" s="682"/>
      <c r="FL379" s="682"/>
      <c r="FO379" s="276"/>
      <c r="FP379" s="276"/>
      <c r="FQ379" s="275">
        <f t="shared" si="8"/>
        <v>20000</v>
      </c>
    </row>
    <row r="380" spans="1:173" ht="12" customHeight="1">
      <c r="A380" s="451" t="s">
        <v>975</v>
      </c>
      <c r="B380" s="452"/>
      <c r="C380" s="452"/>
      <c r="D380" s="452"/>
      <c r="E380" s="452"/>
      <c r="F380" s="452"/>
      <c r="G380" s="452"/>
      <c r="H380" s="452"/>
      <c r="I380" s="452"/>
      <c r="J380" s="452"/>
      <c r="K380" s="452"/>
      <c r="L380" s="452"/>
      <c r="M380" s="452"/>
      <c r="N380" s="452"/>
      <c r="O380" s="452"/>
      <c r="P380" s="452"/>
      <c r="Q380" s="452"/>
      <c r="R380" s="452"/>
      <c r="S380" s="452"/>
      <c r="T380" s="452"/>
      <c r="U380" s="452"/>
      <c r="V380" s="452"/>
      <c r="W380" s="452"/>
      <c r="X380" s="452"/>
      <c r="Y380" s="452"/>
      <c r="Z380" s="452"/>
      <c r="AA380" s="452"/>
      <c r="AB380" s="452"/>
      <c r="AC380" s="452"/>
      <c r="AD380" s="452"/>
      <c r="AE380" s="452"/>
      <c r="AF380" s="452"/>
      <c r="AG380" s="452"/>
      <c r="AH380" s="452"/>
      <c r="AI380" s="452"/>
      <c r="AJ380" s="452"/>
      <c r="AK380" s="452"/>
      <c r="AL380" s="452"/>
      <c r="AM380" s="452"/>
      <c r="AN380" s="452"/>
      <c r="AO380" s="452"/>
      <c r="AP380" s="452"/>
      <c r="AQ380" s="452"/>
      <c r="AR380" s="452"/>
      <c r="AS380" s="452"/>
      <c r="AT380" s="452"/>
      <c r="AU380" s="452"/>
      <c r="AV380" s="452"/>
      <c r="AW380" s="452"/>
      <c r="AX380" s="452"/>
      <c r="AY380" s="452"/>
      <c r="AZ380" s="452"/>
      <c r="BA380" s="452"/>
      <c r="BB380" s="452"/>
      <c r="BC380" s="452"/>
      <c r="BD380" s="452"/>
      <c r="BE380" s="452"/>
      <c r="BF380" s="452"/>
      <c r="BG380" s="452"/>
      <c r="BH380" s="452"/>
      <c r="BI380" s="452"/>
      <c r="BJ380" s="452"/>
      <c r="BK380" s="453"/>
      <c r="BL380" s="392"/>
      <c r="BM380" s="393"/>
      <c r="BN380" s="393"/>
      <c r="BO380" s="393"/>
      <c r="BP380" s="393"/>
      <c r="BQ380" s="393"/>
      <c r="BR380" s="393"/>
      <c r="BS380" s="394"/>
      <c r="BT380" s="420" t="s">
        <v>784</v>
      </c>
      <c r="BU380" s="421"/>
      <c r="BV380" s="421"/>
      <c r="BW380" s="421"/>
      <c r="BX380" s="421"/>
      <c r="BY380" s="421"/>
      <c r="BZ380" s="421"/>
      <c r="CA380" s="421"/>
      <c r="CB380" s="421"/>
      <c r="CC380" s="421"/>
      <c r="CD380" s="421"/>
      <c r="CE380" s="421"/>
      <c r="CF380" s="422"/>
      <c r="CG380" s="373" t="s">
        <v>861</v>
      </c>
      <c r="CH380" s="371"/>
      <c r="CI380" s="371"/>
      <c r="CJ380" s="371"/>
      <c r="CK380" s="371"/>
      <c r="CL380" s="371"/>
      <c r="CM380" s="371"/>
      <c r="CN380" s="371"/>
      <c r="CO380" s="371"/>
      <c r="CP380" s="371"/>
      <c r="CQ380" s="372"/>
      <c r="CR380" s="373"/>
      <c r="CS380" s="371"/>
      <c r="CT380" s="371"/>
      <c r="CU380" s="371"/>
      <c r="CV380" s="371"/>
      <c r="CW380" s="371"/>
      <c r="CX380" s="371"/>
      <c r="CY380" s="371"/>
      <c r="CZ380" s="371"/>
      <c r="DA380" s="371"/>
      <c r="DB380" s="371"/>
      <c r="DC380" s="371"/>
      <c r="DD380" s="372"/>
      <c r="DE380" s="346">
        <f>11000-30</f>
        <v>10970</v>
      </c>
      <c r="DF380" s="347"/>
      <c r="DG380" s="347"/>
      <c r="DH380" s="347"/>
      <c r="DI380" s="347"/>
      <c r="DJ380" s="347"/>
      <c r="DK380" s="347"/>
      <c r="DL380" s="347"/>
      <c r="DM380" s="347"/>
      <c r="DN380" s="347"/>
      <c r="DO380" s="347"/>
      <c r="DP380" s="347"/>
      <c r="DQ380" s="348"/>
      <c r="DR380" s="346">
        <v>11000</v>
      </c>
      <c r="DS380" s="347"/>
      <c r="DT380" s="347"/>
      <c r="DU380" s="347"/>
      <c r="DV380" s="347"/>
      <c r="DW380" s="347"/>
      <c r="DX380" s="347"/>
      <c r="DY380" s="347"/>
      <c r="DZ380" s="347"/>
      <c r="EA380" s="347"/>
      <c r="EB380" s="347"/>
      <c r="EC380" s="347"/>
      <c r="ED380" s="348"/>
      <c r="EE380" s="346"/>
      <c r="EF380" s="347"/>
      <c r="EG380" s="347"/>
      <c r="EH380" s="347"/>
      <c r="EI380" s="347"/>
      <c r="EJ380" s="347"/>
      <c r="EK380" s="347"/>
      <c r="EL380" s="347"/>
      <c r="EM380" s="347"/>
      <c r="EN380" s="347"/>
      <c r="EO380" s="347"/>
      <c r="EP380" s="347"/>
      <c r="EQ380" s="348"/>
      <c r="ER380" s="349"/>
      <c r="ES380" s="350"/>
      <c r="ET380" s="350"/>
      <c r="EU380" s="350"/>
      <c r="EV380" s="350"/>
      <c r="EW380" s="350"/>
      <c r="EX380" s="350"/>
      <c r="EY380" s="350"/>
      <c r="EZ380" s="350"/>
      <c r="FA380" s="350"/>
      <c r="FB380" s="351"/>
      <c r="FC380" s="416"/>
      <c r="FD380" s="417"/>
      <c r="FE380" s="417"/>
      <c r="FF380" s="417"/>
      <c r="FG380" s="417"/>
      <c r="FH380" s="417"/>
      <c r="FI380" s="417"/>
      <c r="FJ380" s="417"/>
      <c r="FK380" s="417"/>
      <c r="FL380" s="417"/>
      <c r="FO380" s="275"/>
      <c r="FP380" s="275"/>
      <c r="FQ380" s="275">
        <f t="shared" si="8"/>
        <v>11000</v>
      </c>
    </row>
    <row r="381" spans="1:173" ht="13.95" customHeight="1">
      <c r="A381" s="336" t="s">
        <v>1024</v>
      </c>
      <c r="B381" s="337"/>
      <c r="C381" s="337"/>
      <c r="D381" s="337"/>
      <c r="E381" s="337"/>
      <c r="F381" s="337"/>
      <c r="G381" s="337"/>
      <c r="H381" s="337"/>
      <c r="I381" s="337"/>
      <c r="J381" s="337"/>
      <c r="K381" s="337"/>
      <c r="L381" s="337"/>
      <c r="M381" s="337"/>
      <c r="N381" s="337"/>
      <c r="O381" s="337"/>
      <c r="P381" s="337"/>
      <c r="Q381" s="337"/>
      <c r="R381" s="337"/>
      <c r="S381" s="337"/>
      <c r="T381" s="337"/>
      <c r="U381" s="337"/>
      <c r="V381" s="337"/>
      <c r="W381" s="337"/>
      <c r="X381" s="337"/>
      <c r="Y381" s="337"/>
      <c r="Z381" s="337"/>
      <c r="AA381" s="337"/>
      <c r="AB381" s="337"/>
      <c r="AC381" s="337"/>
      <c r="AD381" s="337"/>
      <c r="AE381" s="337"/>
      <c r="AF381" s="337"/>
      <c r="AG381" s="337"/>
      <c r="AH381" s="337"/>
      <c r="AI381" s="337"/>
      <c r="AJ381" s="337"/>
      <c r="AK381" s="337"/>
      <c r="AL381" s="337"/>
      <c r="AM381" s="337"/>
      <c r="AN381" s="337"/>
      <c r="AO381" s="337"/>
      <c r="AP381" s="337"/>
      <c r="AQ381" s="337"/>
      <c r="AR381" s="337"/>
      <c r="AS381" s="337"/>
      <c r="AT381" s="337"/>
      <c r="AU381" s="337"/>
      <c r="AV381" s="337"/>
      <c r="AW381" s="337"/>
      <c r="AX381" s="337"/>
      <c r="AY381" s="337"/>
      <c r="AZ381" s="337"/>
      <c r="BA381" s="337"/>
      <c r="BB381" s="337"/>
      <c r="BC381" s="337"/>
      <c r="BD381" s="337"/>
      <c r="BE381" s="337"/>
      <c r="BF381" s="337"/>
      <c r="BG381" s="337"/>
      <c r="BH381" s="337"/>
      <c r="BI381" s="337"/>
      <c r="BJ381" s="337"/>
      <c r="BK381" s="338"/>
      <c r="BL381" s="339"/>
      <c r="BM381" s="340"/>
      <c r="BN381" s="340"/>
      <c r="BO381" s="340"/>
      <c r="BP381" s="340"/>
      <c r="BQ381" s="340"/>
      <c r="BR381" s="340"/>
      <c r="BS381" s="341"/>
      <c r="BT381" s="420" t="s">
        <v>784</v>
      </c>
      <c r="BU381" s="421"/>
      <c r="BV381" s="421"/>
      <c r="BW381" s="421"/>
      <c r="BX381" s="421"/>
      <c r="BY381" s="421"/>
      <c r="BZ381" s="421"/>
      <c r="CA381" s="421"/>
      <c r="CB381" s="421"/>
      <c r="CC381" s="421"/>
      <c r="CD381" s="421"/>
      <c r="CE381" s="421"/>
      <c r="CF381" s="422"/>
      <c r="CG381" s="373" t="s">
        <v>859</v>
      </c>
      <c r="CH381" s="371"/>
      <c r="CI381" s="371"/>
      <c r="CJ381" s="371"/>
      <c r="CK381" s="371"/>
      <c r="CL381" s="371"/>
      <c r="CM381" s="371"/>
      <c r="CN381" s="371"/>
      <c r="CO381" s="371"/>
      <c r="CP381" s="371"/>
      <c r="CQ381" s="372"/>
      <c r="CR381" s="345"/>
      <c r="CS381" s="340"/>
      <c r="CT381" s="340"/>
      <c r="CU381" s="340"/>
      <c r="CV381" s="340"/>
      <c r="CW381" s="340"/>
      <c r="CX381" s="340"/>
      <c r="CY381" s="340"/>
      <c r="CZ381" s="340"/>
      <c r="DA381" s="340"/>
      <c r="DB381" s="340"/>
      <c r="DC381" s="340"/>
      <c r="DD381" s="341"/>
      <c r="DE381" s="349">
        <v>0</v>
      </c>
      <c r="DF381" s="350"/>
      <c r="DG381" s="350"/>
      <c r="DH381" s="350"/>
      <c r="DI381" s="350"/>
      <c r="DJ381" s="350"/>
      <c r="DK381" s="350"/>
      <c r="DL381" s="350"/>
      <c r="DM381" s="350"/>
      <c r="DN381" s="350"/>
      <c r="DO381" s="350"/>
      <c r="DP381" s="350"/>
      <c r="DQ381" s="351"/>
      <c r="DR381" s="349">
        <v>2000</v>
      </c>
      <c r="DS381" s="350"/>
      <c r="DT381" s="350"/>
      <c r="DU381" s="350"/>
      <c r="DV381" s="350"/>
      <c r="DW381" s="350"/>
      <c r="DX381" s="350"/>
      <c r="DY381" s="350"/>
      <c r="DZ381" s="350"/>
      <c r="EA381" s="350"/>
      <c r="EB381" s="350"/>
      <c r="EC381" s="350"/>
      <c r="ED381" s="351"/>
      <c r="EE381" s="346"/>
      <c r="EF381" s="347"/>
      <c r="EG381" s="347"/>
      <c r="EH381" s="347"/>
      <c r="EI381" s="347"/>
      <c r="EJ381" s="347"/>
      <c r="EK381" s="347"/>
      <c r="EL381" s="347"/>
      <c r="EM381" s="347"/>
      <c r="EN381" s="347"/>
      <c r="EO381" s="347"/>
      <c r="EP381" s="347"/>
      <c r="EQ381" s="348"/>
      <c r="ER381" s="349"/>
      <c r="ES381" s="350"/>
      <c r="ET381" s="350"/>
      <c r="EU381" s="350"/>
      <c r="EV381" s="350"/>
      <c r="EW381" s="350"/>
      <c r="EX381" s="350"/>
      <c r="EY381" s="350"/>
      <c r="EZ381" s="350"/>
      <c r="FA381" s="350"/>
      <c r="FB381" s="351"/>
      <c r="FC381" s="416"/>
      <c r="FD381" s="417"/>
      <c r="FE381" s="417"/>
      <c r="FF381" s="417"/>
      <c r="FG381" s="417"/>
      <c r="FH381" s="417"/>
      <c r="FI381" s="417"/>
      <c r="FJ381" s="417"/>
      <c r="FK381" s="417"/>
      <c r="FL381" s="417"/>
      <c r="FO381" s="275"/>
      <c r="FP381" s="275"/>
      <c r="FQ381" s="275">
        <f t="shared" si="8"/>
        <v>2000</v>
      </c>
    </row>
    <row r="382" spans="1:173" ht="12" customHeight="1">
      <c r="A382" s="336" t="s">
        <v>1026</v>
      </c>
      <c r="B382" s="337"/>
      <c r="C382" s="337"/>
      <c r="D382" s="337"/>
      <c r="E382" s="337"/>
      <c r="F382" s="337"/>
      <c r="G382" s="337"/>
      <c r="H382" s="337"/>
      <c r="I382" s="337"/>
      <c r="J382" s="337"/>
      <c r="K382" s="337"/>
      <c r="L382" s="337"/>
      <c r="M382" s="337"/>
      <c r="N382" s="337"/>
      <c r="O382" s="337"/>
      <c r="P382" s="337"/>
      <c r="Q382" s="337"/>
      <c r="R382" s="337"/>
      <c r="S382" s="337"/>
      <c r="T382" s="337"/>
      <c r="U382" s="337"/>
      <c r="V382" s="337"/>
      <c r="W382" s="337"/>
      <c r="X382" s="337"/>
      <c r="Y382" s="337"/>
      <c r="Z382" s="337"/>
      <c r="AA382" s="337"/>
      <c r="AB382" s="337"/>
      <c r="AC382" s="337"/>
      <c r="AD382" s="337"/>
      <c r="AE382" s="337"/>
      <c r="AF382" s="337"/>
      <c r="AG382" s="337"/>
      <c r="AH382" s="337"/>
      <c r="AI382" s="337"/>
      <c r="AJ382" s="337"/>
      <c r="AK382" s="337"/>
      <c r="AL382" s="337"/>
      <c r="AM382" s="337"/>
      <c r="AN382" s="337"/>
      <c r="AO382" s="337"/>
      <c r="AP382" s="337"/>
      <c r="AQ382" s="337"/>
      <c r="AR382" s="337"/>
      <c r="AS382" s="337"/>
      <c r="AT382" s="337"/>
      <c r="AU382" s="337"/>
      <c r="AV382" s="337"/>
      <c r="AW382" s="337"/>
      <c r="AX382" s="337"/>
      <c r="AY382" s="337"/>
      <c r="AZ382" s="337"/>
      <c r="BA382" s="337"/>
      <c r="BB382" s="337"/>
      <c r="BC382" s="337"/>
      <c r="BD382" s="337"/>
      <c r="BE382" s="337"/>
      <c r="BF382" s="337"/>
      <c r="BG382" s="337"/>
      <c r="BH382" s="337"/>
      <c r="BI382" s="337"/>
      <c r="BJ382" s="337"/>
      <c r="BK382" s="338"/>
      <c r="BL382" s="392"/>
      <c r="BM382" s="393"/>
      <c r="BN382" s="393"/>
      <c r="BO382" s="393"/>
      <c r="BP382" s="393"/>
      <c r="BQ382" s="393"/>
      <c r="BR382" s="393"/>
      <c r="BS382" s="394"/>
      <c r="BT382" s="420" t="s">
        <v>784</v>
      </c>
      <c r="BU382" s="421"/>
      <c r="BV382" s="421"/>
      <c r="BW382" s="421"/>
      <c r="BX382" s="421"/>
      <c r="BY382" s="421"/>
      <c r="BZ382" s="421"/>
      <c r="CA382" s="421"/>
      <c r="CB382" s="421"/>
      <c r="CC382" s="421"/>
      <c r="CD382" s="421"/>
      <c r="CE382" s="421"/>
      <c r="CF382" s="422"/>
      <c r="CG382" s="373" t="s">
        <v>863</v>
      </c>
      <c r="CH382" s="371"/>
      <c r="CI382" s="371"/>
      <c r="CJ382" s="371"/>
      <c r="CK382" s="371"/>
      <c r="CL382" s="371"/>
      <c r="CM382" s="371"/>
      <c r="CN382" s="371"/>
      <c r="CO382" s="371"/>
      <c r="CP382" s="371"/>
      <c r="CQ382" s="372"/>
      <c r="CR382" s="345"/>
      <c r="CS382" s="340"/>
      <c r="CT382" s="340"/>
      <c r="CU382" s="340"/>
      <c r="CV382" s="340"/>
      <c r="CW382" s="340"/>
      <c r="CX382" s="340"/>
      <c r="CY382" s="340"/>
      <c r="CZ382" s="340"/>
      <c r="DA382" s="340"/>
      <c r="DB382" s="340"/>
      <c r="DC382" s="340"/>
      <c r="DD382" s="341"/>
      <c r="DE382" s="349">
        <v>0</v>
      </c>
      <c r="DF382" s="350"/>
      <c r="DG382" s="350"/>
      <c r="DH382" s="350"/>
      <c r="DI382" s="350"/>
      <c r="DJ382" s="350"/>
      <c r="DK382" s="350"/>
      <c r="DL382" s="350"/>
      <c r="DM382" s="350"/>
      <c r="DN382" s="350"/>
      <c r="DO382" s="350"/>
      <c r="DP382" s="350"/>
      <c r="DQ382" s="351"/>
      <c r="DR382" s="349">
        <v>14000</v>
      </c>
      <c r="DS382" s="350"/>
      <c r="DT382" s="350"/>
      <c r="DU382" s="350"/>
      <c r="DV382" s="350"/>
      <c r="DW382" s="350"/>
      <c r="DX382" s="350"/>
      <c r="DY382" s="350"/>
      <c r="DZ382" s="350"/>
      <c r="EA382" s="350"/>
      <c r="EB382" s="350"/>
      <c r="EC382" s="350"/>
      <c r="ED382" s="351"/>
      <c r="EE382" s="346"/>
      <c r="EF382" s="347"/>
      <c r="EG382" s="347"/>
      <c r="EH382" s="347"/>
      <c r="EI382" s="347"/>
      <c r="EJ382" s="347"/>
      <c r="EK382" s="347"/>
      <c r="EL382" s="347"/>
      <c r="EM382" s="347"/>
      <c r="EN382" s="347"/>
      <c r="EO382" s="347"/>
      <c r="EP382" s="347"/>
      <c r="EQ382" s="348"/>
      <c r="ER382" s="349"/>
      <c r="ES382" s="350"/>
      <c r="ET382" s="350"/>
      <c r="EU382" s="350"/>
      <c r="EV382" s="350"/>
      <c r="EW382" s="350"/>
      <c r="EX382" s="350"/>
      <c r="EY382" s="350"/>
      <c r="EZ382" s="350"/>
      <c r="FA382" s="350"/>
      <c r="FB382" s="351"/>
      <c r="FC382" s="416"/>
      <c r="FD382" s="417"/>
      <c r="FE382" s="417"/>
      <c r="FF382" s="417"/>
      <c r="FG382" s="417"/>
      <c r="FH382" s="417"/>
      <c r="FI382" s="417"/>
      <c r="FJ382" s="417"/>
      <c r="FK382" s="417"/>
      <c r="FL382" s="417"/>
      <c r="FO382" s="275"/>
      <c r="FP382" s="275"/>
      <c r="FQ382" s="275">
        <f t="shared" si="8"/>
        <v>14000</v>
      </c>
    </row>
    <row r="383" spans="1:173" ht="13.95" hidden="1" customHeight="1">
      <c r="A383" s="441"/>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c r="AG383" s="442"/>
      <c r="AH383" s="442"/>
      <c r="AI383" s="442"/>
      <c r="AJ383" s="442"/>
      <c r="AK383" s="442"/>
      <c r="AL383" s="442"/>
      <c r="AM383" s="442"/>
      <c r="AN383" s="442"/>
      <c r="AO383" s="442"/>
      <c r="AP383" s="442"/>
      <c r="AQ383" s="442"/>
      <c r="AR383" s="442"/>
      <c r="AS383" s="442"/>
      <c r="AT383" s="442"/>
      <c r="AU383" s="442"/>
      <c r="AV383" s="442"/>
      <c r="AW383" s="442"/>
      <c r="AX383" s="442"/>
      <c r="AY383" s="442"/>
      <c r="AZ383" s="442"/>
      <c r="BA383" s="442"/>
      <c r="BB383" s="442"/>
      <c r="BC383" s="442"/>
      <c r="BD383" s="442"/>
      <c r="BE383" s="442"/>
      <c r="BF383" s="442"/>
      <c r="BG383" s="442"/>
      <c r="BH383" s="442"/>
      <c r="BI383" s="442"/>
      <c r="BJ383" s="442"/>
      <c r="BK383" s="443"/>
      <c r="BL383" s="339"/>
      <c r="BM383" s="340"/>
      <c r="BN383" s="340"/>
      <c r="BO383" s="340"/>
      <c r="BP383" s="340"/>
      <c r="BQ383" s="340"/>
      <c r="BR383" s="340"/>
      <c r="BS383" s="341"/>
      <c r="BT383" s="342"/>
      <c r="BU383" s="343"/>
      <c r="BV383" s="343"/>
      <c r="BW383" s="343"/>
      <c r="BX383" s="343"/>
      <c r="BY383" s="343"/>
      <c r="BZ383" s="343"/>
      <c r="CA383" s="343"/>
      <c r="CB383" s="343"/>
      <c r="CC383" s="343"/>
      <c r="CD383" s="343"/>
      <c r="CE383" s="343"/>
      <c r="CF383" s="344"/>
      <c r="CG383" s="345"/>
      <c r="CH383" s="340"/>
      <c r="CI383" s="340"/>
      <c r="CJ383" s="340"/>
      <c r="CK383" s="340"/>
      <c r="CL383" s="340"/>
      <c r="CM383" s="340"/>
      <c r="CN383" s="340"/>
      <c r="CO383" s="340"/>
      <c r="CP383" s="340"/>
      <c r="CQ383" s="341"/>
      <c r="CR383" s="345"/>
      <c r="CS383" s="340"/>
      <c r="CT383" s="340"/>
      <c r="CU383" s="340"/>
      <c r="CV383" s="340"/>
      <c r="CW383" s="340"/>
      <c r="CX383" s="340"/>
      <c r="CY383" s="340"/>
      <c r="CZ383" s="340"/>
      <c r="DA383" s="340"/>
      <c r="DB383" s="340"/>
      <c r="DC383" s="340"/>
      <c r="DD383" s="341"/>
      <c r="DE383" s="349"/>
      <c r="DF383" s="350"/>
      <c r="DG383" s="350"/>
      <c r="DH383" s="350"/>
      <c r="DI383" s="350"/>
      <c r="DJ383" s="350"/>
      <c r="DK383" s="350"/>
      <c r="DL383" s="350"/>
      <c r="DM383" s="350"/>
      <c r="DN383" s="350"/>
      <c r="DO383" s="350"/>
      <c r="DP383" s="350"/>
      <c r="DQ383" s="351"/>
      <c r="DR383" s="349"/>
      <c r="DS383" s="350"/>
      <c r="DT383" s="350"/>
      <c r="DU383" s="350"/>
      <c r="DV383" s="350"/>
      <c r="DW383" s="350"/>
      <c r="DX383" s="350"/>
      <c r="DY383" s="350"/>
      <c r="DZ383" s="350"/>
      <c r="EA383" s="350"/>
      <c r="EB383" s="350"/>
      <c r="EC383" s="350"/>
      <c r="ED383" s="351"/>
      <c r="EE383" s="349"/>
      <c r="EF383" s="350"/>
      <c r="EG383" s="350"/>
      <c r="EH383" s="350"/>
      <c r="EI383" s="350"/>
      <c r="EJ383" s="350"/>
      <c r="EK383" s="350"/>
      <c r="EL383" s="350"/>
      <c r="EM383" s="350"/>
      <c r="EN383" s="350"/>
      <c r="EO383" s="350"/>
      <c r="EP383" s="350"/>
      <c r="EQ383" s="351"/>
      <c r="ER383" s="349"/>
      <c r="ES383" s="350"/>
      <c r="ET383" s="350"/>
      <c r="EU383" s="350"/>
      <c r="EV383" s="350"/>
      <c r="EW383" s="350"/>
      <c r="EX383" s="350"/>
      <c r="EY383" s="350"/>
      <c r="EZ383" s="350"/>
      <c r="FA383" s="350"/>
      <c r="FB383" s="351"/>
      <c r="FC383" s="416"/>
      <c r="FD383" s="417"/>
      <c r="FE383" s="417"/>
      <c r="FF383" s="417"/>
      <c r="FG383" s="417"/>
      <c r="FH383" s="417"/>
      <c r="FI383" s="417"/>
      <c r="FJ383" s="417"/>
      <c r="FK383" s="417"/>
      <c r="FL383" s="417"/>
      <c r="FO383" s="275"/>
      <c r="FP383" s="275"/>
      <c r="FQ383" s="275">
        <f t="shared" si="8"/>
        <v>0</v>
      </c>
    </row>
    <row r="384" spans="1:173" ht="12" hidden="1" customHeight="1">
      <c r="A384" s="441"/>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c r="AG384" s="442"/>
      <c r="AH384" s="442"/>
      <c r="AI384" s="442"/>
      <c r="AJ384" s="442"/>
      <c r="AK384" s="442"/>
      <c r="AL384" s="442"/>
      <c r="AM384" s="442"/>
      <c r="AN384" s="442"/>
      <c r="AO384" s="442"/>
      <c r="AP384" s="442"/>
      <c r="AQ384" s="442"/>
      <c r="AR384" s="442"/>
      <c r="AS384" s="442"/>
      <c r="AT384" s="442"/>
      <c r="AU384" s="442"/>
      <c r="AV384" s="442"/>
      <c r="AW384" s="442"/>
      <c r="AX384" s="442"/>
      <c r="AY384" s="442"/>
      <c r="AZ384" s="442"/>
      <c r="BA384" s="442"/>
      <c r="BB384" s="442"/>
      <c r="BC384" s="442"/>
      <c r="BD384" s="442"/>
      <c r="BE384" s="442"/>
      <c r="BF384" s="442"/>
      <c r="BG384" s="442"/>
      <c r="BH384" s="442"/>
      <c r="BI384" s="442"/>
      <c r="BJ384" s="442"/>
      <c r="BK384" s="443"/>
      <c r="BL384" s="392"/>
      <c r="BM384" s="393"/>
      <c r="BN384" s="393"/>
      <c r="BO384" s="393"/>
      <c r="BP384" s="393"/>
      <c r="BQ384" s="393"/>
      <c r="BR384" s="393"/>
      <c r="BS384" s="394"/>
      <c r="BT384" s="342"/>
      <c r="BU384" s="343"/>
      <c r="BV384" s="343"/>
      <c r="BW384" s="343"/>
      <c r="BX384" s="343"/>
      <c r="BY384" s="343"/>
      <c r="BZ384" s="343"/>
      <c r="CA384" s="343"/>
      <c r="CB384" s="343"/>
      <c r="CC384" s="343"/>
      <c r="CD384" s="343"/>
      <c r="CE384" s="343"/>
      <c r="CF384" s="344"/>
      <c r="CG384" s="345"/>
      <c r="CH384" s="340"/>
      <c r="CI384" s="340"/>
      <c r="CJ384" s="340"/>
      <c r="CK384" s="340"/>
      <c r="CL384" s="340"/>
      <c r="CM384" s="340"/>
      <c r="CN384" s="340"/>
      <c r="CO384" s="340"/>
      <c r="CP384" s="340"/>
      <c r="CQ384" s="341"/>
      <c r="CR384" s="345"/>
      <c r="CS384" s="340"/>
      <c r="CT384" s="340"/>
      <c r="CU384" s="340"/>
      <c r="CV384" s="340"/>
      <c r="CW384" s="340"/>
      <c r="CX384" s="340"/>
      <c r="CY384" s="340"/>
      <c r="CZ384" s="340"/>
      <c r="DA384" s="340"/>
      <c r="DB384" s="340"/>
      <c r="DC384" s="340"/>
      <c r="DD384" s="341"/>
      <c r="DE384" s="349"/>
      <c r="DF384" s="350"/>
      <c r="DG384" s="350"/>
      <c r="DH384" s="350"/>
      <c r="DI384" s="350"/>
      <c r="DJ384" s="350"/>
      <c r="DK384" s="350"/>
      <c r="DL384" s="350"/>
      <c r="DM384" s="350"/>
      <c r="DN384" s="350"/>
      <c r="DO384" s="350"/>
      <c r="DP384" s="350"/>
      <c r="DQ384" s="351"/>
      <c r="DR384" s="349"/>
      <c r="DS384" s="350"/>
      <c r="DT384" s="350"/>
      <c r="DU384" s="350"/>
      <c r="DV384" s="350"/>
      <c r="DW384" s="350"/>
      <c r="DX384" s="350"/>
      <c r="DY384" s="350"/>
      <c r="DZ384" s="350"/>
      <c r="EA384" s="350"/>
      <c r="EB384" s="350"/>
      <c r="EC384" s="350"/>
      <c r="ED384" s="351"/>
      <c r="EE384" s="349"/>
      <c r="EF384" s="350"/>
      <c r="EG384" s="350"/>
      <c r="EH384" s="350"/>
      <c r="EI384" s="350"/>
      <c r="EJ384" s="350"/>
      <c r="EK384" s="350"/>
      <c r="EL384" s="350"/>
      <c r="EM384" s="350"/>
      <c r="EN384" s="350"/>
      <c r="EO384" s="350"/>
      <c r="EP384" s="350"/>
      <c r="EQ384" s="351"/>
      <c r="ER384" s="349"/>
      <c r="ES384" s="350"/>
      <c r="ET384" s="350"/>
      <c r="EU384" s="350"/>
      <c r="EV384" s="350"/>
      <c r="EW384" s="350"/>
      <c r="EX384" s="350"/>
      <c r="EY384" s="350"/>
      <c r="EZ384" s="350"/>
      <c r="FA384" s="350"/>
      <c r="FB384" s="351"/>
      <c r="FC384" s="416"/>
      <c r="FD384" s="417"/>
      <c r="FE384" s="417"/>
      <c r="FF384" s="417"/>
      <c r="FG384" s="417"/>
      <c r="FH384" s="417"/>
      <c r="FI384" s="417"/>
      <c r="FJ384" s="417"/>
      <c r="FK384" s="417"/>
      <c r="FL384" s="417"/>
      <c r="FO384" s="275"/>
      <c r="FP384" s="275"/>
      <c r="FQ384" s="275">
        <f t="shared" si="8"/>
        <v>0</v>
      </c>
    </row>
    <row r="385" spans="1:173" ht="13.95" hidden="1" customHeight="1">
      <c r="A385" s="441"/>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c r="AG385" s="442"/>
      <c r="AH385" s="442"/>
      <c r="AI385" s="442"/>
      <c r="AJ385" s="442"/>
      <c r="AK385" s="442"/>
      <c r="AL385" s="442"/>
      <c r="AM385" s="442"/>
      <c r="AN385" s="442"/>
      <c r="AO385" s="442"/>
      <c r="AP385" s="442"/>
      <c r="AQ385" s="442"/>
      <c r="AR385" s="442"/>
      <c r="AS385" s="442"/>
      <c r="AT385" s="442"/>
      <c r="AU385" s="442"/>
      <c r="AV385" s="442"/>
      <c r="AW385" s="442"/>
      <c r="AX385" s="442"/>
      <c r="AY385" s="442"/>
      <c r="AZ385" s="442"/>
      <c r="BA385" s="442"/>
      <c r="BB385" s="442"/>
      <c r="BC385" s="442"/>
      <c r="BD385" s="442"/>
      <c r="BE385" s="442"/>
      <c r="BF385" s="442"/>
      <c r="BG385" s="442"/>
      <c r="BH385" s="442"/>
      <c r="BI385" s="442"/>
      <c r="BJ385" s="442"/>
      <c r="BK385" s="443"/>
      <c r="BL385" s="339"/>
      <c r="BM385" s="340"/>
      <c r="BN385" s="340"/>
      <c r="BO385" s="340"/>
      <c r="BP385" s="340"/>
      <c r="BQ385" s="340"/>
      <c r="BR385" s="340"/>
      <c r="BS385" s="341"/>
      <c r="BT385" s="342"/>
      <c r="BU385" s="343"/>
      <c r="BV385" s="343"/>
      <c r="BW385" s="343"/>
      <c r="BX385" s="343"/>
      <c r="BY385" s="343"/>
      <c r="BZ385" s="343"/>
      <c r="CA385" s="343"/>
      <c r="CB385" s="343"/>
      <c r="CC385" s="343"/>
      <c r="CD385" s="343"/>
      <c r="CE385" s="343"/>
      <c r="CF385" s="344"/>
      <c r="CG385" s="345"/>
      <c r="CH385" s="340"/>
      <c r="CI385" s="340"/>
      <c r="CJ385" s="340"/>
      <c r="CK385" s="340"/>
      <c r="CL385" s="340"/>
      <c r="CM385" s="340"/>
      <c r="CN385" s="340"/>
      <c r="CO385" s="340"/>
      <c r="CP385" s="340"/>
      <c r="CQ385" s="341"/>
      <c r="CR385" s="345"/>
      <c r="CS385" s="340"/>
      <c r="CT385" s="340"/>
      <c r="CU385" s="340"/>
      <c r="CV385" s="340"/>
      <c r="CW385" s="340"/>
      <c r="CX385" s="340"/>
      <c r="CY385" s="340"/>
      <c r="CZ385" s="340"/>
      <c r="DA385" s="340"/>
      <c r="DB385" s="340"/>
      <c r="DC385" s="340"/>
      <c r="DD385" s="341"/>
      <c r="DE385" s="349"/>
      <c r="DF385" s="350"/>
      <c r="DG385" s="350"/>
      <c r="DH385" s="350"/>
      <c r="DI385" s="350"/>
      <c r="DJ385" s="350"/>
      <c r="DK385" s="350"/>
      <c r="DL385" s="350"/>
      <c r="DM385" s="350"/>
      <c r="DN385" s="350"/>
      <c r="DO385" s="350"/>
      <c r="DP385" s="350"/>
      <c r="DQ385" s="351"/>
      <c r="DR385" s="349"/>
      <c r="DS385" s="350"/>
      <c r="DT385" s="350"/>
      <c r="DU385" s="350"/>
      <c r="DV385" s="350"/>
      <c r="DW385" s="350"/>
      <c r="DX385" s="350"/>
      <c r="DY385" s="350"/>
      <c r="DZ385" s="350"/>
      <c r="EA385" s="350"/>
      <c r="EB385" s="350"/>
      <c r="EC385" s="350"/>
      <c r="ED385" s="351"/>
      <c r="EE385" s="349"/>
      <c r="EF385" s="350"/>
      <c r="EG385" s="350"/>
      <c r="EH385" s="350"/>
      <c r="EI385" s="350"/>
      <c r="EJ385" s="350"/>
      <c r="EK385" s="350"/>
      <c r="EL385" s="350"/>
      <c r="EM385" s="350"/>
      <c r="EN385" s="350"/>
      <c r="EO385" s="350"/>
      <c r="EP385" s="350"/>
      <c r="EQ385" s="351"/>
      <c r="ER385" s="349"/>
      <c r="ES385" s="350"/>
      <c r="ET385" s="350"/>
      <c r="EU385" s="350"/>
      <c r="EV385" s="350"/>
      <c r="EW385" s="350"/>
      <c r="EX385" s="350"/>
      <c r="EY385" s="350"/>
      <c r="EZ385" s="350"/>
      <c r="FA385" s="350"/>
      <c r="FB385" s="351"/>
      <c r="FC385" s="416"/>
      <c r="FD385" s="417"/>
      <c r="FE385" s="417"/>
      <c r="FF385" s="417"/>
      <c r="FG385" s="417"/>
      <c r="FH385" s="417"/>
      <c r="FI385" s="417"/>
      <c r="FJ385" s="417"/>
      <c r="FK385" s="417"/>
      <c r="FL385" s="417"/>
      <c r="FO385" s="275"/>
      <c r="FP385" s="275"/>
      <c r="FQ385" s="275">
        <f t="shared" si="8"/>
        <v>0</v>
      </c>
    </row>
    <row r="386" spans="1:173" ht="12" hidden="1" customHeight="1">
      <c r="A386" s="441"/>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c r="AG386" s="442"/>
      <c r="AH386" s="442"/>
      <c r="AI386" s="442"/>
      <c r="AJ386" s="442"/>
      <c r="AK386" s="442"/>
      <c r="AL386" s="442"/>
      <c r="AM386" s="442"/>
      <c r="AN386" s="442"/>
      <c r="AO386" s="442"/>
      <c r="AP386" s="442"/>
      <c r="AQ386" s="442"/>
      <c r="AR386" s="442"/>
      <c r="AS386" s="442"/>
      <c r="AT386" s="442"/>
      <c r="AU386" s="442"/>
      <c r="AV386" s="442"/>
      <c r="AW386" s="442"/>
      <c r="AX386" s="442"/>
      <c r="AY386" s="442"/>
      <c r="AZ386" s="442"/>
      <c r="BA386" s="442"/>
      <c r="BB386" s="442"/>
      <c r="BC386" s="442"/>
      <c r="BD386" s="442"/>
      <c r="BE386" s="442"/>
      <c r="BF386" s="442"/>
      <c r="BG386" s="442"/>
      <c r="BH386" s="442"/>
      <c r="BI386" s="442"/>
      <c r="BJ386" s="442"/>
      <c r="BK386" s="443"/>
      <c r="BL386" s="392"/>
      <c r="BM386" s="393"/>
      <c r="BN386" s="393"/>
      <c r="BO386" s="393"/>
      <c r="BP386" s="393"/>
      <c r="BQ386" s="393"/>
      <c r="BR386" s="393"/>
      <c r="BS386" s="394"/>
      <c r="BT386" s="342"/>
      <c r="BU386" s="343"/>
      <c r="BV386" s="343"/>
      <c r="BW386" s="343"/>
      <c r="BX386" s="343"/>
      <c r="BY386" s="343"/>
      <c r="BZ386" s="343"/>
      <c r="CA386" s="343"/>
      <c r="CB386" s="343"/>
      <c r="CC386" s="343"/>
      <c r="CD386" s="343"/>
      <c r="CE386" s="343"/>
      <c r="CF386" s="344"/>
      <c r="CG386" s="345"/>
      <c r="CH386" s="340"/>
      <c r="CI386" s="340"/>
      <c r="CJ386" s="340"/>
      <c r="CK386" s="340"/>
      <c r="CL386" s="340"/>
      <c r="CM386" s="340"/>
      <c r="CN386" s="340"/>
      <c r="CO386" s="340"/>
      <c r="CP386" s="340"/>
      <c r="CQ386" s="341"/>
      <c r="CR386" s="345"/>
      <c r="CS386" s="340"/>
      <c r="CT386" s="340"/>
      <c r="CU386" s="340"/>
      <c r="CV386" s="340"/>
      <c r="CW386" s="340"/>
      <c r="CX386" s="340"/>
      <c r="CY386" s="340"/>
      <c r="CZ386" s="340"/>
      <c r="DA386" s="340"/>
      <c r="DB386" s="340"/>
      <c r="DC386" s="340"/>
      <c r="DD386" s="341"/>
      <c r="DE386" s="349"/>
      <c r="DF386" s="350"/>
      <c r="DG386" s="350"/>
      <c r="DH386" s="350"/>
      <c r="DI386" s="350"/>
      <c r="DJ386" s="350"/>
      <c r="DK386" s="350"/>
      <c r="DL386" s="350"/>
      <c r="DM386" s="350"/>
      <c r="DN386" s="350"/>
      <c r="DO386" s="350"/>
      <c r="DP386" s="350"/>
      <c r="DQ386" s="351"/>
      <c r="DR386" s="349"/>
      <c r="DS386" s="350"/>
      <c r="DT386" s="350"/>
      <c r="DU386" s="350"/>
      <c r="DV386" s="350"/>
      <c r="DW386" s="350"/>
      <c r="DX386" s="350"/>
      <c r="DY386" s="350"/>
      <c r="DZ386" s="350"/>
      <c r="EA386" s="350"/>
      <c r="EB386" s="350"/>
      <c r="EC386" s="350"/>
      <c r="ED386" s="351"/>
      <c r="EE386" s="349"/>
      <c r="EF386" s="350"/>
      <c r="EG386" s="350"/>
      <c r="EH386" s="350"/>
      <c r="EI386" s="350"/>
      <c r="EJ386" s="350"/>
      <c r="EK386" s="350"/>
      <c r="EL386" s="350"/>
      <c r="EM386" s="350"/>
      <c r="EN386" s="350"/>
      <c r="EO386" s="350"/>
      <c r="EP386" s="350"/>
      <c r="EQ386" s="351"/>
      <c r="ER386" s="349"/>
      <c r="ES386" s="350"/>
      <c r="ET386" s="350"/>
      <c r="EU386" s="350"/>
      <c r="EV386" s="350"/>
      <c r="EW386" s="350"/>
      <c r="EX386" s="350"/>
      <c r="EY386" s="350"/>
      <c r="EZ386" s="350"/>
      <c r="FA386" s="350"/>
      <c r="FB386" s="351"/>
      <c r="FC386" s="416"/>
      <c r="FD386" s="417"/>
      <c r="FE386" s="417"/>
      <c r="FF386" s="417"/>
      <c r="FG386" s="417"/>
      <c r="FH386" s="417"/>
      <c r="FI386" s="417"/>
      <c r="FJ386" s="417"/>
      <c r="FK386" s="417"/>
      <c r="FL386" s="417"/>
      <c r="FO386" s="275"/>
      <c r="FP386" s="275"/>
      <c r="FQ386" s="275">
        <f t="shared" si="8"/>
        <v>0</v>
      </c>
    </row>
    <row r="387" spans="1:173" s="215" customFormat="1" ht="12" customHeight="1">
      <c r="A387" s="437" t="s">
        <v>945</v>
      </c>
      <c r="B387" s="438"/>
      <c r="C387" s="438"/>
      <c r="D387" s="438"/>
      <c r="E387" s="438"/>
      <c r="F387" s="438"/>
      <c r="G387" s="438"/>
      <c r="H387" s="438"/>
      <c r="I387" s="438"/>
      <c r="J387" s="438"/>
      <c r="K387" s="438"/>
      <c r="L387" s="438"/>
      <c r="M387" s="438"/>
      <c r="N387" s="438"/>
      <c r="O387" s="438"/>
      <c r="P387" s="438"/>
      <c r="Q387" s="438"/>
      <c r="R387" s="438"/>
      <c r="S387" s="438"/>
      <c r="T387" s="438"/>
      <c r="U387" s="438"/>
      <c r="V387" s="438"/>
      <c r="W387" s="438"/>
      <c r="X387" s="438"/>
      <c r="Y387" s="438"/>
      <c r="Z387" s="438"/>
      <c r="AA387" s="438"/>
      <c r="AB387" s="438"/>
      <c r="AC387" s="438"/>
      <c r="AD387" s="438"/>
      <c r="AE387" s="438"/>
      <c r="AF387" s="438"/>
      <c r="AG387" s="438"/>
      <c r="AH387" s="438"/>
      <c r="AI387" s="438"/>
      <c r="AJ387" s="438"/>
      <c r="AK387" s="438"/>
      <c r="AL387" s="438"/>
      <c r="AM387" s="438"/>
      <c r="AN387" s="438"/>
      <c r="AO387" s="438"/>
      <c r="AP387" s="438"/>
      <c r="AQ387" s="438"/>
      <c r="AR387" s="438"/>
      <c r="AS387" s="438"/>
      <c r="AT387" s="438"/>
      <c r="AU387" s="438"/>
      <c r="AV387" s="438"/>
      <c r="AW387" s="438"/>
      <c r="AX387" s="438"/>
      <c r="AY387" s="438"/>
      <c r="AZ387" s="438"/>
      <c r="BA387" s="438"/>
      <c r="BB387" s="438"/>
      <c r="BC387" s="438"/>
      <c r="BD387" s="438"/>
      <c r="BE387" s="438"/>
      <c r="BF387" s="438"/>
      <c r="BG387" s="438"/>
      <c r="BH387" s="438"/>
      <c r="BI387" s="438"/>
      <c r="BJ387" s="438"/>
      <c r="BK387" s="439"/>
      <c r="BL387" s="440"/>
      <c r="BM387" s="414"/>
      <c r="BN387" s="414"/>
      <c r="BO387" s="414"/>
      <c r="BP387" s="414"/>
      <c r="BQ387" s="414"/>
      <c r="BR387" s="414"/>
      <c r="BS387" s="415"/>
      <c r="BT387" s="413" t="s">
        <v>109</v>
      </c>
      <c r="BU387" s="414"/>
      <c r="BV387" s="414"/>
      <c r="BW387" s="414"/>
      <c r="BX387" s="414"/>
      <c r="BY387" s="414"/>
      <c r="BZ387" s="414"/>
      <c r="CA387" s="414"/>
      <c r="CB387" s="414"/>
      <c r="CC387" s="414"/>
      <c r="CD387" s="414"/>
      <c r="CE387" s="414"/>
      <c r="CF387" s="415"/>
      <c r="CG387" s="413" t="s">
        <v>77</v>
      </c>
      <c r="CH387" s="414"/>
      <c r="CI387" s="414"/>
      <c r="CJ387" s="414"/>
      <c r="CK387" s="414"/>
      <c r="CL387" s="414"/>
      <c r="CM387" s="414"/>
      <c r="CN387" s="414"/>
      <c r="CO387" s="414"/>
      <c r="CP387" s="414"/>
      <c r="CQ387" s="415"/>
      <c r="CR387" s="413"/>
      <c r="CS387" s="414"/>
      <c r="CT387" s="414"/>
      <c r="CU387" s="414"/>
      <c r="CV387" s="414"/>
      <c r="CW387" s="414"/>
      <c r="CX387" s="414"/>
      <c r="CY387" s="414"/>
      <c r="CZ387" s="414"/>
      <c r="DA387" s="414"/>
      <c r="DB387" s="414"/>
      <c r="DC387" s="414"/>
      <c r="DD387" s="415"/>
      <c r="DE387" s="428">
        <f>DE388+DE396</f>
        <v>334062</v>
      </c>
      <c r="DF387" s="429"/>
      <c r="DG387" s="429"/>
      <c r="DH387" s="429"/>
      <c r="DI387" s="429"/>
      <c r="DJ387" s="429"/>
      <c r="DK387" s="429"/>
      <c r="DL387" s="429"/>
      <c r="DM387" s="429"/>
      <c r="DN387" s="429"/>
      <c r="DO387" s="429"/>
      <c r="DP387" s="429"/>
      <c r="DQ387" s="430"/>
      <c r="DR387" s="428">
        <f>DR388+DR396</f>
        <v>59500</v>
      </c>
      <c r="DS387" s="429"/>
      <c r="DT387" s="429"/>
      <c r="DU387" s="429"/>
      <c r="DV387" s="429"/>
      <c r="DW387" s="429"/>
      <c r="DX387" s="429"/>
      <c r="DY387" s="429"/>
      <c r="DZ387" s="429"/>
      <c r="EA387" s="429"/>
      <c r="EB387" s="429"/>
      <c r="EC387" s="429"/>
      <c r="ED387" s="430"/>
      <c r="EE387" s="428"/>
      <c r="EF387" s="429"/>
      <c r="EG387" s="429"/>
      <c r="EH387" s="429"/>
      <c r="EI387" s="429"/>
      <c r="EJ387" s="429"/>
      <c r="EK387" s="429"/>
      <c r="EL387" s="429"/>
      <c r="EM387" s="429"/>
      <c r="EN387" s="429"/>
      <c r="EO387" s="429"/>
      <c r="EP387" s="429"/>
      <c r="EQ387" s="430"/>
      <c r="ER387" s="410"/>
      <c r="ES387" s="411"/>
      <c r="ET387" s="411"/>
      <c r="EU387" s="411"/>
      <c r="EV387" s="411"/>
      <c r="EW387" s="411"/>
      <c r="EX387" s="411"/>
      <c r="EY387" s="411"/>
      <c r="EZ387" s="411"/>
      <c r="FA387" s="411"/>
      <c r="FB387" s="412"/>
      <c r="FC387" s="423"/>
      <c r="FD387" s="424"/>
      <c r="FE387" s="424"/>
      <c r="FF387" s="424"/>
      <c r="FG387" s="424"/>
      <c r="FH387" s="424"/>
      <c r="FI387" s="424"/>
      <c r="FJ387" s="424"/>
      <c r="FK387" s="424"/>
      <c r="FL387" s="424"/>
      <c r="FO387" s="278"/>
      <c r="FP387" s="278"/>
      <c r="FQ387" s="275">
        <f t="shared" si="8"/>
        <v>59500</v>
      </c>
    </row>
    <row r="388" spans="1:173" s="215" customFormat="1" ht="12" customHeight="1">
      <c r="A388" s="437" t="s">
        <v>946</v>
      </c>
      <c r="B388" s="438"/>
      <c r="C388" s="438"/>
      <c r="D388" s="438"/>
      <c r="E388" s="438"/>
      <c r="F388" s="438"/>
      <c r="G388" s="438"/>
      <c r="H388" s="438"/>
      <c r="I388" s="438"/>
      <c r="J388" s="438"/>
      <c r="K388" s="438"/>
      <c r="L388" s="438"/>
      <c r="M388" s="438"/>
      <c r="N388" s="438"/>
      <c r="O388" s="438"/>
      <c r="P388" s="438"/>
      <c r="Q388" s="438"/>
      <c r="R388" s="438"/>
      <c r="S388" s="438"/>
      <c r="T388" s="438"/>
      <c r="U388" s="438"/>
      <c r="V388" s="438"/>
      <c r="W388" s="438"/>
      <c r="X388" s="438"/>
      <c r="Y388" s="438"/>
      <c r="Z388" s="438"/>
      <c r="AA388" s="438"/>
      <c r="AB388" s="438"/>
      <c r="AC388" s="438"/>
      <c r="AD388" s="438"/>
      <c r="AE388" s="438"/>
      <c r="AF388" s="438"/>
      <c r="AG388" s="438"/>
      <c r="AH388" s="438"/>
      <c r="AI388" s="438"/>
      <c r="AJ388" s="438"/>
      <c r="AK388" s="438"/>
      <c r="AL388" s="438"/>
      <c r="AM388" s="438"/>
      <c r="AN388" s="438"/>
      <c r="AO388" s="438"/>
      <c r="AP388" s="438"/>
      <c r="AQ388" s="438"/>
      <c r="AR388" s="438"/>
      <c r="AS388" s="438"/>
      <c r="AT388" s="438"/>
      <c r="AU388" s="438"/>
      <c r="AV388" s="438"/>
      <c r="AW388" s="438"/>
      <c r="AX388" s="438"/>
      <c r="AY388" s="438"/>
      <c r="AZ388" s="438"/>
      <c r="BA388" s="438"/>
      <c r="BB388" s="438"/>
      <c r="BC388" s="438"/>
      <c r="BD388" s="438"/>
      <c r="BE388" s="438"/>
      <c r="BF388" s="438"/>
      <c r="BG388" s="438"/>
      <c r="BH388" s="438"/>
      <c r="BI388" s="438"/>
      <c r="BJ388" s="438"/>
      <c r="BK388" s="439"/>
      <c r="BL388" s="440"/>
      <c r="BM388" s="414"/>
      <c r="BN388" s="414"/>
      <c r="BO388" s="414"/>
      <c r="BP388" s="414"/>
      <c r="BQ388" s="414"/>
      <c r="BR388" s="414"/>
      <c r="BS388" s="415"/>
      <c r="BT388" s="413" t="s">
        <v>109</v>
      </c>
      <c r="BU388" s="414"/>
      <c r="BV388" s="414"/>
      <c r="BW388" s="414"/>
      <c r="BX388" s="414"/>
      <c r="BY388" s="414"/>
      <c r="BZ388" s="414"/>
      <c r="CA388" s="414"/>
      <c r="CB388" s="414"/>
      <c r="CC388" s="414"/>
      <c r="CD388" s="414"/>
      <c r="CE388" s="414"/>
      <c r="CF388" s="415"/>
      <c r="CG388" s="413" t="s">
        <v>77</v>
      </c>
      <c r="CH388" s="414"/>
      <c r="CI388" s="414"/>
      <c r="CJ388" s="414"/>
      <c r="CK388" s="414"/>
      <c r="CL388" s="414"/>
      <c r="CM388" s="414"/>
      <c r="CN388" s="414"/>
      <c r="CO388" s="414"/>
      <c r="CP388" s="414"/>
      <c r="CQ388" s="415"/>
      <c r="CR388" s="413"/>
      <c r="CS388" s="414"/>
      <c r="CT388" s="414"/>
      <c r="CU388" s="414"/>
      <c r="CV388" s="414"/>
      <c r="CW388" s="414"/>
      <c r="CX388" s="414"/>
      <c r="CY388" s="414"/>
      <c r="CZ388" s="414"/>
      <c r="DA388" s="414"/>
      <c r="DB388" s="414"/>
      <c r="DC388" s="414"/>
      <c r="DD388" s="415"/>
      <c r="DE388" s="428">
        <f>SUM(DE389:DQ395)</f>
        <v>130554.93</v>
      </c>
      <c r="DF388" s="429"/>
      <c r="DG388" s="429"/>
      <c r="DH388" s="429"/>
      <c r="DI388" s="429"/>
      <c r="DJ388" s="429"/>
      <c r="DK388" s="429"/>
      <c r="DL388" s="429"/>
      <c r="DM388" s="429"/>
      <c r="DN388" s="429"/>
      <c r="DO388" s="429"/>
      <c r="DP388" s="429"/>
      <c r="DQ388" s="430"/>
      <c r="DR388" s="428">
        <f>SUM(DR389:ED395)</f>
        <v>0</v>
      </c>
      <c r="DS388" s="429"/>
      <c r="DT388" s="429"/>
      <c r="DU388" s="429"/>
      <c r="DV388" s="429"/>
      <c r="DW388" s="429"/>
      <c r="DX388" s="429"/>
      <c r="DY388" s="429"/>
      <c r="DZ388" s="429"/>
      <c r="EA388" s="429"/>
      <c r="EB388" s="429"/>
      <c r="EC388" s="429"/>
      <c r="ED388" s="430"/>
      <c r="EE388" s="428"/>
      <c r="EF388" s="429"/>
      <c r="EG388" s="429"/>
      <c r="EH388" s="429"/>
      <c r="EI388" s="429"/>
      <c r="EJ388" s="429"/>
      <c r="EK388" s="429"/>
      <c r="EL388" s="429"/>
      <c r="EM388" s="429"/>
      <c r="EN388" s="429"/>
      <c r="EO388" s="429"/>
      <c r="EP388" s="429"/>
      <c r="EQ388" s="430"/>
      <c r="ER388" s="410"/>
      <c r="ES388" s="411"/>
      <c r="ET388" s="411"/>
      <c r="EU388" s="411"/>
      <c r="EV388" s="411"/>
      <c r="EW388" s="411"/>
      <c r="EX388" s="411"/>
      <c r="EY388" s="411"/>
      <c r="EZ388" s="411"/>
      <c r="FA388" s="411"/>
      <c r="FB388" s="412"/>
      <c r="FC388" s="423"/>
      <c r="FD388" s="424"/>
      <c r="FE388" s="424"/>
      <c r="FF388" s="424"/>
      <c r="FG388" s="424"/>
      <c r="FH388" s="424"/>
      <c r="FI388" s="424"/>
      <c r="FJ388" s="424"/>
      <c r="FK388" s="424"/>
      <c r="FL388" s="424"/>
      <c r="FO388" s="278"/>
      <c r="FP388" s="278"/>
      <c r="FQ388" s="275">
        <f t="shared" si="8"/>
        <v>0</v>
      </c>
    </row>
    <row r="389" spans="1:173" ht="26.4" hidden="1" customHeight="1">
      <c r="A389" s="441" t="s">
        <v>850</v>
      </c>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c r="AG389" s="442"/>
      <c r="AH389" s="442"/>
      <c r="AI389" s="442"/>
      <c r="AJ389" s="442"/>
      <c r="AK389" s="442"/>
      <c r="AL389" s="442"/>
      <c r="AM389" s="442"/>
      <c r="AN389" s="442"/>
      <c r="AO389" s="442"/>
      <c r="AP389" s="442"/>
      <c r="AQ389" s="442"/>
      <c r="AR389" s="442"/>
      <c r="AS389" s="442"/>
      <c r="AT389" s="442"/>
      <c r="AU389" s="442"/>
      <c r="AV389" s="442"/>
      <c r="AW389" s="442"/>
      <c r="AX389" s="442"/>
      <c r="AY389" s="442"/>
      <c r="AZ389" s="442"/>
      <c r="BA389" s="442"/>
      <c r="BB389" s="442"/>
      <c r="BC389" s="442"/>
      <c r="BD389" s="442"/>
      <c r="BE389" s="442"/>
      <c r="BF389" s="442"/>
      <c r="BG389" s="442"/>
      <c r="BH389" s="442"/>
      <c r="BI389" s="442"/>
      <c r="BJ389" s="442"/>
      <c r="BK389" s="443"/>
      <c r="BL389" s="392"/>
      <c r="BM389" s="393"/>
      <c r="BN389" s="393"/>
      <c r="BO389" s="393"/>
      <c r="BP389" s="393"/>
      <c r="BQ389" s="393"/>
      <c r="BR389" s="393"/>
      <c r="BS389" s="394"/>
      <c r="BT389" s="395" t="s">
        <v>849</v>
      </c>
      <c r="BU389" s="396"/>
      <c r="BV389" s="396"/>
      <c r="BW389" s="396"/>
      <c r="BX389" s="396"/>
      <c r="BY389" s="396"/>
      <c r="BZ389" s="396"/>
      <c r="CA389" s="396"/>
      <c r="CB389" s="396"/>
      <c r="CC389" s="396"/>
      <c r="CD389" s="396"/>
      <c r="CE389" s="396"/>
      <c r="CF389" s="397"/>
      <c r="CG389" s="398" t="s">
        <v>857</v>
      </c>
      <c r="CH389" s="393"/>
      <c r="CI389" s="393"/>
      <c r="CJ389" s="393"/>
      <c r="CK389" s="393"/>
      <c r="CL389" s="393"/>
      <c r="CM389" s="393"/>
      <c r="CN389" s="393"/>
      <c r="CO389" s="393"/>
      <c r="CP389" s="393"/>
      <c r="CQ389" s="394"/>
      <c r="CR389" s="345"/>
      <c r="CS389" s="340"/>
      <c r="CT389" s="340"/>
      <c r="CU389" s="340"/>
      <c r="CV389" s="340"/>
      <c r="CW389" s="340"/>
      <c r="CX389" s="340"/>
      <c r="CY389" s="340"/>
      <c r="CZ389" s="340"/>
      <c r="DA389" s="340"/>
      <c r="DB389" s="340"/>
      <c r="DC389" s="340"/>
      <c r="DD389" s="341"/>
      <c r="DE389" s="402">
        <v>18604.14</v>
      </c>
      <c r="DF389" s="403"/>
      <c r="DG389" s="403"/>
      <c r="DH389" s="403"/>
      <c r="DI389" s="403"/>
      <c r="DJ389" s="403"/>
      <c r="DK389" s="403"/>
      <c r="DL389" s="403"/>
      <c r="DM389" s="403"/>
      <c r="DN389" s="403"/>
      <c r="DO389" s="403"/>
      <c r="DP389" s="403"/>
      <c r="DQ389" s="404"/>
      <c r="DR389" s="402">
        <v>0</v>
      </c>
      <c r="DS389" s="403"/>
      <c r="DT389" s="403"/>
      <c r="DU389" s="403"/>
      <c r="DV389" s="403"/>
      <c r="DW389" s="403"/>
      <c r="DX389" s="403"/>
      <c r="DY389" s="403"/>
      <c r="DZ389" s="403"/>
      <c r="EA389" s="403"/>
      <c r="EB389" s="403"/>
      <c r="EC389" s="403"/>
      <c r="ED389" s="404"/>
      <c r="EE389" s="402"/>
      <c r="EF389" s="403"/>
      <c r="EG389" s="403"/>
      <c r="EH389" s="403"/>
      <c r="EI389" s="403"/>
      <c r="EJ389" s="403"/>
      <c r="EK389" s="403"/>
      <c r="EL389" s="403"/>
      <c r="EM389" s="403"/>
      <c r="EN389" s="403"/>
      <c r="EO389" s="403"/>
      <c r="EP389" s="403"/>
      <c r="EQ389" s="404"/>
      <c r="ER389" s="349"/>
      <c r="ES389" s="350"/>
      <c r="ET389" s="350"/>
      <c r="EU389" s="350"/>
      <c r="EV389" s="350"/>
      <c r="EW389" s="350"/>
      <c r="EX389" s="350"/>
      <c r="EY389" s="350"/>
      <c r="EZ389" s="350"/>
      <c r="FA389" s="350"/>
      <c r="FB389" s="351"/>
      <c r="FC389" s="416"/>
      <c r="FD389" s="417"/>
      <c r="FE389" s="417"/>
      <c r="FF389" s="417"/>
      <c r="FG389" s="417"/>
      <c r="FH389" s="417"/>
      <c r="FI389" s="417"/>
      <c r="FJ389" s="417"/>
      <c r="FK389" s="417"/>
      <c r="FL389" s="417"/>
      <c r="FO389" s="275"/>
      <c r="FP389" s="275"/>
      <c r="FQ389" s="275">
        <f t="shared" si="8"/>
        <v>0</v>
      </c>
    </row>
    <row r="390" spans="1:173" ht="24.6" hidden="1" customHeight="1">
      <c r="A390" s="441" t="s">
        <v>851</v>
      </c>
      <c r="B390" s="447"/>
      <c r="C390" s="447"/>
      <c r="D390" s="447"/>
      <c r="E390" s="447"/>
      <c r="F390" s="447"/>
      <c r="G390" s="447"/>
      <c r="H390" s="447"/>
      <c r="I390" s="447"/>
      <c r="J390" s="447"/>
      <c r="K390" s="447"/>
      <c r="L390" s="447"/>
      <c r="M390" s="447"/>
      <c r="N390" s="447"/>
      <c r="O390" s="447"/>
      <c r="P390" s="447"/>
      <c r="Q390" s="447"/>
      <c r="R390" s="447"/>
      <c r="S390" s="447"/>
      <c r="T390" s="447"/>
      <c r="U390" s="447"/>
      <c r="V390" s="447"/>
      <c r="W390" s="447"/>
      <c r="X390" s="447"/>
      <c r="Y390" s="447"/>
      <c r="Z390" s="447"/>
      <c r="AA390" s="447"/>
      <c r="AB390" s="447"/>
      <c r="AC390" s="447"/>
      <c r="AD390" s="447"/>
      <c r="AE390" s="447"/>
      <c r="AF390" s="447"/>
      <c r="AG390" s="447"/>
      <c r="AH390" s="447"/>
      <c r="AI390" s="447"/>
      <c r="AJ390" s="447"/>
      <c r="AK390" s="447"/>
      <c r="AL390" s="447"/>
      <c r="AM390" s="447"/>
      <c r="AN390" s="447"/>
      <c r="AO390" s="447"/>
      <c r="AP390" s="447"/>
      <c r="AQ390" s="447"/>
      <c r="AR390" s="447"/>
      <c r="AS390" s="447"/>
      <c r="AT390" s="447"/>
      <c r="AU390" s="447"/>
      <c r="AV390" s="447"/>
      <c r="AW390" s="447"/>
      <c r="AX390" s="447"/>
      <c r="AY390" s="447"/>
      <c r="AZ390" s="447"/>
      <c r="BA390" s="447"/>
      <c r="BB390" s="447"/>
      <c r="BC390" s="447"/>
      <c r="BD390" s="447"/>
      <c r="BE390" s="447"/>
      <c r="BF390" s="447"/>
      <c r="BG390" s="447"/>
      <c r="BH390" s="447"/>
      <c r="BI390" s="447"/>
      <c r="BJ390" s="447"/>
      <c r="BK390" s="448"/>
      <c r="BL390" s="339"/>
      <c r="BM390" s="340"/>
      <c r="BN390" s="340"/>
      <c r="BO390" s="340"/>
      <c r="BP390" s="340"/>
      <c r="BQ390" s="340"/>
      <c r="BR390" s="340"/>
      <c r="BS390" s="341"/>
      <c r="BT390" s="395" t="s">
        <v>849</v>
      </c>
      <c r="BU390" s="396"/>
      <c r="BV390" s="396"/>
      <c r="BW390" s="396"/>
      <c r="BX390" s="396"/>
      <c r="BY390" s="396"/>
      <c r="BZ390" s="396"/>
      <c r="CA390" s="396"/>
      <c r="CB390" s="396"/>
      <c r="CC390" s="396"/>
      <c r="CD390" s="396"/>
      <c r="CE390" s="396"/>
      <c r="CF390" s="397"/>
      <c r="CG390" s="398" t="s">
        <v>857</v>
      </c>
      <c r="CH390" s="393"/>
      <c r="CI390" s="393"/>
      <c r="CJ390" s="393"/>
      <c r="CK390" s="393"/>
      <c r="CL390" s="393"/>
      <c r="CM390" s="393"/>
      <c r="CN390" s="393"/>
      <c r="CO390" s="393"/>
      <c r="CP390" s="393"/>
      <c r="CQ390" s="394"/>
      <c r="CR390" s="345"/>
      <c r="CS390" s="340"/>
      <c r="CT390" s="340"/>
      <c r="CU390" s="340"/>
      <c r="CV390" s="340"/>
      <c r="CW390" s="340"/>
      <c r="CX390" s="340"/>
      <c r="CY390" s="340"/>
      <c r="CZ390" s="340"/>
      <c r="DA390" s="340"/>
      <c r="DB390" s="340"/>
      <c r="DC390" s="340"/>
      <c r="DD390" s="341"/>
      <c r="DE390" s="402">
        <v>7604.31</v>
      </c>
      <c r="DF390" s="403"/>
      <c r="DG390" s="403"/>
      <c r="DH390" s="403"/>
      <c r="DI390" s="403"/>
      <c r="DJ390" s="403"/>
      <c r="DK390" s="403"/>
      <c r="DL390" s="403"/>
      <c r="DM390" s="403"/>
      <c r="DN390" s="403"/>
      <c r="DO390" s="403"/>
      <c r="DP390" s="403"/>
      <c r="DQ390" s="404"/>
      <c r="DR390" s="402">
        <v>0</v>
      </c>
      <c r="DS390" s="403"/>
      <c r="DT390" s="403"/>
      <c r="DU390" s="403"/>
      <c r="DV390" s="403"/>
      <c r="DW390" s="403"/>
      <c r="DX390" s="403"/>
      <c r="DY390" s="403"/>
      <c r="DZ390" s="403"/>
      <c r="EA390" s="403"/>
      <c r="EB390" s="403"/>
      <c r="EC390" s="403"/>
      <c r="ED390" s="404"/>
      <c r="EE390" s="402"/>
      <c r="EF390" s="403"/>
      <c r="EG390" s="403"/>
      <c r="EH390" s="403"/>
      <c r="EI390" s="403"/>
      <c r="EJ390" s="403"/>
      <c r="EK390" s="403"/>
      <c r="EL390" s="403"/>
      <c r="EM390" s="403"/>
      <c r="EN390" s="403"/>
      <c r="EO390" s="403"/>
      <c r="EP390" s="403"/>
      <c r="EQ390" s="404"/>
      <c r="ER390" s="349"/>
      <c r="ES390" s="350"/>
      <c r="ET390" s="350"/>
      <c r="EU390" s="350"/>
      <c r="EV390" s="350"/>
      <c r="EW390" s="350"/>
      <c r="EX390" s="350"/>
      <c r="EY390" s="350"/>
      <c r="EZ390" s="350"/>
      <c r="FA390" s="350"/>
      <c r="FB390" s="351"/>
      <c r="FC390" s="416"/>
      <c r="FD390" s="417"/>
      <c r="FE390" s="417"/>
      <c r="FF390" s="417"/>
      <c r="FG390" s="417"/>
      <c r="FH390" s="417"/>
      <c r="FI390" s="417"/>
      <c r="FJ390" s="417"/>
      <c r="FK390" s="417"/>
      <c r="FL390" s="417"/>
      <c r="FO390" s="275"/>
      <c r="FP390" s="275"/>
      <c r="FQ390" s="275">
        <f t="shared" si="8"/>
        <v>0</v>
      </c>
    </row>
    <row r="391" spans="1:173" s="174" customFormat="1" ht="22.95" hidden="1" customHeight="1">
      <c r="A391" s="441" t="s">
        <v>875</v>
      </c>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c r="AG391" s="442"/>
      <c r="AH391" s="442"/>
      <c r="AI391" s="442"/>
      <c r="AJ391" s="442"/>
      <c r="AK391" s="442"/>
      <c r="AL391" s="442"/>
      <c r="AM391" s="442"/>
      <c r="AN391" s="442"/>
      <c r="AO391" s="442"/>
      <c r="AP391" s="442"/>
      <c r="AQ391" s="442"/>
      <c r="AR391" s="442"/>
      <c r="AS391" s="442"/>
      <c r="AT391" s="442"/>
      <c r="AU391" s="442"/>
      <c r="AV391" s="442"/>
      <c r="AW391" s="442"/>
      <c r="AX391" s="442"/>
      <c r="AY391" s="442"/>
      <c r="AZ391" s="442"/>
      <c r="BA391" s="442"/>
      <c r="BB391" s="442"/>
      <c r="BC391" s="442"/>
      <c r="BD391" s="442"/>
      <c r="BE391" s="442"/>
      <c r="BF391" s="442"/>
      <c r="BG391" s="442"/>
      <c r="BH391" s="442"/>
      <c r="BI391" s="442"/>
      <c r="BJ391" s="442"/>
      <c r="BK391" s="443"/>
      <c r="BL391" s="392"/>
      <c r="BM391" s="393"/>
      <c r="BN391" s="393"/>
      <c r="BO391" s="393"/>
      <c r="BP391" s="393"/>
      <c r="BQ391" s="393"/>
      <c r="BR391" s="393"/>
      <c r="BS391" s="394"/>
      <c r="BT391" s="395" t="s">
        <v>878</v>
      </c>
      <c r="BU391" s="396"/>
      <c r="BV391" s="396"/>
      <c r="BW391" s="396"/>
      <c r="BX391" s="396"/>
      <c r="BY391" s="396"/>
      <c r="BZ391" s="396"/>
      <c r="CA391" s="396"/>
      <c r="CB391" s="396"/>
      <c r="CC391" s="396"/>
      <c r="CD391" s="396"/>
      <c r="CE391" s="396"/>
      <c r="CF391" s="397"/>
      <c r="CG391" s="398" t="s">
        <v>856</v>
      </c>
      <c r="CH391" s="393"/>
      <c r="CI391" s="393"/>
      <c r="CJ391" s="393"/>
      <c r="CK391" s="393"/>
      <c r="CL391" s="393"/>
      <c r="CM391" s="393"/>
      <c r="CN391" s="393"/>
      <c r="CO391" s="393"/>
      <c r="CP391" s="393"/>
      <c r="CQ391" s="394"/>
      <c r="CR391" s="345"/>
      <c r="CS391" s="340"/>
      <c r="CT391" s="340"/>
      <c r="CU391" s="340"/>
      <c r="CV391" s="340"/>
      <c r="CW391" s="340"/>
      <c r="CX391" s="340"/>
      <c r="CY391" s="340"/>
      <c r="CZ391" s="340"/>
      <c r="DA391" s="340"/>
      <c r="DB391" s="340"/>
      <c r="DC391" s="340"/>
      <c r="DD391" s="341"/>
      <c r="DE391" s="405">
        <v>104346.48</v>
      </c>
      <c r="DF391" s="406"/>
      <c r="DG391" s="406"/>
      <c r="DH391" s="406"/>
      <c r="DI391" s="406"/>
      <c r="DJ391" s="406"/>
      <c r="DK391" s="406"/>
      <c r="DL391" s="406"/>
      <c r="DM391" s="406"/>
      <c r="DN391" s="406"/>
      <c r="DO391" s="406"/>
      <c r="DP391" s="406"/>
      <c r="DQ391" s="407"/>
      <c r="DR391" s="405">
        <v>0</v>
      </c>
      <c r="DS391" s="406"/>
      <c r="DT391" s="406"/>
      <c r="DU391" s="406"/>
      <c r="DV391" s="406"/>
      <c r="DW391" s="406"/>
      <c r="DX391" s="406"/>
      <c r="DY391" s="406"/>
      <c r="DZ391" s="406"/>
      <c r="EA391" s="406"/>
      <c r="EB391" s="406"/>
      <c r="EC391" s="406"/>
      <c r="ED391" s="407"/>
      <c r="EE391" s="405"/>
      <c r="EF391" s="406"/>
      <c r="EG391" s="406"/>
      <c r="EH391" s="406"/>
      <c r="EI391" s="406"/>
      <c r="EJ391" s="406"/>
      <c r="EK391" s="406"/>
      <c r="EL391" s="406"/>
      <c r="EM391" s="406"/>
      <c r="EN391" s="406"/>
      <c r="EO391" s="406"/>
      <c r="EP391" s="406"/>
      <c r="EQ391" s="407"/>
      <c r="ER391" s="402"/>
      <c r="ES391" s="403"/>
      <c r="ET391" s="403"/>
      <c r="EU391" s="403"/>
      <c r="EV391" s="403"/>
      <c r="EW391" s="403"/>
      <c r="EX391" s="403"/>
      <c r="EY391" s="403"/>
      <c r="EZ391" s="403"/>
      <c r="FA391" s="403"/>
      <c r="FB391" s="404"/>
      <c r="FC391" s="408"/>
      <c r="FD391" s="409"/>
      <c r="FE391" s="409"/>
      <c r="FF391" s="409"/>
      <c r="FG391" s="409"/>
      <c r="FH391" s="409"/>
      <c r="FI391" s="409"/>
      <c r="FJ391" s="409"/>
      <c r="FK391" s="409"/>
      <c r="FL391" s="409"/>
      <c r="FO391" s="279"/>
      <c r="FP391" s="279"/>
      <c r="FQ391" s="275">
        <f t="shared" si="8"/>
        <v>0</v>
      </c>
    </row>
    <row r="392" spans="1:173" s="174" customFormat="1" ht="26.4" hidden="1" customHeight="1">
      <c r="A392" s="444"/>
      <c r="B392" s="458"/>
      <c r="C392" s="458"/>
      <c r="D392" s="458"/>
      <c r="E392" s="458"/>
      <c r="F392" s="458"/>
      <c r="G392" s="458"/>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458"/>
      <c r="AK392" s="458"/>
      <c r="AL392" s="458"/>
      <c r="AM392" s="458"/>
      <c r="AN392" s="458"/>
      <c r="AO392" s="458"/>
      <c r="AP392" s="458"/>
      <c r="AQ392" s="458"/>
      <c r="AR392" s="458"/>
      <c r="AS392" s="458"/>
      <c r="AT392" s="458"/>
      <c r="AU392" s="458"/>
      <c r="AV392" s="458"/>
      <c r="AW392" s="458"/>
      <c r="AX392" s="458"/>
      <c r="AY392" s="458"/>
      <c r="AZ392" s="458"/>
      <c r="BA392" s="458"/>
      <c r="BB392" s="458"/>
      <c r="BC392" s="458"/>
      <c r="BD392" s="458"/>
      <c r="BE392" s="458"/>
      <c r="BF392" s="458"/>
      <c r="BG392" s="458"/>
      <c r="BH392" s="458"/>
      <c r="BI392" s="458"/>
      <c r="BJ392" s="458"/>
      <c r="BK392" s="459"/>
      <c r="BL392" s="370"/>
      <c r="BM392" s="371"/>
      <c r="BN392" s="371"/>
      <c r="BO392" s="371"/>
      <c r="BP392" s="371"/>
      <c r="BQ392" s="371"/>
      <c r="BR392" s="371"/>
      <c r="BS392" s="372"/>
      <c r="BT392" s="434"/>
      <c r="BU392" s="435"/>
      <c r="BV392" s="435"/>
      <c r="BW392" s="435"/>
      <c r="BX392" s="435"/>
      <c r="BY392" s="435"/>
      <c r="BZ392" s="435"/>
      <c r="CA392" s="435"/>
      <c r="CB392" s="435"/>
      <c r="CC392" s="435"/>
      <c r="CD392" s="435"/>
      <c r="CE392" s="435"/>
      <c r="CF392" s="436"/>
      <c r="CG392" s="454"/>
      <c r="CH392" s="455"/>
      <c r="CI392" s="455"/>
      <c r="CJ392" s="455"/>
      <c r="CK392" s="455"/>
      <c r="CL392" s="455"/>
      <c r="CM392" s="455"/>
      <c r="CN392" s="455"/>
      <c r="CO392" s="455"/>
      <c r="CP392" s="455"/>
      <c r="CQ392" s="456"/>
      <c r="CR392" s="373"/>
      <c r="CS392" s="371"/>
      <c r="CT392" s="371"/>
      <c r="CU392" s="371"/>
      <c r="CV392" s="371"/>
      <c r="CW392" s="371"/>
      <c r="CX392" s="371"/>
      <c r="CY392" s="371"/>
      <c r="CZ392" s="371"/>
      <c r="DA392" s="371"/>
      <c r="DB392" s="371"/>
      <c r="DC392" s="371"/>
      <c r="DD392" s="372"/>
      <c r="DE392" s="405"/>
      <c r="DF392" s="406"/>
      <c r="DG392" s="406"/>
      <c r="DH392" s="406"/>
      <c r="DI392" s="406"/>
      <c r="DJ392" s="406"/>
      <c r="DK392" s="406"/>
      <c r="DL392" s="406"/>
      <c r="DM392" s="406"/>
      <c r="DN392" s="406"/>
      <c r="DO392" s="406"/>
      <c r="DP392" s="406"/>
      <c r="DQ392" s="407"/>
      <c r="DR392" s="405"/>
      <c r="DS392" s="406"/>
      <c r="DT392" s="406"/>
      <c r="DU392" s="406"/>
      <c r="DV392" s="406"/>
      <c r="DW392" s="406"/>
      <c r="DX392" s="406"/>
      <c r="DY392" s="406"/>
      <c r="DZ392" s="406"/>
      <c r="EA392" s="406"/>
      <c r="EB392" s="406"/>
      <c r="EC392" s="406"/>
      <c r="ED392" s="407"/>
      <c r="EE392" s="405"/>
      <c r="EF392" s="406"/>
      <c r="EG392" s="406"/>
      <c r="EH392" s="406"/>
      <c r="EI392" s="406"/>
      <c r="EJ392" s="406"/>
      <c r="EK392" s="406"/>
      <c r="EL392" s="406"/>
      <c r="EM392" s="406"/>
      <c r="EN392" s="406"/>
      <c r="EO392" s="406"/>
      <c r="EP392" s="406"/>
      <c r="EQ392" s="407"/>
      <c r="ER392" s="402"/>
      <c r="ES392" s="403"/>
      <c r="ET392" s="403"/>
      <c r="EU392" s="403"/>
      <c r="EV392" s="403"/>
      <c r="EW392" s="403"/>
      <c r="EX392" s="403"/>
      <c r="EY392" s="403"/>
      <c r="EZ392" s="403"/>
      <c r="FA392" s="403"/>
      <c r="FB392" s="404"/>
      <c r="FC392" s="408"/>
      <c r="FD392" s="409"/>
      <c r="FE392" s="409"/>
      <c r="FF392" s="409"/>
      <c r="FG392" s="409"/>
      <c r="FH392" s="409"/>
      <c r="FI392" s="409"/>
      <c r="FJ392" s="409"/>
      <c r="FK392" s="409"/>
      <c r="FL392" s="409"/>
      <c r="FO392" s="279"/>
      <c r="FP392" s="279"/>
      <c r="FQ392" s="275">
        <f t="shared" si="8"/>
        <v>0</v>
      </c>
    </row>
    <row r="393" spans="1:173" s="174" customFormat="1" ht="12" hidden="1" customHeight="1">
      <c r="A393" s="441"/>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c r="AG393" s="442"/>
      <c r="AH393" s="442"/>
      <c r="AI393" s="442"/>
      <c r="AJ393" s="442"/>
      <c r="AK393" s="442"/>
      <c r="AL393" s="442"/>
      <c r="AM393" s="442"/>
      <c r="AN393" s="442"/>
      <c r="AO393" s="442"/>
      <c r="AP393" s="442"/>
      <c r="AQ393" s="442"/>
      <c r="AR393" s="442"/>
      <c r="AS393" s="442"/>
      <c r="AT393" s="442"/>
      <c r="AU393" s="442"/>
      <c r="AV393" s="442"/>
      <c r="AW393" s="442"/>
      <c r="AX393" s="442"/>
      <c r="AY393" s="442"/>
      <c r="AZ393" s="442"/>
      <c r="BA393" s="442"/>
      <c r="BB393" s="442"/>
      <c r="BC393" s="442"/>
      <c r="BD393" s="442"/>
      <c r="BE393" s="442"/>
      <c r="BF393" s="442"/>
      <c r="BG393" s="442"/>
      <c r="BH393" s="442"/>
      <c r="BI393" s="442"/>
      <c r="BJ393" s="442"/>
      <c r="BK393" s="443"/>
      <c r="BL393" s="392"/>
      <c r="BM393" s="393"/>
      <c r="BN393" s="393"/>
      <c r="BO393" s="393"/>
      <c r="BP393" s="393"/>
      <c r="BQ393" s="393"/>
      <c r="BR393" s="393"/>
      <c r="BS393" s="394"/>
      <c r="BT393" s="395"/>
      <c r="BU393" s="396"/>
      <c r="BV393" s="396"/>
      <c r="BW393" s="396"/>
      <c r="BX393" s="396"/>
      <c r="BY393" s="396"/>
      <c r="BZ393" s="396"/>
      <c r="CA393" s="396"/>
      <c r="CB393" s="396"/>
      <c r="CC393" s="396"/>
      <c r="CD393" s="396"/>
      <c r="CE393" s="396"/>
      <c r="CF393" s="397"/>
      <c r="CG393" s="398"/>
      <c r="CH393" s="393"/>
      <c r="CI393" s="393"/>
      <c r="CJ393" s="393"/>
      <c r="CK393" s="393"/>
      <c r="CL393" s="393"/>
      <c r="CM393" s="393"/>
      <c r="CN393" s="393"/>
      <c r="CO393" s="393"/>
      <c r="CP393" s="393"/>
      <c r="CQ393" s="394"/>
      <c r="CR393" s="398"/>
      <c r="CS393" s="393"/>
      <c r="CT393" s="393"/>
      <c r="CU393" s="393"/>
      <c r="CV393" s="393"/>
      <c r="CW393" s="393"/>
      <c r="CX393" s="393"/>
      <c r="CY393" s="393"/>
      <c r="CZ393" s="393"/>
      <c r="DA393" s="393"/>
      <c r="DB393" s="393"/>
      <c r="DC393" s="393"/>
      <c r="DD393" s="394"/>
      <c r="DE393" s="402"/>
      <c r="DF393" s="403"/>
      <c r="DG393" s="403"/>
      <c r="DH393" s="403"/>
      <c r="DI393" s="403"/>
      <c r="DJ393" s="403"/>
      <c r="DK393" s="403"/>
      <c r="DL393" s="403"/>
      <c r="DM393" s="403"/>
      <c r="DN393" s="403"/>
      <c r="DO393" s="403"/>
      <c r="DP393" s="403"/>
      <c r="DQ393" s="404"/>
      <c r="DR393" s="402"/>
      <c r="DS393" s="403"/>
      <c r="DT393" s="403"/>
      <c r="DU393" s="403"/>
      <c r="DV393" s="403"/>
      <c r="DW393" s="403"/>
      <c r="DX393" s="403"/>
      <c r="DY393" s="403"/>
      <c r="DZ393" s="403"/>
      <c r="EA393" s="403"/>
      <c r="EB393" s="403"/>
      <c r="EC393" s="403"/>
      <c r="ED393" s="404"/>
      <c r="EE393" s="402"/>
      <c r="EF393" s="403"/>
      <c r="EG393" s="403"/>
      <c r="EH393" s="403"/>
      <c r="EI393" s="403"/>
      <c r="EJ393" s="403"/>
      <c r="EK393" s="403"/>
      <c r="EL393" s="403"/>
      <c r="EM393" s="403"/>
      <c r="EN393" s="403"/>
      <c r="EO393" s="403"/>
      <c r="EP393" s="403"/>
      <c r="EQ393" s="404"/>
      <c r="ER393" s="402"/>
      <c r="ES393" s="403"/>
      <c r="ET393" s="403"/>
      <c r="EU393" s="403"/>
      <c r="EV393" s="403"/>
      <c r="EW393" s="403"/>
      <c r="EX393" s="403"/>
      <c r="EY393" s="403"/>
      <c r="EZ393" s="403"/>
      <c r="FA393" s="403"/>
      <c r="FB393" s="404"/>
      <c r="FC393" s="408"/>
      <c r="FD393" s="409"/>
      <c r="FE393" s="409"/>
      <c r="FF393" s="409"/>
      <c r="FG393" s="409"/>
      <c r="FH393" s="409"/>
      <c r="FI393" s="409"/>
      <c r="FJ393" s="409"/>
      <c r="FK393" s="409"/>
      <c r="FL393" s="409"/>
      <c r="FO393" s="279"/>
      <c r="FP393" s="279"/>
      <c r="FQ393" s="275">
        <f t="shared" si="8"/>
        <v>0</v>
      </c>
    </row>
    <row r="394" spans="1:173" s="174" customFormat="1" ht="12" hidden="1" customHeight="1">
      <c r="A394" s="441"/>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c r="AG394" s="442"/>
      <c r="AH394" s="442"/>
      <c r="AI394" s="442"/>
      <c r="AJ394" s="442"/>
      <c r="AK394" s="442"/>
      <c r="AL394" s="442"/>
      <c r="AM394" s="442"/>
      <c r="AN394" s="442"/>
      <c r="AO394" s="442"/>
      <c r="AP394" s="442"/>
      <c r="AQ394" s="442"/>
      <c r="AR394" s="442"/>
      <c r="AS394" s="442"/>
      <c r="AT394" s="442"/>
      <c r="AU394" s="442"/>
      <c r="AV394" s="442"/>
      <c r="AW394" s="442"/>
      <c r="AX394" s="442"/>
      <c r="AY394" s="442"/>
      <c r="AZ394" s="442"/>
      <c r="BA394" s="442"/>
      <c r="BB394" s="442"/>
      <c r="BC394" s="442"/>
      <c r="BD394" s="442"/>
      <c r="BE394" s="442"/>
      <c r="BF394" s="442"/>
      <c r="BG394" s="442"/>
      <c r="BH394" s="442"/>
      <c r="BI394" s="442"/>
      <c r="BJ394" s="442"/>
      <c r="BK394" s="443"/>
      <c r="BL394" s="392"/>
      <c r="BM394" s="393"/>
      <c r="BN394" s="393"/>
      <c r="BO394" s="393"/>
      <c r="BP394" s="393"/>
      <c r="BQ394" s="393"/>
      <c r="BR394" s="393"/>
      <c r="BS394" s="394"/>
      <c r="BT394" s="395"/>
      <c r="BU394" s="396"/>
      <c r="BV394" s="396"/>
      <c r="BW394" s="396"/>
      <c r="BX394" s="396"/>
      <c r="BY394" s="396"/>
      <c r="BZ394" s="396"/>
      <c r="CA394" s="396"/>
      <c r="CB394" s="396"/>
      <c r="CC394" s="396"/>
      <c r="CD394" s="396"/>
      <c r="CE394" s="396"/>
      <c r="CF394" s="397"/>
      <c r="CG394" s="398"/>
      <c r="CH394" s="393"/>
      <c r="CI394" s="393"/>
      <c r="CJ394" s="393"/>
      <c r="CK394" s="393"/>
      <c r="CL394" s="393"/>
      <c r="CM394" s="393"/>
      <c r="CN394" s="393"/>
      <c r="CO394" s="393"/>
      <c r="CP394" s="393"/>
      <c r="CQ394" s="394"/>
      <c r="CR394" s="398"/>
      <c r="CS394" s="393"/>
      <c r="CT394" s="393"/>
      <c r="CU394" s="393"/>
      <c r="CV394" s="393"/>
      <c r="CW394" s="393"/>
      <c r="CX394" s="393"/>
      <c r="CY394" s="393"/>
      <c r="CZ394" s="393"/>
      <c r="DA394" s="393"/>
      <c r="DB394" s="393"/>
      <c r="DC394" s="393"/>
      <c r="DD394" s="394"/>
      <c r="DE394" s="402"/>
      <c r="DF394" s="403"/>
      <c r="DG394" s="403"/>
      <c r="DH394" s="403"/>
      <c r="DI394" s="403"/>
      <c r="DJ394" s="403"/>
      <c r="DK394" s="403"/>
      <c r="DL394" s="403"/>
      <c r="DM394" s="403"/>
      <c r="DN394" s="403"/>
      <c r="DO394" s="403"/>
      <c r="DP394" s="403"/>
      <c r="DQ394" s="404"/>
      <c r="DR394" s="402"/>
      <c r="DS394" s="403"/>
      <c r="DT394" s="403"/>
      <c r="DU394" s="403"/>
      <c r="DV394" s="403"/>
      <c r="DW394" s="403"/>
      <c r="DX394" s="403"/>
      <c r="DY394" s="403"/>
      <c r="DZ394" s="403"/>
      <c r="EA394" s="403"/>
      <c r="EB394" s="403"/>
      <c r="EC394" s="403"/>
      <c r="ED394" s="404"/>
      <c r="EE394" s="402"/>
      <c r="EF394" s="403"/>
      <c r="EG394" s="403"/>
      <c r="EH394" s="403"/>
      <c r="EI394" s="403"/>
      <c r="EJ394" s="403"/>
      <c r="EK394" s="403"/>
      <c r="EL394" s="403"/>
      <c r="EM394" s="403"/>
      <c r="EN394" s="403"/>
      <c r="EO394" s="403"/>
      <c r="EP394" s="403"/>
      <c r="EQ394" s="404"/>
      <c r="ER394" s="402"/>
      <c r="ES394" s="403"/>
      <c r="ET394" s="403"/>
      <c r="EU394" s="403"/>
      <c r="EV394" s="403"/>
      <c r="EW394" s="403"/>
      <c r="EX394" s="403"/>
      <c r="EY394" s="403"/>
      <c r="EZ394" s="403"/>
      <c r="FA394" s="403"/>
      <c r="FB394" s="404"/>
      <c r="FC394" s="408"/>
      <c r="FD394" s="409"/>
      <c r="FE394" s="409"/>
      <c r="FF394" s="409"/>
      <c r="FG394" s="409"/>
      <c r="FH394" s="409"/>
      <c r="FI394" s="409"/>
      <c r="FJ394" s="409"/>
      <c r="FK394" s="409"/>
      <c r="FL394" s="409"/>
      <c r="FO394" s="279"/>
      <c r="FP394" s="279"/>
      <c r="FQ394" s="275">
        <f t="shared" si="8"/>
        <v>0</v>
      </c>
    </row>
    <row r="395" spans="1:173" s="174" customFormat="1" ht="12" customHeight="1">
      <c r="A395" s="441"/>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c r="AG395" s="442"/>
      <c r="AH395" s="442"/>
      <c r="AI395" s="442"/>
      <c r="AJ395" s="442"/>
      <c r="AK395" s="442"/>
      <c r="AL395" s="442"/>
      <c r="AM395" s="442"/>
      <c r="AN395" s="442"/>
      <c r="AO395" s="442"/>
      <c r="AP395" s="442"/>
      <c r="AQ395" s="442"/>
      <c r="AR395" s="442"/>
      <c r="AS395" s="442"/>
      <c r="AT395" s="442"/>
      <c r="AU395" s="442"/>
      <c r="AV395" s="442"/>
      <c r="AW395" s="442"/>
      <c r="AX395" s="442"/>
      <c r="AY395" s="442"/>
      <c r="AZ395" s="442"/>
      <c r="BA395" s="442"/>
      <c r="BB395" s="442"/>
      <c r="BC395" s="442"/>
      <c r="BD395" s="442"/>
      <c r="BE395" s="442"/>
      <c r="BF395" s="442"/>
      <c r="BG395" s="442"/>
      <c r="BH395" s="442"/>
      <c r="BI395" s="442"/>
      <c r="BJ395" s="442"/>
      <c r="BK395" s="443"/>
      <c r="BL395" s="392"/>
      <c r="BM395" s="393"/>
      <c r="BN395" s="393"/>
      <c r="BO395" s="393"/>
      <c r="BP395" s="393"/>
      <c r="BQ395" s="393"/>
      <c r="BR395" s="393"/>
      <c r="BS395" s="394"/>
      <c r="BT395" s="395"/>
      <c r="BU395" s="396"/>
      <c r="BV395" s="396"/>
      <c r="BW395" s="396"/>
      <c r="BX395" s="396"/>
      <c r="BY395" s="396"/>
      <c r="BZ395" s="396"/>
      <c r="CA395" s="396"/>
      <c r="CB395" s="396"/>
      <c r="CC395" s="396"/>
      <c r="CD395" s="396"/>
      <c r="CE395" s="396"/>
      <c r="CF395" s="397"/>
      <c r="CG395" s="398"/>
      <c r="CH395" s="393"/>
      <c r="CI395" s="393"/>
      <c r="CJ395" s="393"/>
      <c r="CK395" s="393"/>
      <c r="CL395" s="393"/>
      <c r="CM395" s="393"/>
      <c r="CN395" s="393"/>
      <c r="CO395" s="393"/>
      <c r="CP395" s="393"/>
      <c r="CQ395" s="394"/>
      <c r="CR395" s="398"/>
      <c r="CS395" s="393"/>
      <c r="CT395" s="393"/>
      <c r="CU395" s="393"/>
      <c r="CV395" s="393"/>
      <c r="CW395" s="393"/>
      <c r="CX395" s="393"/>
      <c r="CY395" s="393"/>
      <c r="CZ395" s="393"/>
      <c r="DA395" s="393"/>
      <c r="DB395" s="393"/>
      <c r="DC395" s="393"/>
      <c r="DD395" s="394"/>
      <c r="DE395" s="402"/>
      <c r="DF395" s="403"/>
      <c r="DG395" s="403"/>
      <c r="DH395" s="403"/>
      <c r="DI395" s="403"/>
      <c r="DJ395" s="403"/>
      <c r="DK395" s="403"/>
      <c r="DL395" s="403"/>
      <c r="DM395" s="403"/>
      <c r="DN395" s="403"/>
      <c r="DO395" s="403"/>
      <c r="DP395" s="403"/>
      <c r="DQ395" s="404"/>
      <c r="DR395" s="402"/>
      <c r="DS395" s="403"/>
      <c r="DT395" s="403"/>
      <c r="DU395" s="403"/>
      <c r="DV395" s="403"/>
      <c r="DW395" s="403"/>
      <c r="DX395" s="403"/>
      <c r="DY395" s="403"/>
      <c r="DZ395" s="403"/>
      <c r="EA395" s="403"/>
      <c r="EB395" s="403"/>
      <c r="EC395" s="403"/>
      <c r="ED395" s="404"/>
      <c r="EE395" s="402"/>
      <c r="EF395" s="403"/>
      <c r="EG395" s="403"/>
      <c r="EH395" s="403"/>
      <c r="EI395" s="403"/>
      <c r="EJ395" s="403"/>
      <c r="EK395" s="403"/>
      <c r="EL395" s="403"/>
      <c r="EM395" s="403"/>
      <c r="EN395" s="403"/>
      <c r="EO395" s="403"/>
      <c r="EP395" s="403"/>
      <c r="EQ395" s="404"/>
      <c r="ER395" s="402"/>
      <c r="ES395" s="403"/>
      <c r="ET395" s="403"/>
      <c r="EU395" s="403"/>
      <c r="EV395" s="403"/>
      <c r="EW395" s="403"/>
      <c r="EX395" s="403"/>
      <c r="EY395" s="403"/>
      <c r="EZ395" s="403"/>
      <c r="FA395" s="403"/>
      <c r="FB395" s="404"/>
      <c r="FC395" s="408"/>
      <c r="FD395" s="409"/>
      <c r="FE395" s="409"/>
      <c r="FF395" s="409"/>
      <c r="FG395" s="409"/>
      <c r="FH395" s="409"/>
      <c r="FI395" s="409"/>
      <c r="FJ395" s="409"/>
      <c r="FK395" s="409"/>
      <c r="FL395" s="409"/>
      <c r="FO395" s="279"/>
      <c r="FP395" s="279"/>
      <c r="FQ395" s="275">
        <f t="shared" si="8"/>
        <v>0</v>
      </c>
    </row>
    <row r="396" spans="1:173" s="215" customFormat="1" ht="12" customHeight="1">
      <c r="A396" s="437" t="s">
        <v>947</v>
      </c>
      <c r="B396" s="438"/>
      <c r="C396" s="438"/>
      <c r="D396" s="438"/>
      <c r="E396" s="438"/>
      <c r="F396" s="438"/>
      <c r="G396" s="438"/>
      <c r="H396" s="438"/>
      <c r="I396" s="438"/>
      <c r="J396" s="438"/>
      <c r="K396" s="438"/>
      <c r="L396" s="438"/>
      <c r="M396" s="438"/>
      <c r="N396" s="438"/>
      <c r="O396" s="438"/>
      <c r="P396" s="438"/>
      <c r="Q396" s="438"/>
      <c r="R396" s="438"/>
      <c r="S396" s="438"/>
      <c r="T396" s="438"/>
      <c r="U396" s="438"/>
      <c r="V396" s="438"/>
      <c r="W396" s="438"/>
      <c r="X396" s="438"/>
      <c r="Y396" s="438"/>
      <c r="Z396" s="438"/>
      <c r="AA396" s="438"/>
      <c r="AB396" s="438"/>
      <c r="AC396" s="438"/>
      <c r="AD396" s="438"/>
      <c r="AE396" s="438"/>
      <c r="AF396" s="438"/>
      <c r="AG396" s="438"/>
      <c r="AH396" s="438"/>
      <c r="AI396" s="438"/>
      <c r="AJ396" s="438"/>
      <c r="AK396" s="438"/>
      <c r="AL396" s="438"/>
      <c r="AM396" s="438"/>
      <c r="AN396" s="438"/>
      <c r="AO396" s="438"/>
      <c r="AP396" s="438"/>
      <c r="AQ396" s="438"/>
      <c r="AR396" s="438"/>
      <c r="AS396" s="438"/>
      <c r="AT396" s="438"/>
      <c r="AU396" s="438"/>
      <c r="AV396" s="438"/>
      <c r="AW396" s="438"/>
      <c r="AX396" s="438"/>
      <c r="AY396" s="438"/>
      <c r="AZ396" s="438"/>
      <c r="BA396" s="438"/>
      <c r="BB396" s="438"/>
      <c r="BC396" s="438"/>
      <c r="BD396" s="438"/>
      <c r="BE396" s="438"/>
      <c r="BF396" s="438"/>
      <c r="BG396" s="438"/>
      <c r="BH396" s="438"/>
      <c r="BI396" s="438"/>
      <c r="BJ396" s="438"/>
      <c r="BK396" s="439"/>
      <c r="BL396" s="440"/>
      <c r="BM396" s="414"/>
      <c r="BN396" s="414"/>
      <c r="BO396" s="414"/>
      <c r="BP396" s="414"/>
      <c r="BQ396" s="414"/>
      <c r="BR396" s="414"/>
      <c r="BS396" s="415"/>
      <c r="BT396" s="413" t="s">
        <v>109</v>
      </c>
      <c r="BU396" s="414"/>
      <c r="BV396" s="414"/>
      <c r="BW396" s="414"/>
      <c r="BX396" s="414"/>
      <c r="BY396" s="414"/>
      <c r="BZ396" s="414"/>
      <c r="CA396" s="414"/>
      <c r="CB396" s="414"/>
      <c r="CC396" s="414"/>
      <c r="CD396" s="414"/>
      <c r="CE396" s="414"/>
      <c r="CF396" s="415"/>
      <c r="CG396" s="413" t="s">
        <v>77</v>
      </c>
      <c r="CH396" s="414"/>
      <c r="CI396" s="414"/>
      <c r="CJ396" s="414"/>
      <c r="CK396" s="414"/>
      <c r="CL396" s="414"/>
      <c r="CM396" s="414"/>
      <c r="CN396" s="414"/>
      <c r="CO396" s="414"/>
      <c r="CP396" s="414"/>
      <c r="CQ396" s="415"/>
      <c r="CR396" s="413"/>
      <c r="CS396" s="414"/>
      <c r="CT396" s="414"/>
      <c r="CU396" s="414"/>
      <c r="CV396" s="414"/>
      <c r="CW396" s="414"/>
      <c r="CX396" s="414"/>
      <c r="CY396" s="414"/>
      <c r="CZ396" s="414"/>
      <c r="DA396" s="414"/>
      <c r="DB396" s="414"/>
      <c r="DC396" s="414"/>
      <c r="DD396" s="415"/>
      <c r="DE396" s="428">
        <f>SUM(DE397:DQ407)</f>
        <v>203507.07</v>
      </c>
      <c r="DF396" s="429"/>
      <c r="DG396" s="429"/>
      <c r="DH396" s="429"/>
      <c r="DI396" s="429"/>
      <c r="DJ396" s="429"/>
      <c r="DK396" s="429"/>
      <c r="DL396" s="429"/>
      <c r="DM396" s="429"/>
      <c r="DN396" s="429"/>
      <c r="DO396" s="429"/>
      <c r="DP396" s="429"/>
      <c r="DQ396" s="430"/>
      <c r="DR396" s="428">
        <f>SUM(DR397:ED407)</f>
        <v>59500</v>
      </c>
      <c r="DS396" s="429"/>
      <c r="DT396" s="429"/>
      <c r="DU396" s="429"/>
      <c r="DV396" s="429"/>
      <c r="DW396" s="429"/>
      <c r="DX396" s="429"/>
      <c r="DY396" s="429"/>
      <c r="DZ396" s="429"/>
      <c r="EA396" s="429"/>
      <c r="EB396" s="429"/>
      <c r="EC396" s="429"/>
      <c r="ED396" s="430"/>
      <c r="EE396" s="428"/>
      <c r="EF396" s="429"/>
      <c r="EG396" s="429"/>
      <c r="EH396" s="429"/>
      <c r="EI396" s="429"/>
      <c r="EJ396" s="429"/>
      <c r="EK396" s="429"/>
      <c r="EL396" s="429"/>
      <c r="EM396" s="429"/>
      <c r="EN396" s="429"/>
      <c r="EO396" s="429"/>
      <c r="EP396" s="429"/>
      <c r="EQ396" s="430"/>
      <c r="ER396" s="410"/>
      <c r="ES396" s="411"/>
      <c r="ET396" s="411"/>
      <c r="EU396" s="411"/>
      <c r="EV396" s="411"/>
      <c r="EW396" s="411"/>
      <c r="EX396" s="411"/>
      <c r="EY396" s="411"/>
      <c r="EZ396" s="411"/>
      <c r="FA396" s="411"/>
      <c r="FB396" s="412"/>
      <c r="FC396" s="423"/>
      <c r="FD396" s="424"/>
      <c r="FE396" s="424"/>
      <c r="FF396" s="424"/>
      <c r="FG396" s="424"/>
      <c r="FH396" s="424"/>
      <c r="FI396" s="424"/>
      <c r="FJ396" s="424"/>
      <c r="FK396" s="424"/>
      <c r="FL396" s="424"/>
      <c r="FO396" s="278"/>
      <c r="FP396" s="278"/>
      <c r="FQ396" s="275">
        <f t="shared" si="8"/>
        <v>59500</v>
      </c>
    </row>
    <row r="397" spans="1:173" ht="12" hidden="1" customHeight="1">
      <c r="A397" s="441" t="s">
        <v>853</v>
      </c>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c r="AG397" s="442"/>
      <c r="AH397" s="442"/>
      <c r="AI397" s="442"/>
      <c r="AJ397" s="442"/>
      <c r="AK397" s="442"/>
      <c r="AL397" s="442"/>
      <c r="AM397" s="442"/>
      <c r="AN397" s="442"/>
      <c r="AO397" s="442"/>
      <c r="AP397" s="442"/>
      <c r="AQ397" s="442"/>
      <c r="AR397" s="442"/>
      <c r="AS397" s="442"/>
      <c r="AT397" s="442"/>
      <c r="AU397" s="442"/>
      <c r="AV397" s="442"/>
      <c r="AW397" s="442"/>
      <c r="AX397" s="442"/>
      <c r="AY397" s="442"/>
      <c r="AZ397" s="442"/>
      <c r="BA397" s="442"/>
      <c r="BB397" s="442"/>
      <c r="BC397" s="442"/>
      <c r="BD397" s="442"/>
      <c r="BE397" s="442"/>
      <c r="BF397" s="442"/>
      <c r="BG397" s="442"/>
      <c r="BH397" s="442"/>
      <c r="BI397" s="442"/>
      <c r="BJ397" s="442"/>
      <c r="BK397" s="443"/>
      <c r="BL397" s="392"/>
      <c r="BM397" s="393"/>
      <c r="BN397" s="393"/>
      <c r="BO397" s="393"/>
      <c r="BP397" s="393"/>
      <c r="BQ397" s="393"/>
      <c r="BR397" s="393"/>
      <c r="BS397" s="394"/>
      <c r="BT397" s="395" t="s">
        <v>854</v>
      </c>
      <c r="BU397" s="396"/>
      <c r="BV397" s="396"/>
      <c r="BW397" s="396"/>
      <c r="BX397" s="396"/>
      <c r="BY397" s="396"/>
      <c r="BZ397" s="396"/>
      <c r="CA397" s="396"/>
      <c r="CB397" s="396"/>
      <c r="CC397" s="396"/>
      <c r="CD397" s="396"/>
      <c r="CE397" s="396"/>
      <c r="CF397" s="397"/>
      <c r="CG397" s="398" t="s">
        <v>856</v>
      </c>
      <c r="CH397" s="393"/>
      <c r="CI397" s="393"/>
      <c r="CJ397" s="393"/>
      <c r="CK397" s="393"/>
      <c r="CL397" s="393"/>
      <c r="CM397" s="393"/>
      <c r="CN397" s="393"/>
      <c r="CO397" s="393"/>
      <c r="CP397" s="393"/>
      <c r="CQ397" s="394"/>
      <c r="CR397" s="398"/>
      <c r="CS397" s="393"/>
      <c r="CT397" s="393"/>
      <c r="CU397" s="393"/>
      <c r="CV397" s="393"/>
      <c r="CW397" s="393"/>
      <c r="CX397" s="393"/>
      <c r="CY397" s="393"/>
      <c r="CZ397" s="393"/>
      <c r="DA397" s="393"/>
      <c r="DB397" s="393"/>
      <c r="DC397" s="393"/>
      <c r="DD397" s="394"/>
      <c r="DE397" s="405">
        <f>150000-150000</f>
        <v>0</v>
      </c>
      <c r="DF397" s="406"/>
      <c r="DG397" s="406"/>
      <c r="DH397" s="406"/>
      <c r="DI397" s="406"/>
      <c r="DJ397" s="406"/>
      <c r="DK397" s="406"/>
      <c r="DL397" s="406"/>
      <c r="DM397" s="406"/>
      <c r="DN397" s="406"/>
      <c r="DO397" s="406"/>
      <c r="DP397" s="406"/>
      <c r="DQ397" s="407"/>
      <c r="DR397" s="405">
        <v>0</v>
      </c>
      <c r="DS397" s="406"/>
      <c r="DT397" s="406"/>
      <c r="DU397" s="406"/>
      <c r="DV397" s="406"/>
      <c r="DW397" s="406"/>
      <c r="DX397" s="406"/>
      <c r="DY397" s="406"/>
      <c r="DZ397" s="406"/>
      <c r="EA397" s="406"/>
      <c r="EB397" s="406"/>
      <c r="EC397" s="406"/>
      <c r="ED397" s="407"/>
      <c r="EE397" s="405"/>
      <c r="EF397" s="406"/>
      <c r="EG397" s="406"/>
      <c r="EH397" s="406"/>
      <c r="EI397" s="406"/>
      <c r="EJ397" s="406"/>
      <c r="EK397" s="406"/>
      <c r="EL397" s="406"/>
      <c r="EM397" s="406"/>
      <c r="EN397" s="406"/>
      <c r="EO397" s="406"/>
      <c r="EP397" s="406"/>
      <c r="EQ397" s="407"/>
      <c r="ER397" s="349"/>
      <c r="ES397" s="350"/>
      <c r="ET397" s="350"/>
      <c r="EU397" s="350"/>
      <c r="EV397" s="350"/>
      <c r="EW397" s="350"/>
      <c r="EX397" s="350"/>
      <c r="EY397" s="350"/>
      <c r="EZ397" s="350"/>
      <c r="FA397" s="350"/>
      <c r="FB397" s="351"/>
      <c r="FC397" s="416"/>
      <c r="FD397" s="417"/>
      <c r="FE397" s="417"/>
      <c r="FF397" s="417"/>
      <c r="FG397" s="417"/>
      <c r="FH397" s="417"/>
      <c r="FI397" s="417"/>
      <c r="FJ397" s="417"/>
      <c r="FK397" s="417"/>
      <c r="FL397" s="417"/>
      <c r="FO397" s="275"/>
      <c r="FP397" s="275"/>
      <c r="FQ397" s="275">
        <f t="shared" si="8"/>
        <v>0</v>
      </c>
    </row>
    <row r="398" spans="1:173" ht="25.95" hidden="1" customHeight="1">
      <c r="A398" s="441" t="s">
        <v>852</v>
      </c>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c r="AG398" s="442"/>
      <c r="AH398" s="442"/>
      <c r="AI398" s="442"/>
      <c r="AJ398" s="442"/>
      <c r="AK398" s="442"/>
      <c r="AL398" s="442"/>
      <c r="AM398" s="442"/>
      <c r="AN398" s="442"/>
      <c r="AO398" s="442"/>
      <c r="AP398" s="442"/>
      <c r="AQ398" s="442"/>
      <c r="AR398" s="442"/>
      <c r="AS398" s="442"/>
      <c r="AT398" s="442"/>
      <c r="AU398" s="442"/>
      <c r="AV398" s="442"/>
      <c r="AW398" s="442"/>
      <c r="AX398" s="442"/>
      <c r="AY398" s="442"/>
      <c r="AZ398" s="442"/>
      <c r="BA398" s="442"/>
      <c r="BB398" s="442"/>
      <c r="BC398" s="442"/>
      <c r="BD398" s="442"/>
      <c r="BE398" s="442"/>
      <c r="BF398" s="442"/>
      <c r="BG398" s="442"/>
      <c r="BH398" s="442"/>
      <c r="BI398" s="442"/>
      <c r="BJ398" s="442"/>
      <c r="BK398" s="443"/>
      <c r="BL398" s="392"/>
      <c r="BM398" s="393"/>
      <c r="BN398" s="393"/>
      <c r="BO398" s="393"/>
      <c r="BP398" s="393"/>
      <c r="BQ398" s="393"/>
      <c r="BR398" s="393"/>
      <c r="BS398" s="394"/>
      <c r="BT398" s="395" t="s">
        <v>849</v>
      </c>
      <c r="BU398" s="396"/>
      <c r="BV398" s="396"/>
      <c r="BW398" s="396"/>
      <c r="BX398" s="396"/>
      <c r="BY398" s="396"/>
      <c r="BZ398" s="396"/>
      <c r="CA398" s="396"/>
      <c r="CB398" s="396"/>
      <c r="CC398" s="396"/>
      <c r="CD398" s="396"/>
      <c r="CE398" s="396"/>
      <c r="CF398" s="397"/>
      <c r="CG398" s="398" t="s">
        <v>857</v>
      </c>
      <c r="CH398" s="393"/>
      <c r="CI398" s="393"/>
      <c r="CJ398" s="393"/>
      <c r="CK398" s="393"/>
      <c r="CL398" s="393"/>
      <c r="CM398" s="393"/>
      <c r="CN398" s="393"/>
      <c r="CO398" s="393"/>
      <c r="CP398" s="393"/>
      <c r="CQ398" s="394"/>
      <c r="CR398" s="345"/>
      <c r="CS398" s="340"/>
      <c r="CT398" s="340"/>
      <c r="CU398" s="340"/>
      <c r="CV398" s="340"/>
      <c r="CW398" s="340"/>
      <c r="CX398" s="340"/>
      <c r="CY398" s="340"/>
      <c r="CZ398" s="340"/>
      <c r="DA398" s="340"/>
      <c r="DB398" s="340"/>
      <c r="DC398" s="340"/>
      <c r="DD398" s="341"/>
      <c r="DE398" s="405">
        <v>1381.55</v>
      </c>
      <c r="DF398" s="406"/>
      <c r="DG398" s="406"/>
      <c r="DH398" s="406"/>
      <c r="DI398" s="406"/>
      <c r="DJ398" s="406"/>
      <c r="DK398" s="406"/>
      <c r="DL398" s="406"/>
      <c r="DM398" s="406"/>
      <c r="DN398" s="406"/>
      <c r="DO398" s="406"/>
      <c r="DP398" s="406"/>
      <c r="DQ398" s="407"/>
      <c r="DR398" s="405">
        <v>0</v>
      </c>
      <c r="DS398" s="406"/>
      <c r="DT398" s="406"/>
      <c r="DU398" s="406"/>
      <c r="DV398" s="406"/>
      <c r="DW398" s="406"/>
      <c r="DX398" s="406"/>
      <c r="DY398" s="406"/>
      <c r="DZ398" s="406"/>
      <c r="EA398" s="406"/>
      <c r="EB398" s="406"/>
      <c r="EC398" s="406"/>
      <c r="ED398" s="407"/>
      <c r="EE398" s="405"/>
      <c r="EF398" s="406"/>
      <c r="EG398" s="406"/>
      <c r="EH398" s="406"/>
      <c r="EI398" s="406"/>
      <c r="EJ398" s="406"/>
      <c r="EK398" s="406"/>
      <c r="EL398" s="406"/>
      <c r="EM398" s="406"/>
      <c r="EN398" s="406"/>
      <c r="EO398" s="406"/>
      <c r="EP398" s="406"/>
      <c r="EQ398" s="407"/>
      <c r="ER398" s="349"/>
      <c r="ES398" s="350"/>
      <c r="ET398" s="350"/>
      <c r="EU398" s="350"/>
      <c r="EV398" s="350"/>
      <c r="EW398" s="350"/>
      <c r="EX398" s="350"/>
      <c r="EY398" s="350"/>
      <c r="EZ398" s="350"/>
      <c r="FA398" s="350"/>
      <c r="FB398" s="351"/>
      <c r="FC398" s="416"/>
      <c r="FD398" s="417"/>
      <c r="FE398" s="417"/>
      <c r="FF398" s="417"/>
      <c r="FG398" s="417"/>
      <c r="FH398" s="417"/>
      <c r="FI398" s="417"/>
      <c r="FJ398" s="417"/>
      <c r="FK398" s="417"/>
      <c r="FL398" s="417"/>
      <c r="FO398" s="275"/>
      <c r="FP398" s="275"/>
      <c r="FQ398" s="275">
        <f t="shared" si="8"/>
        <v>0</v>
      </c>
    </row>
    <row r="399" spans="1:173" s="174" customFormat="1" ht="25.95" hidden="1" customHeight="1">
      <c r="A399" s="441" t="s">
        <v>876</v>
      </c>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c r="AG399" s="442"/>
      <c r="AH399" s="442"/>
      <c r="AI399" s="442"/>
      <c r="AJ399" s="442"/>
      <c r="AK399" s="442"/>
      <c r="AL399" s="442"/>
      <c r="AM399" s="442"/>
      <c r="AN399" s="442"/>
      <c r="AO399" s="442"/>
      <c r="AP399" s="442"/>
      <c r="AQ399" s="442"/>
      <c r="AR399" s="442"/>
      <c r="AS399" s="442"/>
      <c r="AT399" s="442"/>
      <c r="AU399" s="442"/>
      <c r="AV399" s="442"/>
      <c r="AW399" s="442"/>
      <c r="AX399" s="442"/>
      <c r="AY399" s="442"/>
      <c r="AZ399" s="442"/>
      <c r="BA399" s="442"/>
      <c r="BB399" s="442"/>
      <c r="BC399" s="442"/>
      <c r="BD399" s="442"/>
      <c r="BE399" s="442"/>
      <c r="BF399" s="442"/>
      <c r="BG399" s="442"/>
      <c r="BH399" s="442"/>
      <c r="BI399" s="442"/>
      <c r="BJ399" s="442"/>
      <c r="BK399" s="443"/>
      <c r="BL399" s="392"/>
      <c r="BM399" s="393"/>
      <c r="BN399" s="393"/>
      <c r="BO399" s="393"/>
      <c r="BP399" s="393"/>
      <c r="BQ399" s="393"/>
      <c r="BR399" s="393"/>
      <c r="BS399" s="394"/>
      <c r="BT399" s="395" t="s">
        <v>879</v>
      </c>
      <c r="BU399" s="396"/>
      <c r="BV399" s="396"/>
      <c r="BW399" s="396"/>
      <c r="BX399" s="396"/>
      <c r="BY399" s="396"/>
      <c r="BZ399" s="396"/>
      <c r="CA399" s="396"/>
      <c r="CB399" s="396"/>
      <c r="CC399" s="396"/>
      <c r="CD399" s="396"/>
      <c r="CE399" s="396"/>
      <c r="CF399" s="397"/>
      <c r="CG399" s="398" t="s">
        <v>856</v>
      </c>
      <c r="CH399" s="393"/>
      <c r="CI399" s="393"/>
      <c r="CJ399" s="393"/>
      <c r="CK399" s="393"/>
      <c r="CL399" s="393"/>
      <c r="CM399" s="393"/>
      <c r="CN399" s="393"/>
      <c r="CO399" s="393"/>
      <c r="CP399" s="393"/>
      <c r="CQ399" s="394"/>
      <c r="CR399" s="345"/>
      <c r="CS399" s="340"/>
      <c r="CT399" s="340"/>
      <c r="CU399" s="340"/>
      <c r="CV399" s="340"/>
      <c r="CW399" s="340"/>
      <c r="CX399" s="340"/>
      <c r="CY399" s="340"/>
      <c r="CZ399" s="340"/>
      <c r="DA399" s="340"/>
      <c r="DB399" s="340"/>
      <c r="DC399" s="340"/>
      <c r="DD399" s="341"/>
      <c r="DE399" s="405">
        <v>55253.52</v>
      </c>
      <c r="DF399" s="406"/>
      <c r="DG399" s="406"/>
      <c r="DH399" s="406"/>
      <c r="DI399" s="406"/>
      <c r="DJ399" s="406"/>
      <c r="DK399" s="406"/>
      <c r="DL399" s="406"/>
      <c r="DM399" s="406"/>
      <c r="DN399" s="406"/>
      <c r="DO399" s="406"/>
      <c r="DP399" s="406"/>
      <c r="DQ399" s="407"/>
      <c r="DR399" s="405">
        <v>0</v>
      </c>
      <c r="DS399" s="406"/>
      <c r="DT399" s="406"/>
      <c r="DU399" s="406"/>
      <c r="DV399" s="406"/>
      <c r="DW399" s="406"/>
      <c r="DX399" s="406"/>
      <c r="DY399" s="406"/>
      <c r="DZ399" s="406"/>
      <c r="EA399" s="406"/>
      <c r="EB399" s="406"/>
      <c r="EC399" s="406"/>
      <c r="ED399" s="407"/>
      <c r="EE399" s="405"/>
      <c r="EF399" s="406"/>
      <c r="EG399" s="406"/>
      <c r="EH399" s="406"/>
      <c r="EI399" s="406"/>
      <c r="EJ399" s="406"/>
      <c r="EK399" s="406"/>
      <c r="EL399" s="406"/>
      <c r="EM399" s="406"/>
      <c r="EN399" s="406"/>
      <c r="EO399" s="406"/>
      <c r="EP399" s="406"/>
      <c r="EQ399" s="407"/>
      <c r="ER399" s="402"/>
      <c r="ES399" s="403"/>
      <c r="ET399" s="403"/>
      <c r="EU399" s="403"/>
      <c r="EV399" s="403"/>
      <c r="EW399" s="403"/>
      <c r="EX399" s="403"/>
      <c r="EY399" s="403"/>
      <c r="EZ399" s="403"/>
      <c r="FA399" s="403"/>
      <c r="FB399" s="404"/>
      <c r="FC399" s="408"/>
      <c r="FD399" s="409"/>
      <c r="FE399" s="409"/>
      <c r="FF399" s="409"/>
      <c r="FG399" s="409"/>
      <c r="FH399" s="409"/>
      <c r="FI399" s="409"/>
      <c r="FJ399" s="409"/>
      <c r="FK399" s="409"/>
      <c r="FL399" s="409"/>
      <c r="FO399" s="279"/>
      <c r="FP399" s="279"/>
      <c r="FQ399" s="275">
        <f t="shared" ref="FQ399:FQ438" si="10">DR399-FO399-FP399</f>
        <v>0</v>
      </c>
    </row>
    <row r="400" spans="1:173" s="220" customFormat="1" ht="27" hidden="1" customHeight="1">
      <c r="A400" s="444" t="s">
        <v>964</v>
      </c>
      <c r="B400" s="458"/>
      <c r="C400" s="458"/>
      <c r="D400" s="458"/>
      <c r="E400" s="458"/>
      <c r="F400" s="458"/>
      <c r="G400" s="458"/>
      <c r="H400" s="458"/>
      <c r="I400" s="458"/>
      <c r="J400" s="458"/>
      <c r="K400" s="458"/>
      <c r="L400" s="458"/>
      <c r="M400" s="458"/>
      <c r="N400" s="458"/>
      <c r="O400" s="458"/>
      <c r="P400" s="458"/>
      <c r="Q400" s="458"/>
      <c r="R400" s="458"/>
      <c r="S400" s="458"/>
      <c r="T400" s="458"/>
      <c r="U400" s="458"/>
      <c r="V400" s="458"/>
      <c r="W400" s="458"/>
      <c r="X400" s="458"/>
      <c r="Y400" s="458"/>
      <c r="Z400" s="458"/>
      <c r="AA400" s="458"/>
      <c r="AB400" s="458"/>
      <c r="AC400" s="458"/>
      <c r="AD400" s="458"/>
      <c r="AE400" s="458"/>
      <c r="AF400" s="458"/>
      <c r="AG400" s="458"/>
      <c r="AH400" s="458"/>
      <c r="AI400" s="458"/>
      <c r="AJ400" s="458"/>
      <c r="AK400" s="458"/>
      <c r="AL400" s="458"/>
      <c r="AM400" s="458"/>
      <c r="AN400" s="458"/>
      <c r="AO400" s="458"/>
      <c r="AP400" s="458"/>
      <c r="AQ400" s="458"/>
      <c r="AR400" s="458"/>
      <c r="AS400" s="458"/>
      <c r="AT400" s="458"/>
      <c r="AU400" s="458"/>
      <c r="AV400" s="458"/>
      <c r="AW400" s="458"/>
      <c r="AX400" s="458"/>
      <c r="AY400" s="458"/>
      <c r="AZ400" s="458"/>
      <c r="BA400" s="458"/>
      <c r="BB400" s="458"/>
      <c r="BC400" s="458"/>
      <c r="BD400" s="458"/>
      <c r="BE400" s="458"/>
      <c r="BF400" s="458"/>
      <c r="BG400" s="458"/>
      <c r="BH400" s="458"/>
      <c r="BI400" s="458"/>
      <c r="BJ400" s="458"/>
      <c r="BK400" s="459"/>
      <c r="BL400" s="370"/>
      <c r="BM400" s="371"/>
      <c r="BN400" s="371"/>
      <c r="BO400" s="371"/>
      <c r="BP400" s="371"/>
      <c r="BQ400" s="371"/>
      <c r="BR400" s="371"/>
      <c r="BS400" s="372"/>
      <c r="BT400" s="434" t="s">
        <v>963</v>
      </c>
      <c r="BU400" s="435"/>
      <c r="BV400" s="435"/>
      <c r="BW400" s="435"/>
      <c r="BX400" s="435"/>
      <c r="BY400" s="435"/>
      <c r="BZ400" s="435"/>
      <c r="CA400" s="435"/>
      <c r="CB400" s="435"/>
      <c r="CC400" s="435"/>
      <c r="CD400" s="435"/>
      <c r="CE400" s="435"/>
      <c r="CF400" s="436"/>
      <c r="CG400" s="454" t="s">
        <v>856</v>
      </c>
      <c r="CH400" s="455"/>
      <c r="CI400" s="455"/>
      <c r="CJ400" s="455"/>
      <c r="CK400" s="455"/>
      <c r="CL400" s="455"/>
      <c r="CM400" s="455"/>
      <c r="CN400" s="455"/>
      <c r="CO400" s="455"/>
      <c r="CP400" s="455"/>
      <c r="CQ400" s="456"/>
      <c r="CR400" s="373"/>
      <c r="CS400" s="371"/>
      <c r="CT400" s="371"/>
      <c r="CU400" s="371"/>
      <c r="CV400" s="371"/>
      <c r="CW400" s="371"/>
      <c r="CX400" s="371"/>
      <c r="CY400" s="371"/>
      <c r="CZ400" s="371"/>
      <c r="DA400" s="371"/>
      <c r="DB400" s="371"/>
      <c r="DC400" s="371"/>
      <c r="DD400" s="372"/>
      <c r="DE400" s="405">
        <f>141604</f>
        <v>141604</v>
      </c>
      <c r="DF400" s="406"/>
      <c r="DG400" s="406"/>
      <c r="DH400" s="406"/>
      <c r="DI400" s="406"/>
      <c r="DJ400" s="406"/>
      <c r="DK400" s="406"/>
      <c r="DL400" s="406"/>
      <c r="DM400" s="406"/>
      <c r="DN400" s="406"/>
      <c r="DO400" s="406"/>
      <c r="DP400" s="406"/>
      <c r="DQ400" s="407"/>
      <c r="DR400" s="405">
        <v>0</v>
      </c>
      <c r="DS400" s="406"/>
      <c r="DT400" s="406"/>
      <c r="DU400" s="406"/>
      <c r="DV400" s="406"/>
      <c r="DW400" s="406"/>
      <c r="DX400" s="406"/>
      <c r="DY400" s="406"/>
      <c r="DZ400" s="406"/>
      <c r="EA400" s="406"/>
      <c r="EB400" s="406"/>
      <c r="EC400" s="406"/>
      <c r="ED400" s="407"/>
      <c r="EE400" s="405"/>
      <c r="EF400" s="406"/>
      <c r="EG400" s="406"/>
      <c r="EH400" s="406"/>
      <c r="EI400" s="406"/>
      <c r="EJ400" s="406"/>
      <c r="EK400" s="406"/>
      <c r="EL400" s="406"/>
      <c r="EM400" s="406"/>
      <c r="EN400" s="406"/>
      <c r="EO400" s="406"/>
      <c r="EP400" s="406"/>
      <c r="EQ400" s="407"/>
      <c r="ER400" s="405"/>
      <c r="ES400" s="406"/>
      <c r="ET400" s="406"/>
      <c r="EU400" s="406"/>
      <c r="EV400" s="406"/>
      <c r="EW400" s="406"/>
      <c r="EX400" s="406"/>
      <c r="EY400" s="406"/>
      <c r="EZ400" s="406"/>
      <c r="FA400" s="406"/>
      <c r="FB400" s="407"/>
      <c r="FC400" s="683"/>
      <c r="FD400" s="684"/>
      <c r="FE400" s="684"/>
      <c r="FF400" s="684"/>
      <c r="FG400" s="684"/>
      <c r="FH400" s="684"/>
      <c r="FI400" s="684"/>
      <c r="FJ400" s="684"/>
      <c r="FK400" s="684"/>
      <c r="FL400" s="684"/>
      <c r="FO400" s="280"/>
      <c r="FP400" s="280"/>
      <c r="FQ400" s="275">
        <f t="shared" si="10"/>
        <v>0</v>
      </c>
    </row>
    <row r="401" spans="1:173" s="174" customFormat="1" ht="12" hidden="1" customHeight="1">
      <c r="A401" s="444" t="s">
        <v>977</v>
      </c>
      <c r="B401" s="445"/>
      <c r="C401" s="445"/>
      <c r="D401" s="445"/>
      <c r="E401" s="445"/>
      <c r="F401" s="445"/>
      <c r="G401" s="445"/>
      <c r="H401" s="445"/>
      <c r="I401" s="445"/>
      <c r="J401" s="445"/>
      <c r="K401" s="445"/>
      <c r="L401" s="445"/>
      <c r="M401" s="445"/>
      <c r="N401" s="445"/>
      <c r="O401" s="445"/>
      <c r="P401" s="445"/>
      <c r="Q401" s="445"/>
      <c r="R401" s="445"/>
      <c r="S401" s="445"/>
      <c r="T401" s="445"/>
      <c r="U401" s="445"/>
      <c r="V401" s="445"/>
      <c r="W401" s="445"/>
      <c r="X401" s="445"/>
      <c r="Y401" s="445"/>
      <c r="Z401" s="445"/>
      <c r="AA401" s="445"/>
      <c r="AB401" s="445"/>
      <c r="AC401" s="445"/>
      <c r="AD401" s="445"/>
      <c r="AE401" s="445"/>
      <c r="AF401" s="445"/>
      <c r="AG401" s="445"/>
      <c r="AH401" s="445"/>
      <c r="AI401" s="445"/>
      <c r="AJ401" s="445"/>
      <c r="AK401" s="445"/>
      <c r="AL401" s="445"/>
      <c r="AM401" s="445"/>
      <c r="AN401" s="445"/>
      <c r="AO401" s="445"/>
      <c r="AP401" s="445"/>
      <c r="AQ401" s="445"/>
      <c r="AR401" s="445"/>
      <c r="AS401" s="445"/>
      <c r="AT401" s="445"/>
      <c r="AU401" s="445"/>
      <c r="AV401" s="445"/>
      <c r="AW401" s="445"/>
      <c r="AX401" s="445"/>
      <c r="AY401" s="445"/>
      <c r="AZ401" s="445"/>
      <c r="BA401" s="445"/>
      <c r="BB401" s="445"/>
      <c r="BC401" s="445"/>
      <c r="BD401" s="445"/>
      <c r="BE401" s="445"/>
      <c r="BF401" s="445"/>
      <c r="BG401" s="445"/>
      <c r="BH401" s="445"/>
      <c r="BI401" s="445"/>
      <c r="BJ401" s="445"/>
      <c r="BK401" s="446"/>
      <c r="BL401" s="392"/>
      <c r="BM401" s="393"/>
      <c r="BN401" s="393"/>
      <c r="BO401" s="393"/>
      <c r="BP401" s="393"/>
      <c r="BQ401" s="393"/>
      <c r="BR401" s="393"/>
      <c r="BS401" s="394"/>
      <c r="BT401" s="398" t="s">
        <v>978</v>
      </c>
      <c r="BU401" s="393"/>
      <c r="BV401" s="393"/>
      <c r="BW401" s="393"/>
      <c r="BX401" s="393"/>
      <c r="BY401" s="393"/>
      <c r="BZ401" s="393"/>
      <c r="CA401" s="393"/>
      <c r="CB401" s="393"/>
      <c r="CC401" s="393"/>
      <c r="CD401" s="393"/>
      <c r="CE401" s="393"/>
      <c r="CF401" s="394"/>
      <c r="CG401" s="398" t="s">
        <v>857</v>
      </c>
      <c r="CH401" s="393"/>
      <c r="CI401" s="393"/>
      <c r="CJ401" s="393"/>
      <c r="CK401" s="393"/>
      <c r="CL401" s="393"/>
      <c r="CM401" s="393"/>
      <c r="CN401" s="393"/>
      <c r="CO401" s="393"/>
      <c r="CP401" s="393"/>
      <c r="CQ401" s="394"/>
      <c r="CR401" s="398"/>
      <c r="CS401" s="393"/>
      <c r="CT401" s="393"/>
      <c r="CU401" s="393"/>
      <c r="CV401" s="393"/>
      <c r="CW401" s="393"/>
      <c r="CX401" s="393"/>
      <c r="CY401" s="393"/>
      <c r="CZ401" s="393"/>
      <c r="DA401" s="393"/>
      <c r="DB401" s="393"/>
      <c r="DC401" s="393"/>
      <c r="DD401" s="394"/>
      <c r="DE401" s="405">
        <v>5268</v>
      </c>
      <c r="DF401" s="406"/>
      <c r="DG401" s="406"/>
      <c r="DH401" s="406"/>
      <c r="DI401" s="406"/>
      <c r="DJ401" s="406"/>
      <c r="DK401" s="406"/>
      <c r="DL401" s="406"/>
      <c r="DM401" s="406"/>
      <c r="DN401" s="406"/>
      <c r="DO401" s="406"/>
      <c r="DP401" s="406"/>
      <c r="DQ401" s="407"/>
      <c r="DR401" s="405">
        <v>0</v>
      </c>
      <c r="DS401" s="406"/>
      <c r="DT401" s="406"/>
      <c r="DU401" s="406"/>
      <c r="DV401" s="406"/>
      <c r="DW401" s="406"/>
      <c r="DX401" s="406"/>
      <c r="DY401" s="406"/>
      <c r="DZ401" s="406"/>
      <c r="EA401" s="406"/>
      <c r="EB401" s="406"/>
      <c r="EC401" s="406"/>
      <c r="ED401" s="407"/>
      <c r="EE401" s="405"/>
      <c r="EF401" s="406"/>
      <c r="EG401" s="406"/>
      <c r="EH401" s="406"/>
      <c r="EI401" s="406"/>
      <c r="EJ401" s="406"/>
      <c r="EK401" s="406"/>
      <c r="EL401" s="406"/>
      <c r="EM401" s="406"/>
      <c r="EN401" s="406"/>
      <c r="EO401" s="406"/>
      <c r="EP401" s="406"/>
      <c r="EQ401" s="407"/>
      <c r="ER401" s="402"/>
      <c r="ES401" s="403"/>
      <c r="ET401" s="403"/>
      <c r="EU401" s="403"/>
      <c r="EV401" s="403"/>
      <c r="EW401" s="403"/>
      <c r="EX401" s="403"/>
      <c r="EY401" s="403"/>
      <c r="EZ401" s="403"/>
      <c r="FA401" s="403"/>
      <c r="FB401" s="404"/>
      <c r="FC401" s="408"/>
      <c r="FD401" s="409"/>
      <c r="FE401" s="409"/>
      <c r="FF401" s="409"/>
      <c r="FG401" s="409"/>
      <c r="FH401" s="409"/>
      <c r="FI401" s="409"/>
      <c r="FJ401" s="409"/>
      <c r="FK401" s="409"/>
      <c r="FL401" s="409"/>
      <c r="FO401" s="279"/>
      <c r="FP401" s="279"/>
      <c r="FQ401" s="275">
        <f t="shared" si="10"/>
        <v>0</v>
      </c>
    </row>
    <row r="402" spans="1:173" s="174" customFormat="1" ht="26.4" customHeight="1">
      <c r="A402" s="389" t="s">
        <v>1005</v>
      </c>
      <c r="B402" s="390"/>
      <c r="C402" s="390"/>
      <c r="D402" s="390"/>
      <c r="E402" s="390"/>
      <c r="F402" s="390"/>
      <c r="G402" s="390"/>
      <c r="H402" s="390"/>
      <c r="I402" s="390"/>
      <c r="J402" s="390"/>
      <c r="K402" s="390"/>
      <c r="L402" s="390"/>
      <c r="M402" s="390"/>
      <c r="N402" s="390"/>
      <c r="O402" s="390"/>
      <c r="P402" s="390"/>
      <c r="Q402" s="390"/>
      <c r="R402" s="390"/>
      <c r="S402" s="390"/>
      <c r="T402" s="390"/>
      <c r="U402" s="390"/>
      <c r="V402" s="390"/>
      <c r="W402" s="390"/>
      <c r="X402" s="390"/>
      <c r="Y402" s="390"/>
      <c r="Z402" s="390"/>
      <c r="AA402" s="390"/>
      <c r="AB402" s="390"/>
      <c r="AC402" s="390"/>
      <c r="AD402" s="390"/>
      <c r="AE402" s="390"/>
      <c r="AF402" s="390"/>
      <c r="AG402" s="390"/>
      <c r="AH402" s="390"/>
      <c r="AI402" s="390"/>
      <c r="AJ402" s="390"/>
      <c r="AK402" s="390"/>
      <c r="AL402" s="390"/>
      <c r="AM402" s="390"/>
      <c r="AN402" s="390"/>
      <c r="AO402" s="390"/>
      <c r="AP402" s="390"/>
      <c r="AQ402" s="390"/>
      <c r="AR402" s="390"/>
      <c r="AS402" s="390"/>
      <c r="AT402" s="390"/>
      <c r="AU402" s="390"/>
      <c r="AV402" s="390"/>
      <c r="AW402" s="390"/>
      <c r="AX402" s="390"/>
      <c r="AY402" s="390"/>
      <c r="AZ402" s="390"/>
      <c r="BA402" s="390"/>
      <c r="BB402" s="390"/>
      <c r="BC402" s="390"/>
      <c r="BD402" s="390"/>
      <c r="BE402" s="390"/>
      <c r="BF402" s="390"/>
      <c r="BG402" s="390"/>
      <c r="BH402" s="390"/>
      <c r="BI402" s="390"/>
      <c r="BJ402" s="390"/>
      <c r="BK402" s="391"/>
      <c r="BL402" s="392"/>
      <c r="BM402" s="393"/>
      <c r="BN402" s="393"/>
      <c r="BO402" s="393"/>
      <c r="BP402" s="393"/>
      <c r="BQ402" s="393"/>
      <c r="BR402" s="393"/>
      <c r="BS402" s="394"/>
      <c r="BT402" s="395" t="s">
        <v>1006</v>
      </c>
      <c r="BU402" s="396"/>
      <c r="BV402" s="396"/>
      <c r="BW402" s="396"/>
      <c r="BX402" s="396"/>
      <c r="BY402" s="396"/>
      <c r="BZ402" s="396"/>
      <c r="CA402" s="396"/>
      <c r="CB402" s="396"/>
      <c r="CC402" s="396"/>
      <c r="CD402" s="396"/>
      <c r="CE402" s="396"/>
      <c r="CF402" s="397"/>
      <c r="CG402" s="398" t="s">
        <v>953</v>
      </c>
      <c r="CH402" s="393"/>
      <c r="CI402" s="393"/>
      <c r="CJ402" s="393"/>
      <c r="CK402" s="393"/>
      <c r="CL402" s="393"/>
      <c r="CM402" s="393"/>
      <c r="CN402" s="393"/>
      <c r="CO402" s="393"/>
      <c r="CP402" s="393"/>
      <c r="CQ402" s="394"/>
      <c r="CR402" s="398"/>
      <c r="CS402" s="393"/>
      <c r="CT402" s="393"/>
      <c r="CU402" s="393"/>
      <c r="CV402" s="393"/>
      <c r="CW402" s="393"/>
      <c r="CX402" s="393"/>
      <c r="CY402" s="393"/>
      <c r="CZ402" s="393"/>
      <c r="DA402" s="393"/>
      <c r="DB402" s="393"/>
      <c r="DC402" s="393"/>
      <c r="DD402" s="394"/>
      <c r="DE402" s="402">
        <v>0</v>
      </c>
      <c r="DF402" s="403"/>
      <c r="DG402" s="403"/>
      <c r="DH402" s="403"/>
      <c r="DI402" s="403"/>
      <c r="DJ402" s="403"/>
      <c r="DK402" s="403"/>
      <c r="DL402" s="403"/>
      <c r="DM402" s="403"/>
      <c r="DN402" s="403"/>
      <c r="DO402" s="403"/>
      <c r="DP402" s="403"/>
      <c r="DQ402" s="404"/>
      <c r="DR402" s="402">
        <v>17565</v>
      </c>
      <c r="DS402" s="403"/>
      <c r="DT402" s="403"/>
      <c r="DU402" s="403"/>
      <c r="DV402" s="403"/>
      <c r="DW402" s="403"/>
      <c r="DX402" s="403"/>
      <c r="DY402" s="403"/>
      <c r="DZ402" s="403"/>
      <c r="EA402" s="403"/>
      <c r="EB402" s="403"/>
      <c r="EC402" s="403"/>
      <c r="ED402" s="404"/>
      <c r="EE402" s="405"/>
      <c r="EF402" s="406"/>
      <c r="EG402" s="406"/>
      <c r="EH402" s="406"/>
      <c r="EI402" s="406"/>
      <c r="EJ402" s="406"/>
      <c r="EK402" s="406"/>
      <c r="EL402" s="406"/>
      <c r="EM402" s="406"/>
      <c r="EN402" s="406"/>
      <c r="EO402" s="406"/>
      <c r="EP402" s="406"/>
      <c r="EQ402" s="407"/>
      <c r="ER402" s="402"/>
      <c r="ES402" s="403"/>
      <c r="ET402" s="403"/>
      <c r="EU402" s="403"/>
      <c r="EV402" s="403"/>
      <c r="EW402" s="403"/>
      <c r="EX402" s="403"/>
      <c r="EY402" s="403"/>
      <c r="EZ402" s="403"/>
      <c r="FA402" s="403"/>
      <c r="FB402" s="404"/>
      <c r="FC402" s="408"/>
      <c r="FD402" s="409"/>
      <c r="FE402" s="409"/>
      <c r="FF402" s="409"/>
      <c r="FG402" s="409"/>
      <c r="FH402" s="409"/>
      <c r="FI402" s="409"/>
      <c r="FJ402" s="409"/>
      <c r="FK402" s="409"/>
      <c r="FL402" s="409"/>
      <c r="FO402" s="279"/>
      <c r="FP402" s="279"/>
      <c r="FQ402" s="275">
        <f t="shared" si="10"/>
        <v>17565</v>
      </c>
    </row>
    <row r="403" spans="1:173" s="174" customFormat="1" ht="25.2" customHeight="1">
      <c r="A403" s="389" t="s">
        <v>1008</v>
      </c>
      <c r="B403" s="390"/>
      <c r="C403" s="390"/>
      <c r="D403" s="390"/>
      <c r="E403" s="390"/>
      <c r="F403" s="390"/>
      <c r="G403" s="390"/>
      <c r="H403" s="390"/>
      <c r="I403" s="390"/>
      <c r="J403" s="390"/>
      <c r="K403" s="390"/>
      <c r="L403" s="390"/>
      <c r="M403" s="390"/>
      <c r="N403" s="390"/>
      <c r="O403" s="390"/>
      <c r="P403" s="390"/>
      <c r="Q403" s="390"/>
      <c r="R403" s="390"/>
      <c r="S403" s="390"/>
      <c r="T403" s="390"/>
      <c r="U403" s="390"/>
      <c r="V403" s="390"/>
      <c r="W403" s="390"/>
      <c r="X403" s="390"/>
      <c r="Y403" s="390"/>
      <c r="Z403" s="390"/>
      <c r="AA403" s="390"/>
      <c r="AB403" s="390"/>
      <c r="AC403" s="390"/>
      <c r="AD403" s="390"/>
      <c r="AE403" s="390"/>
      <c r="AF403" s="390"/>
      <c r="AG403" s="390"/>
      <c r="AH403" s="390"/>
      <c r="AI403" s="390"/>
      <c r="AJ403" s="390"/>
      <c r="AK403" s="390"/>
      <c r="AL403" s="390"/>
      <c r="AM403" s="390"/>
      <c r="AN403" s="390"/>
      <c r="AO403" s="390"/>
      <c r="AP403" s="390"/>
      <c r="AQ403" s="390"/>
      <c r="AR403" s="390"/>
      <c r="AS403" s="390"/>
      <c r="AT403" s="390"/>
      <c r="AU403" s="390"/>
      <c r="AV403" s="390"/>
      <c r="AW403" s="390"/>
      <c r="AX403" s="390"/>
      <c r="AY403" s="390"/>
      <c r="AZ403" s="390"/>
      <c r="BA403" s="390"/>
      <c r="BB403" s="390"/>
      <c r="BC403" s="390"/>
      <c r="BD403" s="390"/>
      <c r="BE403" s="390"/>
      <c r="BF403" s="390"/>
      <c r="BG403" s="390"/>
      <c r="BH403" s="390"/>
      <c r="BI403" s="390"/>
      <c r="BJ403" s="390"/>
      <c r="BK403" s="391"/>
      <c r="BL403" s="392"/>
      <c r="BM403" s="393"/>
      <c r="BN403" s="393"/>
      <c r="BO403" s="393"/>
      <c r="BP403" s="393"/>
      <c r="BQ403" s="393"/>
      <c r="BR403" s="393"/>
      <c r="BS403" s="394"/>
      <c r="BT403" s="395" t="s">
        <v>1006</v>
      </c>
      <c r="BU403" s="396"/>
      <c r="BV403" s="396"/>
      <c r="BW403" s="396"/>
      <c r="BX403" s="396"/>
      <c r="BY403" s="396"/>
      <c r="BZ403" s="396"/>
      <c r="CA403" s="396"/>
      <c r="CB403" s="396"/>
      <c r="CC403" s="396"/>
      <c r="CD403" s="396"/>
      <c r="CE403" s="396"/>
      <c r="CF403" s="397"/>
      <c r="CG403" s="398" t="s">
        <v>869</v>
      </c>
      <c r="CH403" s="393"/>
      <c r="CI403" s="393"/>
      <c r="CJ403" s="393"/>
      <c r="CK403" s="393"/>
      <c r="CL403" s="393"/>
      <c r="CM403" s="393"/>
      <c r="CN403" s="393"/>
      <c r="CO403" s="393"/>
      <c r="CP403" s="393"/>
      <c r="CQ403" s="394"/>
      <c r="CR403" s="398"/>
      <c r="CS403" s="393"/>
      <c r="CT403" s="393"/>
      <c r="CU403" s="393"/>
      <c r="CV403" s="393"/>
      <c r="CW403" s="393"/>
      <c r="CX403" s="393"/>
      <c r="CY403" s="393"/>
      <c r="CZ403" s="393"/>
      <c r="DA403" s="393"/>
      <c r="DB403" s="393"/>
      <c r="DC403" s="393"/>
      <c r="DD403" s="394"/>
      <c r="DE403" s="402">
        <v>0</v>
      </c>
      <c r="DF403" s="403"/>
      <c r="DG403" s="403"/>
      <c r="DH403" s="403"/>
      <c r="DI403" s="403"/>
      <c r="DJ403" s="403"/>
      <c r="DK403" s="403"/>
      <c r="DL403" s="403"/>
      <c r="DM403" s="403"/>
      <c r="DN403" s="403"/>
      <c r="DO403" s="403"/>
      <c r="DP403" s="403"/>
      <c r="DQ403" s="404"/>
      <c r="DR403" s="402">
        <v>12435</v>
      </c>
      <c r="DS403" s="403"/>
      <c r="DT403" s="403"/>
      <c r="DU403" s="403"/>
      <c r="DV403" s="403"/>
      <c r="DW403" s="403"/>
      <c r="DX403" s="403"/>
      <c r="DY403" s="403"/>
      <c r="DZ403" s="403"/>
      <c r="EA403" s="403"/>
      <c r="EB403" s="403"/>
      <c r="EC403" s="403"/>
      <c r="ED403" s="404"/>
      <c r="EE403" s="405"/>
      <c r="EF403" s="406"/>
      <c r="EG403" s="406"/>
      <c r="EH403" s="406"/>
      <c r="EI403" s="406"/>
      <c r="EJ403" s="406"/>
      <c r="EK403" s="406"/>
      <c r="EL403" s="406"/>
      <c r="EM403" s="406"/>
      <c r="EN403" s="406"/>
      <c r="EO403" s="406"/>
      <c r="EP403" s="406"/>
      <c r="EQ403" s="407"/>
      <c r="ER403" s="402"/>
      <c r="ES403" s="403"/>
      <c r="ET403" s="403"/>
      <c r="EU403" s="403"/>
      <c r="EV403" s="403"/>
      <c r="EW403" s="403"/>
      <c r="EX403" s="403"/>
      <c r="EY403" s="403"/>
      <c r="EZ403" s="403"/>
      <c r="FA403" s="403"/>
      <c r="FB403" s="404"/>
      <c r="FC403" s="408"/>
      <c r="FD403" s="409"/>
      <c r="FE403" s="409"/>
      <c r="FF403" s="409"/>
      <c r="FG403" s="409"/>
      <c r="FH403" s="409"/>
      <c r="FI403" s="409"/>
      <c r="FJ403" s="409"/>
      <c r="FK403" s="409"/>
      <c r="FL403" s="409"/>
      <c r="FO403" s="279"/>
      <c r="FP403" s="279"/>
      <c r="FQ403" s="275">
        <f t="shared" si="10"/>
        <v>12435</v>
      </c>
    </row>
    <row r="404" spans="1:173" s="174" customFormat="1" ht="23.4" customHeight="1">
      <c r="A404" s="389" t="s">
        <v>1010</v>
      </c>
      <c r="B404" s="390"/>
      <c r="C404" s="390"/>
      <c r="D404" s="390"/>
      <c r="E404" s="390"/>
      <c r="F404" s="390"/>
      <c r="G404" s="390"/>
      <c r="H404" s="390"/>
      <c r="I404" s="390"/>
      <c r="J404" s="390"/>
      <c r="K404" s="390"/>
      <c r="L404" s="390"/>
      <c r="M404" s="390"/>
      <c r="N404" s="390"/>
      <c r="O404" s="390"/>
      <c r="P404" s="390"/>
      <c r="Q404" s="390"/>
      <c r="R404" s="390"/>
      <c r="S404" s="390"/>
      <c r="T404" s="390"/>
      <c r="U404" s="390"/>
      <c r="V404" s="390"/>
      <c r="W404" s="390"/>
      <c r="X404" s="390"/>
      <c r="Y404" s="390"/>
      <c r="Z404" s="390"/>
      <c r="AA404" s="390"/>
      <c r="AB404" s="390"/>
      <c r="AC404" s="390"/>
      <c r="AD404" s="390"/>
      <c r="AE404" s="390"/>
      <c r="AF404" s="390"/>
      <c r="AG404" s="390"/>
      <c r="AH404" s="390"/>
      <c r="AI404" s="390"/>
      <c r="AJ404" s="390"/>
      <c r="AK404" s="390"/>
      <c r="AL404" s="390"/>
      <c r="AM404" s="390"/>
      <c r="AN404" s="390"/>
      <c r="AO404" s="390"/>
      <c r="AP404" s="390"/>
      <c r="AQ404" s="390"/>
      <c r="AR404" s="390"/>
      <c r="AS404" s="390"/>
      <c r="AT404" s="390"/>
      <c r="AU404" s="390"/>
      <c r="AV404" s="390"/>
      <c r="AW404" s="390"/>
      <c r="AX404" s="390"/>
      <c r="AY404" s="390"/>
      <c r="AZ404" s="390"/>
      <c r="BA404" s="390"/>
      <c r="BB404" s="390"/>
      <c r="BC404" s="390"/>
      <c r="BD404" s="390"/>
      <c r="BE404" s="390"/>
      <c r="BF404" s="390"/>
      <c r="BG404" s="390"/>
      <c r="BH404" s="390"/>
      <c r="BI404" s="390"/>
      <c r="BJ404" s="390"/>
      <c r="BK404" s="391"/>
      <c r="BL404" s="392"/>
      <c r="BM404" s="393"/>
      <c r="BN404" s="393"/>
      <c r="BO404" s="393"/>
      <c r="BP404" s="393"/>
      <c r="BQ404" s="393"/>
      <c r="BR404" s="393"/>
      <c r="BS404" s="394"/>
      <c r="BT404" s="395" t="s">
        <v>1009</v>
      </c>
      <c r="BU404" s="396"/>
      <c r="BV404" s="396"/>
      <c r="BW404" s="396"/>
      <c r="BX404" s="396"/>
      <c r="BY404" s="396"/>
      <c r="BZ404" s="396"/>
      <c r="CA404" s="396"/>
      <c r="CB404" s="396"/>
      <c r="CC404" s="396"/>
      <c r="CD404" s="396"/>
      <c r="CE404" s="396"/>
      <c r="CF404" s="397"/>
      <c r="CG404" s="398" t="s">
        <v>857</v>
      </c>
      <c r="CH404" s="393"/>
      <c r="CI404" s="393"/>
      <c r="CJ404" s="393"/>
      <c r="CK404" s="393"/>
      <c r="CL404" s="393"/>
      <c r="CM404" s="393"/>
      <c r="CN404" s="393"/>
      <c r="CO404" s="393"/>
      <c r="CP404" s="393"/>
      <c r="CQ404" s="394"/>
      <c r="CR404" s="398"/>
      <c r="CS404" s="393"/>
      <c r="CT404" s="393"/>
      <c r="CU404" s="393"/>
      <c r="CV404" s="393"/>
      <c r="CW404" s="393"/>
      <c r="CX404" s="393"/>
      <c r="CY404" s="393"/>
      <c r="CZ404" s="393"/>
      <c r="DA404" s="393"/>
      <c r="DB404" s="393"/>
      <c r="DC404" s="393"/>
      <c r="DD404" s="394"/>
      <c r="DE404" s="402">
        <v>0</v>
      </c>
      <c r="DF404" s="403"/>
      <c r="DG404" s="403"/>
      <c r="DH404" s="403"/>
      <c r="DI404" s="403"/>
      <c r="DJ404" s="403"/>
      <c r="DK404" s="403"/>
      <c r="DL404" s="403"/>
      <c r="DM404" s="403"/>
      <c r="DN404" s="403"/>
      <c r="DO404" s="403"/>
      <c r="DP404" s="403"/>
      <c r="DQ404" s="404"/>
      <c r="DR404" s="399">
        <f>21800+14000-6300</f>
        <v>29500</v>
      </c>
      <c r="DS404" s="400"/>
      <c r="DT404" s="400"/>
      <c r="DU404" s="400"/>
      <c r="DV404" s="400"/>
      <c r="DW404" s="400"/>
      <c r="DX404" s="400"/>
      <c r="DY404" s="400"/>
      <c r="DZ404" s="400"/>
      <c r="EA404" s="400"/>
      <c r="EB404" s="400"/>
      <c r="EC404" s="400"/>
      <c r="ED404" s="401"/>
      <c r="EE404" s="405"/>
      <c r="EF404" s="406"/>
      <c r="EG404" s="406"/>
      <c r="EH404" s="406"/>
      <c r="EI404" s="406"/>
      <c r="EJ404" s="406"/>
      <c r="EK404" s="406"/>
      <c r="EL404" s="406"/>
      <c r="EM404" s="406"/>
      <c r="EN404" s="406"/>
      <c r="EO404" s="406"/>
      <c r="EP404" s="406"/>
      <c r="EQ404" s="407"/>
      <c r="ER404" s="402"/>
      <c r="ES404" s="403"/>
      <c r="ET404" s="403"/>
      <c r="EU404" s="403"/>
      <c r="EV404" s="403"/>
      <c r="EW404" s="403"/>
      <c r="EX404" s="403"/>
      <c r="EY404" s="403"/>
      <c r="EZ404" s="403"/>
      <c r="FA404" s="403"/>
      <c r="FB404" s="404"/>
      <c r="FC404" s="408"/>
      <c r="FD404" s="409"/>
      <c r="FE404" s="409"/>
      <c r="FF404" s="409"/>
      <c r="FG404" s="409"/>
      <c r="FH404" s="409"/>
      <c r="FI404" s="409"/>
      <c r="FJ404" s="409"/>
      <c r="FK404" s="409"/>
      <c r="FL404" s="409"/>
      <c r="FO404" s="279">
        <f>3650+9660</f>
        <v>13310</v>
      </c>
      <c r="FP404" s="279"/>
      <c r="FQ404" s="275">
        <f t="shared" si="10"/>
        <v>16190</v>
      </c>
    </row>
    <row r="405" spans="1:173" ht="12" hidden="1" customHeight="1">
      <c r="A405" s="441"/>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c r="AG405" s="442"/>
      <c r="AH405" s="442"/>
      <c r="AI405" s="442"/>
      <c r="AJ405" s="442"/>
      <c r="AK405" s="442"/>
      <c r="AL405" s="442"/>
      <c r="AM405" s="442"/>
      <c r="AN405" s="442"/>
      <c r="AO405" s="442"/>
      <c r="AP405" s="442"/>
      <c r="AQ405" s="442"/>
      <c r="AR405" s="442"/>
      <c r="AS405" s="442"/>
      <c r="AT405" s="442"/>
      <c r="AU405" s="442"/>
      <c r="AV405" s="442"/>
      <c r="AW405" s="442"/>
      <c r="AX405" s="442"/>
      <c r="AY405" s="442"/>
      <c r="AZ405" s="442"/>
      <c r="BA405" s="442"/>
      <c r="BB405" s="442"/>
      <c r="BC405" s="442"/>
      <c r="BD405" s="442"/>
      <c r="BE405" s="442"/>
      <c r="BF405" s="442"/>
      <c r="BG405" s="442"/>
      <c r="BH405" s="442"/>
      <c r="BI405" s="442"/>
      <c r="BJ405" s="442"/>
      <c r="BK405" s="443"/>
      <c r="BL405" s="392"/>
      <c r="BM405" s="393"/>
      <c r="BN405" s="393"/>
      <c r="BO405" s="393"/>
      <c r="BP405" s="393"/>
      <c r="BQ405" s="393"/>
      <c r="BR405" s="393"/>
      <c r="BS405" s="394"/>
      <c r="BT405" s="342"/>
      <c r="BU405" s="343"/>
      <c r="BV405" s="343"/>
      <c r="BW405" s="343"/>
      <c r="BX405" s="343"/>
      <c r="BY405" s="343"/>
      <c r="BZ405" s="343"/>
      <c r="CA405" s="343"/>
      <c r="CB405" s="343"/>
      <c r="CC405" s="343"/>
      <c r="CD405" s="343"/>
      <c r="CE405" s="343"/>
      <c r="CF405" s="344"/>
      <c r="CG405" s="345"/>
      <c r="CH405" s="340"/>
      <c r="CI405" s="340"/>
      <c r="CJ405" s="340"/>
      <c r="CK405" s="340"/>
      <c r="CL405" s="340"/>
      <c r="CM405" s="340"/>
      <c r="CN405" s="340"/>
      <c r="CO405" s="340"/>
      <c r="CP405" s="340"/>
      <c r="CQ405" s="341"/>
      <c r="CR405" s="345"/>
      <c r="CS405" s="340"/>
      <c r="CT405" s="340"/>
      <c r="CU405" s="340"/>
      <c r="CV405" s="340"/>
      <c r="CW405" s="340"/>
      <c r="CX405" s="340"/>
      <c r="CY405" s="340"/>
      <c r="CZ405" s="340"/>
      <c r="DA405" s="340"/>
      <c r="DB405" s="340"/>
      <c r="DC405" s="340"/>
      <c r="DD405" s="341"/>
      <c r="DE405" s="349"/>
      <c r="DF405" s="350"/>
      <c r="DG405" s="350"/>
      <c r="DH405" s="350"/>
      <c r="DI405" s="350"/>
      <c r="DJ405" s="350"/>
      <c r="DK405" s="350"/>
      <c r="DL405" s="350"/>
      <c r="DM405" s="350"/>
      <c r="DN405" s="350"/>
      <c r="DO405" s="350"/>
      <c r="DP405" s="350"/>
      <c r="DQ405" s="351"/>
      <c r="DR405" s="349"/>
      <c r="DS405" s="350"/>
      <c r="DT405" s="350"/>
      <c r="DU405" s="350"/>
      <c r="DV405" s="350"/>
      <c r="DW405" s="350"/>
      <c r="DX405" s="350"/>
      <c r="DY405" s="350"/>
      <c r="DZ405" s="350"/>
      <c r="EA405" s="350"/>
      <c r="EB405" s="350"/>
      <c r="EC405" s="350"/>
      <c r="ED405" s="351"/>
      <c r="EE405" s="349"/>
      <c r="EF405" s="350"/>
      <c r="EG405" s="350"/>
      <c r="EH405" s="350"/>
      <c r="EI405" s="350"/>
      <c r="EJ405" s="350"/>
      <c r="EK405" s="350"/>
      <c r="EL405" s="350"/>
      <c r="EM405" s="350"/>
      <c r="EN405" s="350"/>
      <c r="EO405" s="350"/>
      <c r="EP405" s="350"/>
      <c r="EQ405" s="351"/>
      <c r="ER405" s="349"/>
      <c r="ES405" s="350"/>
      <c r="ET405" s="350"/>
      <c r="EU405" s="350"/>
      <c r="EV405" s="350"/>
      <c r="EW405" s="350"/>
      <c r="EX405" s="350"/>
      <c r="EY405" s="350"/>
      <c r="EZ405" s="350"/>
      <c r="FA405" s="350"/>
      <c r="FB405" s="351"/>
      <c r="FC405" s="416"/>
      <c r="FD405" s="417"/>
      <c r="FE405" s="417"/>
      <c r="FF405" s="417"/>
      <c r="FG405" s="417"/>
      <c r="FH405" s="417"/>
      <c r="FI405" s="417"/>
      <c r="FJ405" s="417"/>
      <c r="FK405" s="417"/>
      <c r="FL405" s="417"/>
      <c r="FO405" s="275"/>
      <c r="FP405" s="275"/>
      <c r="FQ405" s="275">
        <f t="shared" si="10"/>
        <v>0</v>
      </c>
    </row>
    <row r="406" spans="1:173" s="174" customFormat="1" ht="12" hidden="1" customHeight="1">
      <c r="A406" s="485"/>
      <c r="B406" s="381"/>
      <c r="C406" s="381"/>
      <c r="D406" s="381"/>
      <c r="E406" s="381"/>
      <c r="F406" s="381"/>
      <c r="G406" s="381"/>
      <c r="H406" s="381"/>
      <c r="I406" s="381"/>
      <c r="J406" s="381"/>
      <c r="K406" s="381"/>
      <c r="L406" s="381"/>
      <c r="M406" s="381"/>
      <c r="N406" s="381"/>
      <c r="O406" s="381"/>
      <c r="P406" s="381"/>
      <c r="Q406" s="381"/>
      <c r="R406" s="381"/>
      <c r="S406" s="381"/>
      <c r="T406" s="381"/>
      <c r="U406" s="381"/>
      <c r="V406" s="381"/>
      <c r="W406" s="381"/>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c r="AS406" s="381"/>
      <c r="AT406" s="381"/>
      <c r="AU406" s="381"/>
      <c r="AV406" s="381"/>
      <c r="AW406" s="381"/>
      <c r="AX406" s="381"/>
      <c r="AY406" s="381"/>
      <c r="AZ406" s="381"/>
      <c r="BA406" s="381"/>
      <c r="BB406" s="381"/>
      <c r="BC406" s="381"/>
      <c r="BD406" s="381"/>
      <c r="BE406" s="381"/>
      <c r="BF406" s="381"/>
      <c r="BG406" s="381"/>
      <c r="BH406" s="381"/>
      <c r="BI406" s="381"/>
      <c r="BJ406" s="381"/>
      <c r="BK406" s="382"/>
      <c r="BL406" s="392"/>
      <c r="BM406" s="393"/>
      <c r="BN406" s="393"/>
      <c r="BO406" s="393"/>
      <c r="BP406" s="393"/>
      <c r="BQ406" s="393"/>
      <c r="BR406" s="393"/>
      <c r="BS406" s="394"/>
      <c r="BT406" s="342"/>
      <c r="BU406" s="343"/>
      <c r="BV406" s="343"/>
      <c r="BW406" s="343"/>
      <c r="BX406" s="343"/>
      <c r="BY406" s="343"/>
      <c r="BZ406" s="343"/>
      <c r="CA406" s="343"/>
      <c r="CB406" s="343"/>
      <c r="CC406" s="343"/>
      <c r="CD406" s="343"/>
      <c r="CE406" s="343"/>
      <c r="CF406" s="344"/>
      <c r="CG406" s="345"/>
      <c r="CH406" s="340"/>
      <c r="CI406" s="340"/>
      <c r="CJ406" s="340"/>
      <c r="CK406" s="340"/>
      <c r="CL406" s="340"/>
      <c r="CM406" s="340"/>
      <c r="CN406" s="340"/>
      <c r="CO406" s="340"/>
      <c r="CP406" s="340"/>
      <c r="CQ406" s="341"/>
      <c r="CR406" s="398"/>
      <c r="CS406" s="393"/>
      <c r="CT406" s="393"/>
      <c r="CU406" s="393"/>
      <c r="CV406" s="393"/>
      <c r="CW406" s="393"/>
      <c r="CX406" s="393"/>
      <c r="CY406" s="393"/>
      <c r="CZ406" s="393"/>
      <c r="DA406" s="393"/>
      <c r="DB406" s="393"/>
      <c r="DC406" s="393"/>
      <c r="DD406" s="394"/>
      <c r="DE406" s="349"/>
      <c r="DF406" s="350"/>
      <c r="DG406" s="350"/>
      <c r="DH406" s="350"/>
      <c r="DI406" s="350"/>
      <c r="DJ406" s="350"/>
      <c r="DK406" s="350"/>
      <c r="DL406" s="350"/>
      <c r="DM406" s="350"/>
      <c r="DN406" s="350"/>
      <c r="DO406" s="350"/>
      <c r="DP406" s="350"/>
      <c r="DQ406" s="351"/>
      <c r="DR406" s="349"/>
      <c r="DS406" s="350"/>
      <c r="DT406" s="350"/>
      <c r="DU406" s="350"/>
      <c r="DV406" s="350"/>
      <c r="DW406" s="350"/>
      <c r="DX406" s="350"/>
      <c r="DY406" s="350"/>
      <c r="DZ406" s="350"/>
      <c r="EA406" s="350"/>
      <c r="EB406" s="350"/>
      <c r="EC406" s="350"/>
      <c r="ED406" s="351"/>
      <c r="EE406" s="349"/>
      <c r="EF406" s="350"/>
      <c r="EG406" s="350"/>
      <c r="EH406" s="350"/>
      <c r="EI406" s="350"/>
      <c r="EJ406" s="350"/>
      <c r="EK406" s="350"/>
      <c r="EL406" s="350"/>
      <c r="EM406" s="350"/>
      <c r="EN406" s="350"/>
      <c r="EO406" s="350"/>
      <c r="EP406" s="350"/>
      <c r="EQ406" s="351"/>
      <c r="ER406" s="402"/>
      <c r="ES406" s="403"/>
      <c r="ET406" s="403"/>
      <c r="EU406" s="403"/>
      <c r="EV406" s="403"/>
      <c r="EW406" s="403"/>
      <c r="EX406" s="403"/>
      <c r="EY406" s="403"/>
      <c r="EZ406" s="403"/>
      <c r="FA406" s="403"/>
      <c r="FB406" s="404"/>
      <c r="FC406" s="408"/>
      <c r="FD406" s="409"/>
      <c r="FE406" s="409"/>
      <c r="FF406" s="409"/>
      <c r="FG406" s="409"/>
      <c r="FH406" s="409"/>
      <c r="FI406" s="409"/>
      <c r="FJ406" s="409"/>
      <c r="FK406" s="409"/>
      <c r="FL406" s="409"/>
      <c r="FO406" s="279"/>
      <c r="FP406" s="279"/>
      <c r="FQ406" s="275">
        <f t="shared" si="10"/>
        <v>0</v>
      </c>
    </row>
    <row r="407" spans="1:173" ht="12" hidden="1" customHeight="1">
      <c r="A407" s="441"/>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c r="AG407" s="442"/>
      <c r="AH407" s="442"/>
      <c r="AI407" s="442"/>
      <c r="AJ407" s="442"/>
      <c r="AK407" s="442"/>
      <c r="AL407" s="442"/>
      <c r="AM407" s="442"/>
      <c r="AN407" s="442"/>
      <c r="AO407" s="442"/>
      <c r="AP407" s="442"/>
      <c r="AQ407" s="442"/>
      <c r="AR407" s="442"/>
      <c r="AS407" s="442"/>
      <c r="AT407" s="442"/>
      <c r="AU407" s="442"/>
      <c r="AV407" s="442"/>
      <c r="AW407" s="442"/>
      <c r="AX407" s="442"/>
      <c r="AY407" s="442"/>
      <c r="AZ407" s="442"/>
      <c r="BA407" s="442"/>
      <c r="BB407" s="442"/>
      <c r="BC407" s="442"/>
      <c r="BD407" s="442"/>
      <c r="BE407" s="442"/>
      <c r="BF407" s="442"/>
      <c r="BG407" s="442"/>
      <c r="BH407" s="442"/>
      <c r="BI407" s="442"/>
      <c r="BJ407" s="442"/>
      <c r="BK407" s="443"/>
      <c r="BL407" s="392"/>
      <c r="BM407" s="393"/>
      <c r="BN407" s="393"/>
      <c r="BO407" s="393"/>
      <c r="BP407" s="393"/>
      <c r="BQ407" s="393"/>
      <c r="BR407" s="393"/>
      <c r="BS407" s="394"/>
      <c r="BT407" s="342"/>
      <c r="BU407" s="343"/>
      <c r="BV407" s="343"/>
      <c r="BW407" s="343"/>
      <c r="BX407" s="343"/>
      <c r="BY407" s="343"/>
      <c r="BZ407" s="343"/>
      <c r="CA407" s="343"/>
      <c r="CB407" s="343"/>
      <c r="CC407" s="343"/>
      <c r="CD407" s="343"/>
      <c r="CE407" s="343"/>
      <c r="CF407" s="344"/>
      <c r="CG407" s="345"/>
      <c r="CH407" s="340"/>
      <c r="CI407" s="340"/>
      <c r="CJ407" s="340"/>
      <c r="CK407" s="340"/>
      <c r="CL407" s="340"/>
      <c r="CM407" s="340"/>
      <c r="CN407" s="340"/>
      <c r="CO407" s="340"/>
      <c r="CP407" s="340"/>
      <c r="CQ407" s="341"/>
      <c r="CR407" s="345"/>
      <c r="CS407" s="340"/>
      <c r="CT407" s="340"/>
      <c r="CU407" s="340"/>
      <c r="CV407" s="340"/>
      <c r="CW407" s="340"/>
      <c r="CX407" s="340"/>
      <c r="CY407" s="340"/>
      <c r="CZ407" s="340"/>
      <c r="DA407" s="340"/>
      <c r="DB407" s="340"/>
      <c r="DC407" s="340"/>
      <c r="DD407" s="341"/>
      <c r="DE407" s="349"/>
      <c r="DF407" s="350"/>
      <c r="DG407" s="350"/>
      <c r="DH407" s="350"/>
      <c r="DI407" s="350"/>
      <c r="DJ407" s="350"/>
      <c r="DK407" s="350"/>
      <c r="DL407" s="350"/>
      <c r="DM407" s="350"/>
      <c r="DN407" s="350"/>
      <c r="DO407" s="350"/>
      <c r="DP407" s="350"/>
      <c r="DQ407" s="351"/>
      <c r="DR407" s="349"/>
      <c r="DS407" s="350"/>
      <c r="DT407" s="350"/>
      <c r="DU407" s="350"/>
      <c r="DV407" s="350"/>
      <c r="DW407" s="350"/>
      <c r="DX407" s="350"/>
      <c r="DY407" s="350"/>
      <c r="DZ407" s="350"/>
      <c r="EA407" s="350"/>
      <c r="EB407" s="350"/>
      <c r="EC407" s="350"/>
      <c r="ED407" s="351"/>
      <c r="EE407" s="349"/>
      <c r="EF407" s="350"/>
      <c r="EG407" s="350"/>
      <c r="EH407" s="350"/>
      <c r="EI407" s="350"/>
      <c r="EJ407" s="350"/>
      <c r="EK407" s="350"/>
      <c r="EL407" s="350"/>
      <c r="EM407" s="350"/>
      <c r="EN407" s="350"/>
      <c r="EO407" s="350"/>
      <c r="EP407" s="350"/>
      <c r="EQ407" s="351"/>
      <c r="ER407" s="349"/>
      <c r="ES407" s="350"/>
      <c r="ET407" s="350"/>
      <c r="EU407" s="350"/>
      <c r="EV407" s="350"/>
      <c r="EW407" s="350"/>
      <c r="EX407" s="350"/>
      <c r="EY407" s="350"/>
      <c r="EZ407" s="350"/>
      <c r="FA407" s="350"/>
      <c r="FB407" s="351"/>
      <c r="FC407" s="416"/>
      <c r="FD407" s="417"/>
      <c r="FE407" s="417"/>
      <c r="FF407" s="417"/>
      <c r="FG407" s="417"/>
      <c r="FH407" s="417"/>
      <c r="FI407" s="417"/>
      <c r="FJ407" s="417"/>
      <c r="FK407" s="417"/>
      <c r="FL407" s="417"/>
      <c r="FO407" s="275"/>
      <c r="FP407" s="275"/>
      <c r="FQ407" s="275">
        <f t="shared" si="10"/>
        <v>0</v>
      </c>
    </row>
    <row r="408" spans="1:173" s="215" customFormat="1" ht="12" customHeight="1">
      <c r="A408" s="437" t="s">
        <v>948</v>
      </c>
      <c r="B408" s="438"/>
      <c r="C408" s="438"/>
      <c r="D408" s="438"/>
      <c r="E408" s="438"/>
      <c r="F408" s="438"/>
      <c r="G408" s="438"/>
      <c r="H408" s="438"/>
      <c r="I408" s="438"/>
      <c r="J408" s="438"/>
      <c r="K408" s="438"/>
      <c r="L408" s="438"/>
      <c r="M408" s="438"/>
      <c r="N408" s="438"/>
      <c r="O408" s="438"/>
      <c r="P408" s="438"/>
      <c r="Q408" s="438"/>
      <c r="R408" s="438"/>
      <c r="S408" s="438"/>
      <c r="T408" s="438"/>
      <c r="U408" s="438"/>
      <c r="V408" s="438"/>
      <c r="W408" s="438"/>
      <c r="X408" s="438"/>
      <c r="Y408" s="438"/>
      <c r="Z408" s="438"/>
      <c r="AA408" s="438"/>
      <c r="AB408" s="438"/>
      <c r="AC408" s="438"/>
      <c r="AD408" s="438"/>
      <c r="AE408" s="438"/>
      <c r="AF408" s="438"/>
      <c r="AG408" s="438"/>
      <c r="AH408" s="438"/>
      <c r="AI408" s="438"/>
      <c r="AJ408" s="438"/>
      <c r="AK408" s="438"/>
      <c r="AL408" s="438"/>
      <c r="AM408" s="438"/>
      <c r="AN408" s="438"/>
      <c r="AO408" s="438"/>
      <c r="AP408" s="438"/>
      <c r="AQ408" s="438"/>
      <c r="AR408" s="438"/>
      <c r="AS408" s="438"/>
      <c r="AT408" s="438"/>
      <c r="AU408" s="438"/>
      <c r="AV408" s="438"/>
      <c r="AW408" s="438"/>
      <c r="AX408" s="438"/>
      <c r="AY408" s="438"/>
      <c r="AZ408" s="438"/>
      <c r="BA408" s="438"/>
      <c r="BB408" s="438"/>
      <c r="BC408" s="438"/>
      <c r="BD408" s="438"/>
      <c r="BE408" s="438"/>
      <c r="BF408" s="438"/>
      <c r="BG408" s="438"/>
      <c r="BH408" s="438"/>
      <c r="BI408" s="438"/>
      <c r="BJ408" s="438"/>
      <c r="BK408" s="439"/>
      <c r="BL408" s="440"/>
      <c r="BM408" s="414"/>
      <c r="BN408" s="414"/>
      <c r="BO408" s="414"/>
      <c r="BP408" s="414"/>
      <c r="BQ408" s="414"/>
      <c r="BR408" s="414"/>
      <c r="BS408" s="415"/>
      <c r="BT408" s="413" t="s">
        <v>109</v>
      </c>
      <c r="BU408" s="414"/>
      <c r="BV408" s="414"/>
      <c r="BW408" s="414"/>
      <c r="BX408" s="414"/>
      <c r="BY408" s="414"/>
      <c r="BZ408" s="414"/>
      <c r="CA408" s="414"/>
      <c r="CB408" s="414"/>
      <c r="CC408" s="414"/>
      <c r="CD408" s="414"/>
      <c r="CE408" s="414"/>
      <c r="CF408" s="415"/>
      <c r="CG408" s="413" t="s">
        <v>77</v>
      </c>
      <c r="CH408" s="414"/>
      <c r="CI408" s="414"/>
      <c r="CJ408" s="414"/>
      <c r="CK408" s="414"/>
      <c r="CL408" s="414"/>
      <c r="CM408" s="414"/>
      <c r="CN408" s="414"/>
      <c r="CO408" s="414"/>
      <c r="CP408" s="414"/>
      <c r="CQ408" s="415"/>
      <c r="CR408" s="413"/>
      <c r="CS408" s="414"/>
      <c r="CT408" s="414"/>
      <c r="CU408" s="414"/>
      <c r="CV408" s="414"/>
      <c r="CW408" s="414"/>
      <c r="CX408" s="414"/>
      <c r="CY408" s="414"/>
      <c r="CZ408" s="414"/>
      <c r="DA408" s="414"/>
      <c r="DB408" s="414"/>
      <c r="DC408" s="414"/>
      <c r="DD408" s="415"/>
      <c r="DE408" s="428">
        <f>SUM(DE409:DQ422)</f>
        <v>164461.1</v>
      </c>
      <c r="DF408" s="429"/>
      <c r="DG408" s="429"/>
      <c r="DH408" s="429"/>
      <c r="DI408" s="429"/>
      <c r="DJ408" s="429"/>
      <c r="DK408" s="429"/>
      <c r="DL408" s="429"/>
      <c r="DM408" s="429"/>
      <c r="DN408" s="429"/>
      <c r="DO408" s="429"/>
      <c r="DP408" s="429"/>
      <c r="DQ408" s="430"/>
      <c r="DR408" s="428">
        <f>SUM(DR409:ED422)</f>
        <v>53200</v>
      </c>
      <c r="DS408" s="429"/>
      <c r="DT408" s="429"/>
      <c r="DU408" s="429"/>
      <c r="DV408" s="429"/>
      <c r="DW408" s="429"/>
      <c r="DX408" s="429"/>
      <c r="DY408" s="429"/>
      <c r="DZ408" s="429"/>
      <c r="EA408" s="429"/>
      <c r="EB408" s="429"/>
      <c r="EC408" s="429"/>
      <c r="ED408" s="430"/>
      <c r="EE408" s="428"/>
      <c r="EF408" s="429"/>
      <c r="EG408" s="429"/>
      <c r="EH408" s="429"/>
      <c r="EI408" s="429"/>
      <c r="EJ408" s="429"/>
      <c r="EK408" s="429"/>
      <c r="EL408" s="429"/>
      <c r="EM408" s="429"/>
      <c r="EN408" s="429"/>
      <c r="EO408" s="429"/>
      <c r="EP408" s="429"/>
      <c r="EQ408" s="430"/>
      <c r="ER408" s="410"/>
      <c r="ES408" s="411"/>
      <c r="ET408" s="411"/>
      <c r="EU408" s="411"/>
      <c r="EV408" s="411"/>
      <c r="EW408" s="411"/>
      <c r="EX408" s="411"/>
      <c r="EY408" s="411"/>
      <c r="EZ408" s="411"/>
      <c r="FA408" s="411"/>
      <c r="FB408" s="412"/>
      <c r="FC408" s="423"/>
      <c r="FD408" s="424"/>
      <c r="FE408" s="424"/>
      <c r="FF408" s="424"/>
      <c r="FG408" s="424"/>
      <c r="FH408" s="424"/>
      <c r="FI408" s="424"/>
      <c r="FJ408" s="424"/>
      <c r="FK408" s="424"/>
      <c r="FL408" s="424"/>
      <c r="FO408" s="278"/>
      <c r="FP408" s="278"/>
      <c r="FQ408" s="275">
        <f t="shared" si="10"/>
        <v>53200</v>
      </c>
    </row>
    <row r="409" spans="1:173" ht="32.4" hidden="1" customHeight="1">
      <c r="A409" s="336" t="s">
        <v>924</v>
      </c>
      <c r="B409" s="337"/>
      <c r="C409" s="337"/>
      <c r="D409" s="337"/>
      <c r="E409" s="337"/>
      <c r="F409" s="337"/>
      <c r="G409" s="337"/>
      <c r="H409" s="337"/>
      <c r="I409" s="337"/>
      <c r="J409" s="337"/>
      <c r="K409" s="337"/>
      <c r="L409" s="337"/>
      <c r="M409" s="337"/>
      <c r="N409" s="337"/>
      <c r="O409" s="337"/>
      <c r="P409" s="337"/>
      <c r="Q409" s="337"/>
      <c r="R409" s="337"/>
      <c r="S409" s="337"/>
      <c r="T409" s="337"/>
      <c r="U409" s="337"/>
      <c r="V409" s="337"/>
      <c r="W409" s="337"/>
      <c r="X409" s="337"/>
      <c r="Y409" s="337"/>
      <c r="Z409" s="337"/>
      <c r="AA409" s="337"/>
      <c r="AB409" s="337"/>
      <c r="AC409" s="337"/>
      <c r="AD409" s="337"/>
      <c r="AE409" s="337"/>
      <c r="AF409" s="337"/>
      <c r="AG409" s="337"/>
      <c r="AH409" s="337"/>
      <c r="AI409" s="337"/>
      <c r="AJ409" s="337"/>
      <c r="AK409" s="337"/>
      <c r="AL409" s="337"/>
      <c r="AM409" s="337"/>
      <c r="AN409" s="337"/>
      <c r="AO409" s="337"/>
      <c r="AP409" s="337"/>
      <c r="AQ409" s="337"/>
      <c r="AR409" s="337"/>
      <c r="AS409" s="337"/>
      <c r="AT409" s="337"/>
      <c r="AU409" s="337"/>
      <c r="AV409" s="337"/>
      <c r="AW409" s="337"/>
      <c r="AX409" s="337"/>
      <c r="AY409" s="337"/>
      <c r="AZ409" s="337"/>
      <c r="BA409" s="337"/>
      <c r="BB409" s="337"/>
      <c r="BC409" s="337"/>
      <c r="BD409" s="337"/>
      <c r="BE409" s="337"/>
      <c r="BF409" s="337"/>
      <c r="BG409" s="337"/>
      <c r="BH409" s="337"/>
      <c r="BI409" s="337"/>
      <c r="BJ409" s="337"/>
      <c r="BK409" s="338"/>
      <c r="BL409" s="339"/>
      <c r="BM409" s="340"/>
      <c r="BN409" s="340"/>
      <c r="BO409" s="340"/>
      <c r="BP409" s="340"/>
      <c r="BQ409" s="340"/>
      <c r="BR409" s="340"/>
      <c r="BS409" s="341"/>
      <c r="BT409" s="342" t="s">
        <v>610</v>
      </c>
      <c r="BU409" s="343"/>
      <c r="BV409" s="343"/>
      <c r="BW409" s="343"/>
      <c r="BX409" s="343"/>
      <c r="BY409" s="343"/>
      <c r="BZ409" s="343"/>
      <c r="CA409" s="343"/>
      <c r="CB409" s="343"/>
      <c r="CC409" s="343"/>
      <c r="CD409" s="343"/>
      <c r="CE409" s="343"/>
      <c r="CF409" s="344"/>
      <c r="CG409" s="345" t="s">
        <v>857</v>
      </c>
      <c r="CH409" s="340"/>
      <c r="CI409" s="340"/>
      <c r="CJ409" s="340"/>
      <c r="CK409" s="340"/>
      <c r="CL409" s="340"/>
      <c r="CM409" s="340"/>
      <c r="CN409" s="340"/>
      <c r="CO409" s="340"/>
      <c r="CP409" s="340"/>
      <c r="CQ409" s="341"/>
      <c r="CR409" s="345"/>
      <c r="CS409" s="340"/>
      <c r="CT409" s="340"/>
      <c r="CU409" s="340"/>
      <c r="CV409" s="340"/>
      <c r="CW409" s="340"/>
      <c r="CX409" s="340"/>
      <c r="CY409" s="340"/>
      <c r="CZ409" s="340"/>
      <c r="DA409" s="340"/>
      <c r="DB409" s="340"/>
      <c r="DC409" s="340"/>
      <c r="DD409" s="341"/>
      <c r="DE409" s="346">
        <f>11546-4306</f>
        <v>7240</v>
      </c>
      <c r="DF409" s="347"/>
      <c r="DG409" s="347"/>
      <c r="DH409" s="347"/>
      <c r="DI409" s="347"/>
      <c r="DJ409" s="347"/>
      <c r="DK409" s="347"/>
      <c r="DL409" s="347"/>
      <c r="DM409" s="347"/>
      <c r="DN409" s="347"/>
      <c r="DO409" s="347"/>
      <c r="DP409" s="347"/>
      <c r="DQ409" s="348"/>
      <c r="DR409" s="346">
        <v>0</v>
      </c>
      <c r="DS409" s="347"/>
      <c r="DT409" s="347"/>
      <c r="DU409" s="347"/>
      <c r="DV409" s="347"/>
      <c r="DW409" s="347"/>
      <c r="DX409" s="347"/>
      <c r="DY409" s="347"/>
      <c r="DZ409" s="347"/>
      <c r="EA409" s="347"/>
      <c r="EB409" s="347"/>
      <c r="EC409" s="347"/>
      <c r="ED409" s="348"/>
      <c r="EE409" s="346"/>
      <c r="EF409" s="347"/>
      <c r="EG409" s="347"/>
      <c r="EH409" s="347"/>
      <c r="EI409" s="347"/>
      <c r="EJ409" s="347"/>
      <c r="EK409" s="347"/>
      <c r="EL409" s="347"/>
      <c r="EM409" s="347"/>
      <c r="EN409" s="347"/>
      <c r="EO409" s="347"/>
      <c r="EP409" s="347"/>
      <c r="EQ409" s="348"/>
      <c r="ER409" s="349"/>
      <c r="ES409" s="350"/>
      <c r="ET409" s="350"/>
      <c r="EU409" s="350"/>
      <c r="EV409" s="350"/>
      <c r="EW409" s="350"/>
      <c r="EX409" s="350"/>
      <c r="EY409" s="350"/>
      <c r="EZ409" s="350"/>
      <c r="FA409" s="350"/>
      <c r="FB409" s="351"/>
      <c r="FC409" s="416"/>
      <c r="FD409" s="417"/>
      <c r="FE409" s="417"/>
      <c r="FF409" s="417"/>
      <c r="FG409" s="417"/>
      <c r="FH409" s="417"/>
      <c r="FI409" s="417"/>
      <c r="FJ409" s="417"/>
      <c r="FK409" s="417"/>
      <c r="FL409" s="417"/>
      <c r="FO409" s="275"/>
      <c r="FP409" s="275"/>
      <c r="FQ409" s="275">
        <f t="shared" si="10"/>
        <v>0</v>
      </c>
    </row>
    <row r="410" spans="1:173" s="174" customFormat="1" ht="12" hidden="1" customHeight="1">
      <c r="A410" s="336" t="s">
        <v>855</v>
      </c>
      <c r="B410" s="337"/>
      <c r="C410" s="337"/>
      <c r="D410" s="337"/>
      <c r="E410" s="337"/>
      <c r="F410" s="337"/>
      <c r="G410" s="337"/>
      <c r="H410" s="337"/>
      <c r="I410" s="337"/>
      <c r="J410" s="337"/>
      <c r="K410" s="337"/>
      <c r="L410" s="337"/>
      <c r="M410" s="337"/>
      <c r="N410" s="337"/>
      <c r="O410" s="337"/>
      <c r="P410" s="337"/>
      <c r="Q410" s="337"/>
      <c r="R410" s="337"/>
      <c r="S410" s="337"/>
      <c r="T410" s="337"/>
      <c r="U410" s="337"/>
      <c r="V410" s="337"/>
      <c r="W410" s="337"/>
      <c r="X410" s="337"/>
      <c r="Y410" s="337"/>
      <c r="Z410" s="337"/>
      <c r="AA410" s="337"/>
      <c r="AB410" s="337"/>
      <c r="AC410" s="337"/>
      <c r="AD410" s="337"/>
      <c r="AE410" s="337"/>
      <c r="AF410" s="337"/>
      <c r="AG410" s="337"/>
      <c r="AH410" s="337"/>
      <c r="AI410" s="337"/>
      <c r="AJ410" s="337"/>
      <c r="AK410" s="337"/>
      <c r="AL410" s="337"/>
      <c r="AM410" s="337"/>
      <c r="AN410" s="337"/>
      <c r="AO410" s="337"/>
      <c r="AP410" s="337"/>
      <c r="AQ410" s="337"/>
      <c r="AR410" s="337"/>
      <c r="AS410" s="337"/>
      <c r="AT410" s="337"/>
      <c r="AU410" s="337"/>
      <c r="AV410" s="337"/>
      <c r="AW410" s="337"/>
      <c r="AX410" s="337"/>
      <c r="AY410" s="337"/>
      <c r="AZ410" s="337"/>
      <c r="BA410" s="337"/>
      <c r="BB410" s="337"/>
      <c r="BC410" s="337"/>
      <c r="BD410" s="337"/>
      <c r="BE410" s="337"/>
      <c r="BF410" s="337"/>
      <c r="BG410" s="337"/>
      <c r="BH410" s="337"/>
      <c r="BI410" s="337"/>
      <c r="BJ410" s="337"/>
      <c r="BK410" s="338"/>
      <c r="BL410" s="392"/>
      <c r="BM410" s="393"/>
      <c r="BN410" s="393"/>
      <c r="BO410" s="393"/>
      <c r="BP410" s="393"/>
      <c r="BQ410" s="393"/>
      <c r="BR410" s="393"/>
      <c r="BS410" s="394"/>
      <c r="BT410" s="342" t="s">
        <v>610</v>
      </c>
      <c r="BU410" s="343"/>
      <c r="BV410" s="343"/>
      <c r="BW410" s="343"/>
      <c r="BX410" s="343"/>
      <c r="BY410" s="343"/>
      <c r="BZ410" s="343"/>
      <c r="CA410" s="343"/>
      <c r="CB410" s="343"/>
      <c r="CC410" s="343"/>
      <c r="CD410" s="343"/>
      <c r="CE410" s="343"/>
      <c r="CF410" s="344"/>
      <c r="CG410" s="345" t="s">
        <v>856</v>
      </c>
      <c r="CH410" s="340"/>
      <c r="CI410" s="340"/>
      <c r="CJ410" s="340"/>
      <c r="CK410" s="340"/>
      <c r="CL410" s="340"/>
      <c r="CM410" s="340"/>
      <c r="CN410" s="340"/>
      <c r="CO410" s="340"/>
      <c r="CP410" s="340"/>
      <c r="CQ410" s="341"/>
      <c r="CR410" s="398"/>
      <c r="CS410" s="393"/>
      <c r="CT410" s="393"/>
      <c r="CU410" s="393"/>
      <c r="CV410" s="393"/>
      <c r="CW410" s="393"/>
      <c r="CX410" s="393"/>
      <c r="CY410" s="393"/>
      <c r="CZ410" s="393"/>
      <c r="DA410" s="393"/>
      <c r="DB410" s="393"/>
      <c r="DC410" s="393"/>
      <c r="DD410" s="394"/>
      <c r="DE410" s="346">
        <f>50000-19200-30800</f>
        <v>0</v>
      </c>
      <c r="DF410" s="347"/>
      <c r="DG410" s="347"/>
      <c r="DH410" s="347"/>
      <c r="DI410" s="347"/>
      <c r="DJ410" s="347"/>
      <c r="DK410" s="347"/>
      <c r="DL410" s="347"/>
      <c r="DM410" s="347"/>
      <c r="DN410" s="347"/>
      <c r="DO410" s="347"/>
      <c r="DP410" s="347"/>
      <c r="DQ410" s="348"/>
      <c r="DR410" s="346">
        <v>0</v>
      </c>
      <c r="DS410" s="347"/>
      <c r="DT410" s="347"/>
      <c r="DU410" s="347"/>
      <c r="DV410" s="347"/>
      <c r="DW410" s="347"/>
      <c r="DX410" s="347"/>
      <c r="DY410" s="347"/>
      <c r="DZ410" s="347"/>
      <c r="EA410" s="347"/>
      <c r="EB410" s="347"/>
      <c r="EC410" s="347"/>
      <c r="ED410" s="348"/>
      <c r="EE410" s="346"/>
      <c r="EF410" s="347"/>
      <c r="EG410" s="347"/>
      <c r="EH410" s="347"/>
      <c r="EI410" s="347"/>
      <c r="EJ410" s="347"/>
      <c r="EK410" s="347"/>
      <c r="EL410" s="347"/>
      <c r="EM410" s="347"/>
      <c r="EN410" s="347"/>
      <c r="EO410" s="347"/>
      <c r="EP410" s="347"/>
      <c r="EQ410" s="348"/>
      <c r="ER410" s="402"/>
      <c r="ES410" s="403"/>
      <c r="ET410" s="403"/>
      <c r="EU410" s="403"/>
      <c r="EV410" s="403"/>
      <c r="EW410" s="403"/>
      <c r="EX410" s="403"/>
      <c r="EY410" s="403"/>
      <c r="EZ410" s="403"/>
      <c r="FA410" s="403"/>
      <c r="FB410" s="404"/>
      <c r="FC410" s="408"/>
      <c r="FD410" s="409"/>
      <c r="FE410" s="409"/>
      <c r="FF410" s="409"/>
      <c r="FG410" s="409"/>
      <c r="FH410" s="409"/>
      <c r="FI410" s="409"/>
      <c r="FJ410" s="409"/>
      <c r="FK410" s="409"/>
      <c r="FL410" s="409"/>
      <c r="FO410" s="279"/>
      <c r="FP410" s="279"/>
      <c r="FQ410" s="275">
        <f t="shared" si="10"/>
        <v>0</v>
      </c>
    </row>
    <row r="411" spans="1:173" ht="12" hidden="1" customHeight="1">
      <c r="A411" s="336" t="s">
        <v>858</v>
      </c>
      <c r="B411" s="337"/>
      <c r="C411" s="337"/>
      <c r="D411" s="337"/>
      <c r="E411" s="337"/>
      <c r="F411" s="337"/>
      <c r="G411" s="337"/>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337"/>
      <c r="AD411" s="337"/>
      <c r="AE411" s="337"/>
      <c r="AF411" s="337"/>
      <c r="AG411" s="337"/>
      <c r="AH411" s="337"/>
      <c r="AI411" s="337"/>
      <c r="AJ411" s="337"/>
      <c r="AK411" s="337"/>
      <c r="AL411" s="337"/>
      <c r="AM411" s="337"/>
      <c r="AN411" s="337"/>
      <c r="AO411" s="337"/>
      <c r="AP411" s="337"/>
      <c r="AQ411" s="337"/>
      <c r="AR411" s="337"/>
      <c r="AS411" s="337"/>
      <c r="AT411" s="337"/>
      <c r="AU411" s="337"/>
      <c r="AV411" s="337"/>
      <c r="AW411" s="337"/>
      <c r="AX411" s="337"/>
      <c r="AY411" s="337"/>
      <c r="AZ411" s="337"/>
      <c r="BA411" s="337"/>
      <c r="BB411" s="337"/>
      <c r="BC411" s="337"/>
      <c r="BD411" s="337"/>
      <c r="BE411" s="337"/>
      <c r="BF411" s="337"/>
      <c r="BG411" s="337"/>
      <c r="BH411" s="337"/>
      <c r="BI411" s="337"/>
      <c r="BJ411" s="337"/>
      <c r="BK411" s="338"/>
      <c r="BL411" s="392"/>
      <c r="BM411" s="393"/>
      <c r="BN411" s="393"/>
      <c r="BO411" s="393"/>
      <c r="BP411" s="393"/>
      <c r="BQ411" s="393"/>
      <c r="BR411" s="393"/>
      <c r="BS411" s="394"/>
      <c r="BT411" s="342" t="s">
        <v>610</v>
      </c>
      <c r="BU411" s="343"/>
      <c r="BV411" s="343"/>
      <c r="BW411" s="343"/>
      <c r="BX411" s="343"/>
      <c r="BY411" s="343"/>
      <c r="BZ411" s="343"/>
      <c r="CA411" s="343"/>
      <c r="CB411" s="343"/>
      <c r="CC411" s="343"/>
      <c r="CD411" s="343"/>
      <c r="CE411" s="343"/>
      <c r="CF411" s="344"/>
      <c r="CG411" s="345" t="s">
        <v>859</v>
      </c>
      <c r="CH411" s="340"/>
      <c r="CI411" s="340"/>
      <c r="CJ411" s="340"/>
      <c r="CK411" s="340"/>
      <c r="CL411" s="340"/>
      <c r="CM411" s="340"/>
      <c r="CN411" s="340"/>
      <c r="CO411" s="340"/>
      <c r="CP411" s="340"/>
      <c r="CQ411" s="341"/>
      <c r="CR411" s="345"/>
      <c r="CS411" s="340"/>
      <c r="CT411" s="340"/>
      <c r="CU411" s="340"/>
      <c r="CV411" s="340"/>
      <c r="CW411" s="340"/>
      <c r="CX411" s="340"/>
      <c r="CY411" s="340"/>
      <c r="CZ411" s="340"/>
      <c r="DA411" s="340"/>
      <c r="DB411" s="340"/>
      <c r="DC411" s="340"/>
      <c r="DD411" s="341"/>
      <c r="DE411" s="346">
        <f>10000-10000</f>
        <v>0</v>
      </c>
      <c r="DF411" s="347"/>
      <c r="DG411" s="347"/>
      <c r="DH411" s="347"/>
      <c r="DI411" s="347"/>
      <c r="DJ411" s="347"/>
      <c r="DK411" s="347"/>
      <c r="DL411" s="347"/>
      <c r="DM411" s="347"/>
      <c r="DN411" s="347"/>
      <c r="DO411" s="347"/>
      <c r="DP411" s="347"/>
      <c r="DQ411" s="348"/>
      <c r="DR411" s="346">
        <v>0</v>
      </c>
      <c r="DS411" s="347"/>
      <c r="DT411" s="347"/>
      <c r="DU411" s="347"/>
      <c r="DV411" s="347"/>
      <c r="DW411" s="347"/>
      <c r="DX411" s="347"/>
      <c r="DY411" s="347"/>
      <c r="DZ411" s="347"/>
      <c r="EA411" s="347"/>
      <c r="EB411" s="347"/>
      <c r="EC411" s="347"/>
      <c r="ED411" s="348"/>
      <c r="EE411" s="346"/>
      <c r="EF411" s="347"/>
      <c r="EG411" s="347"/>
      <c r="EH411" s="347"/>
      <c r="EI411" s="347"/>
      <c r="EJ411" s="347"/>
      <c r="EK411" s="347"/>
      <c r="EL411" s="347"/>
      <c r="EM411" s="347"/>
      <c r="EN411" s="347"/>
      <c r="EO411" s="347"/>
      <c r="EP411" s="347"/>
      <c r="EQ411" s="348"/>
      <c r="ER411" s="349"/>
      <c r="ES411" s="350"/>
      <c r="ET411" s="350"/>
      <c r="EU411" s="350"/>
      <c r="EV411" s="350"/>
      <c r="EW411" s="350"/>
      <c r="EX411" s="350"/>
      <c r="EY411" s="350"/>
      <c r="EZ411" s="350"/>
      <c r="FA411" s="350"/>
      <c r="FB411" s="351"/>
      <c r="FC411" s="416"/>
      <c r="FD411" s="417"/>
      <c r="FE411" s="417"/>
      <c r="FF411" s="417"/>
      <c r="FG411" s="417"/>
      <c r="FH411" s="417"/>
      <c r="FI411" s="417"/>
      <c r="FJ411" s="417"/>
      <c r="FK411" s="417"/>
      <c r="FL411" s="417"/>
      <c r="FO411" s="275"/>
      <c r="FP411" s="275"/>
      <c r="FQ411" s="275">
        <f t="shared" si="10"/>
        <v>0</v>
      </c>
    </row>
    <row r="412" spans="1:173" ht="10.95" hidden="1" customHeight="1">
      <c r="A412" s="336" t="s">
        <v>860</v>
      </c>
      <c r="B412" s="337"/>
      <c r="C412" s="337"/>
      <c r="D412" s="337"/>
      <c r="E412" s="337"/>
      <c r="F412" s="337"/>
      <c r="G412" s="337"/>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337"/>
      <c r="AD412" s="337"/>
      <c r="AE412" s="337"/>
      <c r="AF412" s="337"/>
      <c r="AG412" s="337"/>
      <c r="AH412" s="337"/>
      <c r="AI412" s="337"/>
      <c r="AJ412" s="337"/>
      <c r="AK412" s="337"/>
      <c r="AL412" s="337"/>
      <c r="AM412" s="337"/>
      <c r="AN412" s="337"/>
      <c r="AO412" s="337"/>
      <c r="AP412" s="337"/>
      <c r="AQ412" s="337"/>
      <c r="AR412" s="337"/>
      <c r="AS412" s="337"/>
      <c r="AT412" s="337"/>
      <c r="AU412" s="337"/>
      <c r="AV412" s="337"/>
      <c r="AW412" s="337"/>
      <c r="AX412" s="337"/>
      <c r="AY412" s="337"/>
      <c r="AZ412" s="337"/>
      <c r="BA412" s="337"/>
      <c r="BB412" s="337"/>
      <c r="BC412" s="337"/>
      <c r="BD412" s="337"/>
      <c r="BE412" s="337"/>
      <c r="BF412" s="337"/>
      <c r="BG412" s="337"/>
      <c r="BH412" s="337"/>
      <c r="BI412" s="337"/>
      <c r="BJ412" s="337"/>
      <c r="BK412" s="338"/>
      <c r="BL412" s="339"/>
      <c r="BM412" s="340"/>
      <c r="BN412" s="340"/>
      <c r="BO412" s="340"/>
      <c r="BP412" s="340"/>
      <c r="BQ412" s="340"/>
      <c r="BR412" s="340"/>
      <c r="BS412" s="341"/>
      <c r="BT412" s="342" t="s">
        <v>610</v>
      </c>
      <c r="BU412" s="343"/>
      <c r="BV412" s="343"/>
      <c r="BW412" s="343"/>
      <c r="BX412" s="343"/>
      <c r="BY412" s="343"/>
      <c r="BZ412" s="343"/>
      <c r="CA412" s="343"/>
      <c r="CB412" s="343"/>
      <c r="CC412" s="343"/>
      <c r="CD412" s="343"/>
      <c r="CE412" s="343"/>
      <c r="CF412" s="344"/>
      <c r="CG412" s="345" t="s">
        <v>861</v>
      </c>
      <c r="CH412" s="340"/>
      <c r="CI412" s="340"/>
      <c r="CJ412" s="340"/>
      <c r="CK412" s="340"/>
      <c r="CL412" s="340"/>
      <c r="CM412" s="340"/>
      <c r="CN412" s="340"/>
      <c r="CO412" s="340"/>
      <c r="CP412" s="340"/>
      <c r="CQ412" s="341"/>
      <c r="CR412" s="345"/>
      <c r="CS412" s="340"/>
      <c r="CT412" s="340"/>
      <c r="CU412" s="340"/>
      <c r="CV412" s="340"/>
      <c r="CW412" s="340"/>
      <c r="CX412" s="340"/>
      <c r="CY412" s="340"/>
      <c r="CZ412" s="340"/>
      <c r="DA412" s="340"/>
      <c r="DB412" s="340"/>
      <c r="DC412" s="340"/>
      <c r="DD412" s="341"/>
      <c r="DE412" s="346">
        <f>20000-15952.5</f>
        <v>4047.5</v>
      </c>
      <c r="DF412" s="347"/>
      <c r="DG412" s="347"/>
      <c r="DH412" s="347"/>
      <c r="DI412" s="347"/>
      <c r="DJ412" s="347"/>
      <c r="DK412" s="347"/>
      <c r="DL412" s="347"/>
      <c r="DM412" s="347"/>
      <c r="DN412" s="347"/>
      <c r="DO412" s="347"/>
      <c r="DP412" s="347"/>
      <c r="DQ412" s="348"/>
      <c r="DR412" s="346">
        <v>0</v>
      </c>
      <c r="DS412" s="347"/>
      <c r="DT412" s="347"/>
      <c r="DU412" s="347"/>
      <c r="DV412" s="347"/>
      <c r="DW412" s="347"/>
      <c r="DX412" s="347"/>
      <c r="DY412" s="347"/>
      <c r="DZ412" s="347"/>
      <c r="EA412" s="347"/>
      <c r="EB412" s="347"/>
      <c r="EC412" s="347"/>
      <c r="ED412" s="348"/>
      <c r="EE412" s="346"/>
      <c r="EF412" s="347"/>
      <c r="EG412" s="347"/>
      <c r="EH412" s="347"/>
      <c r="EI412" s="347"/>
      <c r="EJ412" s="347"/>
      <c r="EK412" s="347"/>
      <c r="EL412" s="347"/>
      <c r="EM412" s="347"/>
      <c r="EN412" s="347"/>
      <c r="EO412" s="347"/>
      <c r="EP412" s="347"/>
      <c r="EQ412" s="348"/>
      <c r="ER412" s="349"/>
      <c r="ES412" s="350"/>
      <c r="ET412" s="350"/>
      <c r="EU412" s="350"/>
      <c r="EV412" s="350"/>
      <c r="EW412" s="350"/>
      <c r="EX412" s="350"/>
      <c r="EY412" s="350"/>
      <c r="EZ412" s="350"/>
      <c r="FA412" s="350"/>
      <c r="FB412" s="351"/>
      <c r="FC412" s="416"/>
      <c r="FD412" s="417"/>
      <c r="FE412" s="417"/>
      <c r="FF412" s="417"/>
      <c r="FG412" s="417"/>
      <c r="FH412" s="417"/>
      <c r="FI412" s="417"/>
      <c r="FJ412" s="417"/>
      <c r="FK412" s="417"/>
      <c r="FL412" s="417"/>
      <c r="FO412" s="275"/>
      <c r="FP412" s="275"/>
      <c r="FQ412" s="275">
        <f t="shared" si="10"/>
        <v>0</v>
      </c>
    </row>
    <row r="413" spans="1:173" ht="12" customHeight="1">
      <c r="A413" s="336" t="s">
        <v>862</v>
      </c>
      <c r="B413" s="337"/>
      <c r="C413" s="337"/>
      <c r="D413" s="337"/>
      <c r="E413" s="337"/>
      <c r="F413" s="337"/>
      <c r="G413" s="337"/>
      <c r="H413" s="337"/>
      <c r="I413" s="337"/>
      <c r="J413" s="337"/>
      <c r="K413" s="337"/>
      <c r="L413" s="337"/>
      <c r="M413" s="337"/>
      <c r="N413" s="337"/>
      <c r="O413" s="337"/>
      <c r="P413" s="337"/>
      <c r="Q413" s="337"/>
      <c r="R413" s="337"/>
      <c r="S413" s="337"/>
      <c r="T413" s="337"/>
      <c r="U413" s="337"/>
      <c r="V413" s="337"/>
      <c r="W413" s="337"/>
      <c r="X413" s="337"/>
      <c r="Y413" s="337"/>
      <c r="Z413" s="337"/>
      <c r="AA413" s="337"/>
      <c r="AB413" s="337"/>
      <c r="AC413" s="337"/>
      <c r="AD413" s="337"/>
      <c r="AE413" s="337"/>
      <c r="AF413" s="337"/>
      <c r="AG413" s="337"/>
      <c r="AH413" s="337"/>
      <c r="AI413" s="337"/>
      <c r="AJ413" s="337"/>
      <c r="AK413" s="337"/>
      <c r="AL413" s="337"/>
      <c r="AM413" s="337"/>
      <c r="AN413" s="337"/>
      <c r="AO413" s="337"/>
      <c r="AP413" s="337"/>
      <c r="AQ413" s="337"/>
      <c r="AR413" s="337"/>
      <c r="AS413" s="337"/>
      <c r="AT413" s="337"/>
      <c r="AU413" s="337"/>
      <c r="AV413" s="337"/>
      <c r="AW413" s="337"/>
      <c r="AX413" s="337"/>
      <c r="AY413" s="337"/>
      <c r="AZ413" s="337"/>
      <c r="BA413" s="337"/>
      <c r="BB413" s="337"/>
      <c r="BC413" s="337"/>
      <c r="BD413" s="337"/>
      <c r="BE413" s="337"/>
      <c r="BF413" s="337"/>
      <c r="BG413" s="337"/>
      <c r="BH413" s="337"/>
      <c r="BI413" s="337"/>
      <c r="BJ413" s="337"/>
      <c r="BK413" s="338"/>
      <c r="BL413" s="392"/>
      <c r="BM413" s="393"/>
      <c r="BN413" s="393"/>
      <c r="BO413" s="393"/>
      <c r="BP413" s="393"/>
      <c r="BQ413" s="393"/>
      <c r="BR413" s="393"/>
      <c r="BS413" s="394"/>
      <c r="BT413" s="342" t="s">
        <v>610</v>
      </c>
      <c r="BU413" s="343"/>
      <c r="BV413" s="343"/>
      <c r="BW413" s="343"/>
      <c r="BX413" s="343"/>
      <c r="BY413" s="343"/>
      <c r="BZ413" s="343"/>
      <c r="CA413" s="343"/>
      <c r="CB413" s="343"/>
      <c r="CC413" s="343"/>
      <c r="CD413" s="343"/>
      <c r="CE413" s="343"/>
      <c r="CF413" s="344"/>
      <c r="CG413" s="345" t="s">
        <v>863</v>
      </c>
      <c r="CH413" s="340"/>
      <c r="CI413" s="340"/>
      <c r="CJ413" s="340"/>
      <c r="CK413" s="340"/>
      <c r="CL413" s="340"/>
      <c r="CM413" s="340"/>
      <c r="CN413" s="340"/>
      <c r="CO413" s="340"/>
      <c r="CP413" s="340"/>
      <c r="CQ413" s="341"/>
      <c r="CR413" s="345"/>
      <c r="CS413" s="340"/>
      <c r="CT413" s="340"/>
      <c r="CU413" s="340"/>
      <c r="CV413" s="340"/>
      <c r="CW413" s="340"/>
      <c r="CX413" s="340"/>
      <c r="CY413" s="340"/>
      <c r="CZ413" s="340"/>
      <c r="DA413" s="340"/>
      <c r="DB413" s="340"/>
      <c r="DC413" s="340"/>
      <c r="DD413" s="341"/>
      <c r="DE413" s="346">
        <f>56000-11875-35217-400</f>
        <v>8508</v>
      </c>
      <c r="DF413" s="347"/>
      <c r="DG413" s="347"/>
      <c r="DH413" s="347"/>
      <c r="DI413" s="347"/>
      <c r="DJ413" s="347"/>
      <c r="DK413" s="347"/>
      <c r="DL413" s="347"/>
      <c r="DM413" s="347"/>
      <c r="DN413" s="347"/>
      <c r="DO413" s="347"/>
      <c r="DP413" s="347"/>
      <c r="DQ413" s="348"/>
      <c r="DR413" s="346">
        <v>5000</v>
      </c>
      <c r="DS413" s="347"/>
      <c r="DT413" s="347"/>
      <c r="DU413" s="347"/>
      <c r="DV413" s="347"/>
      <c r="DW413" s="347"/>
      <c r="DX413" s="347"/>
      <c r="DY413" s="347"/>
      <c r="DZ413" s="347"/>
      <c r="EA413" s="347"/>
      <c r="EB413" s="347"/>
      <c r="EC413" s="347"/>
      <c r="ED413" s="348"/>
      <c r="EE413" s="346"/>
      <c r="EF413" s="347"/>
      <c r="EG413" s="347"/>
      <c r="EH413" s="347"/>
      <c r="EI413" s="347"/>
      <c r="EJ413" s="347"/>
      <c r="EK413" s="347"/>
      <c r="EL413" s="347"/>
      <c r="EM413" s="347"/>
      <c r="EN413" s="347"/>
      <c r="EO413" s="347"/>
      <c r="EP413" s="347"/>
      <c r="EQ413" s="348"/>
      <c r="ER413" s="349"/>
      <c r="ES413" s="350"/>
      <c r="ET413" s="350"/>
      <c r="EU413" s="350"/>
      <c r="EV413" s="350"/>
      <c r="EW413" s="350"/>
      <c r="EX413" s="350"/>
      <c r="EY413" s="350"/>
      <c r="EZ413" s="350"/>
      <c r="FA413" s="350"/>
      <c r="FB413" s="351"/>
      <c r="FC413" s="416"/>
      <c r="FD413" s="417"/>
      <c r="FE413" s="417"/>
      <c r="FF413" s="417"/>
      <c r="FG413" s="417"/>
      <c r="FH413" s="417"/>
      <c r="FI413" s="417"/>
      <c r="FJ413" s="417"/>
      <c r="FK413" s="417"/>
      <c r="FL413" s="417"/>
      <c r="FO413" s="275"/>
      <c r="FP413" s="275"/>
      <c r="FQ413" s="275">
        <f t="shared" si="10"/>
        <v>5000</v>
      </c>
    </row>
    <row r="414" spans="1:173" s="174" customFormat="1" ht="12" customHeight="1">
      <c r="A414" s="336" t="s">
        <v>865</v>
      </c>
      <c r="B414" s="337"/>
      <c r="C414" s="337"/>
      <c r="D414" s="337"/>
      <c r="E414" s="337"/>
      <c r="F414" s="337"/>
      <c r="G414" s="337"/>
      <c r="H414" s="337"/>
      <c r="I414" s="337"/>
      <c r="J414" s="337"/>
      <c r="K414" s="337"/>
      <c r="L414" s="337"/>
      <c r="M414" s="337"/>
      <c r="N414" s="337"/>
      <c r="O414" s="337"/>
      <c r="P414" s="337"/>
      <c r="Q414" s="337"/>
      <c r="R414" s="337"/>
      <c r="S414" s="337"/>
      <c r="T414" s="337"/>
      <c r="U414" s="337"/>
      <c r="V414" s="337"/>
      <c r="W414" s="337"/>
      <c r="X414" s="337"/>
      <c r="Y414" s="337"/>
      <c r="Z414" s="337"/>
      <c r="AA414" s="337"/>
      <c r="AB414" s="337"/>
      <c r="AC414" s="337"/>
      <c r="AD414" s="337"/>
      <c r="AE414" s="337"/>
      <c r="AF414" s="337"/>
      <c r="AG414" s="337"/>
      <c r="AH414" s="337"/>
      <c r="AI414" s="337"/>
      <c r="AJ414" s="337"/>
      <c r="AK414" s="337"/>
      <c r="AL414" s="337"/>
      <c r="AM414" s="337"/>
      <c r="AN414" s="337"/>
      <c r="AO414" s="337"/>
      <c r="AP414" s="337"/>
      <c r="AQ414" s="337"/>
      <c r="AR414" s="337"/>
      <c r="AS414" s="337"/>
      <c r="AT414" s="337"/>
      <c r="AU414" s="337"/>
      <c r="AV414" s="337"/>
      <c r="AW414" s="337"/>
      <c r="AX414" s="337"/>
      <c r="AY414" s="337"/>
      <c r="AZ414" s="337"/>
      <c r="BA414" s="337"/>
      <c r="BB414" s="337"/>
      <c r="BC414" s="337"/>
      <c r="BD414" s="337"/>
      <c r="BE414" s="337"/>
      <c r="BF414" s="337"/>
      <c r="BG414" s="337"/>
      <c r="BH414" s="337"/>
      <c r="BI414" s="337"/>
      <c r="BJ414" s="337"/>
      <c r="BK414" s="338"/>
      <c r="BL414" s="392"/>
      <c r="BM414" s="393"/>
      <c r="BN414" s="393"/>
      <c r="BO414" s="393"/>
      <c r="BP414" s="393"/>
      <c r="BQ414" s="393"/>
      <c r="BR414" s="393"/>
      <c r="BS414" s="394"/>
      <c r="BT414" s="342" t="s">
        <v>610</v>
      </c>
      <c r="BU414" s="343"/>
      <c r="BV414" s="343"/>
      <c r="BW414" s="343"/>
      <c r="BX414" s="343"/>
      <c r="BY414" s="343"/>
      <c r="BZ414" s="343"/>
      <c r="CA414" s="343"/>
      <c r="CB414" s="343"/>
      <c r="CC414" s="343"/>
      <c r="CD414" s="343"/>
      <c r="CE414" s="343"/>
      <c r="CF414" s="344"/>
      <c r="CG414" s="345" t="s">
        <v>857</v>
      </c>
      <c r="CH414" s="340"/>
      <c r="CI414" s="340"/>
      <c r="CJ414" s="340"/>
      <c r="CK414" s="340"/>
      <c r="CL414" s="340"/>
      <c r="CM414" s="340"/>
      <c r="CN414" s="340"/>
      <c r="CO414" s="340"/>
      <c r="CP414" s="340"/>
      <c r="CQ414" s="341"/>
      <c r="CR414" s="398"/>
      <c r="CS414" s="393"/>
      <c r="CT414" s="393"/>
      <c r="CU414" s="393"/>
      <c r="CV414" s="393"/>
      <c r="CW414" s="393"/>
      <c r="CX414" s="393"/>
      <c r="CY414" s="393"/>
      <c r="CZ414" s="393"/>
      <c r="DA414" s="393"/>
      <c r="DB414" s="393"/>
      <c r="DC414" s="393"/>
      <c r="DD414" s="394"/>
      <c r="DE414" s="346">
        <f>40000-1819.69-15006-23174.31</f>
        <v>0</v>
      </c>
      <c r="DF414" s="347"/>
      <c r="DG414" s="347"/>
      <c r="DH414" s="347"/>
      <c r="DI414" s="347"/>
      <c r="DJ414" s="347"/>
      <c r="DK414" s="347"/>
      <c r="DL414" s="347"/>
      <c r="DM414" s="347"/>
      <c r="DN414" s="347"/>
      <c r="DO414" s="347"/>
      <c r="DP414" s="347"/>
      <c r="DQ414" s="348"/>
      <c r="DR414" s="346">
        <v>0</v>
      </c>
      <c r="DS414" s="347"/>
      <c r="DT414" s="347"/>
      <c r="DU414" s="347"/>
      <c r="DV414" s="347"/>
      <c r="DW414" s="347"/>
      <c r="DX414" s="347"/>
      <c r="DY414" s="347"/>
      <c r="DZ414" s="347"/>
      <c r="EA414" s="347"/>
      <c r="EB414" s="347"/>
      <c r="EC414" s="347"/>
      <c r="ED414" s="348"/>
      <c r="EE414" s="346"/>
      <c r="EF414" s="347"/>
      <c r="EG414" s="347"/>
      <c r="EH414" s="347"/>
      <c r="EI414" s="347"/>
      <c r="EJ414" s="347"/>
      <c r="EK414" s="347"/>
      <c r="EL414" s="347"/>
      <c r="EM414" s="347"/>
      <c r="EN414" s="347"/>
      <c r="EO414" s="347"/>
      <c r="EP414" s="347"/>
      <c r="EQ414" s="348"/>
      <c r="ER414" s="402"/>
      <c r="ES414" s="403"/>
      <c r="ET414" s="403"/>
      <c r="EU414" s="403"/>
      <c r="EV414" s="403"/>
      <c r="EW414" s="403"/>
      <c r="EX414" s="403"/>
      <c r="EY414" s="403"/>
      <c r="EZ414" s="403"/>
      <c r="FA414" s="403"/>
      <c r="FB414" s="404"/>
      <c r="FC414" s="408"/>
      <c r="FD414" s="409"/>
      <c r="FE414" s="409"/>
      <c r="FF414" s="409"/>
      <c r="FG414" s="409"/>
      <c r="FH414" s="409"/>
      <c r="FI414" s="409"/>
      <c r="FJ414" s="409"/>
      <c r="FK414" s="409"/>
      <c r="FL414" s="409"/>
      <c r="FO414" s="279"/>
      <c r="FP414" s="279"/>
      <c r="FQ414" s="275">
        <f t="shared" si="10"/>
        <v>0</v>
      </c>
    </row>
    <row r="415" spans="1:173" s="174" customFormat="1" ht="12" customHeight="1">
      <c r="A415" s="336" t="s">
        <v>866</v>
      </c>
      <c r="B415" s="337"/>
      <c r="C415" s="337"/>
      <c r="D415" s="337"/>
      <c r="E415" s="337"/>
      <c r="F415" s="337"/>
      <c r="G415" s="337"/>
      <c r="H415" s="337"/>
      <c r="I415" s="337"/>
      <c r="J415" s="337"/>
      <c r="K415" s="337"/>
      <c r="L415" s="337"/>
      <c r="M415" s="337"/>
      <c r="N415" s="337"/>
      <c r="O415" s="337"/>
      <c r="P415" s="337"/>
      <c r="Q415" s="337"/>
      <c r="R415" s="337"/>
      <c r="S415" s="337"/>
      <c r="T415" s="337"/>
      <c r="U415" s="337"/>
      <c r="V415" s="337"/>
      <c r="W415" s="337"/>
      <c r="X415" s="337"/>
      <c r="Y415" s="337"/>
      <c r="Z415" s="337"/>
      <c r="AA415" s="337"/>
      <c r="AB415" s="337"/>
      <c r="AC415" s="337"/>
      <c r="AD415" s="337"/>
      <c r="AE415" s="337"/>
      <c r="AF415" s="337"/>
      <c r="AG415" s="337"/>
      <c r="AH415" s="337"/>
      <c r="AI415" s="337"/>
      <c r="AJ415" s="337"/>
      <c r="AK415" s="337"/>
      <c r="AL415" s="337"/>
      <c r="AM415" s="337"/>
      <c r="AN415" s="337"/>
      <c r="AO415" s="337"/>
      <c r="AP415" s="337"/>
      <c r="AQ415" s="337"/>
      <c r="AR415" s="337"/>
      <c r="AS415" s="337"/>
      <c r="AT415" s="337"/>
      <c r="AU415" s="337"/>
      <c r="AV415" s="337"/>
      <c r="AW415" s="337"/>
      <c r="AX415" s="337"/>
      <c r="AY415" s="337"/>
      <c r="AZ415" s="337"/>
      <c r="BA415" s="337"/>
      <c r="BB415" s="337"/>
      <c r="BC415" s="337"/>
      <c r="BD415" s="337"/>
      <c r="BE415" s="337"/>
      <c r="BF415" s="337"/>
      <c r="BG415" s="337"/>
      <c r="BH415" s="337"/>
      <c r="BI415" s="337"/>
      <c r="BJ415" s="337"/>
      <c r="BK415" s="338"/>
      <c r="BL415" s="392"/>
      <c r="BM415" s="393"/>
      <c r="BN415" s="393"/>
      <c r="BO415" s="393"/>
      <c r="BP415" s="393"/>
      <c r="BQ415" s="393"/>
      <c r="BR415" s="393"/>
      <c r="BS415" s="394"/>
      <c r="BT415" s="342" t="s">
        <v>610</v>
      </c>
      <c r="BU415" s="343"/>
      <c r="BV415" s="343"/>
      <c r="BW415" s="343"/>
      <c r="BX415" s="343"/>
      <c r="BY415" s="343"/>
      <c r="BZ415" s="343"/>
      <c r="CA415" s="343"/>
      <c r="CB415" s="343"/>
      <c r="CC415" s="343"/>
      <c r="CD415" s="343"/>
      <c r="CE415" s="343"/>
      <c r="CF415" s="344"/>
      <c r="CG415" s="345" t="s">
        <v>857</v>
      </c>
      <c r="CH415" s="340"/>
      <c r="CI415" s="340"/>
      <c r="CJ415" s="340"/>
      <c r="CK415" s="340"/>
      <c r="CL415" s="340"/>
      <c r="CM415" s="340"/>
      <c r="CN415" s="340"/>
      <c r="CO415" s="340"/>
      <c r="CP415" s="340"/>
      <c r="CQ415" s="341"/>
      <c r="CR415" s="398"/>
      <c r="CS415" s="393"/>
      <c r="CT415" s="393"/>
      <c r="CU415" s="393"/>
      <c r="CV415" s="393"/>
      <c r="CW415" s="393"/>
      <c r="CX415" s="393"/>
      <c r="CY415" s="393"/>
      <c r="CZ415" s="393"/>
      <c r="DA415" s="393"/>
      <c r="DB415" s="393"/>
      <c r="DC415" s="393"/>
      <c r="DD415" s="394"/>
      <c r="DE415" s="346">
        <v>7900</v>
      </c>
      <c r="DF415" s="347"/>
      <c r="DG415" s="347"/>
      <c r="DH415" s="347"/>
      <c r="DI415" s="347"/>
      <c r="DJ415" s="347"/>
      <c r="DK415" s="347"/>
      <c r="DL415" s="347"/>
      <c r="DM415" s="347"/>
      <c r="DN415" s="347"/>
      <c r="DO415" s="347"/>
      <c r="DP415" s="347"/>
      <c r="DQ415" s="348"/>
      <c r="DR415" s="425">
        <f>7900</f>
        <v>7900</v>
      </c>
      <c r="DS415" s="426"/>
      <c r="DT415" s="426"/>
      <c r="DU415" s="426"/>
      <c r="DV415" s="426"/>
      <c r="DW415" s="426"/>
      <c r="DX415" s="426"/>
      <c r="DY415" s="426"/>
      <c r="DZ415" s="426"/>
      <c r="EA415" s="426"/>
      <c r="EB415" s="426"/>
      <c r="EC415" s="426"/>
      <c r="ED415" s="427"/>
      <c r="EE415" s="346"/>
      <c r="EF415" s="347"/>
      <c r="EG415" s="347"/>
      <c r="EH415" s="347"/>
      <c r="EI415" s="347"/>
      <c r="EJ415" s="347"/>
      <c r="EK415" s="347"/>
      <c r="EL415" s="347"/>
      <c r="EM415" s="347"/>
      <c r="EN415" s="347"/>
      <c r="EO415" s="347"/>
      <c r="EP415" s="347"/>
      <c r="EQ415" s="348"/>
      <c r="ER415" s="402"/>
      <c r="ES415" s="403"/>
      <c r="ET415" s="403"/>
      <c r="EU415" s="403"/>
      <c r="EV415" s="403"/>
      <c r="EW415" s="403"/>
      <c r="EX415" s="403"/>
      <c r="EY415" s="403"/>
      <c r="EZ415" s="403"/>
      <c r="FA415" s="403"/>
      <c r="FB415" s="404"/>
      <c r="FC415" s="408"/>
      <c r="FD415" s="409"/>
      <c r="FE415" s="409"/>
      <c r="FF415" s="409"/>
      <c r="FG415" s="409"/>
      <c r="FH415" s="409"/>
      <c r="FI415" s="409"/>
      <c r="FJ415" s="409"/>
      <c r="FK415" s="409"/>
      <c r="FL415" s="409"/>
      <c r="FO415" s="279"/>
      <c r="FP415" s="279"/>
      <c r="FQ415" s="275">
        <f t="shared" si="10"/>
        <v>7900</v>
      </c>
    </row>
    <row r="416" spans="1:173" s="174" customFormat="1" ht="12" customHeight="1">
      <c r="A416" s="336" t="s">
        <v>867</v>
      </c>
      <c r="B416" s="337"/>
      <c r="C416" s="337"/>
      <c r="D416" s="337"/>
      <c r="E416" s="337"/>
      <c r="F416" s="337"/>
      <c r="G416" s="337"/>
      <c r="H416" s="337"/>
      <c r="I416" s="337"/>
      <c r="J416" s="337"/>
      <c r="K416" s="337"/>
      <c r="L416" s="337"/>
      <c r="M416" s="337"/>
      <c r="N416" s="337"/>
      <c r="O416" s="337"/>
      <c r="P416" s="337"/>
      <c r="Q416" s="337"/>
      <c r="R416" s="337"/>
      <c r="S416" s="337"/>
      <c r="T416" s="337"/>
      <c r="U416" s="337"/>
      <c r="V416" s="337"/>
      <c r="W416" s="337"/>
      <c r="X416" s="337"/>
      <c r="Y416" s="337"/>
      <c r="Z416" s="337"/>
      <c r="AA416" s="337"/>
      <c r="AB416" s="337"/>
      <c r="AC416" s="337"/>
      <c r="AD416" s="337"/>
      <c r="AE416" s="337"/>
      <c r="AF416" s="337"/>
      <c r="AG416" s="337"/>
      <c r="AH416" s="337"/>
      <c r="AI416" s="337"/>
      <c r="AJ416" s="337"/>
      <c r="AK416" s="337"/>
      <c r="AL416" s="337"/>
      <c r="AM416" s="337"/>
      <c r="AN416" s="337"/>
      <c r="AO416" s="337"/>
      <c r="AP416" s="337"/>
      <c r="AQ416" s="337"/>
      <c r="AR416" s="337"/>
      <c r="AS416" s="337"/>
      <c r="AT416" s="337"/>
      <c r="AU416" s="337"/>
      <c r="AV416" s="337"/>
      <c r="AW416" s="337"/>
      <c r="AX416" s="337"/>
      <c r="AY416" s="337"/>
      <c r="AZ416" s="337"/>
      <c r="BA416" s="337"/>
      <c r="BB416" s="337"/>
      <c r="BC416" s="337"/>
      <c r="BD416" s="337"/>
      <c r="BE416" s="337"/>
      <c r="BF416" s="337"/>
      <c r="BG416" s="337"/>
      <c r="BH416" s="337"/>
      <c r="BI416" s="337"/>
      <c r="BJ416" s="337"/>
      <c r="BK416" s="338"/>
      <c r="BL416" s="392"/>
      <c r="BM416" s="393"/>
      <c r="BN416" s="393"/>
      <c r="BO416" s="393"/>
      <c r="BP416" s="393"/>
      <c r="BQ416" s="393"/>
      <c r="BR416" s="393"/>
      <c r="BS416" s="394"/>
      <c r="BT416" s="342" t="s">
        <v>610</v>
      </c>
      <c r="BU416" s="343"/>
      <c r="BV416" s="343"/>
      <c r="BW416" s="343"/>
      <c r="BX416" s="343"/>
      <c r="BY416" s="343"/>
      <c r="BZ416" s="343"/>
      <c r="CA416" s="343"/>
      <c r="CB416" s="343"/>
      <c r="CC416" s="343"/>
      <c r="CD416" s="343"/>
      <c r="CE416" s="343"/>
      <c r="CF416" s="344"/>
      <c r="CG416" s="345" t="s">
        <v>857</v>
      </c>
      <c r="CH416" s="340"/>
      <c r="CI416" s="340"/>
      <c r="CJ416" s="340"/>
      <c r="CK416" s="340"/>
      <c r="CL416" s="340"/>
      <c r="CM416" s="340"/>
      <c r="CN416" s="340"/>
      <c r="CO416" s="340"/>
      <c r="CP416" s="340"/>
      <c r="CQ416" s="341"/>
      <c r="CR416" s="398"/>
      <c r="CS416" s="393"/>
      <c r="CT416" s="393"/>
      <c r="CU416" s="393"/>
      <c r="CV416" s="393"/>
      <c r="CW416" s="393"/>
      <c r="CX416" s="393"/>
      <c r="CY416" s="393"/>
      <c r="CZ416" s="393"/>
      <c r="DA416" s="393"/>
      <c r="DB416" s="393"/>
      <c r="DC416" s="393"/>
      <c r="DD416" s="394"/>
      <c r="DE416" s="346">
        <f>45400+DE432-3652.6+434.8+6049.8+21925</f>
        <v>68622</v>
      </c>
      <c r="DF416" s="347"/>
      <c r="DG416" s="347"/>
      <c r="DH416" s="347"/>
      <c r="DI416" s="347"/>
      <c r="DJ416" s="347"/>
      <c r="DK416" s="347"/>
      <c r="DL416" s="347"/>
      <c r="DM416" s="347"/>
      <c r="DN416" s="347"/>
      <c r="DO416" s="347"/>
      <c r="DP416" s="347"/>
      <c r="DQ416" s="348"/>
      <c r="DR416" s="425">
        <f>8200+20000</f>
        <v>28200</v>
      </c>
      <c r="DS416" s="426"/>
      <c r="DT416" s="426"/>
      <c r="DU416" s="426"/>
      <c r="DV416" s="426"/>
      <c r="DW416" s="426"/>
      <c r="DX416" s="426"/>
      <c r="DY416" s="426"/>
      <c r="DZ416" s="426"/>
      <c r="EA416" s="426"/>
      <c r="EB416" s="426"/>
      <c r="EC416" s="426"/>
      <c r="ED416" s="427"/>
      <c r="EE416" s="346"/>
      <c r="EF416" s="347"/>
      <c r="EG416" s="347"/>
      <c r="EH416" s="347"/>
      <c r="EI416" s="347"/>
      <c r="EJ416" s="347"/>
      <c r="EK416" s="347"/>
      <c r="EL416" s="347"/>
      <c r="EM416" s="347"/>
      <c r="EN416" s="347"/>
      <c r="EO416" s="347"/>
      <c r="EP416" s="347"/>
      <c r="EQ416" s="348"/>
      <c r="ER416" s="402"/>
      <c r="ES416" s="403"/>
      <c r="ET416" s="403"/>
      <c r="EU416" s="403"/>
      <c r="EV416" s="403"/>
      <c r="EW416" s="403"/>
      <c r="EX416" s="403"/>
      <c r="EY416" s="403"/>
      <c r="EZ416" s="403"/>
      <c r="FA416" s="403"/>
      <c r="FB416" s="404"/>
      <c r="FC416" s="408"/>
      <c r="FD416" s="409"/>
      <c r="FE416" s="409"/>
      <c r="FF416" s="409"/>
      <c r="FG416" s="409"/>
      <c r="FH416" s="409"/>
      <c r="FI416" s="409"/>
      <c r="FJ416" s="409"/>
      <c r="FK416" s="409"/>
      <c r="FL416" s="409"/>
      <c r="FO416" s="279">
        <f>3580</f>
        <v>3580</v>
      </c>
      <c r="FP416" s="279"/>
      <c r="FQ416" s="275">
        <f t="shared" si="10"/>
        <v>24620</v>
      </c>
    </row>
    <row r="417" spans="1:173" ht="13.95" customHeight="1">
      <c r="A417" s="336" t="s">
        <v>951</v>
      </c>
      <c r="B417" s="337"/>
      <c r="C417" s="337"/>
      <c r="D417" s="337"/>
      <c r="E417" s="337"/>
      <c r="F417" s="337"/>
      <c r="G417" s="337"/>
      <c r="H417" s="337"/>
      <c r="I417" s="337"/>
      <c r="J417" s="337"/>
      <c r="K417" s="337"/>
      <c r="L417" s="337"/>
      <c r="M417" s="337"/>
      <c r="N417" s="337"/>
      <c r="O417" s="337"/>
      <c r="P417" s="337"/>
      <c r="Q417" s="337"/>
      <c r="R417" s="337"/>
      <c r="S417" s="337"/>
      <c r="T417" s="337"/>
      <c r="U417" s="337"/>
      <c r="V417" s="337"/>
      <c r="W417" s="337"/>
      <c r="X417" s="337"/>
      <c r="Y417" s="337"/>
      <c r="Z417" s="337"/>
      <c r="AA417" s="337"/>
      <c r="AB417" s="337"/>
      <c r="AC417" s="337"/>
      <c r="AD417" s="337"/>
      <c r="AE417" s="337"/>
      <c r="AF417" s="337"/>
      <c r="AG417" s="337"/>
      <c r="AH417" s="337"/>
      <c r="AI417" s="337"/>
      <c r="AJ417" s="337"/>
      <c r="AK417" s="337"/>
      <c r="AL417" s="337"/>
      <c r="AM417" s="337"/>
      <c r="AN417" s="337"/>
      <c r="AO417" s="337"/>
      <c r="AP417" s="337"/>
      <c r="AQ417" s="337"/>
      <c r="AR417" s="337"/>
      <c r="AS417" s="337"/>
      <c r="AT417" s="337"/>
      <c r="AU417" s="337"/>
      <c r="AV417" s="337"/>
      <c r="AW417" s="337"/>
      <c r="AX417" s="337"/>
      <c r="AY417" s="337"/>
      <c r="AZ417" s="337"/>
      <c r="BA417" s="337"/>
      <c r="BB417" s="337"/>
      <c r="BC417" s="337"/>
      <c r="BD417" s="337"/>
      <c r="BE417" s="337"/>
      <c r="BF417" s="337"/>
      <c r="BG417" s="337"/>
      <c r="BH417" s="337"/>
      <c r="BI417" s="337"/>
      <c r="BJ417" s="337"/>
      <c r="BK417" s="338"/>
      <c r="BL417" s="392"/>
      <c r="BM417" s="393"/>
      <c r="BN417" s="393"/>
      <c r="BO417" s="393"/>
      <c r="BP417" s="393"/>
      <c r="BQ417" s="393"/>
      <c r="BR417" s="393"/>
      <c r="BS417" s="394"/>
      <c r="BT417" s="342" t="s">
        <v>610</v>
      </c>
      <c r="BU417" s="343"/>
      <c r="BV417" s="343"/>
      <c r="BW417" s="343"/>
      <c r="BX417" s="343"/>
      <c r="BY417" s="343"/>
      <c r="BZ417" s="343"/>
      <c r="CA417" s="343"/>
      <c r="CB417" s="343"/>
      <c r="CC417" s="343"/>
      <c r="CD417" s="343"/>
      <c r="CE417" s="343"/>
      <c r="CF417" s="344"/>
      <c r="CG417" s="345" t="s">
        <v>856</v>
      </c>
      <c r="CH417" s="340"/>
      <c r="CI417" s="340"/>
      <c r="CJ417" s="340"/>
      <c r="CK417" s="340"/>
      <c r="CL417" s="340"/>
      <c r="CM417" s="340"/>
      <c r="CN417" s="340"/>
      <c r="CO417" s="340"/>
      <c r="CP417" s="340"/>
      <c r="CQ417" s="341"/>
      <c r="CR417" s="345"/>
      <c r="CS417" s="340"/>
      <c r="CT417" s="340"/>
      <c r="CU417" s="340"/>
      <c r="CV417" s="340"/>
      <c r="CW417" s="340"/>
      <c r="CX417" s="340"/>
      <c r="CY417" s="340"/>
      <c r="CZ417" s="340"/>
      <c r="DA417" s="340"/>
      <c r="DB417" s="340"/>
      <c r="DC417" s="340"/>
      <c r="DD417" s="341"/>
      <c r="DE417" s="346">
        <f>3652.6+19200+15006</f>
        <v>37858.6</v>
      </c>
      <c r="DF417" s="347"/>
      <c r="DG417" s="347"/>
      <c r="DH417" s="347"/>
      <c r="DI417" s="347"/>
      <c r="DJ417" s="347"/>
      <c r="DK417" s="347"/>
      <c r="DL417" s="347"/>
      <c r="DM417" s="347"/>
      <c r="DN417" s="347"/>
      <c r="DO417" s="347"/>
      <c r="DP417" s="347"/>
      <c r="DQ417" s="348"/>
      <c r="DR417" s="346">
        <v>0</v>
      </c>
      <c r="DS417" s="347"/>
      <c r="DT417" s="347"/>
      <c r="DU417" s="347"/>
      <c r="DV417" s="347"/>
      <c r="DW417" s="347"/>
      <c r="DX417" s="347"/>
      <c r="DY417" s="347"/>
      <c r="DZ417" s="347"/>
      <c r="EA417" s="347"/>
      <c r="EB417" s="347"/>
      <c r="EC417" s="347"/>
      <c r="ED417" s="348"/>
      <c r="EE417" s="346"/>
      <c r="EF417" s="347"/>
      <c r="EG417" s="347"/>
      <c r="EH417" s="347"/>
      <c r="EI417" s="347"/>
      <c r="EJ417" s="347"/>
      <c r="EK417" s="347"/>
      <c r="EL417" s="347"/>
      <c r="EM417" s="347"/>
      <c r="EN417" s="347"/>
      <c r="EO417" s="347"/>
      <c r="EP417" s="347"/>
      <c r="EQ417" s="348"/>
      <c r="ER417" s="349"/>
      <c r="ES417" s="350"/>
      <c r="ET417" s="350"/>
      <c r="EU417" s="350"/>
      <c r="EV417" s="350"/>
      <c r="EW417" s="350"/>
      <c r="EX417" s="350"/>
      <c r="EY417" s="350"/>
      <c r="EZ417" s="350"/>
      <c r="FA417" s="350"/>
      <c r="FB417" s="351"/>
      <c r="FC417" s="416"/>
      <c r="FD417" s="417"/>
      <c r="FE417" s="417"/>
      <c r="FF417" s="417"/>
      <c r="FG417" s="417"/>
      <c r="FH417" s="417"/>
      <c r="FI417" s="417"/>
      <c r="FJ417" s="417"/>
      <c r="FK417" s="417"/>
      <c r="FL417" s="417"/>
      <c r="FO417" s="275"/>
      <c r="FP417" s="275"/>
      <c r="FQ417" s="275">
        <f t="shared" si="10"/>
        <v>0</v>
      </c>
    </row>
    <row r="418" spans="1:173" ht="12" customHeight="1">
      <c r="A418" s="336" t="s">
        <v>1027</v>
      </c>
      <c r="B418" s="337"/>
      <c r="C418" s="337"/>
      <c r="D418" s="337"/>
      <c r="E418" s="337"/>
      <c r="F418" s="337"/>
      <c r="G418" s="337"/>
      <c r="H418" s="337"/>
      <c r="I418" s="337"/>
      <c r="J418" s="337"/>
      <c r="K418" s="337"/>
      <c r="L418" s="337"/>
      <c r="M418" s="337"/>
      <c r="N418" s="337"/>
      <c r="O418" s="337"/>
      <c r="P418" s="337"/>
      <c r="Q418" s="337"/>
      <c r="R418" s="337"/>
      <c r="S418" s="337"/>
      <c r="T418" s="337"/>
      <c r="U418" s="337"/>
      <c r="V418" s="337"/>
      <c r="W418" s="337"/>
      <c r="X418" s="337"/>
      <c r="Y418" s="337"/>
      <c r="Z418" s="337"/>
      <c r="AA418" s="337"/>
      <c r="AB418" s="337"/>
      <c r="AC418" s="337"/>
      <c r="AD418" s="337"/>
      <c r="AE418" s="337"/>
      <c r="AF418" s="337"/>
      <c r="AG418" s="337"/>
      <c r="AH418" s="337"/>
      <c r="AI418" s="337"/>
      <c r="AJ418" s="337"/>
      <c r="AK418" s="337"/>
      <c r="AL418" s="337"/>
      <c r="AM418" s="337"/>
      <c r="AN418" s="337"/>
      <c r="AO418" s="337"/>
      <c r="AP418" s="337"/>
      <c r="AQ418" s="337"/>
      <c r="AR418" s="337"/>
      <c r="AS418" s="337"/>
      <c r="AT418" s="337"/>
      <c r="AU418" s="337"/>
      <c r="AV418" s="337"/>
      <c r="AW418" s="337"/>
      <c r="AX418" s="337"/>
      <c r="AY418" s="337"/>
      <c r="AZ418" s="337"/>
      <c r="BA418" s="337"/>
      <c r="BB418" s="337"/>
      <c r="BC418" s="337"/>
      <c r="BD418" s="337"/>
      <c r="BE418" s="337"/>
      <c r="BF418" s="337"/>
      <c r="BG418" s="337"/>
      <c r="BH418" s="337"/>
      <c r="BI418" s="337"/>
      <c r="BJ418" s="337"/>
      <c r="BK418" s="338"/>
      <c r="BL418" s="392"/>
      <c r="BM418" s="393"/>
      <c r="BN418" s="393"/>
      <c r="BO418" s="393"/>
      <c r="BP418" s="393"/>
      <c r="BQ418" s="393"/>
      <c r="BR418" s="393"/>
      <c r="BS418" s="394"/>
      <c r="BT418" s="342" t="s">
        <v>610</v>
      </c>
      <c r="BU418" s="343"/>
      <c r="BV418" s="343"/>
      <c r="BW418" s="343"/>
      <c r="BX418" s="343"/>
      <c r="BY418" s="343"/>
      <c r="BZ418" s="343"/>
      <c r="CA418" s="343"/>
      <c r="CB418" s="343"/>
      <c r="CC418" s="343"/>
      <c r="CD418" s="343"/>
      <c r="CE418" s="343"/>
      <c r="CF418" s="344"/>
      <c r="CG418" s="345" t="s">
        <v>953</v>
      </c>
      <c r="CH418" s="340"/>
      <c r="CI418" s="340"/>
      <c r="CJ418" s="340"/>
      <c r="CK418" s="340"/>
      <c r="CL418" s="340"/>
      <c r="CM418" s="340"/>
      <c r="CN418" s="340"/>
      <c r="CO418" s="340"/>
      <c r="CP418" s="340"/>
      <c r="CQ418" s="341"/>
      <c r="CR418" s="345"/>
      <c r="CS418" s="340"/>
      <c r="CT418" s="340"/>
      <c r="CU418" s="340"/>
      <c r="CV418" s="340"/>
      <c r="CW418" s="340"/>
      <c r="CX418" s="340"/>
      <c r="CY418" s="340"/>
      <c r="CZ418" s="340"/>
      <c r="DA418" s="340"/>
      <c r="DB418" s="340"/>
      <c r="DC418" s="340"/>
      <c r="DD418" s="341"/>
      <c r="DE418" s="346">
        <f>11875</f>
        <v>11875</v>
      </c>
      <c r="DF418" s="347"/>
      <c r="DG418" s="347"/>
      <c r="DH418" s="347"/>
      <c r="DI418" s="347"/>
      <c r="DJ418" s="347"/>
      <c r="DK418" s="347"/>
      <c r="DL418" s="347"/>
      <c r="DM418" s="347"/>
      <c r="DN418" s="347"/>
      <c r="DO418" s="347"/>
      <c r="DP418" s="347"/>
      <c r="DQ418" s="348"/>
      <c r="DR418" s="425">
        <f>5500-2450</f>
        <v>3050</v>
      </c>
      <c r="DS418" s="426"/>
      <c r="DT418" s="426"/>
      <c r="DU418" s="426"/>
      <c r="DV418" s="426"/>
      <c r="DW418" s="426"/>
      <c r="DX418" s="426"/>
      <c r="DY418" s="426"/>
      <c r="DZ418" s="426"/>
      <c r="EA418" s="426"/>
      <c r="EB418" s="426"/>
      <c r="EC418" s="426"/>
      <c r="ED418" s="427"/>
      <c r="EE418" s="346"/>
      <c r="EF418" s="347"/>
      <c r="EG418" s="347"/>
      <c r="EH418" s="347"/>
      <c r="EI418" s="347"/>
      <c r="EJ418" s="347"/>
      <c r="EK418" s="347"/>
      <c r="EL418" s="347"/>
      <c r="EM418" s="347"/>
      <c r="EN418" s="347"/>
      <c r="EO418" s="347"/>
      <c r="EP418" s="347"/>
      <c r="EQ418" s="348"/>
      <c r="ER418" s="349"/>
      <c r="ES418" s="350"/>
      <c r="ET418" s="350"/>
      <c r="EU418" s="350"/>
      <c r="EV418" s="350"/>
      <c r="EW418" s="350"/>
      <c r="EX418" s="350"/>
      <c r="EY418" s="350"/>
      <c r="EZ418" s="350"/>
      <c r="FA418" s="350"/>
      <c r="FB418" s="351"/>
      <c r="FC418" s="416"/>
      <c r="FD418" s="417"/>
      <c r="FE418" s="417"/>
      <c r="FF418" s="417"/>
      <c r="FG418" s="417"/>
      <c r="FH418" s="417"/>
      <c r="FI418" s="417"/>
      <c r="FJ418" s="417"/>
      <c r="FK418" s="417"/>
      <c r="FL418" s="417"/>
      <c r="FO418" s="275"/>
      <c r="FP418" s="275"/>
      <c r="FQ418" s="275">
        <f t="shared" si="10"/>
        <v>3050</v>
      </c>
    </row>
    <row r="419" spans="1:173" s="174" customFormat="1" ht="12" customHeight="1">
      <c r="A419" s="336" t="s">
        <v>868</v>
      </c>
      <c r="B419" s="337"/>
      <c r="C419" s="337"/>
      <c r="D419" s="337"/>
      <c r="E419" s="337"/>
      <c r="F419" s="337"/>
      <c r="G419" s="337"/>
      <c r="H419" s="337"/>
      <c r="I419" s="337"/>
      <c r="J419" s="337"/>
      <c r="K419" s="337"/>
      <c r="L419" s="337"/>
      <c r="M419" s="337"/>
      <c r="N419" s="337"/>
      <c r="O419" s="337"/>
      <c r="P419" s="337"/>
      <c r="Q419" s="337"/>
      <c r="R419" s="337"/>
      <c r="S419" s="337"/>
      <c r="T419" s="337"/>
      <c r="U419" s="337"/>
      <c r="V419" s="337"/>
      <c r="W419" s="337"/>
      <c r="X419" s="337"/>
      <c r="Y419" s="337"/>
      <c r="Z419" s="337"/>
      <c r="AA419" s="337"/>
      <c r="AB419" s="337"/>
      <c r="AC419" s="337"/>
      <c r="AD419" s="337"/>
      <c r="AE419" s="337"/>
      <c r="AF419" s="337"/>
      <c r="AG419" s="337"/>
      <c r="AH419" s="337"/>
      <c r="AI419" s="337"/>
      <c r="AJ419" s="337"/>
      <c r="AK419" s="337"/>
      <c r="AL419" s="337"/>
      <c r="AM419" s="337"/>
      <c r="AN419" s="337"/>
      <c r="AO419" s="337"/>
      <c r="AP419" s="337"/>
      <c r="AQ419" s="337"/>
      <c r="AR419" s="337"/>
      <c r="AS419" s="337"/>
      <c r="AT419" s="337"/>
      <c r="AU419" s="337"/>
      <c r="AV419" s="337"/>
      <c r="AW419" s="337"/>
      <c r="AX419" s="337"/>
      <c r="AY419" s="337"/>
      <c r="AZ419" s="337"/>
      <c r="BA419" s="337"/>
      <c r="BB419" s="337"/>
      <c r="BC419" s="337"/>
      <c r="BD419" s="337"/>
      <c r="BE419" s="337"/>
      <c r="BF419" s="337"/>
      <c r="BG419" s="337"/>
      <c r="BH419" s="337"/>
      <c r="BI419" s="337"/>
      <c r="BJ419" s="337"/>
      <c r="BK419" s="338"/>
      <c r="BL419" s="392"/>
      <c r="BM419" s="393"/>
      <c r="BN419" s="393"/>
      <c r="BO419" s="393"/>
      <c r="BP419" s="393"/>
      <c r="BQ419" s="393"/>
      <c r="BR419" s="393"/>
      <c r="BS419" s="394"/>
      <c r="BT419" s="342" t="s">
        <v>610</v>
      </c>
      <c r="BU419" s="343"/>
      <c r="BV419" s="343"/>
      <c r="BW419" s="343"/>
      <c r="BX419" s="343"/>
      <c r="BY419" s="343"/>
      <c r="BZ419" s="343"/>
      <c r="CA419" s="343"/>
      <c r="CB419" s="343"/>
      <c r="CC419" s="343"/>
      <c r="CD419" s="343"/>
      <c r="CE419" s="343"/>
      <c r="CF419" s="344"/>
      <c r="CG419" s="345" t="s">
        <v>869</v>
      </c>
      <c r="CH419" s="340"/>
      <c r="CI419" s="340"/>
      <c r="CJ419" s="340"/>
      <c r="CK419" s="340"/>
      <c r="CL419" s="340"/>
      <c r="CM419" s="340"/>
      <c r="CN419" s="340"/>
      <c r="CO419" s="340"/>
      <c r="CP419" s="340"/>
      <c r="CQ419" s="341"/>
      <c r="CR419" s="398"/>
      <c r="CS419" s="393"/>
      <c r="CT419" s="393"/>
      <c r="CU419" s="393"/>
      <c r="CV419" s="393"/>
      <c r="CW419" s="393"/>
      <c r="CX419" s="393"/>
      <c r="CY419" s="393"/>
      <c r="CZ419" s="393"/>
      <c r="DA419" s="393"/>
      <c r="DB419" s="393"/>
      <c r="DC419" s="393"/>
      <c r="DD419" s="394"/>
      <c r="DE419" s="346">
        <f>40000-21590</f>
        <v>18410</v>
      </c>
      <c r="DF419" s="347"/>
      <c r="DG419" s="347"/>
      <c r="DH419" s="347"/>
      <c r="DI419" s="347"/>
      <c r="DJ419" s="347"/>
      <c r="DK419" s="347"/>
      <c r="DL419" s="347"/>
      <c r="DM419" s="347"/>
      <c r="DN419" s="347"/>
      <c r="DO419" s="347"/>
      <c r="DP419" s="347"/>
      <c r="DQ419" s="348"/>
      <c r="DR419" s="425">
        <f>0+6000+3050</f>
        <v>9050</v>
      </c>
      <c r="DS419" s="426"/>
      <c r="DT419" s="426"/>
      <c r="DU419" s="426"/>
      <c r="DV419" s="426"/>
      <c r="DW419" s="426"/>
      <c r="DX419" s="426"/>
      <c r="DY419" s="426"/>
      <c r="DZ419" s="426"/>
      <c r="EA419" s="426"/>
      <c r="EB419" s="426"/>
      <c r="EC419" s="426"/>
      <c r="ED419" s="427"/>
      <c r="EE419" s="346"/>
      <c r="EF419" s="347"/>
      <c r="EG419" s="347"/>
      <c r="EH419" s="347"/>
      <c r="EI419" s="347"/>
      <c r="EJ419" s="347"/>
      <c r="EK419" s="347"/>
      <c r="EL419" s="347"/>
      <c r="EM419" s="347"/>
      <c r="EN419" s="347"/>
      <c r="EO419" s="347"/>
      <c r="EP419" s="347"/>
      <c r="EQ419" s="348"/>
      <c r="ER419" s="402"/>
      <c r="ES419" s="403"/>
      <c r="ET419" s="403"/>
      <c r="EU419" s="403"/>
      <c r="EV419" s="403"/>
      <c r="EW419" s="403"/>
      <c r="EX419" s="403"/>
      <c r="EY419" s="403"/>
      <c r="EZ419" s="403"/>
      <c r="FA419" s="403"/>
      <c r="FB419" s="404"/>
      <c r="FC419" s="408"/>
      <c r="FD419" s="409"/>
      <c r="FE419" s="409"/>
      <c r="FF419" s="409"/>
      <c r="FG419" s="409"/>
      <c r="FH419" s="409"/>
      <c r="FI419" s="409"/>
      <c r="FJ419" s="409"/>
      <c r="FK419" s="409"/>
      <c r="FL419" s="409"/>
      <c r="FO419" s="279">
        <v>4100</v>
      </c>
      <c r="FP419" s="279"/>
      <c r="FQ419" s="275">
        <f t="shared" si="10"/>
        <v>4950</v>
      </c>
    </row>
    <row r="420" spans="1:173" ht="13.95" hidden="1" customHeight="1">
      <c r="A420" s="441"/>
      <c r="B420" s="442"/>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c r="AG420" s="442"/>
      <c r="AH420" s="442"/>
      <c r="AI420" s="442"/>
      <c r="AJ420" s="442"/>
      <c r="AK420" s="442"/>
      <c r="AL420" s="442"/>
      <c r="AM420" s="442"/>
      <c r="AN420" s="442"/>
      <c r="AO420" s="442"/>
      <c r="AP420" s="442"/>
      <c r="AQ420" s="442"/>
      <c r="AR420" s="442"/>
      <c r="AS420" s="442"/>
      <c r="AT420" s="442"/>
      <c r="AU420" s="442"/>
      <c r="AV420" s="442"/>
      <c r="AW420" s="442"/>
      <c r="AX420" s="442"/>
      <c r="AY420" s="442"/>
      <c r="AZ420" s="442"/>
      <c r="BA420" s="442"/>
      <c r="BB420" s="442"/>
      <c r="BC420" s="442"/>
      <c r="BD420" s="442"/>
      <c r="BE420" s="442"/>
      <c r="BF420" s="442"/>
      <c r="BG420" s="442"/>
      <c r="BH420" s="442"/>
      <c r="BI420" s="442"/>
      <c r="BJ420" s="442"/>
      <c r="BK420" s="443"/>
      <c r="BL420" s="339"/>
      <c r="BM420" s="340"/>
      <c r="BN420" s="340"/>
      <c r="BO420" s="340"/>
      <c r="BP420" s="340"/>
      <c r="BQ420" s="340"/>
      <c r="BR420" s="340"/>
      <c r="BS420" s="341"/>
      <c r="BT420" s="342"/>
      <c r="BU420" s="343"/>
      <c r="BV420" s="343"/>
      <c r="BW420" s="343"/>
      <c r="BX420" s="343"/>
      <c r="BY420" s="343"/>
      <c r="BZ420" s="343"/>
      <c r="CA420" s="343"/>
      <c r="CB420" s="343"/>
      <c r="CC420" s="343"/>
      <c r="CD420" s="343"/>
      <c r="CE420" s="343"/>
      <c r="CF420" s="344"/>
      <c r="CG420" s="345"/>
      <c r="CH420" s="340"/>
      <c r="CI420" s="340"/>
      <c r="CJ420" s="340"/>
      <c r="CK420" s="340"/>
      <c r="CL420" s="340"/>
      <c r="CM420" s="340"/>
      <c r="CN420" s="340"/>
      <c r="CO420" s="340"/>
      <c r="CP420" s="340"/>
      <c r="CQ420" s="341"/>
      <c r="CR420" s="345"/>
      <c r="CS420" s="340"/>
      <c r="CT420" s="340"/>
      <c r="CU420" s="340"/>
      <c r="CV420" s="340"/>
      <c r="CW420" s="340"/>
      <c r="CX420" s="340"/>
      <c r="CY420" s="340"/>
      <c r="CZ420" s="340"/>
      <c r="DA420" s="340"/>
      <c r="DB420" s="340"/>
      <c r="DC420" s="340"/>
      <c r="DD420" s="341"/>
      <c r="DE420" s="349"/>
      <c r="DF420" s="350"/>
      <c r="DG420" s="350"/>
      <c r="DH420" s="350"/>
      <c r="DI420" s="350"/>
      <c r="DJ420" s="350"/>
      <c r="DK420" s="350"/>
      <c r="DL420" s="350"/>
      <c r="DM420" s="350"/>
      <c r="DN420" s="350"/>
      <c r="DO420" s="350"/>
      <c r="DP420" s="350"/>
      <c r="DQ420" s="351"/>
      <c r="DR420" s="349"/>
      <c r="DS420" s="350"/>
      <c r="DT420" s="350"/>
      <c r="DU420" s="350"/>
      <c r="DV420" s="350"/>
      <c r="DW420" s="350"/>
      <c r="DX420" s="350"/>
      <c r="DY420" s="350"/>
      <c r="DZ420" s="350"/>
      <c r="EA420" s="350"/>
      <c r="EB420" s="350"/>
      <c r="EC420" s="350"/>
      <c r="ED420" s="351"/>
      <c r="EE420" s="349"/>
      <c r="EF420" s="350"/>
      <c r="EG420" s="350"/>
      <c r="EH420" s="350"/>
      <c r="EI420" s="350"/>
      <c r="EJ420" s="350"/>
      <c r="EK420" s="350"/>
      <c r="EL420" s="350"/>
      <c r="EM420" s="350"/>
      <c r="EN420" s="350"/>
      <c r="EO420" s="350"/>
      <c r="EP420" s="350"/>
      <c r="EQ420" s="351"/>
      <c r="ER420" s="349"/>
      <c r="ES420" s="350"/>
      <c r="ET420" s="350"/>
      <c r="EU420" s="350"/>
      <c r="EV420" s="350"/>
      <c r="EW420" s="350"/>
      <c r="EX420" s="350"/>
      <c r="EY420" s="350"/>
      <c r="EZ420" s="350"/>
      <c r="FA420" s="350"/>
      <c r="FB420" s="351"/>
      <c r="FC420" s="416"/>
      <c r="FD420" s="417"/>
      <c r="FE420" s="417"/>
      <c r="FF420" s="417"/>
      <c r="FG420" s="417"/>
      <c r="FH420" s="417"/>
      <c r="FI420" s="417"/>
      <c r="FJ420" s="417"/>
      <c r="FK420" s="417"/>
      <c r="FL420" s="417"/>
      <c r="FO420" s="275"/>
      <c r="FP420" s="275"/>
      <c r="FQ420" s="275">
        <f t="shared" si="10"/>
        <v>0</v>
      </c>
    </row>
    <row r="421" spans="1:173" ht="12" hidden="1" customHeight="1">
      <c r="A421" s="441"/>
      <c r="B421" s="442"/>
      <c r="C421" s="442"/>
      <c r="D421" s="442"/>
      <c r="E421" s="442"/>
      <c r="F421" s="442"/>
      <c r="G421" s="442"/>
      <c r="H421" s="442"/>
      <c r="I421" s="442"/>
      <c r="J421" s="442"/>
      <c r="K421" s="442"/>
      <c r="L421" s="442"/>
      <c r="M421" s="442"/>
      <c r="N421" s="442"/>
      <c r="O421" s="442"/>
      <c r="P421" s="442"/>
      <c r="Q421" s="442"/>
      <c r="R421" s="442"/>
      <c r="S421" s="442"/>
      <c r="T421" s="442"/>
      <c r="U421" s="442"/>
      <c r="V421" s="442"/>
      <c r="W421" s="442"/>
      <c r="X421" s="442"/>
      <c r="Y421" s="442"/>
      <c r="Z421" s="442"/>
      <c r="AA421" s="442"/>
      <c r="AB421" s="442"/>
      <c r="AC421" s="442"/>
      <c r="AD421" s="442"/>
      <c r="AE421" s="442"/>
      <c r="AF421" s="442"/>
      <c r="AG421" s="442"/>
      <c r="AH421" s="442"/>
      <c r="AI421" s="442"/>
      <c r="AJ421" s="442"/>
      <c r="AK421" s="442"/>
      <c r="AL421" s="442"/>
      <c r="AM421" s="442"/>
      <c r="AN421" s="442"/>
      <c r="AO421" s="442"/>
      <c r="AP421" s="442"/>
      <c r="AQ421" s="442"/>
      <c r="AR421" s="442"/>
      <c r="AS421" s="442"/>
      <c r="AT421" s="442"/>
      <c r="AU421" s="442"/>
      <c r="AV421" s="442"/>
      <c r="AW421" s="442"/>
      <c r="AX421" s="442"/>
      <c r="AY421" s="442"/>
      <c r="AZ421" s="442"/>
      <c r="BA421" s="442"/>
      <c r="BB421" s="442"/>
      <c r="BC421" s="442"/>
      <c r="BD421" s="442"/>
      <c r="BE421" s="442"/>
      <c r="BF421" s="442"/>
      <c r="BG421" s="442"/>
      <c r="BH421" s="442"/>
      <c r="BI421" s="442"/>
      <c r="BJ421" s="442"/>
      <c r="BK421" s="443"/>
      <c r="BL421" s="392"/>
      <c r="BM421" s="393"/>
      <c r="BN421" s="393"/>
      <c r="BO421" s="393"/>
      <c r="BP421" s="393"/>
      <c r="BQ421" s="393"/>
      <c r="BR421" s="393"/>
      <c r="BS421" s="394"/>
      <c r="BT421" s="342"/>
      <c r="BU421" s="343"/>
      <c r="BV421" s="343"/>
      <c r="BW421" s="343"/>
      <c r="BX421" s="343"/>
      <c r="BY421" s="343"/>
      <c r="BZ421" s="343"/>
      <c r="CA421" s="343"/>
      <c r="CB421" s="343"/>
      <c r="CC421" s="343"/>
      <c r="CD421" s="343"/>
      <c r="CE421" s="343"/>
      <c r="CF421" s="344"/>
      <c r="CG421" s="345"/>
      <c r="CH421" s="340"/>
      <c r="CI421" s="340"/>
      <c r="CJ421" s="340"/>
      <c r="CK421" s="340"/>
      <c r="CL421" s="340"/>
      <c r="CM421" s="340"/>
      <c r="CN421" s="340"/>
      <c r="CO421" s="340"/>
      <c r="CP421" s="340"/>
      <c r="CQ421" s="341"/>
      <c r="CR421" s="345"/>
      <c r="CS421" s="340"/>
      <c r="CT421" s="340"/>
      <c r="CU421" s="340"/>
      <c r="CV421" s="340"/>
      <c r="CW421" s="340"/>
      <c r="CX421" s="340"/>
      <c r="CY421" s="340"/>
      <c r="CZ421" s="340"/>
      <c r="DA421" s="340"/>
      <c r="DB421" s="340"/>
      <c r="DC421" s="340"/>
      <c r="DD421" s="341"/>
      <c r="DE421" s="349"/>
      <c r="DF421" s="350"/>
      <c r="DG421" s="350"/>
      <c r="DH421" s="350"/>
      <c r="DI421" s="350"/>
      <c r="DJ421" s="350"/>
      <c r="DK421" s="350"/>
      <c r="DL421" s="350"/>
      <c r="DM421" s="350"/>
      <c r="DN421" s="350"/>
      <c r="DO421" s="350"/>
      <c r="DP421" s="350"/>
      <c r="DQ421" s="351"/>
      <c r="DR421" s="349"/>
      <c r="DS421" s="350"/>
      <c r="DT421" s="350"/>
      <c r="DU421" s="350"/>
      <c r="DV421" s="350"/>
      <c r="DW421" s="350"/>
      <c r="DX421" s="350"/>
      <c r="DY421" s="350"/>
      <c r="DZ421" s="350"/>
      <c r="EA421" s="350"/>
      <c r="EB421" s="350"/>
      <c r="EC421" s="350"/>
      <c r="ED421" s="351"/>
      <c r="EE421" s="349"/>
      <c r="EF421" s="350"/>
      <c r="EG421" s="350"/>
      <c r="EH421" s="350"/>
      <c r="EI421" s="350"/>
      <c r="EJ421" s="350"/>
      <c r="EK421" s="350"/>
      <c r="EL421" s="350"/>
      <c r="EM421" s="350"/>
      <c r="EN421" s="350"/>
      <c r="EO421" s="350"/>
      <c r="EP421" s="350"/>
      <c r="EQ421" s="351"/>
      <c r="ER421" s="349"/>
      <c r="ES421" s="350"/>
      <c r="ET421" s="350"/>
      <c r="EU421" s="350"/>
      <c r="EV421" s="350"/>
      <c r="EW421" s="350"/>
      <c r="EX421" s="350"/>
      <c r="EY421" s="350"/>
      <c r="EZ421" s="350"/>
      <c r="FA421" s="350"/>
      <c r="FB421" s="351"/>
      <c r="FC421" s="416"/>
      <c r="FD421" s="417"/>
      <c r="FE421" s="417"/>
      <c r="FF421" s="417"/>
      <c r="FG421" s="417"/>
      <c r="FH421" s="417"/>
      <c r="FI421" s="417"/>
      <c r="FJ421" s="417"/>
      <c r="FK421" s="417"/>
      <c r="FL421" s="417"/>
      <c r="FO421" s="275"/>
      <c r="FP421" s="275"/>
      <c r="FQ421" s="275">
        <f t="shared" si="10"/>
        <v>0</v>
      </c>
    </row>
    <row r="422" spans="1:173" s="174" customFormat="1" ht="12" hidden="1" customHeight="1">
      <c r="A422" s="441"/>
      <c r="B422" s="442"/>
      <c r="C422" s="442"/>
      <c r="D422" s="442"/>
      <c r="E422" s="442"/>
      <c r="F422" s="442"/>
      <c r="G422" s="442"/>
      <c r="H422" s="442"/>
      <c r="I422" s="442"/>
      <c r="J422" s="442"/>
      <c r="K422" s="442"/>
      <c r="L422" s="442"/>
      <c r="M422" s="442"/>
      <c r="N422" s="442"/>
      <c r="O422" s="442"/>
      <c r="P422" s="442"/>
      <c r="Q422" s="442"/>
      <c r="R422" s="442"/>
      <c r="S422" s="442"/>
      <c r="T422" s="442"/>
      <c r="U422" s="442"/>
      <c r="V422" s="442"/>
      <c r="W422" s="442"/>
      <c r="X422" s="442"/>
      <c r="Y422" s="442"/>
      <c r="Z422" s="442"/>
      <c r="AA422" s="442"/>
      <c r="AB422" s="442"/>
      <c r="AC422" s="442"/>
      <c r="AD422" s="442"/>
      <c r="AE422" s="442"/>
      <c r="AF422" s="442"/>
      <c r="AG422" s="442"/>
      <c r="AH422" s="442"/>
      <c r="AI422" s="442"/>
      <c r="AJ422" s="442"/>
      <c r="AK422" s="442"/>
      <c r="AL422" s="442"/>
      <c r="AM422" s="442"/>
      <c r="AN422" s="442"/>
      <c r="AO422" s="442"/>
      <c r="AP422" s="442"/>
      <c r="AQ422" s="442"/>
      <c r="AR422" s="442"/>
      <c r="AS422" s="442"/>
      <c r="AT422" s="442"/>
      <c r="AU422" s="442"/>
      <c r="AV422" s="442"/>
      <c r="AW422" s="442"/>
      <c r="AX422" s="442"/>
      <c r="AY422" s="442"/>
      <c r="AZ422" s="442"/>
      <c r="BA422" s="442"/>
      <c r="BB422" s="442"/>
      <c r="BC422" s="442"/>
      <c r="BD422" s="442"/>
      <c r="BE422" s="442"/>
      <c r="BF422" s="442"/>
      <c r="BG422" s="442"/>
      <c r="BH422" s="442"/>
      <c r="BI422" s="442"/>
      <c r="BJ422" s="442"/>
      <c r="BK422" s="443"/>
      <c r="BL422" s="392"/>
      <c r="BM422" s="393"/>
      <c r="BN422" s="393"/>
      <c r="BO422" s="393"/>
      <c r="BP422" s="393"/>
      <c r="BQ422" s="393"/>
      <c r="BR422" s="393"/>
      <c r="BS422" s="394"/>
      <c r="BT422" s="395"/>
      <c r="BU422" s="396"/>
      <c r="BV422" s="396"/>
      <c r="BW422" s="396"/>
      <c r="BX422" s="396"/>
      <c r="BY422" s="396"/>
      <c r="BZ422" s="396"/>
      <c r="CA422" s="396"/>
      <c r="CB422" s="396"/>
      <c r="CC422" s="396"/>
      <c r="CD422" s="396"/>
      <c r="CE422" s="396"/>
      <c r="CF422" s="397"/>
      <c r="CG422" s="398"/>
      <c r="CH422" s="393"/>
      <c r="CI422" s="393"/>
      <c r="CJ422" s="393"/>
      <c r="CK422" s="393"/>
      <c r="CL422" s="393"/>
      <c r="CM422" s="393"/>
      <c r="CN422" s="393"/>
      <c r="CO422" s="393"/>
      <c r="CP422" s="393"/>
      <c r="CQ422" s="394"/>
      <c r="CR422" s="398"/>
      <c r="CS422" s="393"/>
      <c r="CT422" s="393"/>
      <c r="CU422" s="393"/>
      <c r="CV422" s="393"/>
      <c r="CW422" s="393"/>
      <c r="CX422" s="393"/>
      <c r="CY422" s="393"/>
      <c r="CZ422" s="393"/>
      <c r="DA422" s="393"/>
      <c r="DB422" s="393"/>
      <c r="DC422" s="393"/>
      <c r="DD422" s="394"/>
      <c r="DE422" s="402"/>
      <c r="DF422" s="403"/>
      <c r="DG422" s="403"/>
      <c r="DH422" s="403"/>
      <c r="DI422" s="403"/>
      <c r="DJ422" s="403"/>
      <c r="DK422" s="403"/>
      <c r="DL422" s="403"/>
      <c r="DM422" s="403"/>
      <c r="DN422" s="403"/>
      <c r="DO422" s="403"/>
      <c r="DP422" s="403"/>
      <c r="DQ422" s="404"/>
      <c r="DR422" s="402"/>
      <c r="DS422" s="403"/>
      <c r="DT422" s="403"/>
      <c r="DU422" s="403"/>
      <c r="DV422" s="403"/>
      <c r="DW422" s="403"/>
      <c r="DX422" s="403"/>
      <c r="DY422" s="403"/>
      <c r="DZ422" s="403"/>
      <c r="EA422" s="403"/>
      <c r="EB422" s="403"/>
      <c r="EC422" s="403"/>
      <c r="ED422" s="404"/>
      <c r="EE422" s="402"/>
      <c r="EF422" s="403"/>
      <c r="EG422" s="403"/>
      <c r="EH422" s="403"/>
      <c r="EI422" s="403"/>
      <c r="EJ422" s="403"/>
      <c r="EK422" s="403"/>
      <c r="EL422" s="403"/>
      <c r="EM422" s="403"/>
      <c r="EN422" s="403"/>
      <c r="EO422" s="403"/>
      <c r="EP422" s="403"/>
      <c r="EQ422" s="404"/>
      <c r="ER422" s="402"/>
      <c r="ES422" s="403"/>
      <c r="ET422" s="403"/>
      <c r="EU422" s="403"/>
      <c r="EV422" s="403"/>
      <c r="EW422" s="403"/>
      <c r="EX422" s="403"/>
      <c r="EY422" s="403"/>
      <c r="EZ422" s="403"/>
      <c r="FA422" s="403"/>
      <c r="FB422" s="404"/>
      <c r="FC422" s="408"/>
      <c r="FD422" s="409"/>
      <c r="FE422" s="409"/>
      <c r="FF422" s="409"/>
      <c r="FG422" s="409"/>
      <c r="FH422" s="409"/>
      <c r="FI422" s="409"/>
      <c r="FJ422" s="409"/>
      <c r="FK422" s="409"/>
      <c r="FL422" s="409"/>
      <c r="FO422" s="279"/>
      <c r="FP422" s="279"/>
      <c r="FQ422" s="275">
        <f t="shared" si="10"/>
        <v>0</v>
      </c>
    </row>
    <row r="423" spans="1:173" ht="36" customHeight="1">
      <c r="A423" s="357" t="s">
        <v>1106</v>
      </c>
      <c r="B423" s="357"/>
      <c r="C423" s="357"/>
      <c r="D423" s="357"/>
      <c r="E423" s="357"/>
      <c r="F423" s="357"/>
      <c r="G423" s="357"/>
      <c r="H423" s="357"/>
      <c r="I423" s="357"/>
      <c r="J423" s="357"/>
      <c r="K423" s="357"/>
      <c r="L423" s="357"/>
      <c r="M423" s="357"/>
      <c r="N423" s="357"/>
      <c r="O423" s="357"/>
      <c r="P423" s="357"/>
      <c r="Q423" s="357"/>
      <c r="R423" s="357"/>
      <c r="S423" s="357"/>
      <c r="T423" s="357"/>
      <c r="U423" s="357"/>
      <c r="V423" s="357"/>
      <c r="W423" s="357"/>
      <c r="X423" s="357"/>
      <c r="Y423" s="357"/>
      <c r="Z423" s="357"/>
      <c r="AA423" s="357"/>
      <c r="AB423" s="357"/>
      <c r="AC423" s="357"/>
      <c r="AD423" s="357"/>
      <c r="AE423" s="357"/>
      <c r="AF423" s="357"/>
      <c r="AG423" s="357"/>
      <c r="AH423" s="357"/>
      <c r="AI423" s="357"/>
      <c r="AJ423" s="357"/>
      <c r="AK423" s="357"/>
      <c r="AL423" s="357"/>
      <c r="AM423" s="357"/>
      <c r="AN423" s="357"/>
      <c r="AO423" s="357"/>
      <c r="AP423" s="357"/>
      <c r="AQ423" s="357"/>
      <c r="AR423" s="357"/>
      <c r="AS423" s="357"/>
      <c r="AT423" s="357"/>
      <c r="AU423" s="357"/>
      <c r="AV423" s="357"/>
      <c r="AW423" s="357"/>
      <c r="AX423" s="357"/>
      <c r="AY423" s="357"/>
      <c r="AZ423" s="357"/>
      <c r="BA423" s="357"/>
      <c r="BB423" s="357"/>
      <c r="BC423" s="357"/>
      <c r="BD423" s="357"/>
      <c r="BE423" s="357"/>
      <c r="BF423" s="357"/>
      <c r="BG423" s="357"/>
      <c r="BH423" s="357"/>
      <c r="BI423" s="357"/>
      <c r="BJ423" s="357"/>
      <c r="BK423" s="357"/>
      <c r="BL423" s="358" t="s">
        <v>108</v>
      </c>
      <c r="BM423" s="359"/>
      <c r="BN423" s="359"/>
      <c r="BO423" s="359"/>
      <c r="BP423" s="359"/>
      <c r="BQ423" s="359"/>
      <c r="BR423" s="359"/>
      <c r="BS423" s="360"/>
      <c r="BT423" s="361" t="s">
        <v>1107</v>
      </c>
      <c r="BU423" s="359"/>
      <c r="BV423" s="359"/>
      <c r="BW423" s="359"/>
      <c r="BX423" s="359"/>
      <c r="BY423" s="359"/>
      <c r="BZ423" s="359"/>
      <c r="CA423" s="359"/>
      <c r="CB423" s="359"/>
      <c r="CC423" s="359"/>
      <c r="CD423" s="359"/>
      <c r="CE423" s="359"/>
      <c r="CF423" s="360"/>
      <c r="CG423" s="362"/>
      <c r="CH423" s="363"/>
      <c r="CI423" s="363"/>
      <c r="CJ423" s="363"/>
      <c r="CK423" s="363"/>
      <c r="CL423" s="363"/>
      <c r="CM423" s="363"/>
      <c r="CN423" s="363"/>
      <c r="CO423" s="363"/>
      <c r="CP423" s="363"/>
      <c r="CQ423" s="364"/>
      <c r="CR423" s="362"/>
      <c r="CS423" s="363"/>
      <c r="CT423" s="363"/>
      <c r="CU423" s="363"/>
      <c r="CV423" s="363"/>
      <c r="CW423" s="363"/>
      <c r="CX423" s="363"/>
      <c r="CY423" s="363"/>
      <c r="CZ423" s="363"/>
      <c r="DA423" s="363"/>
      <c r="DB423" s="363"/>
      <c r="DC423" s="363"/>
      <c r="DD423" s="364"/>
      <c r="DE423" s="365">
        <f>SUM(DE424:DQ426)</f>
        <v>0</v>
      </c>
      <c r="DF423" s="366"/>
      <c r="DG423" s="366"/>
      <c r="DH423" s="366"/>
      <c r="DI423" s="366"/>
      <c r="DJ423" s="366"/>
      <c r="DK423" s="366"/>
      <c r="DL423" s="366"/>
      <c r="DM423" s="366"/>
      <c r="DN423" s="366"/>
      <c r="DO423" s="366"/>
      <c r="DP423" s="366"/>
      <c r="DQ423" s="367"/>
      <c r="DR423" s="365">
        <f>DR424</f>
        <v>0</v>
      </c>
      <c r="DS423" s="366"/>
      <c r="DT423" s="366"/>
      <c r="DU423" s="366"/>
      <c r="DV423" s="366"/>
      <c r="DW423" s="366"/>
      <c r="DX423" s="366"/>
      <c r="DY423" s="366"/>
      <c r="DZ423" s="366"/>
      <c r="EA423" s="366"/>
      <c r="EB423" s="366"/>
      <c r="EC423" s="366"/>
      <c r="ED423" s="367"/>
      <c r="EE423" s="365"/>
      <c r="EF423" s="366"/>
      <c r="EG423" s="366"/>
      <c r="EH423" s="366"/>
      <c r="EI423" s="366"/>
      <c r="EJ423" s="366"/>
      <c r="EK423" s="366"/>
      <c r="EL423" s="366"/>
      <c r="EM423" s="366"/>
      <c r="EN423" s="366"/>
      <c r="EO423" s="366"/>
      <c r="EP423" s="366"/>
      <c r="EQ423" s="367"/>
      <c r="ER423" s="349"/>
      <c r="ES423" s="350"/>
      <c r="ET423" s="350"/>
      <c r="EU423" s="350"/>
      <c r="EV423" s="350"/>
      <c r="EW423" s="350"/>
      <c r="EX423" s="350"/>
      <c r="EY423" s="350"/>
      <c r="EZ423" s="350"/>
      <c r="FA423" s="350"/>
      <c r="FB423" s="351"/>
      <c r="FC423" s="352"/>
      <c r="FD423" s="353"/>
      <c r="FE423" s="353"/>
      <c r="FF423" s="353"/>
      <c r="FG423" s="353"/>
      <c r="FH423" s="353"/>
      <c r="FI423" s="353"/>
      <c r="FJ423" s="353"/>
      <c r="FK423" s="353"/>
      <c r="FL423" s="353"/>
      <c r="FO423" s="281"/>
      <c r="FP423" s="281"/>
      <c r="FQ423" s="281">
        <f t="shared" ref="FQ423:FQ424" si="11">DR423-FO423-FP423</f>
        <v>0</v>
      </c>
    </row>
    <row r="424" spans="1:173" ht="12.6" customHeight="1">
      <c r="A424" s="336"/>
      <c r="B424" s="337"/>
      <c r="C424" s="337"/>
      <c r="D424" s="337"/>
      <c r="E424" s="337"/>
      <c r="F424" s="337"/>
      <c r="G424" s="337"/>
      <c r="H424" s="337"/>
      <c r="I424" s="337"/>
      <c r="J424" s="337"/>
      <c r="K424" s="337"/>
      <c r="L424" s="337"/>
      <c r="M424" s="337"/>
      <c r="N424" s="337"/>
      <c r="O424" s="337"/>
      <c r="P424" s="337"/>
      <c r="Q424" s="337"/>
      <c r="R424" s="337"/>
      <c r="S424" s="337"/>
      <c r="T424" s="337"/>
      <c r="U424" s="337"/>
      <c r="V424" s="337"/>
      <c r="W424" s="337"/>
      <c r="X424" s="337"/>
      <c r="Y424" s="337"/>
      <c r="Z424" s="337"/>
      <c r="AA424" s="337"/>
      <c r="AB424" s="337"/>
      <c r="AC424" s="337"/>
      <c r="AD424" s="337"/>
      <c r="AE424" s="337"/>
      <c r="AF424" s="337"/>
      <c r="AG424" s="337"/>
      <c r="AH424" s="337"/>
      <c r="AI424" s="337"/>
      <c r="AJ424" s="337"/>
      <c r="AK424" s="337"/>
      <c r="AL424" s="337"/>
      <c r="AM424" s="337"/>
      <c r="AN424" s="337"/>
      <c r="AO424" s="337"/>
      <c r="AP424" s="337"/>
      <c r="AQ424" s="337"/>
      <c r="AR424" s="337"/>
      <c r="AS424" s="337"/>
      <c r="AT424" s="337"/>
      <c r="AU424" s="337"/>
      <c r="AV424" s="337"/>
      <c r="AW424" s="337"/>
      <c r="AX424" s="337"/>
      <c r="AY424" s="337"/>
      <c r="AZ424" s="337"/>
      <c r="BA424" s="337"/>
      <c r="BB424" s="337"/>
      <c r="BC424" s="337"/>
      <c r="BD424" s="337"/>
      <c r="BE424" s="337"/>
      <c r="BF424" s="337"/>
      <c r="BG424" s="337"/>
      <c r="BH424" s="337"/>
      <c r="BI424" s="337"/>
      <c r="BJ424" s="337"/>
      <c r="BK424" s="338"/>
      <c r="BL424" s="339"/>
      <c r="BM424" s="340"/>
      <c r="BN424" s="340"/>
      <c r="BO424" s="340"/>
      <c r="BP424" s="340"/>
      <c r="BQ424" s="340"/>
      <c r="BR424" s="340"/>
      <c r="BS424" s="341"/>
      <c r="BT424" s="342"/>
      <c r="BU424" s="343"/>
      <c r="BV424" s="343"/>
      <c r="BW424" s="343"/>
      <c r="BX424" s="343"/>
      <c r="BY424" s="343"/>
      <c r="BZ424" s="343"/>
      <c r="CA424" s="343"/>
      <c r="CB424" s="343"/>
      <c r="CC424" s="343"/>
      <c r="CD424" s="343"/>
      <c r="CE424" s="343"/>
      <c r="CF424" s="344"/>
      <c r="CG424" s="345"/>
      <c r="CH424" s="340"/>
      <c r="CI424" s="340"/>
      <c r="CJ424" s="340"/>
      <c r="CK424" s="340"/>
      <c r="CL424" s="340"/>
      <c r="CM424" s="340"/>
      <c r="CN424" s="340"/>
      <c r="CO424" s="340"/>
      <c r="CP424" s="340"/>
      <c r="CQ424" s="341"/>
      <c r="CR424" s="345"/>
      <c r="CS424" s="340"/>
      <c r="CT424" s="340"/>
      <c r="CU424" s="340"/>
      <c r="CV424" s="340"/>
      <c r="CW424" s="340"/>
      <c r="CX424" s="340"/>
      <c r="CY424" s="340"/>
      <c r="CZ424" s="340"/>
      <c r="DA424" s="340"/>
      <c r="DB424" s="340"/>
      <c r="DC424" s="340"/>
      <c r="DD424" s="341"/>
      <c r="DE424" s="346">
        <v>0</v>
      </c>
      <c r="DF424" s="347"/>
      <c r="DG424" s="347"/>
      <c r="DH424" s="347"/>
      <c r="DI424" s="347"/>
      <c r="DJ424" s="347"/>
      <c r="DK424" s="347"/>
      <c r="DL424" s="347"/>
      <c r="DM424" s="347"/>
      <c r="DN424" s="347"/>
      <c r="DO424" s="347"/>
      <c r="DP424" s="347"/>
      <c r="DQ424" s="348"/>
      <c r="DR424" s="346">
        <v>0</v>
      </c>
      <c r="DS424" s="347"/>
      <c r="DT424" s="347"/>
      <c r="DU424" s="347"/>
      <c r="DV424" s="347"/>
      <c r="DW424" s="347"/>
      <c r="DX424" s="347"/>
      <c r="DY424" s="347"/>
      <c r="DZ424" s="347"/>
      <c r="EA424" s="347"/>
      <c r="EB424" s="347"/>
      <c r="EC424" s="347"/>
      <c r="ED424" s="348"/>
      <c r="EE424" s="346"/>
      <c r="EF424" s="347"/>
      <c r="EG424" s="347"/>
      <c r="EH424" s="347"/>
      <c r="EI424" s="347"/>
      <c r="EJ424" s="347"/>
      <c r="EK424" s="347"/>
      <c r="EL424" s="347"/>
      <c r="EM424" s="347"/>
      <c r="EN424" s="347"/>
      <c r="EO424" s="347"/>
      <c r="EP424" s="347"/>
      <c r="EQ424" s="348"/>
      <c r="ER424" s="349"/>
      <c r="ES424" s="350"/>
      <c r="ET424" s="350"/>
      <c r="EU424" s="350"/>
      <c r="EV424" s="350"/>
      <c r="EW424" s="350"/>
      <c r="EX424" s="350"/>
      <c r="EY424" s="350"/>
      <c r="EZ424" s="350"/>
      <c r="FA424" s="350"/>
      <c r="FB424" s="351"/>
      <c r="FC424" s="352"/>
      <c r="FD424" s="353"/>
      <c r="FE424" s="353"/>
      <c r="FF424" s="353"/>
      <c r="FG424" s="353"/>
      <c r="FH424" s="353"/>
      <c r="FI424" s="353"/>
      <c r="FJ424" s="353"/>
      <c r="FK424" s="353"/>
      <c r="FL424" s="353"/>
      <c r="FO424" s="281"/>
      <c r="FP424" s="281"/>
      <c r="FQ424" s="281">
        <f t="shared" si="11"/>
        <v>0</v>
      </c>
    </row>
    <row r="425" spans="1:173" ht="13.2" customHeight="1">
      <c r="A425" s="468" t="s">
        <v>998</v>
      </c>
      <c r="B425" s="644"/>
      <c r="C425" s="644"/>
      <c r="D425" s="644"/>
      <c r="E425" s="644"/>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4"/>
      <c r="AK425" s="644"/>
      <c r="AL425" s="644"/>
      <c r="AM425" s="644"/>
      <c r="AN425" s="644"/>
      <c r="AO425" s="644"/>
      <c r="AP425" s="644"/>
      <c r="AQ425" s="644"/>
      <c r="AR425" s="644"/>
      <c r="AS425" s="644"/>
      <c r="AT425" s="644"/>
      <c r="AU425" s="644"/>
      <c r="AV425" s="644"/>
      <c r="AW425" s="644"/>
      <c r="AX425" s="644"/>
      <c r="AY425" s="644"/>
      <c r="AZ425" s="644"/>
      <c r="BA425" s="644"/>
      <c r="BB425" s="644"/>
      <c r="BC425" s="644"/>
      <c r="BD425" s="644"/>
      <c r="BE425" s="644"/>
      <c r="BF425" s="644"/>
      <c r="BG425" s="644"/>
      <c r="BH425" s="644"/>
      <c r="BI425" s="644"/>
      <c r="BJ425" s="644"/>
      <c r="BK425" s="645"/>
      <c r="BL425" s="460" t="s">
        <v>1108</v>
      </c>
      <c r="BM425" s="363"/>
      <c r="BN425" s="363"/>
      <c r="BO425" s="363"/>
      <c r="BP425" s="363"/>
      <c r="BQ425" s="363"/>
      <c r="BR425" s="363"/>
      <c r="BS425" s="364"/>
      <c r="BT425" s="362" t="s">
        <v>997</v>
      </c>
      <c r="BU425" s="363"/>
      <c r="BV425" s="363"/>
      <c r="BW425" s="363"/>
      <c r="BX425" s="363"/>
      <c r="BY425" s="363"/>
      <c r="BZ425" s="363"/>
      <c r="CA425" s="363"/>
      <c r="CB425" s="363"/>
      <c r="CC425" s="363"/>
      <c r="CD425" s="363"/>
      <c r="CE425" s="363"/>
      <c r="CF425" s="364"/>
      <c r="CG425" s="362" t="s">
        <v>210</v>
      </c>
      <c r="CH425" s="363"/>
      <c r="CI425" s="363"/>
      <c r="CJ425" s="363"/>
      <c r="CK425" s="363"/>
      <c r="CL425" s="363"/>
      <c r="CM425" s="363"/>
      <c r="CN425" s="363"/>
      <c r="CO425" s="363"/>
      <c r="CP425" s="363"/>
      <c r="CQ425" s="364"/>
      <c r="CR425" s="362"/>
      <c r="CS425" s="363"/>
      <c r="CT425" s="363"/>
      <c r="CU425" s="363"/>
      <c r="CV425" s="363"/>
      <c r="CW425" s="363"/>
      <c r="CX425" s="363"/>
      <c r="CY425" s="363"/>
      <c r="CZ425" s="363"/>
      <c r="DA425" s="363"/>
      <c r="DB425" s="363"/>
      <c r="DC425" s="363"/>
      <c r="DD425" s="364"/>
      <c r="DE425" s="365">
        <f>SUM(DE426:DQ428)</f>
        <v>0</v>
      </c>
      <c r="DF425" s="366"/>
      <c r="DG425" s="366"/>
      <c r="DH425" s="366"/>
      <c r="DI425" s="366"/>
      <c r="DJ425" s="366"/>
      <c r="DK425" s="366"/>
      <c r="DL425" s="366"/>
      <c r="DM425" s="366"/>
      <c r="DN425" s="366"/>
      <c r="DO425" s="366"/>
      <c r="DP425" s="366"/>
      <c r="DQ425" s="367"/>
      <c r="DR425" s="365">
        <f>SUM(DR426:ED428)</f>
        <v>4003348.7700000005</v>
      </c>
      <c r="DS425" s="366"/>
      <c r="DT425" s="366"/>
      <c r="DU425" s="366"/>
      <c r="DV425" s="366"/>
      <c r="DW425" s="366"/>
      <c r="DX425" s="366"/>
      <c r="DY425" s="366"/>
      <c r="DZ425" s="366"/>
      <c r="EA425" s="366"/>
      <c r="EB425" s="366"/>
      <c r="EC425" s="366"/>
      <c r="ED425" s="367"/>
      <c r="EE425" s="365"/>
      <c r="EF425" s="366"/>
      <c r="EG425" s="366"/>
      <c r="EH425" s="366"/>
      <c r="EI425" s="366"/>
      <c r="EJ425" s="366"/>
      <c r="EK425" s="366"/>
      <c r="EL425" s="366"/>
      <c r="EM425" s="366"/>
      <c r="EN425" s="366"/>
      <c r="EO425" s="366"/>
      <c r="EP425" s="366"/>
      <c r="EQ425" s="367"/>
      <c r="ER425" s="349"/>
      <c r="ES425" s="350"/>
      <c r="ET425" s="350"/>
      <c r="EU425" s="350"/>
      <c r="EV425" s="350"/>
      <c r="EW425" s="350"/>
      <c r="EX425" s="350"/>
      <c r="EY425" s="350"/>
      <c r="EZ425" s="350"/>
      <c r="FA425" s="350"/>
      <c r="FB425" s="351"/>
      <c r="FC425" s="352"/>
      <c r="FD425" s="353"/>
      <c r="FE425" s="353"/>
      <c r="FF425" s="353"/>
      <c r="FG425" s="353"/>
      <c r="FH425" s="353"/>
      <c r="FI425" s="353"/>
      <c r="FJ425" s="353"/>
      <c r="FK425" s="353"/>
      <c r="FL425" s="353"/>
      <c r="FO425" s="275"/>
      <c r="FP425" s="275"/>
      <c r="FQ425" s="275">
        <f t="shared" si="10"/>
        <v>4003348.7700000005</v>
      </c>
    </row>
    <row r="426" spans="1:173" ht="12" customHeight="1">
      <c r="A426" s="336" t="s">
        <v>372</v>
      </c>
      <c r="B426" s="337"/>
      <c r="C426" s="337"/>
      <c r="D426" s="337"/>
      <c r="E426" s="337"/>
      <c r="F426" s="337"/>
      <c r="G426" s="337"/>
      <c r="H426" s="337"/>
      <c r="I426" s="337"/>
      <c r="J426" s="337"/>
      <c r="K426" s="337"/>
      <c r="L426" s="337"/>
      <c r="M426" s="337"/>
      <c r="N426" s="337"/>
      <c r="O426" s="337"/>
      <c r="P426" s="337"/>
      <c r="Q426" s="337"/>
      <c r="R426" s="337"/>
      <c r="S426" s="337"/>
      <c r="T426" s="337"/>
      <c r="U426" s="337"/>
      <c r="V426" s="337"/>
      <c r="W426" s="337"/>
      <c r="X426" s="337"/>
      <c r="Y426" s="337"/>
      <c r="Z426" s="337"/>
      <c r="AA426" s="337"/>
      <c r="AB426" s="337"/>
      <c r="AC426" s="337"/>
      <c r="AD426" s="337"/>
      <c r="AE426" s="337"/>
      <c r="AF426" s="337"/>
      <c r="AG426" s="337"/>
      <c r="AH426" s="337"/>
      <c r="AI426" s="337"/>
      <c r="AJ426" s="337"/>
      <c r="AK426" s="337"/>
      <c r="AL426" s="337"/>
      <c r="AM426" s="337"/>
      <c r="AN426" s="337"/>
      <c r="AO426" s="337"/>
      <c r="AP426" s="337"/>
      <c r="AQ426" s="337"/>
      <c r="AR426" s="337"/>
      <c r="AS426" s="337"/>
      <c r="AT426" s="337"/>
      <c r="AU426" s="337"/>
      <c r="AV426" s="337"/>
      <c r="AW426" s="337"/>
      <c r="AX426" s="337"/>
      <c r="AY426" s="337"/>
      <c r="AZ426" s="337"/>
      <c r="BA426" s="337"/>
      <c r="BB426" s="337"/>
      <c r="BC426" s="337"/>
      <c r="BD426" s="337"/>
      <c r="BE426" s="337"/>
      <c r="BF426" s="337"/>
      <c r="BG426" s="337"/>
      <c r="BH426" s="337"/>
      <c r="BI426" s="337"/>
      <c r="BJ426" s="337"/>
      <c r="BK426" s="338"/>
      <c r="BL426" s="339"/>
      <c r="BM426" s="340"/>
      <c r="BN426" s="340"/>
      <c r="BO426" s="340"/>
      <c r="BP426" s="340"/>
      <c r="BQ426" s="340"/>
      <c r="BR426" s="340"/>
      <c r="BS426" s="341"/>
      <c r="BT426" s="342" t="s">
        <v>784</v>
      </c>
      <c r="BU426" s="343"/>
      <c r="BV426" s="343"/>
      <c r="BW426" s="343"/>
      <c r="BX426" s="343"/>
      <c r="BY426" s="343"/>
      <c r="BZ426" s="343"/>
      <c r="CA426" s="343"/>
      <c r="CB426" s="343"/>
      <c r="CC426" s="343"/>
      <c r="CD426" s="343"/>
      <c r="CE426" s="343"/>
      <c r="CF426" s="344"/>
      <c r="CG426" s="345" t="s">
        <v>790</v>
      </c>
      <c r="CH426" s="340"/>
      <c r="CI426" s="340"/>
      <c r="CJ426" s="340"/>
      <c r="CK426" s="340"/>
      <c r="CL426" s="340"/>
      <c r="CM426" s="340"/>
      <c r="CN426" s="340"/>
      <c r="CO426" s="340"/>
      <c r="CP426" s="340"/>
      <c r="CQ426" s="341"/>
      <c r="CR426" s="345"/>
      <c r="CS426" s="340"/>
      <c r="CT426" s="340"/>
      <c r="CU426" s="340"/>
      <c r="CV426" s="340"/>
      <c r="CW426" s="340"/>
      <c r="CX426" s="340"/>
      <c r="CY426" s="340"/>
      <c r="CZ426" s="340"/>
      <c r="DA426" s="340"/>
      <c r="DB426" s="340"/>
      <c r="DC426" s="340"/>
      <c r="DD426" s="341"/>
      <c r="DE426" s="346">
        <v>0</v>
      </c>
      <c r="DF426" s="347"/>
      <c r="DG426" s="347"/>
      <c r="DH426" s="347"/>
      <c r="DI426" s="347"/>
      <c r="DJ426" s="347"/>
      <c r="DK426" s="347"/>
      <c r="DL426" s="347"/>
      <c r="DM426" s="347"/>
      <c r="DN426" s="347"/>
      <c r="DO426" s="347"/>
      <c r="DP426" s="347"/>
      <c r="DQ426" s="348"/>
      <c r="DR426" s="346">
        <f>3401387.93</f>
        <v>3401387.93</v>
      </c>
      <c r="DS426" s="347"/>
      <c r="DT426" s="347"/>
      <c r="DU426" s="347"/>
      <c r="DV426" s="347"/>
      <c r="DW426" s="347"/>
      <c r="DX426" s="347"/>
      <c r="DY426" s="347"/>
      <c r="DZ426" s="347"/>
      <c r="EA426" s="347"/>
      <c r="EB426" s="347"/>
      <c r="EC426" s="347"/>
      <c r="ED426" s="348"/>
      <c r="EE426" s="346"/>
      <c r="EF426" s="347"/>
      <c r="EG426" s="347"/>
      <c r="EH426" s="347"/>
      <c r="EI426" s="347"/>
      <c r="EJ426" s="347"/>
      <c r="EK426" s="347"/>
      <c r="EL426" s="347"/>
      <c r="EM426" s="347"/>
      <c r="EN426" s="347"/>
      <c r="EO426" s="347"/>
      <c r="EP426" s="347"/>
      <c r="EQ426" s="348"/>
      <c r="ER426" s="349"/>
      <c r="ES426" s="350"/>
      <c r="ET426" s="350"/>
      <c r="EU426" s="350"/>
      <c r="EV426" s="350"/>
      <c r="EW426" s="350"/>
      <c r="EX426" s="350"/>
      <c r="EY426" s="350"/>
      <c r="EZ426" s="350"/>
      <c r="FA426" s="350"/>
      <c r="FB426" s="351"/>
      <c r="FC426" s="352"/>
      <c r="FD426" s="353"/>
      <c r="FE426" s="353"/>
      <c r="FF426" s="353"/>
      <c r="FG426" s="353"/>
      <c r="FH426" s="353"/>
      <c r="FI426" s="353"/>
      <c r="FJ426" s="353"/>
      <c r="FK426" s="353"/>
      <c r="FL426" s="353"/>
      <c r="FO426" s="275">
        <v>2790800</v>
      </c>
      <c r="FP426" s="275"/>
      <c r="FQ426" s="275">
        <f t="shared" si="10"/>
        <v>610587.93000000017</v>
      </c>
    </row>
    <row r="427" spans="1:173" ht="12" customHeight="1">
      <c r="A427" s="336" t="s">
        <v>792</v>
      </c>
      <c r="B427" s="337"/>
      <c r="C427" s="337"/>
      <c r="D427" s="337"/>
      <c r="E427" s="337"/>
      <c r="F427" s="337"/>
      <c r="G427" s="337"/>
      <c r="H427" s="337"/>
      <c r="I427" s="337"/>
      <c r="J427" s="337"/>
      <c r="K427" s="337"/>
      <c r="L427" s="337"/>
      <c r="M427" s="337"/>
      <c r="N427" s="337"/>
      <c r="O427" s="337"/>
      <c r="P427" s="337"/>
      <c r="Q427" s="337"/>
      <c r="R427" s="337"/>
      <c r="S427" s="337"/>
      <c r="T427" s="337"/>
      <c r="U427" s="337"/>
      <c r="V427" s="337"/>
      <c r="W427" s="337"/>
      <c r="X427" s="337"/>
      <c r="Y427" s="337"/>
      <c r="Z427" s="337"/>
      <c r="AA427" s="337"/>
      <c r="AB427" s="337"/>
      <c r="AC427" s="337"/>
      <c r="AD427" s="337"/>
      <c r="AE427" s="337"/>
      <c r="AF427" s="337"/>
      <c r="AG427" s="337"/>
      <c r="AH427" s="337"/>
      <c r="AI427" s="337"/>
      <c r="AJ427" s="337"/>
      <c r="AK427" s="337"/>
      <c r="AL427" s="337"/>
      <c r="AM427" s="337"/>
      <c r="AN427" s="337"/>
      <c r="AO427" s="337"/>
      <c r="AP427" s="337"/>
      <c r="AQ427" s="337"/>
      <c r="AR427" s="337"/>
      <c r="AS427" s="337"/>
      <c r="AT427" s="337"/>
      <c r="AU427" s="337"/>
      <c r="AV427" s="337"/>
      <c r="AW427" s="337"/>
      <c r="AX427" s="337"/>
      <c r="AY427" s="337"/>
      <c r="AZ427" s="337"/>
      <c r="BA427" s="337"/>
      <c r="BB427" s="337"/>
      <c r="BC427" s="337"/>
      <c r="BD427" s="337"/>
      <c r="BE427" s="337"/>
      <c r="BF427" s="337"/>
      <c r="BG427" s="337"/>
      <c r="BH427" s="337"/>
      <c r="BI427" s="337"/>
      <c r="BJ427" s="337"/>
      <c r="BK427" s="338"/>
      <c r="BL427" s="339"/>
      <c r="BM427" s="340"/>
      <c r="BN427" s="340"/>
      <c r="BO427" s="340"/>
      <c r="BP427" s="340"/>
      <c r="BQ427" s="340"/>
      <c r="BR427" s="340"/>
      <c r="BS427" s="341"/>
      <c r="BT427" s="342" t="s">
        <v>784</v>
      </c>
      <c r="BU427" s="343"/>
      <c r="BV427" s="343"/>
      <c r="BW427" s="343"/>
      <c r="BX427" s="343"/>
      <c r="BY427" s="343"/>
      <c r="BZ427" s="343"/>
      <c r="CA427" s="343"/>
      <c r="CB427" s="343"/>
      <c r="CC427" s="343"/>
      <c r="CD427" s="343"/>
      <c r="CE427" s="343"/>
      <c r="CF427" s="344"/>
      <c r="CG427" s="345" t="s">
        <v>794</v>
      </c>
      <c r="CH427" s="340"/>
      <c r="CI427" s="340"/>
      <c r="CJ427" s="340"/>
      <c r="CK427" s="340"/>
      <c r="CL427" s="340"/>
      <c r="CM427" s="340"/>
      <c r="CN427" s="340"/>
      <c r="CO427" s="340"/>
      <c r="CP427" s="340"/>
      <c r="CQ427" s="341"/>
      <c r="CR427" s="345"/>
      <c r="CS427" s="340"/>
      <c r="CT427" s="340"/>
      <c r="CU427" s="340"/>
      <c r="CV427" s="340"/>
      <c r="CW427" s="340"/>
      <c r="CX427" s="340"/>
      <c r="CY427" s="340"/>
      <c r="CZ427" s="340"/>
      <c r="DA427" s="340"/>
      <c r="DB427" s="340"/>
      <c r="DC427" s="340"/>
      <c r="DD427" s="341"/>
      <c r="DE427" s="349">
        <v>0</v>
      </c>
      <c r="DF427" s="350"/>
      <c r="DG427" s="350"/>
      <c r="DH427" s="350"/>
      <c r="DI427" s="350"/>
      <c r="DJ427" s="350"/>
      <c r="DK427" s="350"/>
      <c r="DL427" s="350"/>
      <c r="DM427" s="350"/>
      <c r="DN427" s="350"/>
      <c r="DO427" s="350"/>
      <c r="DP427" s="350"/>
      <c r="DQ427" s="351"/>
      <c r="DR427" s="349">
        <f>492484.01</f>
        <v>492484.01</v>
      </c>
      <c r="DS427" s="350"/>
      <c r="DT427" s="350"/>
      <c r="DU427" s="350"/>
      <c r="DV427" s="350"/>
      <c r="DW427" s="350"/>
      <c r="DX427" s="350"/>
      <c r="DY427" s="350"/>
      <c r="DZ427" s="350"/>
      <c r="EA427" s="350"/>
      <c r="EB427" s="350"/>
      <c r="EC427" s="350"/>
      <c r="ED427" s="351"/>
      <c r="EE427" s="346"/>
      <c r="EF427" s="347"/>
      <c r="EG427" s="347"/>
      <c r="EH427" s="347"/>
      <c r="EI427" s="347"/>
      <c r="EJ427" s="347"/>
      <c r="EK427" s="347"/>
      <c r="EL427" s="347"/>
      <c r="EM427" s="347"/>
      <c r="EN427" s="347"/>
      <c r="EO427" s="347"/>
      <c r="EP427" s="347"/>
      <c r="EQ427" s="348"/>
      <c r="ER427" s="349"/>
      <c r="ES427" s="350"/>
      <c r="ET427" s="350"/>
      <c r="EU427" s="350"/>
      <c r="EV427" s="350"/>
      <c r="EW427" s="350"/>
      <c r="EX427" s="350"/>
      <c r="EY427" s="350"/>
      <c r="EZ427" s="350"/>
      <c r="FA427" s="350"/>
      <c r="FB427" s="351"/>
      <c r="FC427" s="352"/>
      <c r="FD427" s="353"/>
      <c r="FE427" s="353"/>
      <c r="FF427" s="353"/>
      <c r="FG427" s="353"/>
      <c r="FH427" s="353"/>
      <c r="FI427" s="353"/>
      <c r="FJ427" s="353"/>
      <c r="FK427" s="353"/>
      <c r="FL427" s="353"/>
      <c r="FO427" s="275">
        <v>348500</v>
      </c>
      <c r="FP427" s="275"/>
      <c r="FQ427" s="275">
        <f t="shared" si="10"/>
        <v>143984.01</v>
      </c>
    </row>
    <row r="428" spans="1:173" ht="12" customHeight="1">
      <c r="A428" s="336" t="s">
        <v>793</v>
      </c>
      <c r="B428" s="337"/>
      <c r="C428" s="337"/>
      <c r="D428" s="337"/>
      <c r="E428" s="337"/>
      <c r="F428" s="337"/>
      <c r="G428" s="337"/>
      <c r="H428" s="337"/>
      <c r="I428" s="337"/>
      <c r="J428" s="337"/>
      <c r="K428" s="337"/>
      <c r="L428" s="337"/>
      <c r="M428" s="337"/>
      <c r="N428" s="337"/>
      <c r="O428" s="337"/>
      <c r="P428" s="337"/>
      <c r="Q428" s="337"/>
      <c r="R428" s="337"/>
      <c r="S428" s="337"/>
      <c r="T428" s="337"/>
      <c r="U428" s="337"/>
      <c r="V428" s="337"/>
      <c r="W428" s="337"/>
      <c r="X428" s="337"/>
      <c r="Y428" s="337"/>
      <c r="Z428" s="337"/>
      <c r="AA428" s="337"/>
      <c r="AB428" s="337"/>
      <c r="AC428" s="337"/>
      <c r="AD428" s="337"/>
      <c r="AE428" s="337"/>
      <c r="AF428" s="337"/>
      <c r="AG428" s="337"/>
      <c r="AH428" s="337"/>
      <c r="AI428" s="337"/>
      <c r="AJ428" s="337"/>
      <c r="AK428" s="337"/>
      <c r="AL428" s="337"/>
      <c r="AM428" s="337"/>
      <c r="AN428" s="337"/>
      <c r="AO428" s="337"/>
      <c r="AP428" s="337"/>
      <c r="AQ428" s="337"/>
      <c r="AR428" s="337"/>
      <c r="AS428" s="337"/>
      <c r="AT428" s="337"/>
      <c r="AU428" s="337"/>
      <c r="AV428" s="337"/>
      <c r="AW428" s="337"/>
      <c r="AX428" s="337"/>
      <c r="AY428" s="337"/>
      <c r="AZ428" s="337"/>
      <c r="BA428" s="337"/>
      <c r="BB428" s="337"/>
      <c r="BC428" s="337"/>
      <c r="BD428" s="337"/>
      <c r="BE428" s="337"/>
      <c r="BF428" s="337"/>
      <c r="BG428" s="337"/>
      <c r="BH428" s="337"/>
      <c r="BI428" s="337"/>
      <c r="BJ428" s="337"/>
      <c r="BK428" s="338"/>
      <c r="BL428" s="339"/>
      <c r="BM428" s="340"/>
      <c r="BN428" s="340"/>
      <c r="BO428" s="340"/>
      <c r="BP428" s="340"/>
      <c r="BQ428" s="340"/>
      <c r="BR428" s="340"/>
      <c r="BS428" s="341"/>
      <c r="BT428" s="342" t="s">
        <v>784</v>
      </c>
      <c r="BU428" s="343"/>
      <c r="BV428" s="343"/>
      <c r="BW428" s="343"/>
      <c r="BX428" s="343"/>
      <c r="BY428" s="343"/>
      <c r="BZ428" s="343"/>
      <c r="CA428" s="343"/>
      <c r="CB428" s="343"/>
      <c r="CC428" s="343"/>
      <c r="CD428" s="343"/>
      <c r="CE428" s="343"/>
      <c r="CF428" s="344"/>
      <c r="CG428" s="345" t="s">
        <v>794</v>
      </c>
      <c r="CH428" s="340"/>
      <c r="CI428" s="340"/>
      <c r="CJ428" s="340"/>
      <c r="CK428" s="340"/>
      <c r="CL428" s="340"/>
      <c r="CM428" s="340"/>
      <c r="CN428" s="340"/>
      <c r="CO428" s="340"/>
      <c r="CP428" s="340"/>
      <c r="CQ428" s="341"/>
      <c r="CR428" s="345"/>
      <c r="CS428" s="340"/>
      <c r="CT428" s="340"/>
      <c r="CU428" s="340"/>
      <c r="CV428" s="340"/>
      <c r="CW428" s="340"/>
      <c r="CX428" s="340"/>
      <c r="CY428" s="340"/>
      <c r="CZ428" s="340"/>
      <c r="DA428" s="340"/>
      <c r="DB428" s="340"/>
      <c r="DC428" s="340"/>
      <c r="DD428" s="341"/>
      <c r="DE428" s="349">
        <v>0</v>
      </c>
      <c r="DF428" s="350"/>
      <c r="DG428" s="350"/>
      <c r="DH428" s="350"/>
      <c r="DI428" s="350"/>
      <c r="DJ428" s="350"/>
      <c r="DK428" s="350"/>
      <c r="DL428" s="350"/>
      <c r="DM428" s="350"/>
      <c r="DN428" s="350"/>
      <c r="DO428" s="350"/>
      <c r="DP428" s="350"/>
      <c r="DQ428" s="351"/>
      <c r="DR428" s="349">
        <f>109476.83</f>
        <v>109476.83</v>
      </c>
      <c r="DS428" s="350"/>
      <c r="DT428" s="350"/>
      <c r="DU428" s="350"/>
      <c r="DV428" s="350"/>
      <c r="DW428" s="350"/>
      <c r="DX428" s="350"/>
      <c r="DY428" s="350"/>
      <c r="DZ428" s="350"/>
      <c r="EA428" s="350"/>
      <c r="EB428" s="350"/>
      <c r="EC428" s="350"/>
      <c r="ED428" s="351"/>
      <c r="EE428" s="346"/>
      <c r="EF428" s="347"/>
      <c r="EG428" s="347"/>
      <c r="EH428" s="347"/>
      <c r="EI428" s="347"/>
      <c r="EJ428" s="347"/>
      <c r="EK428" s="347"/>
      <c r="EL428" s="347"/>
      <c r="EM428" s="347"/>
      <c r="EN428" s="347"/>
      <c r="EO428" s="347"/>
      <c r="EP428" s="347"/>
      <c r="EQ428" s="348"/>
      <c r="ER428" s="349"/>
      <c r="ES428" s="350"/>
      <c r="ET428" s="350"/>
      <c r="EU428" s="350"/>
      <c r="EV428" s="350"/>
      <c r="EW428" s="350"/>
      <c r="EX428" s="350"/>
      <c r="EY428" s="350"/>
      <c r="EZ428" s="350"/>
      <c r="FA428" s="350"/>
      <c r="FB428" s="351"/>
      <c r="FC428" s="352"/>
      <c r="FD428" s="353"/>
      <c r="FE428" s="353"/>
      <c r="FF428" s="353"/>
      <c r="FG428" s="353"/>
      <c r="FH428" s="353"/>
      <c r="FI428" s="353"/>
      <c r="FJ428" s="353"/>
      <c r="FK428" s="353"/>
      <c r="FL428" s="353"/>
      <c r="FO428" s="275">
        <v>75500</v>
      </c>
      <c r="FP428" s="275"/>
      <c r="FQ428" s="275">
        <f t="shared" si="10"/>
        <v>33976.83</v>
      </c>
    </row>
    <row r="429" spans="1:173" ht="24" customHeight="1">
      <c r="A429" s="468" t="s">
        <v>111</v>
      </c>
      <c r="B429" s="462"/>
      <c r="C429" s="462"/>
      <c r="D429" s="462"/>
      <c r="E429" s="462"/>
      <c r="F429" s="462"/>
      <c r="G429" s="462"/>
      <c r="H429" s="462"/>
      <c r="I429" s="462"/>
      <c r="J429" s="462"/>
      <c r="K429" s="462"/>
      <c r="L429" s="462"/>
      <c r="M429" s="462"/>
      <c r="N429" s="462"/>
      <c r="O429" s="462"/>
      <c r="P429" s="462"/>
      <c r="Q429" s="462"/>
      <c r="R429" s="462"/>
      <c r="S429" s="462"/>
      <c r="T429" s="462"/>
      <c r="U429" s="462"/>
      <c r="V429" s="462"/>
      <c r="W429" s="462"/>
      <c r="X429" s="462"/>
      <c r="Y429" s="462"/>
      <c r="Z429" s="462"/>
      <c r="AA429" s="462"/>
      <c r="AB429" s="462"/>
      <c r="AC429" s="462"/>
      <c r="AD429" s="462"/>
      <c r="AE429" s="462"/>
      <c r="AF429" s="462"/>
      <c r="AG429" s="462"/>
      <c r="AH429" s="462"/>
      <c r="AI429" s="462"/>
      <c r="AJ429" s="462"/>
      <c r="AK429" s="462"/>
      <c r="AL429" s="462"/>
      <c r="AM429" s="462"/>
      <c r="AN429" s="462"/>
      <c r="AO429" s="462"/>
      <c r="AP429" s="462"/>
      <c r="AQ429" s="462"/>
      <c r="AR429" s="462"/>
      <c r="AS429" s="462"/>
      <c r="AT429" s="462"/>
      <c r="AU429" s="462"/>
      <c r="AV429" s="462"/>
      <c r="AW429" s="462"/>
      <c r="AX429" s="462"/>
      <c r="AY429" s="462"/>
      <c r="AZ429" s="462"/>
      <c r="BA429" s="462"/>
      <c r="BB429" s="462"/>
      <c r="BC429" s="462"/>
      <c r="BD429" s="462"/>
      <c r="BE429" s="462"/>
      <c r="BF429" s="462"/>
      <c r="BG429" s="462"/>
      <c r="BH429" s="462"/>
      <c r="BI429" s="462"/>
      <c r="BJ429" s="462"/>
      <c r="BK429" s="463"/>
      <c r="BL429" s="460" t="s">
        <v>114</v>
      </c>
      <c r="BM429" s="363"/>
      <c r="BN429" s="363"/>
      <c r="BO429" s="363"/>
      <c r="BP429" s="363"/>
      <c r="BQ429" s="363"/>
      <c r="BR429" s="363"/>
      <c r="BS429" s="364"/>
      <c r="BT429" s="362" t="s">
        <v>112</v>
      </c>
      <c r="BU429" s="363"/>
      <c r="BV429" s="363"/>
      <c r="BW429" s="363"/>
      <c r="BX429" s="363"/>
      <c r="BY429" s="363"/>
      <c r="BZ429" s="363"/>
      <c r="CA429" s="363"/>
      <c r="CB429" s="363"/>
      <c r="CC429" s="363"/>
      <c r="CD429" s="363"/>
      <c r="CE429" s="363"/>
      <c r="CF429" s="364"/>
      <c r="CG429" s="362"/>
      <c r="CH429" s="363"/>
      <c r="CI429" s="363"/>
      <c r="CJ429" s="363"/>
      <c r="CK429" s="363"/>
      <c r="CL429" s="363"/>
      <c r="CM429" s="363"/>
      <c r="CN429" s="363"/>
      <c r="CO429" s="363"/>
      <c r="CP429" s="363"/>
      <c r="CQ429" s="364"/>
      <c r="CR429" s="362"/>
      <c r="CS429" s="363"/>
      <c r="CT429" s="363"/>
      <c r="CU429" s="363"/>
      <c r="CV429" s="363"/>
      <c r="CW429" s="363"/>
      <c r="CX429" s="363"/>
      <c r="CY429" s="363"/>
      <c r="CZ429" s="363"/>
      <c r="DA429" s="363"/>
      <c r="DB429" s="363"/>
      <c r="DC429" s="363"/>
      <c r="DD429" s="364"/>
      <c r="DE429" s="496"/>
      <c r="DF429" s="497"/>
      <c r="DG429" s="497"/>
      <c r="DH429" s="497"/>
      <c r="DI429" s="497"/>
      <c r="DJ429" s="497"/>
      <c r="DK429" s="497"/>
      <c r="DL429" s="497"/>
      <c r="DM429" s="497"/>
      <c r="DN429" s="497"/>
      <c r="DO429" s="497"/>
      <c r="DP429" s="497"/>
      <c r="DQ429" s="498"/>
      <c r="DR429" s="496"/>
      <c r="DS429" s="497"/>
      <c r="DT429" s="497"/>
      <c r="DU429" s="497"/>
      <c r="DV429" s="497"/>
      <c r="DW429" s="497"/>
      <c r="DX429" s="497"/>
      <c r="DY429" s="497"/>
      <c r="DZ429" s="497"/>
      <c r="EA429" s="497"/>
      <c r="EB429" s="497"/>
      <c r="EC429" s="497"/>
      <c r="ED429" s="498"/>
      <c r="EE429" s="496"/>
      <c r="EF429" s="497"/>
      <c r="EG429" s="497"/>
      <c r="EH429" s="497"/>
      <c r="EI429" s="497"/>
      <c r="EJ429" s="497"/>
      <c r="EK429" s="497"/>
      <c r="EL429" s="497"/>
      <c r="EM429" s="497"/>
      <c r="EN429" s="497"/>
      <c r="EO429" s="497"/>
      <c r="EP429" s="497"/>
      <c r="EQ429" s="498"/>
      <c r="ER429" s="349"/>
      <c r="ES429" s="350"/>
      <c r="ET429" s="350"/>
      <c r="EU429" s="350"/>
      <c r="EV429" s="350"/>
      <c r="EW429" s="350"/>
      <c r="EX429" s="350"/>
      <c r="EY429" s="350"/>
      <c r="EZ429" s="350"/>
      <c r="FA429" s="350"/>
      <c r="FB429" s="351"/>
      <c r="FC429" s="352"/>
      <c r="FD429" s="353"/>
      <c r="FE429" s="353"/>
      <c r="FF429" s="353"/>
      <c r="FG429" s="353"/>
      <c r="FH429" s="353"/>
      <c r="FI429" s="353"/>
      <c r="FJ429" s="353"/>
      <c r="FK429" s="353"/>
      <c r="FL429" s="353"/>
      <c r="FO429" s="275"/>
      <c r="FP429" s="275"/>
      <c r="FQ429" s="275">
        <f t="shared" si="10"/>
        <v>0</v>
      </c>
    </row>
    <row r="430" spans="1:173" ht="29.4" customHeight="1">
      <c r="A430" s="508" t="s">
        <v>113</v>
      </c>
      <c r="B430" s="509"/>
      <c r="C430" s="509"/>
      <c r="D430" s="509"/>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09"/>
      <c r="AI430" s="509"/>
      <c r="AJ430" s="509"/>
      <c r="AK430" s="509"/>
      <c r="AL430" s="509"/>
      <c r="AM430" s="509"/>
      <c r="AN430" s="509"/>
      <c r="AO430" s="509"/>
      <c r="AP430" s="509"/>
      <c r="AQ430" s="509"/>
      <c r="AR430" s="509"/>
      <c r="AS430" s="509"/>
      <c r="AT430" s="509"/>
      <c r="AU430" s="509"/>
      <c r="AV430" s="509"/>
      <c r="AW430" s="509"/>
      <c r="AX430" s="509"/>
      <c r="AY430" s="509"/>
      <c r="AZ430" s="509"/>
      <c r="BA430" s="509"/>
      <c r="BB430" s="509"/>
      <c r="BC430" s="509"/>
      <c r="BD430" s="509"/>
      <c r="BE430" s="509"/>
      <c r="BF430" s="509"/>
      <c r="BG430" s="509"/>
      <c r="BH430" s="509"/>
      <c r="BI430" s="509"/>
      <c r="BJ430" s="509"/>
      <c r="BK430" s="510"/>
      <c r="BL430" s="339" t="s">
        <v>117</v>
      </c>
      <c r="BM430" s="340"/>
      <c r="BN430" s="340"/>
      <c r="BO430" s="340"/>
      <c r="BP430" s="340"/>
      <c r="BQ430" s="340"/>
      <c r="BR430" s="340"/>
      <c r="BS430" s="341"/>
      <c r="BT430" s="345" t="s">
        <v>115</v>
      </c>
      <c r="BU430" s="340"/>
      <c r="BV430" s="340"/>
      <c r="BW430" s="340"/>
      <c r="BX430" s="340"/>
      <c r="BY430" s="340"/>
      <c r="BZ430" s="340"/>
      <c r="CA430" s="340"/>
      <c r="CB430" s="340"/>
      <c r="CC430" s="340"/>
      <c r="CD430" s="340"/>
      <c r="CE430" s="340"/>
      <c r="CF430" s="341"/>
      <c r="CG430" s="345"/>
      <c r="CH430" s="340"/>
      <c r="CI430" s="340"/>
      <c r="CJ430" s="340"/>
      <c r="CK430" s="340"/>
      <c r="CL430" s="340"/>
      <c r="CM430" s="340"/>
      <c r="CN430" s="340"/>
      <c r="CO430" s="340"/>
      <c r="CP430" s="340"/>
      <c r="CQ430" s="341"/>
      <c r="CR430" s="345"/>
      <c r="CS430" s="340"/>
      <c r="CT430" s="340"/>
      <c r="CU430" s="340"/>
      <c r="CV430" s="340"/>
      <c r="CW430" s="340"/>
      <c r="CX430" s="340"/>
      <c r="CY430" s="340"/>
      <c r="CZ430" s="340"/>
      <c r="DA430" s="340"/>
      <c r="DB430" s="340"/>
      <c r="DC430" s="340"/>
      <c r="DD430" s="341"/>
      <c r="DE430" s="349"/>
      <c r="DF430" s="350"/>
      <c r="DG430" s="350"/>
      <c r="DH430" s="350"/>
      <c r="DI430" s="350"/>
      <c r="DJ430" s="350"/>
      <c r="DK430" s="350"/>
      <c r="DL430" s="350"/>
      <c r="DM430" s="350"/>
      <c r="DN430" s="350"/>
      <c r="DO430" s="350"/>
      <c r="DP430" s="350"/>
      <c r="DQ430" s="351"/>
      <c r="DR430" s="349"/>
      <c r="DS430" s="350"/>
      <c r="DT430" s="350"/>
      <c r="DU430" s="350"/>
      <c r="DV430" s="350"/>
      <c r="DW430" s="350"/>
      <c r="DX430" s="350"/>
      <c r="DY430" s="350"/>
      <c r="DZ430" s="350"/>
      <c r="EA430" s="350"/>
      <c r="EB430" s="350"/>
      <c r="EC430" s="350"/>
      <c r="ED430" s="351"/>
      <c r="EE430" s="349"/>
      <c r="EF430" s="350"/>
      <c r="EG430" s="350"/>
      <c r="EH430" s="350"/>
      <c r="EI430" s="350"/>
      <c r="EJ430" s="350"/>
      <c r="EK430" s="350"/>
      <c r="EL430" s="350"/>
      <c r="EM430" s="350"/>
      <c r="EN430" s="350"/>
      <c r="EO430" s="350"/>
      <c r="EP430" s="350"/>
      <c r="EQ430" s="351"/>
      <c r="ER430" s="349"/>
      <c r="ES430" s="350"/>
      <c r="ET430" s="350"/>
      <c r="EU430" s="350"/>
      <c r="EV430" s="350"/>
      <c r="EW430" s="350"/>
      <c r="EX430" s="350"/>
      <c r="EY430" s="350"/>
      <c r="EZ430" s="350"/>
      <c r="FA430" s="350"/>
      <c r="FB430" s="351"/>
      <c r="FC430" s="352"/>
      <c r="FD430" s="353"/>
      <c r="FE430" s="353"/>
      <c r="FF430" s="353"/>
      <c r="FG430" s="353"/>
      <c r="FH430" s="353"/>
      <c r="FI430" s="353"/>
      <c r="FJ430" s="353"/>
      <c r="FK430" s="353"/>
      <c r="FL430" s="353"/>
      <c r="FO430" s="275"/>
      <c r="FP430" s="275"/>
      <c r="FQ430" s="275">
        <f t="shared" si="10"/>
        <v>0</v>
      </c>
    </row>
    <row r="431" spans="1:173" ht="24" customHeight="1">
      <c r="A431" s="508" t="s">
        <v>116</v>
      </c>
      <c r="B431" s="509"/>
      <c r="C431" s="509"/>
      <c r="D431" s="509"/>
      <c r="E431" s="509"/>
      <c r="F431" s="509"/>
      <c r="G431" s="509"/>
      <c r="H431" s="509"/>
      <c r="I431" s="509"/>
      <c r="J431" s="509"/>
      <c r="K431" s="509"/>
      <c r="L431" s="509"/>
      <c r="M431" s="509"/>
      <c r="N431" s="509"/>
      <c r="O431" s="509"/>
      <c r="P431" s="509"/>
      <c r="Q431" s="509"/>
      <c r="R431" s="509"/>
      <c r="S431" s="509"/>
      <c r="T431" s="509"/>
      <c r="U431" s="509"/>
      <c r="V431" s="509"/>
      <c r="W431" s="509"/>
      <c r="X431" s="509"/>
      <c r="Y431" s="509"/>
      <c r="Z431" s="509"/>
      <c r="AA431" s="509"/>
      <c r="AB431" s="509"/>
      <c r="AC431" s="509"/>
      <c r="AD431" s="509"/>
      <c r="AE431" s="509"/>
      <c r="AF431" s="509"/>
      <c r="AG431" s="509"/>
      <c r="AH431" s="509"/>
      <c r="AI431" s="509"/>
      <c r="AJ431" s="509"/>
      <c r="AK431" s="509"/>
      <c r="AL431" s="509"/>
      <c r="AM431" s="509"/>
      <c r="AN431" s="509"/>
      <c r="AO431" s="509"/>
      <c r="AP431" s="509"/>
      <c r="AQ431" s="509"/>
      <c r="AR431" s="509"/>
      <c r="AS431" s="509"/>
      <c r="AT431" s="509"/>
      <c r="AU431" s="509"/>
      <c r="AV431" s="509"/>
      <c r="AW431" s="509"/>
      <c r="AX431" s="509"/>
      <c r="AY431" s="509"/>
      <c r="AZ431" s="509"/>
      <c r="BA431" s="509"/>
      <c r="BB431" s="509"/>
      <c r="BC431" s="509"/>
      <c r="BD431" s="509"/>
      <c r="BE431" s="509"/>
      <c r="BF431" s="509"/>
      <c r="BG431" s="509"/>
      <c r="BH431" s="509"/>
      <c r="BI431" s="509"/>
      <c r="BJ431" s="509"/>
      <c r="BK431" s="510"/>
      <c r="BL431" s="339" t="s">
        <v>377</v>
      </c>
      <c r="BM431" s="340"/>
      <c r="BN431" s="340"/>
      <c r="BO431" s="340"/>
      <c r="BP431" s="340"/>
      <c r="BQ431" s="340"/>
      <c r="BR431" s="340"/>
      <c r="BS431" s="341"/>
      <c r="BT431" s="345" t="s">
        <v>118</v>
      </c>
      <c r="BU431" s="340"/>
      <c r="BV431" s="340"/>
      <c r="BW431" s="340"/>
      <c r="BX431" s="340"/>
      <c r="BY431" s="340"/>
      <c r="BZ431" s="340"/>
      <c r="CA431" s="340"/>
      <c r="CB431" s="340"/>
      <c r="CC431" s="340"/>
      <c r="CD431" s="340"/>
      <c r="CE431" s="340"/>
      <c r="CF431" s="341"/>
      <c r="CG431" s="345"/>
      <c r="CH431" s="340"/>
      <c r="CI431" s="340"/>
      <c r="CJ431" s="340"/>
      <c r="CK431" s="340"/>
      <c r="CL431" s="340"/>
      <c r="CM431" s="340"/>
      <c r="CN431" s="340"/>
      <c r="CO431" s="340"/>
      <c r="CP431" s="340"/>
      <c r="CQ431" s="341"/>
      <c r="CR431" s="345"/>
      <c r="CS431" s="340"/>
      <c r="CT431" s="340"/>
      <c r="CU431" s="340"/>
      <c r="CV431" s="340"/>
      <c r="CW431" s="340"/>
      <c r="CX431" s="340"/>
      <c r="CY431" s="340"/>
      <c r="CZ431" s="340"/>
      <c r="DA431" s="340"/>
      <c r="DB431" s="340"/>
      <c r="DC431" s="340"/>
      <c r="DD431" s="341"/>
      <c r="DE431" s="349"/>
      <c r="DF431" s="350"/>
      <c r="DG431" s="350"/>
      <c r="DH431" s="350"/>
      <c r="DI431" s="350"/>
      <c r="DJ431" s="350"/>
      <c r="DK431" s="350"/>
      <c r="DL431" s="350"/>
      <c r="DM431" s="350"/>
      <c r="DN431" s="350"/>
      <c r="DO431" s="350"/>
      <c r="DP431" s="350"/>
      <c r="DQ431" s="351"/>
      <c r="DR431" s="349"/>
      <c r="DS431" s="350"/>
      <c r="DT431" s="350"/>
      <c r="DU431" s="350"/>
      <c r="DV431" s="350"/>
      <c r="DW431" s="350"/>
      <c r="DX431" s="350"/>
      <c r="DY431" s="350"/>
      <c r="DZ431" s="350"/>
      <c r="EA431" s="350"/>
      <c r="EB431" s="350"/>
      <c r="EC431" s="350"/>
      <c r="ED431" s="351"/>
      <c r="EE431" s="349"/>
      <c r="EF431" s="350"/>
      <c r="EG431" s="350"/>
      <c r="EH431" s="350"/>
      <c r="EI431" s="350"/>
      <c r="EJ431" s="350"/>
      <c r="EK431" s="350"/>
      <c r="EL431" s="350"/>
      <c r="EM431" s="350"/>
      <c r="EN431" s="350"/>
      <c r="EO431" s="350"/>
      <c r="EP431" s="350"/>
      <c r="EQ431" s="351"/>
      <c r="ER431" s="349"/>
      <c r="ES431" s="350"/>
      <c r="ET431" s="350"/>
      <c r="EU431" s="350"/>
      <c r="EV431" s="350"/>
      <c r="EW431" s="350"/>
      <c r="EX431" s="350"/>
      <c r="EY431" s="350"/>
      <c r="EZ431" s="350"/>
      <c r="FA431" s="350"/>
      <c r="FB431" s="351"/>
      <c r="FC431" s="352"/>
      <c r="FD431" s="353"/>
      <c r="FE431" s="353"/>
      <c r="FF431" s="353"/>
      <c r="FG431" s="353"/>
      <c r="FH431" s="353"/>
      <c r="FI431" s="353"/>
      <c r="FJ431" s="353"/>
      <c r="FK431" s="353"/>
      <c r="FL431" s="353"/>
      <c r="FO431" s="275"/>
      <c r="FP431" s="275"/>
      <c r="FQ431" s="275">
        <f t="shared" si="10"/>
        <v>0</v>
      </c>
    </row>
    <row r="432" spans="1:173" ht="21" customHeight="1">
      <c r="A432" s="586" t="s">
        <v>119</v>
      </c>
      <c r="B432" s="587"/>
      <c r="C432" s="587"/>
      <c r="D432" s="587"/>
      <c r="E432" s="587"/>
      <c r="F432" s="587"/>
      <c r="G432" s="587"/>
      <c r="H432" s="587"/>
      <c r="I432" s="587"/>
      <c r="J432" s="587"/>
      <c r="K432" s="587"/>
      <c r="L432" s="587"/>
      <c r="M432" s="587"/>
      <c r="N432" s="587"/>
      <c r="O432" s="587"/>
      <c r="P432" s="587"/>
      <c r="Q432" s="587"/>
      <c r="R432" s="587"/>
      <c r="S432" s="587"/>
      <c r="T432" s="587"/>
      <c r="U432" s="587"/>
      <c r="V432" s="587"/>
      <c r="W432" s="587"/>
      <c r="X432" s="587"/>
      <c r="Y432" s="587"/>
      <c r="Z432" s="587"/>
      <c r="AA432" s="587"/>
      <c r="AB432" s="587"/>
      <c r="AC432" s="587"/>
      <c r="AD432" s="587"/>
      <c r="AE432" s="587"/>
      <c r="AF432" s="587"/>
      <c r="AG432" s="587"/>
      <c r="AH432" s="587"/>
      <c r="AI432" s="587"/>
      <c r="AJ432" s="587"/>
      <c r="AK432" s="587"/>
      <c r="AL432" s="587"/>
      <c r="AM432" s="587"/>
      <c r="AN432" s="587"/>
      <c r="AO432" s="587"/>
      <c r="AP432" s="587"/>
      <c r="AQ432" s="587"/>
      <c r="AR432" s="587"/>
      <c r="AS432" s="587"/>
      <c r="AT432" s="587"/>
      <c r="AU432" s="587"/>
      <c r="AV432" s="587"/>
      <c r="AW432" s="587"/>
      <c r="AX432" s="587"/>
      <c r="AY432" s="587"/>
      <c r="AZ432" s="587"/>
      <c r="BA432" s="587"/>
      <c r="BB432" s="587"/>
      <c r="BC432" s="587"/>
      <c r="BD432" s="587"/>
      <c r="BE432" s="587"/>
      <c r="BF432" s="587"/>
      <c r="BG432" s="587"/>
      <c r="BH432" s="587"/>
      <c r="BI432" s="587"/>
      <c r="BJ432" s="587"/>
      <c r="BK432" s="588"/>
      <c r="BL432" s="460" t="s">
        <v>120</v>
      </c>
      <c r="BM432" s="363"/>
      <c r="BN432" s="363"/>
      <c r="BO432" s="363"/>
      <c r="BP432" s="363"/>
      <c r="BQ432" s="363"/>
      <c r="BR432" s="363"/>
      <c r="BS432" s="364"/>
      <c r="BT432" s="362" t="s">
        <v>121</v>
      </c>
      <c r="BU432" s="363"/>
      <c r="BV432" s="363"/>
      <c r="BW432" s="363"/>
      <c r="BX432" s="363"/>
      <c r="BY432" s="363"/>
      <c r="BZ432" s="363"/>
      <c r="CA432" s="363"/>
      <c r="CB432" s="363"/>
      <c r="CC432" s="363"/>
      <c r="CD432" s="363"/>
      <c r="CE432" s="363"/>
      <c r="CF432" s="364"/>
      <c r="CG432" s="362" t="s">
        <v>41</v>
      </c>
      <c r="CH432" s="363"/>
      <c r="CI432" s="363"/>
      <c r="CJ432" s="363"/>
      <c r="CK432" s="363"/>
      <c r="CL432" s="363"/>
      <c r="CM432" s="363"/>
      <c r="CN432" s="363"/>
      <c r="CO432" s="363"/>
      <c r="CP432" s="363"/>
      <c r="CQ432" s="364"/>
      <c r="CR432" s="362"/>
      <c r="CS432" s="363"/>
      <c r="CT432" s="363"/>
      <c r="CU432" s="363"/>
      <c r="CV432" s="363"/>
      <c r="CW432" s="363"/>
      <c r="CX432" s="363"/>
      <c r="CY432" s="363"/>
      <c r="CZ432" s="363"/>
      <c r="DA432" s="363"/>
      <c r="DB432" s="363"/>
      <c r="DC432" s="363"/>
      <c r="DD432" s="364"/>
      <c r="DE432" s="365">
        <f>DE433</f>
        <v>-1535</v>
      </c>
      <c r="DF432" s="366"/>
      <c r="DG432" s="366"/>
      <c r="DH432" s="366"/>
      <c r="DI432" s="366"/>
      <c r="DJ432" s="366"/>
      <c r="DK432" s="366"/>
      <c r="DL432" s="366"/>
      <c r="DM432" s="366"/>
      <c r="DN432" s="366"/>
      <c r="DO432" s="366"/>
      <c r="DP432" s="366"/>
      <c r="DQ432" s="367"/>
      <c r="DR432" s="365">
        <f>DR433</f>
        <v>0</v>
      </c>
      <c r="DS432" s="366"/>
      <c r="DT432" s="366"/>
      <c r="DU432" s="366"/>
      <c r="DV432" s="366"/>
      <c r="DW432" s="366"/>
      <c r="DX432" s="366"/>
      <c r="DY432" s="366"/>
      <c r="DZ432" s="366"/>
      <c r="EA432" s="366"/>
      <c r="EB432" s="366"/>
      <c r="EC432" s="366"/>
      <c r="ED432" s="367"/>
      <c r="EE432" s="365"/>
      <c r="EF432" s="366"/>
      <c r="EG432" s="366"/>
      <c r="EH432" s="366"/>
      <c r="EI432" s="366"/>
      <c r="EJ432" s="366"/>
      <c r="EK432" s="366"/>
      <c r="EL432" s="366"/>
      <c r="EM432" s="366"/>
      <c r="EN432" s="366"/>
      <c r="EO432" s="366"/>
      <c r="EP432" s="366"/>
      <c r="EQ432" s="367"/>
      <c r="ER432" s="349"/>
      <c r="ES432" s="350"/>
      <c r="ET432" s="350"/>
      <c r="EU432" s="350"/>
      <c r="EV432" s="350"/>
      <c r="EW432" s="350"/>
      <c r="EX432" s="350"/>
      <c r="EY432" s="350"/>
      <c r="EZ432" s="350"/>
      <c r="FA432" s="350"/>
      <c r="FB432" s="351"/>
      <c r="FC432" s="352"/>
      <c r="FD432" s="353"/>
      <c r="FE432" s="353"/>
      <c r="FF432" s="353"/>
      <c r="FG432" s="353"/>
      <c r="FH432" s="353"/>
      <c r="FI432" s="353"/>
      <c r="FJ432" s="353"/>
      <c r="FK432" s="353"/>
      <c r="FL432" s="353"/>
      <c r="FO432" s="275"/>
      <c r="FP432" s="275"/>
      <c r="FQ432" s="275">
        <f t="shared" si="10"/>
        <v>0</v>
      </c>
    </row>
    <row r="433" spans="1:173" ht="24" customHeight="1">
      <c r="A433" s="354" t="s">
        <v>122</v>
      </c>
      <c r="B433" s="355"/>
      <c r="C433" s="355"/>
      <c r="D433" s="355"/>
      <c r="E433" s="355"/>
      <c r="F433" s="355"/>
      <c r="G433" s="355"/>
      <c r="H433" s="355"/>
      <c r="I433" s="355"/>
      <c r="J433" s="355"/>
      <c r="K433" s="355"/>
      <c r="L433" s="355"/>
      <c r="M433" s="355"/>
      <c r="N433" s="355"/>
      <c r="O433" s="355"/>
      <c r="P433" s="355"/>
      <c r="Q433" s="355"/>
      <c r="R433" s="355"/>
      <c r="S433" s="355"/>
      <c r="T433" s="355"/>
      <c r="U433" s="355"/>
      <c r="V433" s="355"/>
      <c r="W433" s="355"/>
      <c r="X433" s="355"/>
      <c r="Y433" s="355"/>
      <c r="Z433" s="355"/>
      <c r="AA433" s="355"/>
      <c r="AB433" s="355"/>
      <c r="AC433" s="355"/>
      <c r="AD433" s="355"/>
      <c r="AE433" s="355"/>
      <c r="AF433" s="355"/>
      <c r="AG433" s="355"/>
      <c r="AH433" s="355"/>
      <c r="AI433" s="355"/>
      <c r="AJ433" s="355"/>
      <c r="AK433" s="355"/>
      <c r="AL433" s="355"/>
      <c r="AM433" s="355"/>
      <c r="AN433" s="355"/>
      <c r="AO433" s="355"/>
      <c r="AP433" s="355"/>
      <c r="AQ433" s="355"/>
      <c r="AR433" s="355"/>
      <c r="AS433" s="355"/>
      <c r="AT433" s="355"/>
      <c r="AU433" s="355"/>
      <c r="AV433" s="355"/>
      <c r="AW433" s="355"/>
      <c r="AX433" s="355"/>
      <c r="AY433" s="355"/>
      <c r="AZ433" s="355"/>
      <c r="BA433" s="355"/>
      <c r="BB433" s="355"/>
      <c r="BC433" s="355"/>
      <c r="BD433" s="355"/>
      <c r="BE433" s="355"/>
      <c r="BF433" s="355"/>
      <c r="BG433" s="355"/>
      <c r="BH433" s="355"/>
      <c r="BI433" s="355"/>
      <c r="BJ433" s="355"/>
      <c r="BK433" s="356"/>
      <c r="BL433" s="339" t="s">
        <v>123</v>
      </c>
      <c r="BM433" s="340"/>
      <c r="BN433" s="340"/>
      <c r="BO433" s="340"/>
      <c r="BP433" s="340"/>
      <c r="BQ433" s="340"/>
      <c r="BR433" s="340"/>
      <c r="BS433" s="341"/>
      <c r="BT433" s="345" t="s">
        <v>41</v>
      </c>
      <c r="BU433" s="340"/>
      <c r="BV433" s="340"/>
      <c r="BW433" s="340"/>
      <c r="BX433" s="340"/>
      <c r="BY433" s="340"/>
      <c r="BZ433" s="340"/>
      <c r="CA433" s="340"/>
      <c r="CB433" s="340"/>
      <c r="CC433" s="340"/>
      <c r="CD433" s="340"/>
      <c r="CE433" s="340"/>
      <c r="CF433" s="341"/>
      <c r="CG433" s="345" t="s">
        <v>264</v>
      </c>
      <c r="CH433" s="340"/>
      <c r="CI433" s="340"/>
      <c r="CJ433" s="340"/>
      <c r="CK433" s="340"/>
      <c r="CL433" s="340"/>
      <c r="CM433" s="340"/>
      <c r="CN433" s="340"/>
      <c r="CO433" s="340"/>
      <c r="CP433" s="340"/>
      <c r="CQ433" s="341"/>
      <c r="CR433" s="345"/>
      <c r="CS433" s="340"/>
      <c r="CT433" s="340"/>
      <c r="CU433" s="340"/>
      <c r="CV433" s="340"/>
      <c r="CW433" s="340"/>
      <c r="CX433" s="340"/>
      <c r="CY433" s="340"/>
      <c r="CZ433" s="340"/>
      <c r="DA433" s="340"/>
      <c r="DB433" s="340"/>
      <c r="DC433" s="340"/>
      <c r="DD433" s="341"/>
      <c r="DE433" s="589">
        <f>-1044-491</f>
        <v>-1535</v>
      </c>
      <c r="DF433" s="590"/>
      <c r="DG433" s="590"/>
      <c r="DH433" s="590"/>
      <c r="DI433" s="590"/>
      <c r="DJ433" s="590"/>
      <c r="DK433" s="590"/>
      <c r="DL433" s="590"/>
      <c r="DM433" s="590"/>
      <c r="DN433" s="590"/>
      <c r="DO433" s="590"/>
      <c r="DP433" s="590"/>
      <c r="DQ433" s="591"/>
      <c r="DR433" s="589">
        <v>0</v>
      </c>
      <c r="DS433" s="590"/>
      <c r="DT433" s="590"/>
      <c r="DU433" s="590"/>
      <c r="DV433" s="590"/>
      <c r="DW433" s="590"/>
      <c r="DX433" s="590"/>
      <c r="DY433" s="590"/>
      <c r="DZ433" s="590"/>
      <c r="EA433" s="590"/>
      <c r="EB433" s="590"/>
      <c r="EC433" s="590"/>
      <c r="ED433" s="591"/>
      <c r="EE433" s="589"/>
      <c r="EF433" s="590"/>
      <c r="EG433" s="590"/>
      <c r="EH433" s="590"/>
      <c r="EI433" s="590"/>
      <c r="EJ433" s="590"/>
      <c r="EK433" s="590"/>
      <c r="EL433" s="590"/>
      <c r="EM433" s="590"/>
      <c r="EN433" s="590"/>
      <c r="EO433" s="590"/>
      <c r="EP433" s="590"/>
      <c r="EQ433" s="591"/>
      <c r="ER433" s="349"/>
      <c r="ES433" s="350"/>
      <c r="ET433" s="350"/>
      <c r="EU433" s="350"/>
      <c r="EV433" s="350"/>
      <c r="EW433" s="350"/>
      <c r="EX433" s="350"/>
      <c r="EY433" s="350"/>
      <c r="EZ433" s="350"/>
      <c r="FA433" s="350"/>
      <c r="FB433" s="351"/>
      <c r="FC433" s="352"/>
      <c r="FD433" s="353"/>
      <c r="FE433" s="353"/>
      <c r="FF433" s="353"/>
      <c r="FG433" s="353"/>
      <c r="FH433" s="353"/>
      <c r="FI433" s="353"/>
      <c r="FJ433" s="353"/>
      <c r="FK433" s="353"/>
      <c r="FL433" s="353"/>
      <c r="FO433" s="275"/>
      <c r="FP433" s="275"/>
      <c r="FQ433" s="275">
        <f t="shared" si="10"/>
        <v>0</v>
      </c>
    </row>
    <row r="434" spans="1:173" ht="12" customHeight="1">
      <c r="A434" s="354" t="s">
        <v>124</v>
      </c>
      <c r="B434" s="355"/>
      <c r="C434" s="355"/>
      <c r="D434" s="355"/>
      <c r="E434" s="355"/>
      <c r="F434" s="355"/>
      <c r="G434" s="355"/>
      <c r="H434" s="355"/>
      <c r="I434" s="355"/>
      <c r="J434" s="355"/>
      <c r="K434" s="355"/>
      <c r="L434" s="355"/>
      <c r="M434" s="355"/>
      <c r="N434" s="355"/>
      <c r="O434" s="355"/>
      <c r="P434" s="355"/>
      <c r="Q434" s="355"/>
      <c r="R434" s="355"/>
      <c r="S434" s="355"/>
      <c r="T434" s="355"/>
      <c r="U434" s="355"/>
      <c r="V434" s="355"/>
      <c r="W434" s="355"/>
      <c r="X434" s="355"/>
      <c r="Y434" s="355"/>
      <c r="Z434" s="355"/>
      <c r="AA434" s="355"/>
      <c r="AB434" s="355"/>
      <c r="AC434" s="355"/>
      <c r="AD434" s="355"/>
      <c r="AE434" s="355"/>
      <c r="AF434" s="355"/>
      <c r="AG434" s="355"/>
      <c r="AH434" s="355"/>
      <c r="AI434" s="355"/>
      <c r="AJ434" s="355"/>
      <c r="AK434" s="355"/>
      <c r="AL434" s="355"/>
      <c r="AM434" s="355"/>
      <c r="AN434" s="355"/>
      <c r="AO434" s="355"/>
      <c r="AP434" s="355"/>
      <c r="AQ434" s="355"/>
      <c r="AR434" s="355"/>
      <c r="AS434" s="355"/>
      <c r="AT434" s="355"/>
      <c r="AU434" s="355"/>
      <c r="AV434" s="355"/>
      <c r="AW434" s="355"/>
      <c r="AX434" s="355"/>
      <c r="AY434" s="355"/>
      <c r="AZ434" s="355"/>
      <c r="BA434" s="355"/>
      <c r="BB434" s="355"/>
      <c r="BC434" s="355"/>
      <c r="BD434" s="355"/>
      <c r="BE434" s="355"/>
      <c r="BF434" s="355"/>
      <c r="BG434" s="355"/>
      <c r="BH434" s="355"/>
      <c r="BI434" s="355"/>
      <c r="BJ434" s="355"/>
      <c r="BK434" s="356"/>
      <c r="BL434" s="339" t="s">
        <v>125</v>
      </c>
      <c r="BM434" s="340"/>
      <c r="BN434" s="340"/>
      <c r="BO434" s="340"/>
      <c r="BP434" s="340"/>
      <c r="BQ434" s="340"/>
      <c r="BR434" s="340"/>
      <c r="BS434" s="341"/>
      <c r="BT434" s="345"/>
      <c r="BU434" s="340"/>
      <c r="BV434" s="340"/>
      <c r="BW434" s="340"/>
      <c r="BX434" s="340"/>
      <c r="BY434" s="340"/>
      <c r="BZ434" s="340"/>
      <c r="CA434" s="340"/>
      <c r="CB434" s="340"/>
      <c r="CC434" s="340"/>
      <c r="CD434" s="340"/>
      <c r="CE434" s="340"/>
      <c r="CF434" s="341"/>
      <c r="CG434" s="345"/>
      <c r="CH434" s="340"/>
      <c r="CI434" s="340"/>
      <c r="CJ434" s="340"/>
      <c r="CK434" s="340"/>
      <c r="CL434" s="340"/>
      <c r="CM434" s="340"/>
      <c r="CN434" s="340"/>
      <c r="CO434" s="340"/>
      <c r="CP434" s="340"/>
      <c r="CQ434" s="341"/>
      <c r="CR434" s="345"/>
      <c r="CS434" s="340"/>
      <c r="CT434" s="340"/>
      <c r="CU434" s="340"/>
      <c r="CV434" s="340"/>
      <c r="CW434" s="340"/>
      <c r="CX434" s="340"/>
      <c r="CY434" s="340"/>
      <c r="CZ434" s="340"/>
      <c r="DA434" s="340"/>
      <c r="DB434" s="340"/>
      <c r="DC434" s="340"/>
      <c r="DD434" s="341"/>
      <c r="DE434" s="349"/>
      <c r="DF434" s="350"/>
      <c r="DG434" s="350"/>
      <c r="DH434" s="350"/>
      <c r="DI434" s="350"/>
      <c r="DJ434" s="350"/>
      <c r="DK434" s="350"/>
      <c r="DL434" s="350"/>
      <c r="DM434" s="350"/>
      <c r="DN434" s="350"/>
      <c r="DO434" s="350"/>
      <c r="DP434" s="350"/>
      <c r="DQ434" s="351"/>
      <c r="DR434" s="349"/>
      <c r="DS434" s="350"/>
      <c r="DT434" s="350"/>
      <c r="DU434" s="350"/>
      <c r="DV434" s="350"/>
      <c r="DW434" s="350"/>
      <c r="DX434" s="350"/>
      <c r="DY434" s="350"/>
      <c r="DZ434" s="350"/>
      <c r="EA434" s="350"/>
      <c r="EB434" s="350"/>
      <c r="EC434" s="350"/>
      <c r="ED434" s="351"/>
      <c r="EE434" s="349"/>
      <c r="EF434" s="350"/>
      <c r="EG434" s="350"/>
      <c r="EH434" s="350"/>
      <c r="EI434" s="350"/>
      <c r="EJ434" s="350"/>
      <c r="EK434" s="350"/>
      <c r="EL434" s="350"/>
      <c r="EM434" s="350"/>
      <c r="EN434" s="350"/>
      <c r="EO434" s="350"/>
      <c r="EP434" s="350"/>
      <c r="EQ434" s="351"/>
      <c r="ER434" s="349"/>
      <c r="ES434" s="350"/>
      <c r="ET434" s="350"/>
      <c r="EU434" s="350"/>
      <c r="EV434" s="350"/>
      <c r="EW434" s="350"/>
      <c r="EX434" s="350"/>
      <c r="EY434" s="350"/>
      <c r="EZ434" s="350"/>
      <c r="FA434" s="350"/>
      <c r="FB434" s="351"/>
      <c r="FC434" s="352"/>
      <c r="FD434" s="353"/>
      <c r="FE434" s="353"/>
      <c r="FF434" s="353"/>
      <c r="FG434" s="353"/>
      <c r="FH434" s="353"/>
      <c r="FI434" s="353"/>
      <c r="FJ434" s="353"/>
      <c r="FK434" s="353"/>
      <c r="FL434" s="353"/>
      <c r="FO434" s="275"/>
      <c r="FP434" s="275"/>
      <c r="FQ434" s="275">
        <f t="shared" si="10"/>
        <v>0</v>
      </c>
    </row>
    <row r="435" spans="1:173" ht="12" customHeight="1">
      <c r="A435" s="354" t="s">
        <v>127</v>
      </c>
      <c r="B435" s="355"/>
      <c r="C435" s="355"/>
      <c r="D435" s="355"/>
      <c r="E435" s="355"/>
      <c r="F435" s="355"/>
      <c r="G435" s="355"/>
      <c r="H435" s="355"/>
      <c r="I435" s="355"/>
      <c r="J435" s="355"/>
      <c r="K435" s="355"/>
      <c r="L435" s="355"/>
      <c r="M435" s="355"/>
      <c r="N435" s="355"/>
      <c r="O435" s="355"/>
      <c r="P435" s="355"/>
      <c r="Q435" s="355"/>
      <c r="R435" s="355"/>
      <c r="S435" s="355"/>
      <c r="T435" s="355"/>
      <c r="U435" s="355"/>
      <c r="V435" s="355"/>
      <c r="W435" s="355"/>
      <c r="X435" s="355"/>
      <c r="Y435" s="355"/>
      <c r="Z435" s="355"/>
      <c r="AA435" s="355"/>
      <c r="AB435" s="355"/>
      <c r="AC435" s="355"/>
      <c r="AD435" s="355"/>
      <c r="AE435" s="355"/>
      <c r="AF435" s="355"/>
      <c r="AG435" s="355"/>
      <c r="AH435" s="355"/>
      <c r="AI435" s="355"/>
      <c r="AJ435" s="355"/>
      <c r="AK435" s="355"/>
      <c r="AL435" s="355"/>
      <c r="AM435" s="355"/>
      <c r="AN435" s="355"/>
      <c r="AO435" s="355"/>
      <c r="AP435" s="355"/>
      <c r="AQ435" s="355"/>
      <c r="AR435" s="355"/>
      <c r="AS435" s="355"/>
      <c r="AT435" s="355"/>
      <c r="AU435" s="355"/>
      <c r="AV435" s="355"/>
      <c r="AW435" s="355"/>
      <c r="AX435" s="355"/>
      <c r="AY435" s="355"/>
      <c r="AZ435" s="355"/>
      <c r="BA435" s="355"/>
      <c r="BB435" s="355"/>
      <c r="BC435" s="355"/>
      <c r="BD435" s="355"/>
      <c r="BE435" s="355"/>
      <c r="BF435" s="355"/>
      <c r="BG435" s="355"/>
      <c r="BH435" s="355"/>
      <c r="BI435" s="355"/>
      <c r="BJ435" s="355"/>
      <c r="BK435" s="356"/>
      <c r="BL435" s="339" t="s">
        <v>126</v>
      </c>
      <c r="BM435" s="340"/>
      <c r="BN435" s="340"/>
      <c r="BO435" s="340"/>
      <c r="BP435" s="340"/>
      <c r="BQ435" s="340"/>
      <c r="BR435" s="340"/>
      <c r="BS435" s="341"/>
      <c r="BT435" s="345"/>
      <c r="BU435" s="340"/>
      <c r="BV435" s="340"/>
      <c r="BW435" s="340"/>
      <c r="BX435" s="340"/>
      <c r="BY435" s="340"/>
      <c r="BZ435" s="340"/>
      <c r="CA435" s="340"/>
      <c r="CB435" s="340"/>
      <c r="CC435" s="340"/>
      <c r="CD435" s="340"/>
      <c r="CE435" s="340"/>
      <c r="CF435" s="341"/>
      <c r="CG435" s="345"/>
      <c r="CH435" s="340"/>
      <c r="CI435" s="340"/>
      <c r="CJ435" s="340"/>
      <c r="CK435" s="340"/>
      <c r="CL435" s="340"/>
      <c r="CM435" s="340"/>
      <c r="CN435" s="340"/>
      <c r="CO435" s="340"/>
      <c r="CP435" s="340"/>
      <c r="CQ435" s="341"/>
      <c r="CR435" s="345"/>
      <c r="CS435" s="340"/>
      <c r="CT435" s="340"/>
      <c r="CU435" s="340"/>
      <c r="CV435" s="340"/>
      <c r="CW435" s="340"/>
      <c r="CX435" s="340"/>
      <c r="CY435" s="340"/>
      <c r="CZ435" s="340"/>
      <c r="DA435" s="340"/>
      <c r="DB435" s="340"/>
      <c r="DC435" s="340"/>
      <c r="DD435" s="341"/>
      <c r="DE435" s="349"/>
      <c r="DF435" s="350"/>
      <c r="DG435" s="350"/>
      <c r="DH435" s="350"/>
      <c r="DI435" s="350"/>
      <c r="DJ435" s="350"/>
      <c r="DK435" s="350"/>
      <c r="DL435" s="350"/>
      <c r="DM435" s="350"/>
      <c r="DN435" s="350"/>
      <c r="DO435" s="350"/>
      <c r="DP435" s="350"/>
      <c r="DQ435" s="351"/>
      <c r="DR435" s="349"/>
      <c r="DS435" s="350"/>
      <c r="DT435" s="350"/>
      <c r="DU435" s="350"/>
      <c r="DV435" s="350"/>
      <c r="DW435" s="350"/>
      <c r="DX435" s="350"/>
      <c r="DY435" s="350"/>
      <c r="DZ435" s="350"/>
      <c r="EA435" s="350"/>
      <c r="EB435" s="350"/>
      <c r="EC435" s="350"/>
      <c r="ED435" s="351"/>
      <c r="EE435" s="349"/>
      <c r="EF435" s="350"/>
      <c r="EG435" s="350"/>
      <c r="EH435" s="350"/>
      <c r="EI435" s="350"/>
      <c r="EJ435" s="350"/>
      <c r="EK435" s="350"/>
      <c r="EL435" s="350"/>
      <c r="EM435" s="350"/>
      <c r="EN435" s="350"/>
      <c r="EO435" s="350"/>
      <c r="EP435" s="350"/>
      <c r="EQ435" s="351"/>
      <c r="ER435" s="349"/>
      <c r="ES435" s="350"/>
      <c r="ET435" s="350"/>
      <c r="EU435" s="350"/>
      <c r="EV435" s="350"/>
      <c r="EW435" s="350"/>
      <c r="EX435" s="350"/>
      <c r="EY435" s="350"/>
      <c r="EZ435" s="350"/>
      <c r="FA435" s="350"/>
      <c r="FB435" s="351"/>
      <c r="FC435" s="352"/>
      <c r="FD435" s="353"/>
      <c r="FE435" s="353"/>
      <c r="FF435" s="353"/>
      <c r="FG435" s="353"/>
      <c r="FH435" s="353"/>
      <c r="FI435" s="353"/>
      <c r="FJ435" s="353"/>
      <c r="FK435" s="353"/>
      <c r="FL435" s="353"/>
      <c r="FO435" s="275"/>
      <c r="FP435" s="275"/>
      <c r="FQ435" s="275">
        <f t="shared" si="10"/>
        <v>0</v>
      </c>
    </row>
    <row r="436" spans="1:173" ht="12" customHeight="1">
      <c r="A436" s="586" t="s">
        <v>128</v>
      </c>
      <c r="B436" s="587"/>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7"/>
      <c r="AL436" s="587"/>
      <c r="AM436" s="587"/>
      <c r="AN436" s="587"/>
      <c r="AO436" s="587"/>
      <c r="AP436" s="587"/>
      <c r="AQ436" s="587"/>
      <c r="AR436" s="587"/>
      <c r="AS436" s="587"/>
      <c r="AT436" s="587"/>
      <c r="AU436" s="587"/>
      <c r="AV436" s="587"/>
      <c r="AW436" s="587"/>
      <c r="AX436" s="587"/>
      <c r="AY436" s="587"/>
      <c r="AZ436" s="587"/>
      <c r="BA436" s="587"/>
      <c r="BB436" s="587"/>
      <c r="BC436" s="587"/>
      <c r="BD436" s="587"/>
      <c r="BE436" s="587"/>
      <c r="BF436" s="587"/>
      <c r="BG436" s="587"/>
      <c r="BH436" s="587"/>
      <c r="BI436" s="587"/>
      <c r="BJ436" s="587"/>
      <c r="BK436" s="588"/>
      <c r="BL436" s="460" t="s">
        <v>129</v>
      </c>
      <c r="BM436" s="363"/>
      <c r="BN436" s="363"/>
      <c r="BO436" s="363"/>
      <c r="BP436" s="363"/>
      <c r="BQ436" s="363"/>
      <c r="BR436" s="363"/>
      <c r="BS436" s="364"/>
      <c r="BT436" s="362" t="s">
        <v>21</v>
      </c>
      <c r="BU436" s="363"/>
      <c r="BV436" s="363"/>
      <c r="BW436" s="363"/>
      <c r="BX436" s="363"/>
      <c r="BY436" s="363"/>
      <c r="BZ436" s="363"/>
      <c r="CA436" s="363"/>
      <c r="CB436" s="363"/>
      <c r="CC436" s="363"/>
      <c r="CD436" s="363"/>
      <c r="CE436" s="363"/>
      <c r="CF436" s="364"/>
      <c r="CG436" s="362"/>
      <c r="CH436" s="363"/>
      <c r="CI436" s="363"/>
      <c r="CJ436" s="363"/>
      <c r="CK436" s="363"/>
      <c r="CL436" s="363"/>
      <c r="CM436" s="363"/>
      <c r="CN436" s="363"/>
      <c r="CO436" s="363"/>
      <c r="CP436" s="363"/>
      <c r="CQ436" s="364"/>
      <c r="CR436" s="362"/>
      <c r="CS436" s="363"/>
      <c r="CT436" s="363"/>
      <c r="CU436" s="363"/>
      <c r="CV436" s="363"/>
      <c r="CW436" s="363"/>
      <c r="CX436" s="363"/>
      <c r="CY436" s="363"/>
      <c r="CZ436" s="363"/>
      <c r="DA436" s="363"/>
      <c r="DB436" s="363"/>
      <c r="DC436" s="363"/>
      <c r="DD436" s="364"/>
      <c r="DE436" s="365">
        <f>DE437</f>
        <v>0</v>
      </c>
      <c r="DF436" s="366"/>
      <c r="DG436" s="366"/>
      <c r="DH436" s="366"/>
      <c r="DI436" s="366"/>
      <c r="DJ436" s="366"/>
      <c r="DK436" s="366"/>
      <c r="DL436" s="366"/>
      <c r="DM436" s="366"/>
      <c r="DN436" s="366"/>
      <c r="DO436" s="366"/>
      <c r="DP436" s="366"/>
      <c r="DQ436" s="367"/>
      <c r="DR436" s="365">
        <f>DR437</f>
        <v>0</v>
      </c>
      <c r="DS436" s="366"/>
      <c r="DT436" s="366"/>
      <c r="DU436" s="366"/>
      <c r="DV436" s="366"/>
      <c r="DW436" s="366"/>
      <c r="DX436" s="366"/>
      <c r="DY436" s="366"/>
      <c r="DZ436" s="366"/>
      <c r="EA436" s="366"/>
      <c r="EB436" s="366"/>
      <c r="EC436" s="366"/>
      <c r="ED436" s="367"/>
      <c r="EE436" s="365"/>
      <c r="EF436" s="366"/>
      <c r="EG436" s="366"/>
      <c r="EH436" s="366"/>
      <c r="EI436" s="366"/>
      <c r="EJ436" s="366"/>
      <c r="EK436" s="366"/>
      <c r="EL436" s="366"/>
      <c r="EM436" s="366"/>
      <c r="EN436" s="366"/>
      <c r="EO436" s="366"/>
      <c r="EP436" s="366"/>
      <c r="EQ436" s="367"/>
      <c r="ER436" s="349"/>
      <c r="ES436" s="350"/>
      <c r="ET436" s="350"/>
      <c r="EU436" s="350"/>
      <c r="EV436" s="350"/>
      <c r="EW436" s="350"/>
      <c r="EX436" s="350"/>
      <c r="EY436" s="350"/>
      <c r="EZ436" s="350"/>
      <c r="FA436" s="350"/>
      <c r="FB436" s="351"/>
      <c r="FC436" s="352"/>
      <c r="FD436" s="353"/>
      <c r="FE436" s="353"/>
      <c r="FF436" s="353"/>
      <c r="FG436" s="353"/>
      <c r="FH436" s="353"/>
      <c r="FI436" s="353"/>
      <c r="FJ436" s="353"/>
      <c r="FK436" s="353"/>
      <c r="FL436" s="353"/>
      <c r="FO436" s="275"/>
      <c r="FP436" s="275"/>
      <c r="FQ436" s="275">
        <f t="shared" si="10"/>
        <v>0</v>
      </c>
    </row>
    <row r="437" spans="1:173" ht="24" customHeight="1">
      <c r="A437" s="354" t="s">
        <v>130</v>
      </c>
      <c r="B437" s="355"/>
      <c r="C437" s="355"/>
      <c r="D437" s="355"/>
      <c r="E437" s="355"/>
      <c r="F437" s="355"/>
      <c r="G437" s="355"/>
      <c r="H437" s="355"/>
      <c r="I437" s="355"/>
      <c r="J437" s="355"/>
      <c r="K437" s="355"/>
      <c r="L437" s="355"/>
      <c r="M437" s="355"/>
      <c r="N437" s="355"/>
      <c r="O437" s="355"/>
      <c r="P437" s="355"/>
      <c r="Q437" s="355"/>
      <c r="R437" s="355"/>
      <c r="S437" s="355"/>
      <c r="T437" s="355"/>
      <c r="U437" s="355"/>
      <c r="V437" s="355"/>
      <c r="W437" s="355"/>
      <c r="X437" s="355"/>
      <c r="Y437" s="355"/>
      <c r="Z437" s="355"/>
      <c r="AA437" s="355"/>
      <c r="AB437" s="355"/>
      <c r="AC437" s="355"/>
      <c r="AD437" s="355"/>
      <c r="AE437" s="355"/>
      <c r="AF437" s="355"/>
      <c r="AG437" s="355"/>
      <c r="AH437" s="355"/>
      <c r="AI437" s="355"/>
      <c r="AJ437" s="355"/>
      <c r="AK437" s="355"/>
      <c r="AL437" s="355"/>
      <c r="AM437" s="355"/>
      <c r="AN437" s="355"/>
      <c r="AO437" s="355"/>
      <c r="AP437" s="355"/>
      <c r="AQ437" s="355"/>
      <c r="AR437" s="355"/>
      <c r="AS437" s="355"/>
      <c r="AT437" s="355"/>
      <c r="AU437" s="355"/>
      <c r="AV437" s="355"/>
      <c r="AW437" s="355"/>
      <c r="AX437" s="355"/>
      <c r="AY437" s="355"/>
      <c r="AZ437" s="355"/>
      <c r="BA437" s="355"/>
      <c r="BB437" s="355"/>
      <c r="BC437" s="355"/>
      <c r="BD437" s="355"/>
      <c r="BE437" s="355"/>
      <c r="BF437" s="355"/>
      <c r="BG437" s="355"/>
      <c r="BH437" s="355"/>
      <c r="BI437" s="355"/>
      <c r="BJ437" s="355"/>
      <c r="BK437" s="356"/>
      <c r="BL437" s="339" t="s">
        <v>131</v>
      </c>
      <c r="BM437" s="340"/>
      <c r="BN437" s="340"/>
      <c r="BO437" s="340"/>
      <c r="BP437" s="340"/>
      <c r="BQ437" s="340"/>
      <c r="BR437" s="340"/>
      <c r="BS437" s="341"/>
      <c r="BT437" s="345" t="s">
        <v>132</v>
      </c>
      <c r="BU437" s="340"/>
      <c r="BV437" s="340"/>
      <c r="BW437" s="340"/>
      <c r="BX437" s="340"/>
      <c r="BY437" s="340"/>
      <c r="BZ437" s="340"/>
      <c r="CA437" s="340"/>
      <c r="CB437" s="340"/>
      <c r="CC437" s="340"/>
      <c r="CD437" s="340"/>
      <c r="CE437" s="340"/>
      <c r="CF437" s="341"/>
      <c r="CG437" s="345"/>
      <c r="CH437" s="340"/>
      <c r="CI437" s="340"/>
      <c r="CJ437" s="340"/>
      <c r="CK437" s="340"/>
      <c r="CL437" s="340"/>
      <c r="CM437" s="340"/>
      <c r="CN437" s="340"/>
      <c r="CO437" s="340"/>
      <c r="CP437" s="340"/>
      <c r="CQ437" s="341"/>
      <c r="CR437" s="345"/>
      <c r="CS437" s="340"/>
      <c r="CT437" s="340"/>
      <c r="CU437" s="340"/>
      <c r="CV437" s="340"/>
      <c r="CW437" s="340"/>
      <c r="CX437" s="340"/>
      <c r="CY437" s="340"/>
      <c r="CZ437" s="340"/>
      <c r="DA437" s="340"/>
      <c r="DB437" s="340"/>
      <c r="DC437" s="340"/>
      <c r="DD437" s="341"/>
      <c r="DE437" s="349">
        <v>0</v>
      </c>
      <c r="DF437" s="350"/>
      <c r="DG437" s="350"/>
      <c r="DH437" s="350"/>
      <c r="DI437" s="350"/>
      <c r="DJ437" s="350"/>
      <c r="DK437" s="350"/>
      <c r="DL437" s="350"/>
      <c r="DM437" s="350"/>
      <c r="DN437" s="350"/>
      <c r="DO437" s="350"/>
      <c r="DP437" s="350"/>
      <c r="DQ437" s="351"/>
      <c r="DR437" s="349">
        <v>0</v>
      </c>
      <c r="DS437" s="350"/>
      <c r="DT437" s="350"/>
      <c r="DU437" s="350"/>
      <c r="DV437" s="350"/>
      <c r="DW437" s="350"/>
      <c r="DX437" s="350"/>
      <c r="DY437" s="350"/>
      <c r="DZ437" s="350"/>
      <c r="EA437" s="350"/>
      <c r="EB437" s="350"/>
      <c r="EC437" s="350"/>
      <c r="ED437" s="351"/>
      <c r="EE437" s="349"/>
      <c r="EF437" s="350"/>
      <c r="EG437" s="350"/>
      <c r="EH437" s="350"/>
      <c r="EI437" s="350"/>
      <c r="EJ437" s="350"/>
      <c r="EK437" s="350"/>
      <c r="EL437" s="350"/>
      <c r="EM437" s="350"/>
      <c r="EN437" s="350"/>
      <c r="EO437" s="350"/>
      <c r="EP437" s="350"/>
      <c r="EQ437" s="351"/>
      <c r="ER437" s="349"/>
      <c r="ES437" s="350"/>
      <c r="ET437" s="350"/>
      <c r="EU437" s="350"/>
      <c r="EV437" s="350"/>
      <c r="EW437" s="350"/>
      <c r="EX437" s="350"/>
      <c r="EY437" s="350"/>
      <c r="EZ437" s="350"/>
      <c r="FA437" s="350"/>
      <c r="FB437" s="351"/>
      <c r="FC437" s="352"/>
      <c r="FD437" s="353"/>
      <c r="FE437" s="353"/>
      <c r="FF437" s="353"/>
      <c r="FG437" s="353"/>
      <c r="FH437" s="353"/>
      <c r="FI437" s="353"/>
      <c r="FJ437" s="353"/>
      <c r="FK437" s="353"/>
      <c r="FL437" s="353"/>
      <c r="FO437" s="275"/>
      <c r="FP437" s="275"/>
      <c r="FQ437" s="275">
        <f t="shared" si="10"/>
        <v>0</v>
      </c>
    </row>
    <row r="438" spans="1:173" ht="11.25" customHeight="1" thickBot="1">
      <c r="A438" s="354"/>
      <c r="B438" s="355"/>
      <c r="C438" s="355"/>
      <c r="D438" s="355"/>
      <c r="E438" s="355"/>
      <c r="F438" s="355"/>
      <c r="G438" s="355"/>
      <c r="H438" s="355"/>
      <c r="I438" s="355"/>
      <c r="J438" s="355"/>
      <c r="K438" s="355"/>
      <c r="L438" s="355"/>
      <c r="M438" s="355"/>
      <c r="N438" s="355"/>
      <c r="O438" s="355"/>
      <c r="P438" s="355"/>
      <c r="Q438" s="355"/>
      <c r="R438" s="355"/>
      <c r="S438" s="355"/>
      <c r="T438" s="355"/>
      <c r="U438" s="355"/>
      <c r="V438" s="355"/>
      <c r="W438" s="355"/>
      <c r="X438" s="355"/>
      <c r="Y438" s="355"/>
      <c r="Z438" s="355"/>
      <c r="AA438" s="355"/>
      <c r="AB438" s="355"/>
      <c r="AC438" s="355"/>
      <c r="AD438" s="355"/>
      <c r="AE438" s="355"/>
      <c r="AF438" s="355"/>
      <c r="AG438" s="355"/>
      <c r="AH438" s="355"/>
      <c r="AI438" s="355"/>
      <c r="AJ438" s="355"/>
      <c r="AK438" s="355"/>
      <c r="AL438" s="355"/>
      <c r="AM438" s="355"/>
      <c r="AN438" s="355"/>
      <c r="AO438" s="355"/>
      <c r="AP438" s="355"/>
      <c r="AQ438" s="355"/>
      <c r="AR438" s="355"/>
      <c r="AS438" s="355"/>
      <c r="AT438" s="355"/>
      <c r="AU438" s="355"/>
      <c r="AV438" s="355"/>
      <c r="AW438" s="355"/>
      <c r="AX438" s="355"/>
      <c r="AY438" s="355"/>
      <c r="AZ438" s="355"/>
      <c r="BA438" s="355"/>
      <c r="BB438" s="355"/>
      <c r="BC438" s="355"/>
      <c r="BD438" s="355"/>
      <c r="BE438" s="355"/>
      <c r="BF438" s="355"/>
      <c r="BG438" s="355"/>
      <c r="BH438" s="355"/>
      <c r="BI438" s="355"/>
      <c r="BJ438" s="355"/>
      <c r="BK438" s="356"/>
      <c r="BL438" s="596"/>
      <c r="BM438" s="597"/>
      <c r="BN438" s="597"/>
      <c r="BO438" s="597"/>
      <c r="BP438" s="597"/>
      <c r="BQ438" s="597"/>
      <c r="BR438" s="597"/>
      <c r="BS438" s="598"/>
      <c r="BT438" s="599"/>
      <c r="BU438" s="597"/>
      <c r="BV438" s="597"/>
      <c r="BW438" s="597"/>
      <c r="BX438" s="597"/>
      <c r="BY438" s="597"/>
      <c r="BZ438" s="597"/>
      <c r="CA438" s="597"/>
      <c r="CB438" s="597"/>
      <c r="CC438" s="597"/>
      <c r="CD438" s="597"/>
      <c r="CE438" s="597"/>
      <c r="CF438" s="598"/>
      <c r="CG438" s="599"/>
      <c r="CH438" s="597"/>
      <c r="CI438" s="597"/>
      <c r="CJ438" s="597"/>
      <c r="CK438" s="597"/>
      <c r="CL438" s="597"/>
      <c r="CM438" s="597"/>
      <c r="CN438" s="597"/>
      <c r="CO438" s="597"/>
      <c r="CP438" s="597"/>
      <c r="CQ438" s="598"/>
      <c r="CR438" s="599"/>
      <c r="CS438" s="597"/>
      <c r="CT438" s="597"/>
      <c r="CU438" s="597"/>
      <c r="CV438" s="597"/>
      <c r="CW438" s="597"/>
      <c r="CX438" s="597"/>
      <c r="CY438" s="597"/>
      <c r="CZ438" s="597"/>
      <c r="DA438" s="597"/>
      <c r="DB438" s="597"/>
      <c r="DC438" s="597"/>
      <c r="DD438" s="598"/>
      <c r="DE438" s="593"/>
      <c r="DF438" s="594"/>
      <c r="DG438" s="594"/>
      <c r="DH438" s="594"/>
      <c r="DI438" s="594"/>
      <c r="DJ438" s="594"/>
      <c r="DK438" s="594"/>
      <c r="DL438" s="594"/>
      <c r="DM438" s="594"/>
      <c r="DN438" s="594"/>
      <c r="DO438" s="594"/>
      <c r="DP438" s="594"/>
      <c r="DQ438" s="595"/>
      <c r="DR438" s="593"/>
      <c r="DS438" s="594"/>
      <c r="DT438" s="594"/>
      <c r="DU438" s="594"/>
      <c r="DV438" s="594"/>
      <c r="DW438" s="594"/>
      <c r="DX438" s="594"/>
      <c r="DY438" s="594"/>
      <c r="DZ438" s="594"/>
      <c r="EA438" s="594"/>
      <c r="EB438" s="594"/>
      <c r="EC438" s="594"/>
      <c r="ED438" s="595"/>
      <c r="EE438" s="593"/>
      <c r="EF438" s="594"/>
      <c r="EG438" s="594"/>
      <c r="EH438" s="594"/>
      <c r="EI438" s="594"/>
      <c r="EJ438" s="594"/>
      <c r="EK438" s="594"/>
      <c r="EL438" s="594"/>
      <c r="EM438" s="594"/>
      <c r="EN438" s="594"/>
      <c r="EO438" s="594"/>
      <c r="EP438" s="594"/>
      <c r="EQ438" s="595"/>
      <c r="ER438" s="593"/>
      <c r="ES438" s="594"/>
      <c r="ET438" s="594"/>
      <c r="EU438" s="594"/>
      <c r="EV438" s="594"/>
      <c r="EW438" s="594"/>
      <c r="EX438" s="594"/>
      <c r="EY438" s="594"/>
      <c r="EZ438" s="594"/>
      <c r="FA438" s="594"/>
      <c r="FB438" s="595"/>
      <c r="FC438" s="601"/>
      <c r="FD438" s="602"/>
      <c r="FE438" s="602"/>
      <c r="FF438" s="602"/>
      <c r="FG438" s="602"/>
      <c r="FH438" s="602"/>
      <c r="FI438" s="602"/>
      <c r="FJ438" s="602"/>
      <c r="FK438" s="602"/>
      <c r="FL438" s="602"/>
      <c r="FM438" s="73"/>
      <c r="FN438" s="73"/>
      <c r="FO438" s="275"/>
      <c r="FP438" s="275"/>
      <c r="FQ438" s="275">
        <f t="shared" si="10"/>
        <v>0</v>
      </c>
    </row>
    <row r="439" spans="1:173" ht="3" customHeight="1"/>
    <row r="440" spans="1:173" s="2" customFormat="1" ht="12" customHeight="1">
      <c r="A440" s="4" t="s">
        <v>308</v>
      </c>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row>
    <row r="441" spans="1:173" s="2" customFormat="1" ht="11.25" customHeight="1">
      <c r="A441" s="4" t="s">
        <v>309</v>
      </c>
    </row>
    <row r="442" spans="1:173" s="2" customFormat="1" ht="10.5" customHeight="1">
      <c r="A442" s="4" t="s">
        <v>182</v>
      </c>
    </row>
    <row r="443" spans="1:173" s="2" customFormat="1" ht="10.5" customHeight="1">
      <c r="A443" s="4" t="s">
        <v>183</v>
      </c>
    </row>
    <row r="444" spans="1:173" s="2" customFormat="1" ht="10.5" customHeight="1">
      <c r="A444" s="4" t="s">
        <v>184</v>
      </c>
    </row>
    <row r="445" spans="1:173" s="2" customFormat="1" ht="19.5" customHeight="1">
      <c r="A445" s="592" t="s">
        <v>185</v>
      </c>
      <c r="B445" s="592"/>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2"/>
      <c r="AL445" s="592"/>
      <c r="AM445" s="592"/>
      <c r="AN445" s="592"/>
      <c r="AO445" s="592"/>
      <c r="AP445" s="592"/>
      <c r="AQ445" s="592"/>
      <c r="AR445" s="592"/>
      <c r="AS445" s="592"/>
      <c r="AT445" s="592"/>
      <c r="AU445" s="592"/>
      <c r="AV445" s="592"/>
      <c r="AW445" s="592"/>
      <c r="AX445" s="592"/>
      <c r="AY445" s="592"/>
      <c r="AZ445" s="592"/>
      <c r="BA445" s="592"/>
      <c r="BB445" s="592"/>
      <c r="BC445" s="592"/>
      <c r="BD445" s="592"/>
      <c r="BE445" s="592"/>
      <c r="BF445" s="592"/>
      <c r="BG445" s="592"/>
      <c r="BH445" s="592"/>
      <c r="BI445" s="592"/>
      <c r="BJ445" s="592"/>
      <c r="BK445" s="592"/>
      <c r="BL445" s="592"/>
      <c r="BM445" s="592"/>
      <c r="BN445" s="592"/>
      <c r="BO445" s="592"/>
      <c r="BP445" s="592"/>
      <c r="BQ445" s="592"/>
      <c r="BR445" s="592"/>
      <c r="BS445" s="592"/>
      <c r="BT445" s="592"/>
      <c r="BU445" s="592"/>
      <c r="BV445" s="592"/>
      <c r="BW445" s="592"/>
      <c r="BX445" s="592"/>
      <c r="BY445" s="592"/>
      <c r="BZ445" s="592"/>
      <c r="CA445" s="592"/>
      <c r="CB445" s="592"/>
      <c r="CC445" s="592"/>
      <c r="CD445" s="592"/>
      <c r="CE445" s="592"/>
      <c r="CF445" s="592"/>
      <c r="CG445" s="592"/>
      <c r="CH445" s="592"/>
      <c r="CI445" s="592"/>
      <c r="CJ445" s="592"/>
      <c r="CK445" s="592"/>
      <c r="CL445" s="592"/>
      <c r="CM445" s="592"/>
      <c r="CN445" s="592"/>
      <c r="CO445" s="592"/>
      <c r="CP445" s="592"/>
      <c r="CQ445" s="592"/>
      <c r="CR445" s="592"/>
      <c r="CS445" s="592"/>
      <c r="CT445" s="592"/>
      <c r="CU445" s="592"/>
      <c r="CV445" s="592"/>
      <c r="CW445" s="592"/>
      <c r="CX445" s="592"/>
      <c r="CY445" s="592"/>
      <c r="CZ445" s="592"/>
      <c r="DA445" s="592"/>
      <c r="DB445" s="592"/>
      <c r="DC445" s="592"/>
      <c r="DD445" s="592"/>
      <c r="DE445" s="592"/>
      <c r="DF445" s="592"/>
      <c r="DG445" s="592"/>
      <c r="DH445" s="592"/>
      <c r="DI445" s="592"/>
      <c r="DJ445" s="592"/>
      <c r="DK445" s="592"/>
      <c r="DL445" s="592"/>
      <c r="DM445" s="592"/>
      <c r="DN445" s="592"/>
      <c r="DO445" s="592"/>
      <c r="DP445" s="592"/>
      <c r="DQ445" s="592"/>
      <c r="DR445" s="592"/>
      <c r="DS445" s="592"/>
      <c r="DT445" s="592"/>
      <c r="DU445" s="592"/>
      <c r="DV445" s="592"/>
      <c r="DW445" s="592"/>
      <c r="DX445" s="592"/>
      <c r="DY445" s="592"/>
      <c r="DZ445" s="592"/>
      <c r="EA445" s="592"/>
      <c r="EB445" s="592"/>
      <c r="EC445" s="592"/>
      <c r="ED445" s="592"/>
      <c r="EE445" s="592"/>
      <c r="EF445" s="592"/>
      <c r="EG445" s="592"/>
      <c r="EH445" s="592"/>
      <c r="EI445" s="592"/>
      <c r="EJ445" s="592"/>
      <c r="EK445" s="592"/>
      <c r="EL445" s="592"/>
      <c r="EM445" s="592"/>
      <c r="EN445" s="592"/>
      <c r="EO445" s="592"/>
      <c r="EP445" s="592"/>
      <c r="EQ445" s="592"/>
      <c r="ER445" s="592"/>
      <c r="ES445" s="592"/>
      <c r="ET445" s="592"/>
      <c r="EU445" s="592"/>
      <c r="EV445" s="592"/>
      <c r="EW445" s="592"/>
      <c r="EX445" s="592"/>
      <c r="EY445" s="592"/>
      <c r="EZ445" s="592"/>
      <c r="FA445" s="592"/>
      <c r="FB445" s="592"/>
      <c r="FC445" s="179"/>
      <c r="FD445" s="179"/>
      <c r="FE445" s="179"/>
      <c r="FF445" s="179"/>
      <c r="FG445" s="179"/>
      <c r="FH445" s="179"/>
      <c r="FI445" s="179"/>
      <c r="FJ445" s="179"/>
      <c r="FK445" s="179"/>
      <c r="FL445" s="179"/>
    </row>
    <row r="446" spans="1:173" s="2" customFormat="1" ht="10.5" customHeight="1">
      <c r="A446" s="4" t="s">
        <v>186</v>
      </c>
    </row>
    <row r="447" spans="1:173" s="2" customFormat="1" ht="32.4" customHeight="1">
      <c r="A447" s="592" t="s">
        <v>310</v>
      </c>
      <c r="B447" s="592"/>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2"/>
      <c r="AL447" s="592"/>
      <c r="AM447" s="592"/>
      <c r="AN447" s="592"/>
      <c r="AO447" s="592"/>
      <c r="AP447" s="592"/>
      <c r="AQ447" s="592"/>
      <c r="AR447" s="592"/>
      <c r="AS447" s="592"/>
      <c r="AT447" s="592"/>
      <c r="AU447" s="592"/>
      <c r="AV447" s="592"/>
      <c r="AW447" s="592"/>
      <c r="AX447" s="592"/>
      <c r="AY447" s="592"/>
      <c r="AZ447" s="592"/>
      <c r="BA447" s="592"/>
      <c r="BB447" s="592"/>
      <c r="BC447" s="592"/>
      <c r="BD447" s="592"/>
      <c r="BE447" s="592"/>
      <c r="BF447" s="592"/>
      <c r="BG447" s="592"/>
      <c r="BH447" s="592"/>
      <c r="BI447" s="592"/>
      <c r="BJ447" s="592"/>
      <c r="BK447" s="592"/>
      <c r="BL447" s="592"/>
      <c r="BM447" s="592"/>
      <c r="BN447" s="592"/>
      <c r="BO447" s="592"/>
      <c r="BP447" s="592"/>
      <c r="BQ447" s="592"/>
      <c r="BR447" s="592"/>
      <c r="BS447" s="592"/>
      <c r="BT447" s="592"/>
      <c r="BU447" s="592"/>
      <c r="BV447" s="592"/>
      <c r="BW447" s="592"/>
      <c r="BX447" s="592"/>
      <c r="BY447" s="592"/>
      <c r="BZ447" s="592"/>
      <c r="CA447" s="592"/>
      <c r="CB447" s="592"/>
      <c r="CC447" s="592"/>
      <c r="CD447" s="592"/>
      <c r="CE447" s="592"/>
      <c r="CF447" s="592"/>
      <c r="CG447" s="592"/>
      <c r="CH447" s="592"/>
      <c r="CI447" s="592"/>
      <c r="CJ447" s="592"/>
      <c r="CK447" s="592"/>
      <c r="CL447" s="592"/>
      <c r="CM447" s="592"/>
      <c r="CN447" s="592"/>
      <c r="CO447" s="592"/>
      <c r="CP447" s="592"/>
      <c r="CQ447" s="592"/>
      <c r="CR447" s="592"/>
      <c r="CS447" s="592"/>
      <c r="CT447" s="592"/>
      <c r="CU447" s="592"/>
      <c r="CV447" s="592"/>
      <c r="CW447" s="592"/>
      <c r="CX447" s="592"/>
      <c r="CY447" s="592"/>
      <c r="CZ447" s="592"/>
      <c r="DA447" s="592"/>
      <c r="DB447" s="592"/>
      <c r="DC447" s="592"/>
      <c r="DD447" s="592"/>
      <c r="DE447" s="592"/>
      <c r="DF447" s="592"/>
      <c r="DG447" s="592"/>
      <c r="DH447" s="592"/>
      <c r="DI447" s="592"/>
      <c r="DJ447" s="592"/>
      <c r="DK447" s="592"/>
      <c r="DL447" s="592"/>
      <c r="DM447" s="592"/>
      <c r="DN447" s="592"/>
      <c r="DO447" s="592"/>
      <c r="DP447" s="592"/>
      <c r="DQ447" s="592"/>
      <c r="DR447" s="592"/>
      <c r="DS447" s="592"/>
      <c r="DT447" s="592"/>
      <c r="DU447" s="592"/>
      <c r="DV447" s="592"/>
      <c r="DW447" s="592"/>
      <c r="DX447" s="592"/>
      <c r="DY447" s="592"/>
      <c r="DZ447" s="592"/>
      <c r="EA447" s="592"/>
      <c r="EB447" s="592"/>
      <c r="EC447" s="592"/>
      <c r="ED447" s="592"/>
      <c r="EE447" s="592"/>
      <c r="EF447" s="592"/>
      <c r="EG447" s="592"/>
      <c r="EH447" s="592"/>
      <c r="EI447" s="592"/>
      <c r="EJ447" s="592"/>
      <c r="EK447" s="592"/>
      <c r="EL447" s="592"/>
      <c r="EM447" s="592"/>
      <c r="EN447" s="592"/>
      <c r="EO447" s="592"/>
      <c r="EP447" s="592"/>
      <c r="EQ447" s="592"/>
      <c r="ER447" s="592"/>
      <c r="ES447" s="592"/>
      <c r="ET447" s="592"/>
      <c r="EU447" s="592"/>
      <c r="EV447" s="592"/>
      <c r="EW447" s="592"/>
      <c r="EX447" s="592"/>
      <c r="EY447" s="592"/>
      <c r="EZ447" s="592"/>
      <c r="FA447" s="592"/>
      <c r="FB447" s="592"/>
      <c r="FC447" s="179"/>
      <c r="FD447" s="179"/>
      <c r="FE447" s="179"/>
      <c r="FF447" s="179"/>
      <c r="FG447" s="179"/>
      <c r="FH447" s="179"/>
      <c r="FI447" s="179"/>
      <c r="FJ447" s="179"/>
      <c r="FK447" s="179"/>
      <c r="FL447" s="179"/>
    </row>
    <row r="448" spans="1:173" s="2" customFormat="1" ht="24" customHeight="1">
      <c r="A448" s="592" t="s">
        <v>311</v>
      </c>
      <c r="B448" s="592"/>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2"/>
      <c r="AL448" s="592"/>
      <c r="AM448" s="592"/>
      <c r="AN448" s="592"/>
      <c r="AO448" s="592"/>
      <c r="AP448" s="592"/>
      <c r="AQ448" s="592"/>
      <c r="AR448" s="592"/>
      <c r="AS448" s="592"/>
      <c r="AT448" s="592"/>
      <c r="AU448" s="592"/>
      <c r="AV448" s="592"/>
      <c r="AW448" s="592"/>
      <c r="AX448" s="592"/>
      <c r="AY448" s="592"/>
      <c r="AZ448" s="592"/>
      <c r="BA448" s="592"/>
      <c r="BB448" s="592"/>
      <c r="BC448" s="592"/>
      <c r="BD448" s="592"/>
      <c r="BE448" s="592"/>
      <c r="BF448" s="592"/>
      <c r="BG448" s="592"/>
      <c r="BH448" s="592"/>
      <c r="BI448" s="592"/>
      <c r="BJ448" s="592"/>
      <c r="BK448" s="592"/>
      <c r="BL448" s="592"/>
      <c r="BM448" s="592"/>
      <c r="BN448" s="592"/>
      <c r="BO448" s="592"/>
      <c r="BP448" s="592"/>
      <c r="BQ448" s="592"/>
      <c r="BR448" s="592"/>
      <c r="BS448" s="592"/>
      <c r="BT448" s="592"/>
      <c r="BU448" s="592"/>
      <c r="BV448" s="592"/>
      <c r="BW448" s="592"/>
      <c r="BX448" s="592"/>
      <c r="BY448" s="592"/>
      <c r="BZ448" s="592"/>
      <c r="CA448" s="592"/>
      <c r="CB448" s="592"/>
      <c r="CC448" s="592"/>
      <c r="CD448" s="592"/>
      <c r="CE448" s="592"/>
      <c r="CF448" s="592"/>
      <c r="CG448" s="592"/>
      <c r="CH448" s="592"/>
      <c r="CI448" s="592"/>
      <c r="CJ448" s="592"/>
      <c r="CK448" s="592"/>
      <c r="CL448" s="592"/>
      <c r="CM448" s="592"/>
      <c r="CN448" s="592"/>
      <c r="CO448" s="592"/>
      <c r="CP448" s="592"/>
      <c r="CQ448" s="592"/>
      <c r="CR448" s="592"/>
      <c r="CS448" s="592"/>
      <c r="CT448" s="592"/>
      <c r="CU448" s="592"/>
      <c r="CV448" s="592"/>
      <c r="CW448" s="592"/>
      <c r="CX448" s="592"/>
      <c r="CY448" s="592"/>
      <c r="CZ448" s="592"/>
      <c r="DA448" s="592"/>
      <c r="DB448" s="592"/>
      <c r="DC448" s="592"/>
      <c r="DD448" s="592"/>
      <c r="DE448" s="592"/>
      <c r="DF448" s="592"/>
      <c r="DG448" s="592"/>
      <c r="DH448" s="592"/>
      <c r="DI448" s="592"/>
      <c r="DJ448" s="592"/>
      <c r="DK448" s="592"/>
      <c r="DL448" s="592"/>
      <c r="DM448" s="592"/>
      <c r="DN448" s="592"/>
      <c r="DO448" s="592"/>
      <c r="DP448" s="592"/>
      <c r="DQ448" s="592"/>
      <c r="DR448" s="592"/>
      <c r="DS448" s="592"/>
      <c r="DT448" s="592"/>
      <c r="DU448" s="592"/>
      <c r="DV448" s="592"/>
      <c r="DW448" s="592"/>
      <c r="DX448" s="592"/>
      <c r="DY448" s="592"/>
      <c r="DZ448" s="592"/>
      <c r="EA448" s="592"/>
      <c r="EB448" s="592"/>
      <c r="EC448" s="592"/>
      <c r="ED448" s="592"/>
      <c r="EE448" s="592"/>
      <c r="EF448" s="592"/>
      <c r="EG448" s="592"/>
      <c r="EH448" s="592"/>
      <c r="EI448" s="592"/>
      <c r="EJ448" s="592"/>
      <c r="EK448" s="592"/>
      <c r="EL448" s="592"/>
      <c r="EM448" s="592"/>
      <c r="EN448" s="592"/>
      <c r="EO448" s="592"/>
      <c r="EP448" s="592"/>
      <c r="EQ448" s="592"/>
      <c r="ER448" s="592"/>
      <c r="ES448" s="592"/>
      <c r="ET448" s="592"/>
      <c r="EU448" s="592"/>
      <c r="EV448" s="592"/>
      <c r="EW448" s="592"/>
      <c r="EX448" s="592"/>
      <c r="EY448" s="592"/>
      <c r="EZ448" s="592"/>
      <c r="FA448" s="592"/>
      <c r="FB448" s="592"/>
      <c r="FC448" s="179"/>
      <c r="FD448" s="179"/>
      <c r="FE448" s="179"/>
      <c r="FF448" s="179"/>
      <c r="FG448" s="179"/>
      <c r="FH448" s="179"/>
      <c r="FI448" s="179"/>
      <c r="FJ448" s="179"/>
      <c r="FK448" s="179"/>
      <c r="FL448" s="179"/>
    </row>
    <row r="449" spans="1:168" s="2" customFormat="1" ht="23.4" customHeight="1">
      <c r="A449" s="592" t="s">
        <v>312</v>
      </c>
      <c r="B449" s="592"/>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2"/>
      <c r="AL449" s="592"/>
      <c r="AM449" s="592"/>
      <c r="AN449" s="592"/>
      <c r="AO449" s="592"/>
      <c r="AP449" s="592"/>
      <c r="AQ449" s="592"/>
      <c r="AR449" s="592"/>
      <c r="AS449" s="592"/>
      <c r="AT449" s="592"/>
      <c r="AU449" s="592"/>
      <c r="AV449" s="592"/>
      <c r="AW449" s="592"/>
      <c r="AX449" s="592"/>
      <c r="AY449" s="592"/>
      <c r="AZ449" s="592"/>
      <c r="BA449" s="592"/>
      <c r="BB449" s="592"/>
      <c r="BC449" s="592"/>
      <c r="BD449" s="592"/>
      <c r="BE449" s="592"/>
      <c r="BF449" s="592"/>
      <c r="BG449" s="592"/>
      <c r="BH449" s="592"/>
      <c r="BI449" s="592"/>
      <c r="BJ449" s="592"/>
      <c r="BK449" s="592"/>
      <c r="BL449" s="592"/>
      <c r="BM449" s="592"/>
      <c r="BN449" s="592"/>
      <c r="BO449" s="592"/>
      <c r="BP449" s="592"/>
      <c r="BQ449" s="592"/>
      <c r="BR449" s="592"/>
      <c r="BS449" s="592"/>
      <c r="BT449" s="592"/>
      <c r="BU449" s="592"/>
      <c r="BV449" s="592"/>
      <c r="BW449" s="592"/>
      <c r="BX449" s="592"/>
      <c r="BY449" s="592"/>
      <c r="BZ449" s="592"/>
      <c r="CA449" s="592"/>
      <c r="CB449" s="592"/>
      <c r="CC449" s="592"/>
      <c r="CD449" s="592"/>
      <c r="CE449" s="592"/>
      <c r="CF449" s="592"/>
      <c r="CG449" s="592"/>
      <c r="CH449" s="592"/>
      <c r="CI449" s="592"/>
      <c r="CJ449" s="592"/>
      <c r="CK449" s="592"/>
      <c r="CL449" s="592"/>
      <c r="CM449" s="592"/>
      <c r="CN449" s="592"/>
      <c r="CO449" s="592"/>
      <c r="CP449" s="592"/>
      <c r="CQ449" s="592"/>
      <c r="CR449" s="592"/>
      <c r="CS449" s="592"/>
      <c r="CT449" s="592"/>
      <c r="CU449" s="592"/>
      <c r="CV449" s="592"/>
      <c r="CW449" s="592"/>
      <c r="CX449" s="592"/>
      <c r="CY449" s="592"/>
      <c r="CZ449" s="592"/>
      <c r="DA449" s="592"/>
      <c r="DB449" s="592"/>
      <c r="DC449" s="592"/>
      <c r="DD449" s="592"/>
      <c r="DE449" s="592"/>
      <c r="DF449" s="592"/>
      <c r="DG449" s="592"/>
      <c r="DH449" s="592"/>
      <c r="DI449" s="592"/>
      <c r="DJ449" s="592"/>
      <c r="DK449" s="592"/>
      <c r="DL449" s="592"/>
      <c r="DM449" s="592"/>
      <c r="DN449" s="592"/>
      <c r="DO449" s="592"/>
      <c r="DP449" s="592"/>
      <c r="DQ449" s="592"/>
      <c r="DR449" s="592"/>
      <c r="DS449" s="592"/>
      <c r="DT449" s="592"/>
      <c r="DU449" s="592"/>
      <c r="DV449" s="592"/>
      <c r="DW449" s="592"/>
      <c r="DX449" s="592"/>
      <c r="DY449" s="592"/>
      <c r="DZ449" s="592"/>
      <c r="EA449" s="592"/>
      <c r="EB449" s="592"/>
      <c r="EC449" s="592"/>
      <c r="ED449" s="592"/>
      <c r="EE449" s="592"/>
      <c r="EF449" s="592"/>
      <c r="EG449" s="592"/>
      <c r="EH449" s="592"/>
      <c r="EI449" s="592"/>
      <c r="EJ449" s="592"/>
      <c r="EK449" s="592"/>
      <c r="EL449" s="592"/>
      <c r="EM449" s="592"/>
      <c r="EN449" s="592"/>
      <c r="EO449" s="592"/>
      <c r="EP449" s="592"/>
      <c r="EQ449" s="592"/>
      <c r="ER449" s="592"/>
      <c r="ES449" s="592"/>
      <c r="ET449" s="592"/>
      <c r="EU449" s="592"/>
      <c r="EV449" s="592"/>
      <c r="EW449" s="592"/>
      <c r="EX449" s="592"/>
      <c r="EY449" s="592"/>
      <c r="EZ449" s="592"/>
      <c r="FA449" s="592"/>
      <c r="FB449" s="592"/>
      <c r="FC449" s="179"/>
      <c r="FD449" s="179"/>
      <c r="FE449" s="179"/>
      <c r="FF449" s="179"/>
      <c r="FG449" s="179"/>
      <c r="FH449" s="179"/>
      <c r="FI449" s="179"/>
      <c r="FJ449" s="179"/>
      <c r="FK449" s="179"/>
      <c r="FL449" s="179"/>
    </row>
    <row r="450" spans="1:168" s="2" customFormat="1" ht="19.8" customHeight="1">
      <c r="A450" s="600" t="s">
        <v>313</v>
      </c>
      <c r="B450" s="600"/>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0"/>
      <c r="AL450" s="600"/>
      <c r="AM450" s="600"/>
      <c r="AN450" s="600"/>
      <c r="AO450" s="600"/>
      <c r="AP450" s="600"/>
      <c r="AQ450" s="600"/>
      <c r="AR450" s="600"/>
      <c r="AS450" s="600"/>
      <c r="AT450" s="600"/>
      <c r="AU450" s="600"/>
      <c r="AV450" s="600"/>
      <c r="AW450" s="600"/>
      <c r="AX450" s="600"/>
      <c r="AY450" s="600"/>
      <c r="AZ450" s="600"/>
      <c r="BA450" s="600"/>
      <c r="BB450" s="600"/>
      <c r="BC450" s="600"/>
      <c r="BD450" s="600"/>
      <c r="BE450" s="600"/>
      <c r="BF450" s="600"/>
      <c r="BG450" s="600"/>
      <c r="BH450" s="600"/>
      <c r="BI450" s="600"/>
      <c r="BJ450" s="600"/>
      <c r="BK450" s="600"/>
      <c r="BL450" s="600"/>
      <c r="BM450" s="600"/>
      <c r="BN450" s="600"/>
      <c r="BO450" s="600"/>
      <c r="BP450" s="600"/>
      <c r="BQ450" s="600"/>
      <c r="BR450" s="600"/>
      <c r="BS450" s="600"/>
      <c r="BT450" s="600"/>
      <c r="BU450" s="600"/>
      <c r="BV450" s="600"/>
      <c r="BW450" s="600"/>
      <c r="BX450" s="600"/>
      <c r="BY450" s="600"/>
      <c r="BZ450" s="600"/>
      <c r="CA450" s="600"/>
      <c r="CB450" s="600"/>
      <c r="CC450" s="600"/>
      <c r="CD450" s="600"/>
      <c r="CE450" s="600"/>
      <c r="CF450" s="600"/>
      <c r="CG450" s="600"/>
      <c r="CH450" s="600"/>
      <c r="CI450" s="600"/>
      <c r="CJ450" s="600"/>
      <c r="CK450" s="600"/>
      <c r="CL450" s="600"/>
      <c r="CM450" s="600"/>
      <c r="CN450" s="600"/>
      <c r="CO450" s="600"/>
      <c r="CP450" s="600"/>
      <c r="CQ450" s="600"/>
      <c r="CR450" s="600"/>
      <c r="CS450" s="600"/>
      <c r="CT450" s="600"/>
      <c r="CU450" s="600"/>
      <c r="CV450" s="600"/>
      <c r="CW450" s="600"/>
      <c r="CX450" s="600"/>
      <c r="CY450" s="600"/>
      <c r="CZ450" s="600"/>
      <c r="DA450" s="600"/>
      <c r="DB450" s="600"/>
      <c r="DC450" s="600"/>
      <c r="DD450" s="600"/>
      <c r="DE450" s="600"/>
      <c r="DF450" s="600"/>
      <c r="DG450" s="600"/>
      <c r="DH450" s="600"/>
      <c r="DI450" s="600"/>
      <c r="DJ450" s="600"/>
      <c r="DK450" s="600"/>
      <c r="DL450" s="600"/>
      <c r="DM450" s="600"/>
      <c r="DN450" s="600"/>
      <c r="DO450" s="600"/>
      <c r="DP450" s="600"/>
      <c r="DQ450" s="600"/>
      <c r="DR450" s="600"/>
      <c r="DS450" s="600"/>
      <c r="DT450" s="600"/>
      <c r="DU450" s="600"/>
      <c r="DV450" s="600"/>
      <c r="DW450" s="600"/>
      <c r="DX450" s="600"/>
      <c r="DY450" s="600"/>
      <c r="DZ450" s="600"/>
      <c r="EA450" s="600"/>
      <c r="EB450" s="600"/>
      <c r="EC450" s="600"/>
      <c r="ED450" s="600"/>
      <c r="EE450" s="600"/>
      <c r="EF450" s="600"/>
      <c r="EG450" s="600"/>
      <c r="EH450" s="600"/>
      <c r="EI450" s="600"/>
      <c r="EJ450" s="600"/>
      <c r="EK450" s="600"/>
      <c r="EL450" s="600"/>
      <c r="EM450" s="600"/>
      <c r="EN450" s="600"/>
      <c r="EO450" s="600"/>
      <c r="EP450" s="600"/>
      <c r="EQ450" s="600"/>
      <c r="ER450" s="600"/>
      <c r="ES450" s="600"/>
      <c r="ET450" s="600"/>
      <c r="EU450" s="600"/>
      <c r="EV450" s="600"/>
      <c r="EW450" s="600"/>
      <c r="EX450" s="600"/>
      <c r="EY450" s="600"/>
      <c r="EZ450" s="600"/>
      <c r="FA450" s="600"/>
      <c r="FB450" s="600"/>
      <c r="FC450" s="600"/>
      <c r="FD450" s="600"/>
      <c r="FE450" s="600"/>
      <c r="FF450" s="600"/>
      <c r="FG450" s="600"/>
      <c r="FH450" s="600"/>
      <c r="FI450" s="600"/>
      <c r="FJ450" s="600"/>
      <c r="FK450" s="600"/>
      <c r="FL450" s="600"/>
    </row>
    <row r="451" spans="1:168" s="2" customFormat="1" ht="14.25" customHeight="1">
      <c r="A451" s="4" t="s">
        <v>187</v>
      </c>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row>
    <row r="452" spans="1:168" s="2" customFormat="1" ht="11.25" customHeight="1">
      <c r="A452" s="4" t="s">
        <v>188</v>
      </c>
    </row>
    <row r="453" spans="1:168" s="2" customFormat="1" ht="30" customHeight="1">
      <c r="A453" s="592" t="s">
        <v>189</v>
      </c>
      <c r="B453" s="592"/>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2"/>
      <c r="AL453" s="592"/>
      <c r="AM453" s="592"/>
      <c r="AN453" s="592"/>
      <c r="AO453" s="592"/>
      <c r="AP453" s="592"/>
      <c r="AQ453" s="592"/>
      <c r="AR453" s="592"/>
      <c r="AS453" s="592"/>
      <c r="AT453" s="592"/>
      <c r="AU453" s="592"/>
      <c r="AV453" s="592"/>
      <c r="AW453" s="592"/>
      <c r="AX453" s="592"/>
      <c r="AY453" s="592"/>
      <c r="AZ453" s="592"/>
      <c r="BA453" s="592"/>
      <c r="BB453" s="592"/>
      <c r="BC453" s="592"/>
      <c r="BD453" s="592"/>
      <c r="BE453" s="592"/>
      <c r="BF453" s="592"/>
      <c r="BG453" s="592"/>
      <c r="BH453" s="592"/>
      <c r="BI453" s="592"/>
      <c r="BJ453" s="592"/>
      <c r="BK453" s="592"/>
      <c r="BL453" s="592"/>
      <c r="BM453" s="592"/>
      <c r="BN453" s="592"/>
      <c r="BO453" s="592"/>
      <c r="BP453" s="592"/>
      <c r="BQ453" s="592"/>
      <c r="BR453" s="592"/>
      <c r="BS453" s="592"/>
      <c r="BT453" s="592"/>
      <c r="BU453" s="592"/>
      <c r="BV453" s="592"/>
      <c r="BW453" s="592"/>
      <c r="BX453" s="592"/>
      <c r="BY453" s="592"/>
      <c r="BZ453" s="592"/>
      <c r="CA453" s="592"/>
      <c r="CB453" s="592"/>
      <c r="CC453" s="592"/>
      <c r="CD453" s="592"/>
      <c r="CE453" s="592"/>
      <c r="CF453" s="592"/>
      <c r="CG453" s="592"/>
      <c r="CH453" s="592"/>
      <c r="CI453" s="592"/>
      <c r="CJ453" s="592"/>
      <c r="CK453" s="592"/>
      <c r="CL453" s="592"/>
      <c r="CM453" s="592"/>
      <c r="CN453" s="592"/>
      <c r="CO453" s="592"/>
      <c r="CP453" s="592"/>
      <c r="CQ453" s="592"/>
      <c r="CR453" s="592"/>
      <c r="CS453" s="592"/>
      <c r="CT453" s="592"/>
      <c r="CU453" s="592"/>
      <c r="CV453" s="592"/>
      <c r="CW453" s="592"/>
      <c r="CX453" s="592"/>
      <c r="CY453" s="592"/>
      <c r="CZ453" s="592"/>
      <c r="DA453" s="592"/>
      <c r="DB453" s="592"/>
      <c r="DC453" s="592"/>
      <c r="DD453" s="592"/>
      <c r="DE453" s="592"/>
      <c r="DF453" s="592"/>
      <c r="DG453" s="592"/>
      <c r="DH453" s="592"/>
      <c r="DI453" s="592"/>
      <c r="DJ453" s="592"/>
      <c r="DK453" s="592"/>
      <c r="DL453" s="592"/>
      <c r="DM453" s="592"/>
      <c r="DN453" s="592"/>
      <c r="DO453" s="592"/>
      <c r="DP453" s="592"/>
      <c r="DQ453" s="592"/>
      <c r="DR453" s="592"/>
      <c r="DS453" s="592"/>
      <c r="DT453" s="592"/>
      <c r="DU453" s="592"/>
      <c r="DV453" s="592"/>
      <c r="DW453" s="592"/>
      <c r="DX453" s="592"/>
      <c r="DY453" s="592"/>
      <c r="DZ453" s="592"/>
      <c r="EA453" s="592"/>
      <c r="EB453" s="592"/>
      <c r="EC453" s="592"/>
      <c r="ED453" s="592"/>
      <c r="EE453" s="592"/>
      <c r="EF453" s="592"/>
      <c r="EG453" s="592"/>
      <c r="EH453" s="592"/>
      <c r="EI453" s="592"/>
      <c r="EJ453" s="592"/>
      <c r="EK453" s="592"/>
      <c r="EL453" s="592"/>
      <c r="EM453" s="592"/>
      <c r="EN453" s="592"/>
      <c r="EO453" s="592"/>
      <c r="EP453" s="592"/>
      <c r="EQ453" s="592"/>
      <c r="ER453" s="592"/>
      <c r="ES453" s="592"/>
      <c r="ET453" s="592"/>
      <c r="EU453" s="592"/>
      <c r="EV453" s="592"/>
      <c r="EW453" s="592"/>
      <c r="EX453" s="592"/>
      <c r="EY453" s="592"/>
      <c r="EZ453" s="592"/>
      <c r="FA453" s="592"/>
      <c r="FB453" s="592"/>
      <c r="FC453" s="179"/>
      <c r="FD453" s="179"/>
      <c r="FE453" s="179"/>
      <c r="FF453" s="179"/>
      <c r="FG453" s="179"/>
      <c r="FH453" s="179"/>
      <c r="FI453" s="179"/>
      <c r="FJ453" s="179"/>
      <c r="FK453" s="179"/>
      <c r="FL453" s="179"/>
    </row>
    <row r="454" spans="1:168" ht="3" customHeight="1"/>
  </sheetData>
  <mergeCells count="4356">
    <mergeCell ref="BL418:BS418"/>
    <mergeCell ref="BT418:CF418"/>
    <mergeCell ref="CG418:CQ418"/>
    <mergeCell ref="CR418:DD418"/>
    <mergeCell ref="DE418:DQ418"/>
    <mergeCell ref="DR418:ED418"/>
    <mergeCell ref="EE418:EQ418"/>
    <mergeCell ref="ER418:FB418"/>
    <mergeCell ref="FC418:FL418"/>
    <mergeCell ref="A416:BK416"/>
    <mergeCell ref="BL416:BS416"/>
    <mergeCell ref="BT416:CF416"/>
    <mergeCell ref="CG416:CQ416"/>
    <mergeCell ref="CR416:DD416"/>
    <mergeCell ref="DE416:DQ416"/>
    <mergeCell ref="DR416:ED416"/>
    <mergeCell ref="EE416:EQ416"/>
    <mergeCell ref="ER416:FB416"/>
    <mergeCell ref="FC416:FL416"/>
    <mergeCell ref="A417:BK417"/>
    <mergeCell ref="BL417:BS417"/>
    <mergeCell ref="BT417:CF417"/>
    <mergeCell ref="CG417:CQ417"/>
    <mergeCell ref="CR417:DD417"/>
    <mergeCell ref="DE417:DQ417"/>
    <mergeCell ref="DR417:ED417"/>
    <mergeCell ref="EE417:EQ417"/>
    <mergeCell ref="ER417:FB417"/>
    <mergeCell ref="FC417:FL417"/>
    <mergeCell ref="A380:BK380"/>
    <mergeCell ref="BL380:BS380"/>
    <mergeCell ref="BT380:CF380"/>
    <mergeCell ref="CG380:CQ380"/>
    <mergeCell ref="CR380:DD380"/>
    <mergeCell ref="DE380:DQ380"/>
    <mergeCell ref="A391:BK391"/>
    <mergeCell ref="BL391:BS391"/>
    <mergeCell ref="BT391:CF391"/>
    <mergeCell ref="CG391:CQ391"/>
    <mergeCell ref="CR391:DD391"/>
    <mergeCell ref="DE391:DQ391"/>
    <mergeCell ref="BL387:BS387"/>
    <mergeCell ref="BT387:CF387"/>
    <mergeCell ref="A388:BK388"/>
    <mergeCell ref="BL388:BS388"/>
    <mergeCell ref="BT388:CF388"/>
    <mergeCell ref="DE388:DQ388"/>
    <mergeCell ref="CR385:DD385"/>
    <mergeCell ref="DE385:DQ385"/>
    <mergeCell ref="CG383:CQ383"/>
    <mergeCell ref="CR383:DD383"/>
    <mergeCell ref="A381:BK381"/>
    <mergeCell ref="A386:BK386"/>
    <mergeCell ref="BL386:BS386"/>
    <mergeCell ref="CG381:CQ381"/>
    <mergeCell ref="DE381:DQ381"/>
    <mergeCell ref="BT392:CF392"/>
    <mergeCell ref="CG392:CQ392"/>
    <mergeCell ref="CG408:CQ408"/>
    <mergeCell ref="CR408:DD408"/>
    <mergeCell ref="DE408:DQ408"/>
    <mergeCell ref="DR408:ED408"/>
    <mergeCell ref="EE408:EQ408"/>
    <mergeCell ref="EE395:EQ395"/>
    <mergeCell ref="ER395:FB395"/>
    <mergeCell ref="EE399:EQ399"/>
    <mergeCell ref="ER399:FB399"/>
    <mergeCell ref="FC399:FL399"/>
    <mergeCell ref="ER396:FB396"/>
    <mergeCell ref="FC396:FL396"/>
    <mergeCell ref="FC398:FL398"/>
    <mergeCell ref="DR397:ED397"/>
    <mergeCell ref="EE397:EQ397"/>
    <mergeCell ref="BT408:CF408"/>
    <mergeCell ref="BT400:CF400"/>
    <mergeCell ref="CG400:CQ400"/>
    <mergeCell ref="BT395:CF395"/>
    <mergeCell ref="CG395:CQ395"/>
    <mergeCell ref="DR391:ED391"/>
    <mergeCell ref="EE391:EQ391"/>
    <mergeCell ref="BT390:CF390"/>
    <mergeCell ref="FC392:FL392"/>
    <mergeCell ref="DE392:DQ392"/>
    <mergeCell ref="CR390:DD390"/>
    <mergeCell ref="DE390:DQ390"/>
    <mergeCell ref="DE386:DQ386"/>
    <mergeCell ref="CG399:CQ399"/>
    <mergeCell ref="A419:BK419"/>
    <mergeCell ref="BL419:BS419"/>
    <mergeCell ref="BT419:CF419"/>
    <mergeCell ref="CG419:CQ419"/>
    <mergeCell ref="CR419:DD419"/>
    <mergeCell ref="DE419:DQ419"/>
    <mergeCell ref="DR419:ED419"/>
    <mergeCell ref="EE419:EQ419"/>
    <mergeCell ref="ER419:FB419"/>
    <mergeCell ref="FC419:FL419"/>
    <mergeCell ref="A382:BK382"/>
    <mergeCell ref="BL382:BS382"/>
    <mergeCell ref="BL408:BS408"/>
    <mergeCell ref="A400:BK400"/>
    <mergeCell ref="BL400:BS400"/>
    <mergeCell ref="BL395:BS395"/>
    <mergeCell ref="A390:BK390"/>
    <mergeCell ref="BL390:BS390"/>
    <mergeCell ref="A393:BK393"/>
    <mergeCell ref="BL393:BS393"/>
    <mergeCell ref="A392:BK392"/>
    <mergeCell ref="DR390:ED390"/>
    <mergeCell ref="EE390:EQ390"/>
    <mergeCell ref="ER390:FB390"/>
    <mergeCell ref="FC390:FL390"/>
    <mergeCell ref="ER414:FB414"/>
    <mergeCell ref="CR399:DD399"/>
    <mergeCell ref="DE399:DQ399"/>
    <mergeCell ref="DR399:ED399"/>
    <mergeCell ref="ER398:FB398"/>
    <mergeCell ref="BL403:BS403"/>
    <mergeCell ref="A418:BK418"/>
    <mergeCell ref="EE413:EQ413"/>
    <mergeCell ref="ER413:FB413"/>
    <mergeCell ref="FC413:FL413"/>
    <mergeCell ref="FC380:FL380"/>
    <mergeCell ref="CG387:CQ387"/>
    <mergeCell ref="CR387:DD387"/>
    <mergeCell ref="DE387:DQ387"/>
    <mergeCell ref="DR387:ED387"/>
    <mergeCell ref="EE387:EQ387"/>
    <mergeCell ref="ER387:FB387"/>
    <mergeCell ref="FC387:FL387"/>
    <mergeCell ref="CG388:CQ388"/>
    <mergeCell ref="CR388:DD388"/>
    <mergeCell ref="BT382:CF382"/>
    <mergeCell ref="DE382:DQ382"/>
    <mergeCell ref="DE393:DQ393"/>
    <mergeCell ref="DR393:ED393"/>
    <mergeCell ref="EE393:EQ393"/>
    <mergeCell ref="ER393:FB393"/>
    <mergeCell ref="FC393:FL393"/>
    <mergeCell ref="CR392:DD392"/>
    <mergeCell ref="FC384:FL384"/>
    <mergeCell ref="FC385:FL385"/>
    <mergeCell ref="BT386:CF386"/>
    <mergeCell ref="CG386:CQ386"/>
    <mergeCell ref="CR386:DD386"/>
    <mergeCell ref="CR410:DD410"/>
    <mergeCell ref="DR386:ED386"/>
    <mergeCell ref="ER386:FB386"/>
    <mergeCell ref="BT393:CF393"/>
    <mergeCell ref="CG393:CQ393"/>
    <mergeCell ref="CR393:DD393"/>
    <mergeCell ref="FC408:FL408"/>
    <mergeCell ref="DE398:DQ398"/>
    <mergeCell ref="CR400:DD400"/>
    <mergeCell ref="DR401:ED401"/>
    <mergeCell ref="EE405:EQ405"/>
    <mergeCell ref="A415:BK415"/>
    <mergeCell ref="BL415:BS415"/>
    <mergeCell ref="BT415:CF415"/>
    <mergeCell ref="CG415:CQ415"/>
    <mergeCell ref="CR415:DD415"/>
    <mergeCell ref="DE415:DQ415"/>
    <mergeCell ref="DR415:ED415"/>
    <mergeCell ref="EE415:EQ415"/>
    <mergeCell ref="ER415:FB415"/>
    <mergeCell ref="FC415:FL415"/>
    <mergeCell ref="A413:BK413"/>
    <mergeCell ref="A414:BK414"/>
    <mergeCell ref="BL414:BS414"/>
    <mergeCell ref="BT414:CF414"/>
    <mergeCell ref="CG414:CQ414"/>
    <mergeCell ref="CR414:DD414"/>
    <mergeCell ref="DE414:DQ414"/>
    <mergeCell ref="DE413:DQ413"/>
    <mergeCell ref="DR413:ED413"/>
    <mergeCell ref="DR414:ED414"/>
    <mergeCell ref="EE414:EQ414"/>
    <mergeCell ref="DE411:DQ411"/>
    <mergeCell ref="FC414:FL414"/>
    <mergeCell ref="BL413:BS413"/>
    <mergeCell ref="BT413:CF413"/>
    <mergeCell ref="CG413:CQ413"/>
    <mergeCell ref="CR413:DD413"/>
    <mergeCell ref="FC410:FL410"/>
    <mergeCell ref="A411:BK411"/>
    <mergeCell ref="DR385:ED385"/>
    <mergeCell ref="EE385:EQ385"/>
    <mergeCell ref="ER385:FB385"/>
    <mergeCell ref="A399:BK399"/>
    <mergeCell ref="BL399:BS399"/>
    <mergeCell ref="BT399:CF399"/>
    <mergeCell ref="BL411:BS411"/>
    <mergeCell ref="DR411:ED411"/>
    <mergeCell ref="EE411:EQ411"/>
    <mergeCell ref="ER411:FB411"/>
    <mergeCell ref="FC411:FL411"/>
    <mergeCell ref="ER397:FB397"/>
    <mergeCell ref="FC397:FL397"/>
    <mergeCell ref="DE412:DQ412"/>
    <mergeCell ref="DR412:ED412"/>
    <mergeCell ref="EE412:EQ412"/>
    <mergeCell ref="ER412:FB412"/>
    <mergeCell ref="FC412:FL412"/>
    <mergeCell ref="DE400:DQ400"/>
    <mergeCell ref="DR400:ED400"/>
    <mergeCell ref="EE400:EQ400"/>
    <mergeCell ref="ER400:FB400"/>
    <mergeCell ref="FC400:FL400"/>
    <mergeCell ref="FC403:FL403"/>
    <mergeCell ref="FC406:FL406"/>
    <mergeCell ref="DE410:DQ410"/>
    <mergeCell ref="DR410:ED410"/>
    <mergeCell ref="EE410:EQ410"/>
    <mergeCell ref="ER410:FB410"/>
    <mergeCell ref="ER408:FB408"/>
    <mergeCell ref="FC394:FL394"/>
    <mergeCell ref="FC395:FL395"/>
    <mergeCell ref="A395:BK395"/>
    <mergeCell ref="DR392:ED392"/>
    <mergeCell ref="EE392:EQ392"/>
    <mergeCell ref="ER392:FB392"/>
    <mergeCell ref="A387:BK387"/>
    <mergeCell ref="A394:BK394"/>
    <mergeCell ref="EE394:EQ394"/>
    <mergeCell ref="ER394:FB394"/>
    <mergeCell ref="ER391:FB391"/>
    <mergeCell ref="FC391:FL391"/>
    <mergeCell ref="ER389:FB389"/>
    <mergeCell ref="A376:BK376"/>
    <mergeCell ref="BL376:BS376"/>
    <mergeCell ref="BT376:CF376"/>
    <mergeCell ref="CG376:CQ376"/>
    <mergeCell ref="CR376:DD376"/>
    <mergeCell ref="DE376:DQ376"/>
    <mergeCell ref="DR376:ED376"/>
    <mergeCell ref="EE376:EQ376"/>
    <mergeCell ref="ER376:FB376"/>
    <mergeCell ref="FC376:FL376"/>
    <mergeCell ref="A378:BK378"/>
    <mergeCell ref="BT389:CF389"/>
    <mergeCell ref="CG389:CQ389"/>
    <mergeCell ref="CR389:DD389"/>
    <mergeCell ref="DE389:DQ389"/>
    <mergeCell ref="DR389:ED389"/>
    <mergeCell ref="A385:BK385"/>
    <mergeCell ref="CG385:CQ385"/>
    <mergeCell ref="FC382:FL382"/>
    <mergeCell ref="A379:BK379"/>
    <mergeCell ref="BL379:BS379"/>
    <mergeCell ref="ER378:FB378"/>
    <mergeCell ref="FC389:FL389"/>
    <mergeCell ref="CG379:CQ379"/>
    <mergeCell ref="CR379:DD379"/>
    <mergeCell ref="DE379:DQ379"/>
    <mergeCell ref="DR379:ED379"/>
    <mergeCell ref="EE379:EQ379"/>
    <mergeCell ref="ER379:FB379"/>
    <mergeCell ref="FC379:FL379"/>
    <mergeCell ref="DR388:ED388"/>
    <mergeCell ref="EE388:EQ388"/>
    <mergeCell ref="ER388:FB388"/>
    <mergeCell ref="FC388:FL388"/>
    <mergeCell ref="FC383:FL383"/>
    <mergeCell ref="FC381:FL381"/>
    <mergeCell ref="DR380:ED380"/>
    <mergeCell ref="EE380:EQ380"/>
    <mergeCell ref="ER380:FB380"/>
    <mergeCell ref="EE386:EQ386"/>
    <mergeCell ref="EE389:EQ389"/>
    <mergeCell ref="DR381:ED381"/>
    <mergeCell ref="EE381:EQ381"/>
    <mergeCell ref="ER381:FB381"/>
    <mergeCell ref="BL384:BS384"/>
    <mergeCell ref="BT384:CF384"/>
    <mergeCell ref="CG384:CQ384"/>
    <mergeCell ref="FC378:FL378"/>
    <mergeCell ref="BL381:BS381"/>
    <mergeCell ref="BT381:CF381"/>
    <mergeCell ref="CR381:DD381"/>
    <mergeCell ref="ER255:FB255"/>
    <mergeCell ref="FC255:FL255"/>
    <mergeCell ref="BT260:CF260"/>
    <mergeCell ref="DE378:DQ378"/>
    <mergeCell ref="DR378:ED378"/>
    <mergeCell ref="EE378:EQ378"/>
    <mergeCell ref="BL394:BS394"/>
    <mergeCell ref="BT394:CF394"/>
    <mergeCell ref="CG394:CQ394"/>
    <mergeCell ref="DR251:ED251"/>
    <mergeCell ref="EE251:EQ251"/>
    <mergeCell ref="ER251:FB251"/>
    <mergeCell ref="FC251:FL251"/>
    <mergeCell ref="BT262:CF262"/>
    <mergeCell ref="CG262:CQ262"/>
    <mergeCell ref="CR262:DD262"/>
    <mergeCell ref="DE262:DQ262"/>
    <mergeCell ref="BL261:BS261"/>
    <mergeCell ref="BT261:CF261"/>
    <mergeCell ref="CG261:CQ261"/>
    <mergeCell ref="CR261:DD261"/>
    <mergeCell ref="DE261:DQ261"/>
    <mergeCell ref="DR261:ED261"/>
    <mergeCell ref="EE261:EQ261"/>
    <mergeCell ref="ER261:FB261"/>
    <mergeCell ref="FC261:FL261"/>
    <mergeCell ref="CR378:DD378"/>
    <mergeCell ref="FC262:FL262"/>
    <mergeCell ref="DE263:DQ263"/>
    <mergeCell ref="BL262:BS262"/>
    <mergeCell ref="FC268:FL268"/>
    <mergeCell ref="BL269:BS269"/>
    <mergeCell ref="CR240:DD240"/>
    <mergeCell ref="DE240:DQ240"/>
    <mergeCell ref="DR240:ED240"/>
    <mergeCell ref="EE240:EQ240"/>
    <mergeCell ref="ER240:FB240"/>
    <mergeCell ref="FC240:FL240"/>
    <mergeCell ref="A238:BK238"/>
    <mergeCell ref="BL238:BS238"/>
    <mergeCell ref="A239:BK239"/>
    <mergeCell ref="BL239:BS239"/>
    <mergeCell ref="A237:BK237"/>
    <mergeCell ref="BL237:BS237"/>
    <mergeCell ref="BT237:CF237"/>
    <mergeCell ref="CG237:CQ237"/>
    <mergeCell ref="BT238:CF238"/>
    <mergeCell ref="CG238:CQ238"/>
    <mergeCell ref="CR238:DD238"/>
    <mergeCell ref="DE238:DQ238"/>
    <mergeCell ref="DR238:ED238"/>
    <mergeCell ref="EE238:EQ238"/>
    <mergeCell ref="ER238:FB238"/>
    <mergeCell ref="FC238:FL238"/>
    <mergeCell ref="CR237:DD237"/>
    <mergeCell ref="DE237:DQ237"/>
    <mergeCell ref="DR237:ED237"/>
    <mergeCell ref="EE237:EQ237"/>
    <mergeCell ref="ER237:FB237"/>
    <mergeCell ref="FC237:FL237"/>
    <mergeCell ref="FC256:FL256"/>
    <mergeCell ref="BT256:CF256"/>
    <mergeCell ref="CG256:CQ256"/>
    <mergeCell ref="CR256:DD256"/>
    <mergeCell ref="DE256:DQ256"/>
    <mergeCell ref="CR264:DD264"/>
    <mergeCell ref="DE264:DQ264"/>
    <mergeCell ref="DR264:ED264"/>
    <mergeCell ref="EE264:EQ264"/>
    <mergeCell ref="ER264:FB264"/>
    <mergeCell ref="FC264:FL264"/>
    <mergeCell ref="CR258:DD258"/>
    <mergeCell ref="DE258:DQ258"/>
    <mergeCell ref="DE259:DQ259"/>
    <mergeCell ref="DR259:ED259"/>
    <mergeCell ref="FC266:FL266"/>
    <mergeCell ref="FC260:FL260"/>
    <mergeCell ref="DR263:ED263"/>
    <mergeCell ref="EE263:EQ263"/>
    <mergeCell ref="ER263:FB263"/>
    <mergeCell ref="FC263:FL263"/>
    <mergeCell ref="EE266:EQ266"/>
    <mergeCell ref="ER266:FB266"/>
    <mergeCell ref="CG264:CQ264"/>
    <mergeCell ref="CR260:DD260"/>
    <mergeCell ref="DR265:ED265"/>
    <mergeCell ref="EE265:EQ265"/>
    <mergeCell ref="ER265:FB265"/>
    <mergeCell ref="BT265:CF265"/>
    <mergeCell ref="CG265:CQ265"/>
    <mergeCell ref="CR265:DD265"/>
    <mergeCell ref="FC259:FL259"/>
    <mergeCell ref="FC267:FL267"/>
    <mergeCell ref="A265:BK265"/>
    <mergeCell ref="BL265:BS265"/>
    <mergeCell ref="A270:BK270"/>
    <mergeCell ref="BL270:BS270"/>
    <mergeCell ref="BT270:CF270"/>
    <mergeCell ref="CG270:CQ270"/>
    <mergeCell ref="CR270:DD270"/>
    <mergeCell ref="DE270:DQ270"/>
    <mergeCell ref="DR270:ED270"/>
    <mergeCell ref="EE270:EQ270"/>
    <mergeCell ref="ER270:FB270"/>
    <mergeCell ref="FC270:FL270"/>
    <mergeCell ref="A268:BK268"/>
    <mergeCell ref="BL268:BS268"/>
    <mergeCell ref="BT268:CF268"/>
    <mergeCell ref="CG268:CQ268"/>
    <mergeCell ref="CR268:DD268"/>
    <mergeCell ref="DE268:DQ268"/>
    <mergeCell ref="DR268:ED268"/>
    <mergeCell ref="EE268:EQ268"/>
    <mergeCell ref="ER268:FB268"/>
    <mergeCell ref="FC265:FL265"/>
    <mergeCell ref="A269:BK269"/>
    <mergeCell ref="BT269:CF269"/>
    <mergeCell ref="CG269:CQ269"/>
    <mergeCell ref="CR269:DD269"/>
    <mergeCell ref="DE269:DQ269"/>
    <mergeCell ref="DR269:ED269"/>
    <mergeCell ref="EE269:EQ269"/>
    <mergeCell ref="ER269:FB269"/>
    <mergeCell ref="FC269:FL269"/>
    <mergeCell ref="CG259:CQ259"/>
    <mergeCell ref="EE259:EQ259"/>
    <mergeCell ref="ER259:FB259"/>
    <mergeCell ref="EE260:EQ260"/>
    <mergeCell ref="ER260:FB260"/>
    <mergeCell ref="DR262:ED262"/>
    <mergeCell ref="EE262:EQ262"/>
    <mergeCell ref="DR260:ED260"/>
    <mergeCell ref="ER256:FB256"/>
    <mergeCell ref="A267:BK267"/>
    <mergeCell ref="BL267:BS267"/>
    <mergeCell ref="BT267:CF267"/>
    <mergeCell ref="CG267:CQ267"/>
    <mergeCell ref="CR267:DD267"/>
    <mergeCell ref="DE267:DQ267"/>
    <mergeCell ref="DR267:ED267"/>
    <mergeCell ref="EE267:EQ267"/>
    <mergeCell ref="ER267:FB267"/>
    <mergeCell ref="A264:BK264"/>
    <mergeCell ref="BL264:BS264"/>
    <mergeCell ref="BT264:CF264"/>
    <mergeCell ref="CG260:CQ260"/>
    <mergeCell ref="A260:BK260"/>
    <mergeCell ref="BL260:BS260"/>
    <mergeCell ref="A262:BK262"/>
    <mergeCell ref="ER258:FB258"/>
    <mergeCell ref="FC258:FL258"/>
    <mergeCell ref="A252:BK252"/>
    <mergeCell ref="BL252:BS252"/>
    <mergeCell ref="BT252:CF252"/>
    <mergeCell ref="CG252:CQ252"/>
    <mergeCell ref="CR252:DD252"/>
    <mergeCell ref="DE252:DQ252"/>
    <mergeCell ref="DR252:ED252"/>
    <mergeCell ref="EE252:EQ252"/>
    <mergeCell ref="ER252:FB252"/>
    <mergeCell ref="FC252:FL252"/>
    <mergeCell ref="A253:BK253"/>
    <mergeCell ref="A263:BK263"/>
    <mergeCell ref="BL263:BS263"/>
    <mergeCell ref="BT263:CF263"/>
    <mergeCell ref="CG263:CQ263"/>
    <mergeCell ref="DR256:ED256"/>
    <mergeCell ref="EE256:EQ256"/>
    <mergeCell ref="CR255:DD255"/>
    <mergeCell ref="A257:BK257"/>
    <mergeCell ref="BL257:BS257"/>
    <mergeCell ref="BT257:CF257"/>
    <mergeCell ref="CG257:CQ257"/>
    <mergeCell ref="CR257:DD257"/>
    <mergeCell ref="DE257:DQ257"/>
    <mergeCell ref="DR257:ED257"/>
    <mergeCell ref="EE257:EQ257"/>
    <mergeCell ref="ER257:FB257"/>
    <mergeCell ref="FC257:FL257"/>
    <mergeCell ref="A256:BK256"/>
    <mergeCell ref="BL256:BS256"/>
    <mergeCell ref="ER250:FB250"/>
    <mergeCell ref="FC250:FL250"/>
    <mergeCell ref="BT249:CF249"/>
    <mergeCell ref="CG249:CQ249"/>
    <mergeCell ref="CR249:DD249"/>
    <mergeCell ref="DE249:DQ249"/>
    <mergeCell ref="DR249:ED249"/>
    <mergeCell ref="EE249:EQ249"/>
    <mergeCell ref="ER249:FB249"/>
    <mergeCell ref="CR246:DD246"/>
    <mergeCell ref="DE246:DQ246"/>
    <mergeCell ref="FC249:FL249"/>
    <mergeCell ref="BL250:BS250"/>
    <mergeCell ref="FC246:FL246"/>
    <mergeCell ref="A247:BK247"/>
    <mergeCell ref="BL247:BS247"/>
    <mergeCell ref="BT247:CF247"/>
    <mergeCell ref="CG247:CQ247"/>
    <mergeCell ref="CR247:DD247"/>
    <mergeCell ref="DE247:DQ247"/>
    <mergeCell ref="DR247:ED247"/>
    <mergeCell ref="EE247:EQ247"/>
    <mergeCell ref="ER247:FB247"/>
    <mergeCell ref="FC247:FL247"/>
    <mergeCell ref="A248:BK248"/>
    <mergeCell ref="DR250:ED250"/>
    <mergeCell ref="EE250:EQ250"/>
    <mergeCell ref="ER254:FB254"/>
    <mergeCell ref="CG245:CQ245"/>
    <mergeCell ref="A250:BK250"/>
    <mergeCell ref="BT250:CF250"/>
    <mergeCell ref="CG250:CQ250"/>
    <mergeCell ref="CR250:DD250"/>
    <mergeCell ref="DE250:DQ250"/>
    <mergeCell ref="A259:BK259"/>
    <mergeCell ref="BL259:BS259"/>
    <mergeCell ref="BL253:BS253"/>
    <mergeCell ref="BT253:CF253"/>
    <mergeCell ref="CG253:CQ253"/>
    <mergeCell ref="BL251:BS251"/>
    <mergeCell ref="BT251:CF251"/>
    <mergeCell ref="CG251:CQ251"/>
    <mergeCell ref="FC254:FL254"/>
    <mergeCell ref="BT246:CF246"/>
    <mergeCell ref="CG246:CQ246"/>
    <mergeCell ref="DE253:DQ253"/>
    <mergeCell ref="DR253:ED253"/>
    <mergeCell ref="EE253:EQ253"/>
    <mergeCell ref="ER253:FB253"/>
    <mergeCell ref="FC253:FL253"/>
    <mergeCell ref="BL248:BS248"/>
    <mergeCell ref="BT248:CF248"/>
    <mergeCell ref="CG248:CQ248"/>
    <mergeCell ref="CR248:DD248"/>
    <mergeCell ref="DE248:DQ248"/>
    <mergeCell ref="DR248:ED248"/>
    <mergeCell ref="EE248:EQ248"/>
    <mergeCell ref="ER248:FB248"/>
    <mergeCell ref="FC248:FL248"/>
    <mergeCell ref="A398:BK398"/>
    <mergeCell ref="BL398:BS398"/>
    <mergeCell ref="BT398:CF398"/>
    <mergeCell ref="CG398:CQ398"/>
    <mergeCell ref="CR398:DD398"/>
    <mergeCell ref="BL396:BS396"/>
    <mergeCell ref="BT396:CF396"/>
    <mergeCell ref="CG396:CQ396"/>
    <mergeCell ref="CR396:DD396"/>
    <mergeCell ref="DE396:DQ396"/>
    <mergeCell ref="DR396:ED396"/>
    <mergeCell ref="EE396:EQ396"/>
    <mergeCell ref="DR398:ED398"/>
    <mergeCell ref="EE398:EQ398"/>
    <mergeCell ref="BT244:CF244"/>
    <mergeCell ref="BT254:CF254"/>
    <mergeCell ref="CG254:CQ254"/>
    <mergeCell ref="CR254:DD254"/>
    <mergeCell ref="DE254:DQ254"/>
    <mergeCell ref="DR254:ED254"/>
    <mergeCell ref="EE254:EQ254"/>
    <mergeCell ref="CR251:DD251"/>
    <mergeCell ref="DE251:DQ251"/>
    <mergeCell ref="BL258:BS258"/>
    <mergeCell ref="BT258:CF258"/>
    <mergeCell ref="CG258:CQ258"/>
    <mergeCell ref="DR258:ED258"/>
    <mergeCell ref="EE258:EQ258"/>
    <mergeCell ref="DE255:DQ255"/>
    <mergeCell ref="BT255:CF255"/>
    <mergeCell ref="A258:BK258"/>
    <mergeCell ref="BT259:CF259"/>
    <mergeCell ref="A406:BK406"/>
    <mergeCell ref="BL406:BS406"/>
    <mergeCell ref="BT406:CF406"/>
    <mergeCell ref="CG406:CQ406"/>
    <mergeCell ref="CR406:DD406"/>
    <mergeCell ref="DE406:DQ406"/>
    <mergeCell ref="DR406:ED406"/>
    <mergeCell ref="EE406:EQ406"/>
    <mergeCell ref="ER406:FB406"/>
    <mergeCell ref="DE403:DQ403"/>
    <mergeCell ref="DR403:ED403"/>
    <mergeCell ref="EE403:EQ403"/>
    <mergeCell ref="ER403:FB403"/>
    <mergeCell ref="CR401:DD401"/>
    <mergeCell ref="DE401:DQ401"/>
    <mergeCell ref="A410:BK410"/>
    <mergeCell ref="BL410:BS410"/>
    <mergeCell ref="BT410:CF410"/>
    <mergeCell ref="CG410:CQ410"/>
    <mergeCell ref="A405:BK405"/>
    <mergeCell ref="BL405:BS405"/>
    <mergeCell ref="BT405:CF405"/>
    <mergeCell ref="CG405:CQ405"/>
    <mergeCell ref="CR405:DD405"/>
    <mergeCell ref="DE405:DQ405"/>
    <mergeCell ref="DR405:ED405"/>
    <mergeCell ref="A408:BK408"/>
    <mergeCell ref="BL401:BS401"/>
    <mergeCell ref="BT401:CF401"/>
    <mergeCell ref="A401:BK401"/>
    <mergeCell ref="EE401:EQ401"/>
    <mergeCell ref="ER401:FB401"/>
    <mergeCell ref="FC401:FL401"/>
    <mergeCell ref="CG401:CQ401"/>
    <mergeCell ref="EE427:EQ427"/>
    <mergeCell ref="ER427:FB427"/>
    <mergeCell ref="FC427:FL427"/>
    <mergeCell ref="A422:BK422"/>
    <mergeCell ref="BL422:BS422"/>
    <mergeCell ref="BT422:CF422"/>
    <mergeCell ref="CG422:CQ422"/>
    <mergeCell ref="CR422:DD422"/>
    <mergeCell ref="DE422:DQ422"/>
    <mergeCell ref="DR422:ED422"/>
    <mergeCell ref="EE422:EQ422"/>
    <mergeCell ref="ER422:FB422"/>
    <mergeCell ref="FC422:FL422"/>
    <mergeCell ref="A425:BK425"/>
    <mergeCell ref="CG426:CQ426"/>
    <mergeCell ref="ER425:FB425"/>
    <mergeCell ref="A427:BK427"/>
    <mergeCell ref="BL427:BS427"/>
    <mergeCell ref="BT427:CF427"/>
    <mergeCell ref="CG427:CQ427"/>
    <mergeCell ref="CR427:DD427"/>
    <mergeCell ref="FC409:FL409"/>
    <mergeCell ref="A412:BK412"/>
    <mergeCell ref="BT403:CF403"/>
    <mergeCell ref="CG403:CQ403"/>
    <mergeCell ref="CR403:DD403"/>
    <mergeCell ref="A421:BK421"/>
    <mergeCell ref="FC386:FL386"/>
    <mergeCell ref="A389:BK389"/>
    <mergeCell ref="FC294:FL294"/>
    <mergeCell ref="BL421:BS421"/>
    <mergeCell ref="BT421:CF421"/>
    <mergeCell ref="CG421:CQ421"/>
    <mergeCell ref="CR421:DD421"/>
    <mergeCell ref="DE421:DQ421"/>
    <mergeCell ref="DR421:ED421"/>
    <mergeCell ref="EE421:EQ421"/>
    <mergeCell ref="ER421:FB421"/>
    <mergeCell ref="CG382:CQ382"/>
    <mergeCell ref="CR384:DD384"/>
    <mergeCell ref="DE384:DQ384"/>
    <mergeCell ref="DR384:ED384"/>
    <mergeCell ref="EE384:EQ384"/>
    <mergeCell ref="ER384:FB384"/>
    <mergeCell ref="A397:BK397"/>
    <mergeCell ref="BL397:BS397"/>
    <mergeCell ref="BT397:CF397"/>
    <mergeCell ref="CG397:CQ397"/>
    <mergeCell ref="CR397:DD397"/>
    <mergeCell ref="DE397:DQ397"/>
    <mergeCell ref="A403:BK403"/>
    <mergeCell ref="A396:BK396"/>
    <mergeCell ref="BT383:CF383"/>
    <mergeCell ref="DE383:DQ383"/>
    <mergeCell ref="DR383:ED383"/>
    <mergeCell ref="ER382:FB382"/>
    <mergeCell ref="BL383:BS383"/>
    <mergeCell ref="BL392:BS392"/>
    <mergeCell ref="DR409:ED409"/>
    <mergeCell ref="FC421:FL421"/>
    <mergeCell ref="A407:BK407"/>
    <mergeCell ref="BL407:BS407"/>
    <mergeCell ref="BT407:CF407"/>
    <mergeCell ref="CG407:CQ407"/>
    <mergeCell ref="CR407:DD407"/>
    <mergeCell ref="DE407:DQ407"/>
    <mergeCell ref="DR407:ED407"/>
    <mergeCell ref="EE407:EQ407"/>
    <mergeCell ref="ER407:FB407"/>
    <mergeCell ref="FC407:FL407"/>
    <mergeCell ref="A420:BK420"/>
    <mergeCell ref="BL420:BS420"/>
    <mergeCell ref="BT420:CF420"/>
    <mergeCell ref="CG420:CQ420"/>
    <mergeCell ref="CR420:DD420"/>
    <mergeCell ref="DE420:DQ420"/>
    <mergeCell ref="DR420:ED420"/>
    <mergeCell ref="EE420:EQ420"/>
    <mergeCell ref="ER420:FB420"/>
    <mergeCell ref="FC420:FL420"/>
    <mergeCell ref="A409:BK409"/>
    <mergeCell ref="BL409:BS409"/>
    <mergeCell ref="BT409:CF409"/>
    <mergeCell ref="CG409:CQ409"/>
    <mergeCell ref="EE409:EQ409"/>
    <mergeCell ref="ER409:FB409"/>
    <mergeCell ref="BT411:CF411"/>
    <mergeCell ref="CG411:CQ411"/>
    <mergeCell ref="CR411:DD411"/>
    <mergeCell ref="BL412:BS412"/>
    <mergeCell ref="BT412:CF412"/>
    <mergeCell ref="FC245:FL245"/>
    <mergeCell ref="BL244:BS244"/>
    <mergeCell ref="CG289:CQ289"/>
    <mergeCell ref="EE289:EQ289"/>
    <mergeCell ref="ER289:FB289"/>
    <mergeCell ref="FC289:FL289"/>
    <mergeCell ref="A290:BK290"/>
    <mergeCell ref="ER344:FB344"/>
    <mergeCell ref="A350:BK350"/>
    <mergeCell ref="BL350:BS350"/>
    <mergeCell ref="BT350:CF350"/>
    <mergeCell ref="CR350:DD350"/>
    <mergeCell ref="DE350:DQ350"/>
    <mergeCell ref="DR350:ED350"/>
    <mergeCell ref="FC344:FL344"/>
    <mergeCell ref="FC343:FL343"/>
    <mergeCell ref="A344:BK344"/>
    <mergeCell ref="BL344:BS344"/>
    <mergeCell ref="A349:BK349"/>
    <mergeCell ref="BL347:BS347"/>
    <mergeCell ref="BT347:CF347"/>
    <mergeCell ref="CG347:CQ347"/>
    <mergeCell ref="CG343:CQ343"/>
    <mergeCell ref="DE348:DQ348"/>
    <mergeCell ref="BL290:BS290"/>
    <mergeCell ref="BT343:CF343"/>
    <mergeCell ref="ER343:FB343"/>
    <mergeCell ref="CR343:DD343"/>
    <mergeCell ref="EE347:EQ347"/>
    <mergeCell ref="ER347:FB347"/>
    <mergeCell ref="A347:BK347"/>
    <mergeCell ref="FC346:FL346"/>
    <mergeCell ref="A249:BK249"/>
    <mergeCell ref="BL249:BS249"/>
    <mergeCell ref="A246:BK246"/>
    <mergeCell ref="EE234:EQ234"/>
    <mergeCell ref="ER234:FB234"/>
    <mergeCell ref="A234:BK234"/>
    <mergeCell ref="BL234:BS234"/>
    <mergeCell ref="BT234:CF234"/>
    <mergeCell ref="CG234:CQ234"/>
    <mergeCell ref="BL242:BS242"/>
    <mergeCell ref="BT242:CF242"/>
    <mergeCell ref="CG242:CQ242"/>
    <mergeCell ref="CR242:DD242"/>
    <mergeCell ref="CG244:CQ244"/>
    <mergeCell ref="CR244:DD244"/>
    <mergeCell ref="DE244:DQ244"/>
    <mergeCell ref="DR244:ED244"/>
    <mergeCell ref="EE244:EQ244"/>
    <mergeCell ref="ER244:FB244"/>
    <mergeCell ref="DR246:ED246"/>
    <mergeCell ref="EE246:EQ246"/>
    <mergeCell ref="ER246:FB246"/>
    <mergeCell ref="A245:BK245"/>
    <mergeCell ref="BL245:BS245"/>
    <mergeCell ref="BT245:CF245"/>
    <mergeCell ref="DR245:ED245"/>
    <mergeCell ref="EE245:EQ245"/>
    <mergeCell ref="ER245:FB245"/>
    <mergeCell ref="A240:BK240"/>
    <mergeCell ref="BL240:BS240"/>
    <mergeCell ref="BT240:CF240"/>
    <mergeCell ref="CG240:CQ240"/>
    <mergeCell ref="FC110:FL110"/>
    <mergeCell ref="EE118:EQ118"/>
    <mergeCell ref="CR118:DD118"/>
    <mergeCell ref="DE118:DQ118"/>
    <mergeCell ref="FC206:FL206"/>
    <mergeCell ref="EE209:EQ209"/>
    <mergeCell ref="ER209:FB209"/>
    <mergeCell ref="FC209:FL209"/>
    <mergeCell ref="BT351:CF351"/>
    <mergeCell ref="CG351:CQ351"/>
    <mergeCell ref="CR351:DD351"/>
    <mergeCell ref="DE351:DQ351"/>
    <mergeCell ref="DR351:ED351"/>
    <mergeCell ref="EE351:EQ351"/>
    <mergeCell ref="ER351:FB351"/>
    <mergeCell ref="FC351:FL351"/>
    <mergeCell ref="CG220:CQ220"/>
    <mergeCell ref="CG255:CQ255"/>
    <mergeCell ref="CR206:DD206"/>
    <mergeCell ref="CR230:DD230"/>
    <mergeCell ref="CG316:CQ316"/>
    <mergeCell ref="CR316:DD316"/>
    <mergeCell ref="DE316:DQ316"/>
    <mergeCell ref="DR316:ED316"/>
    <mergeCell ref="EE316:EQ316"/>
    <mergeCell ref="ER316:FB316"/>
    <mergeCell ref="DR343:ED343"/>
    <mergeCell ref="EE343:EQ343"/>
    <mergeCell ref="CG280:CQ280"/>
    <mergeCell ref="FC122:FN122"/>
    <mergeCell ref="FC243:FL243"/>
    <mergeCell ref="FC244:FL244"/>
    <mergeCell ref="A230:BK230"/>
    <mergeCell ref="BT230:CF230"/>
    <mergeCell ref="CG230:CQ230"/>
    <mergeCell ref="FC129:FL129"/>
    <mergeCell ref="A193:BK193"/>
    <mergeCell ref="ER178:FB178"/>
    <mergeCell ref="EE177:EQ177"/>
    <mergeCell ref="EE183:EQ183"/>
    <mergeCell ref="EE173:EQ173"/>
    <mergeCell ref="DR195:ED195"/>
    <mergeCell ref="ER183:FB183"/>
    <mergeCell ref="ER173:FB173"/>
    <mergeCell ref="DR173:ED173"/>
    <mergeCell ref="BT172:CF172"/>
    <mergeCell ref="CG185:CQ185"/>
    <mergeCell ref="CR185:DD185"/>
    <mergeCell ref="A220:BK220"/>
    <mergeCell ref="BL152:BS152"/>
    <mergeCell ref="FC128:FL128"/>
    <mergeCell ref="FC123:FN123"/>
    <mergeCell ref="FC107:FL107"/>
    <mergeCell ref="BT129:CF129"/>
    <mergeCell ref="CG129:CQ129"/>
    <mergeCell ref="CR129:DD129"/>
    <mergeCell ref="DE129:DQ129"/>
    <mergeCell ref="DR129:ED129"/>
    <mergeCell ref="EE129:EQ129"/>
    <mergeCell ref="FC124:FN124"/>
    <mergeCell ref="BL119:BS119"/>
    <mergeCell ref="BT119:CF119"/>
    <mergeCell ref="CG119:CQ119"/>
    <mergeCell ref="CR119:DD119"/>
    <mergeCell ref="DE119:DQ119"/>
    <mergeCell ref="DR119:ED119"/>
    <mergeCell ref="EE119:EQ119"/>
    <mergeCell ref="BL118:BS118"/>
    <mergeCell ref="BT118:CF118"/>
    <mergeCell ref="DR118:ED118"/>
    <mergeCell ref="EE117:EQ117"/>
    <mergeCell ref="ER114:FB114"/>
    <mergeCell ref="ER113:FB113"/>
    <mergeCell ref="BT110:CF110"/>
    <mergeCell ref="BT127:CF127"/>
    <mergeCell ref="FC120:FN120"/>
    <mergeCell ref="FC127:FL127"/>
    <mergeCell ref="DE122:DQ122"/>
    <mergeCell ref="DR122:ED122"/>
    <mergeCell ref="BL127:BS127"/>
    <mergeCell ref="FC111:FL111"/>
    <mergeCell ref="FC114:FN114"/>
    <mergeCell ref="A87:BK87"/>
    <mergeCell ref="BT92:CF92"/>
    <mergeCell ref="CG92:CQ92"/>
    <mergeCell ref="A91:BK91"/>
    <mergeCell ref="BL87:BS87"/>
    <mergeCell ref="FC94:FN94"/>
    <mergeCell ref="A95:BK95"/>
    <mergeCell ref="BL95:BS95"/>
    <mergeCell ref="BL94:BS94"/>
    <mergeCell ref="BT94:CF94"/>
    <mergeCell ref="CG94:CQ94"/>
    <mergeCell ref="DR92:ED92"/>
    <mergeCell ref="BL92:BS92"/>
    <mergeCell ref="CR92:DD92"/>
    <mergeCell ref="DE92:DQ92"/>
    <mergeCell ref="EE91:EQ91"/>
    <mergeCell ref="ER91:FB91"/>
    <mergeCell ref="A92:BK92"/>
    <mergeCell ref="A94:BK94"/>
    <mergeCell ref="A90:BK90"/>
    <mergeCell ref="BL90:BS90"/>
    <mergeCell ref="BT90:CF90"/>
    <mergeCell ref="DE89:DQ89"/>
    <mergeCell ref="DR88:ED88"/>
    <mergeCell ref="DR95:ED95"/>
    <mergeCell ref="BT88:CF88"/>
    <mergeCell ref="FC90:FL90"/>
    <mergeCell ref="BT95:CF95"/>
    <mergeCell ref="FC87:FN87"/>
    <mergeCell ref="FC91:FL91"/>
    <mergeCell ref="BL91:BS91"/>
    <mergeCell ref="ER88:FB88"/>
    <mergeCell ref="BT163:CF163"/>
    <mergeCell ref="BL162:BS162"/>
    <mergeCell ref="BL173:BS173"/>
    <mergeCell ref="BL171:BS171"/>
    <mergeCell ref="DE163:DQ163"/>
    <mergeCell ref="A111:BK111"/>
    <mergeCell ref="CG111:CQ111"/>
    <mergeCell ref="ER117:FB117"/>
    <mergeCell ref="CG113:CQ113"/>
    <mergeCell ref="A128:BK128"/>
    <mergeCell ref="ER150:FB150"/>
    <mergeCell ref="ER144:FB144"/>
    <mergeCell ref="DR138:ED138"/>
    <mergeCell ref="EE138:EQ138"/>
    <mergeCell ref="BL151:BS151"/>
    <mergeCell ref="BT173:CF173"/>
    <mergeCell ref="DR150:ED150"/>
    <mergeCell ref="EE150:EQ150"/>
    <mergeCell ref="CR169:DD169"/>
    <mergeCell ref="CG168:CQ168"/>
    <mergeCell ref="CR168:DD168"/>
    <mergeCell ref="DR168:ED168"/>
    <mergeCell ref="DR170:ED170"/>
    <mergeCell ref="A135:BK135"/>
    <mergeCell ref="BL135:BS135"/>
    <mergeCell ref="BT134:CF134"/>
    <mergeCell ref="A123:BK123"/>
    <mergeCell ref="A124:BK124"/>
    <mergeCell ref="BL124:BS124"/>
    <mergeCell ref="BT124:CF124"/>
    <mergeCell ref="CG124:CQ124"/>
    <mergeCell ref="A100:BK100"/>
    <mergeCell ref="A102:BK102"/>
    <mergeCell ref="CR113:DD113"/>
    <mergeCell ref="DE113:DQ113"/>
    <mergeCell ref="DR113:ED113"/>
    <mergeCell ref="EE113:EQ113"/>
    <mergeCell ref="ER116:FB116"/>
    <mergeCell ref="BT113:CF113"/>
    <mergeCell ref="DR101:ED101"/>
    <mergeCell ref="EE101:EQ101"/>
    <mergeCell ref="ER101:FB101"/>
    <mergeCell ref="BL106:BS106"/>
    <mergeCell ref="BT106:CF106"/>
    <mergeCell ref="CG106:CQ106"/>
    <mergeCell ref="CR106:DD106"/>
    <mergeCell ref="DE110:DQ110"/>
    <mergeCell ref="EE194:EQ194"/>
    <mergeCell ref="A152:BK152"/>
    <mergeCell ref="A149:BK149"/>
    <mergeCell ref="EE133:EQ133"/>
    <mergeCell ref="DR130:ED130"/>
    <mergeCell ref="EE130:EQ130"/>
    <mergeCell ref="ER130:FB130"/>
    <mergeCell ref="EE136:EQ136"/>
    <mergeCell ref="CR133:DD133"/>
    <mergeCell ref="ER147:FB147"/>
    <mergeCell ref="A148:BK148"/>
    <mergeCell ref="ER179:FB179"/>
    <mergeCell ref="CR157:DD157"/>
    <mergeCell ref="DE158:DQ158"/>
    <mergeCell ref="EE144:EQ144"/>
    <mergeCell ref="DR160:ED160"/>
    <mergeCell ref="DE185:DQ185"/>
    <mergeCell ref="DE187:DQ187"/>
    <mergeCell ref="DR208:ED208"/>
    <mergeCell ref="EE208:EQ208"/>
    <mergeCell ref="DR216:ED216"/>
    <mergeCell ref="DE202:DQ202"/>
    <mergeCell ref="DE209:DQ209"/>
    <mergeCell ref="A212:BK212"/>
    <mergeCell ref="BL212:BS212"/>
    <mergeCell ref="BT212:CF212"/>
    <mergeCell ref="CG212:CQ212"/>
    <mergeCell ref="CG198:CQ198"/>
    <mergeCell ref="A194:BK194"/>
    <mergeCell ref="BL196:BS196"/>
    <mergeCell ref="BT205:CF205"/>
    <mergeCell ref="A219:BK219"/>
    <mergeCell ref="BL219:BS219"/>
    <mergeCell ref="BT208:CF208"/>
    <mergeCell ref="BT221:CF221"/>
    <mergeCell ref="CG221:CQ221"/>
    <mergeCell ref="CR221:DD221"/>
    <mergeCell ref="DE221:DQ221"/>
    <mergeCell ref="EE195:EQ195"/>
    <mergeCell ref="BL210:BS210"/>
    <mergeCell ref="A214:BK214"/>
    <mergeCell ref="BL214:BS214"/>
    <mergeCell ref="BT214:CF214"/>
    <mergeCell ref="CG214:CQ214"/>
    <mergeCell ref="A215:BK215"/>
    <mergeCell ref="BL220:BS220"/>
    <mergeCell ref="BT220:CF220"/>
    <mergeCell ref="A195:BK195"/>
    <mergeCell ref="CR194:DD195"/>
    <mergeCell ref="A186:BK186"/>
    <mergeCell ref="BL186:BS186"/>
    <mergeCell ref="BT186:CF186"/>
    <mergeCell ref="BL193:BS193"/>
    <mergeCell ref="BL181:BS181"/>
    <mergeCell ref="BL194:BS195"/>
    <mergeCell ref="A157:BK157"/>
    <mergeCell ref="BL157:BS157"/>
    <mergeCell ref="BT157:CF157"/>
    <mergeCell ref="A158:BK158"/>
    <mergeCell ref="BL158:BS158"/>
    <mergeCell ref="A162:BK162"/>
    <mergeCell ref="BT158:CF158"/>
    <mergeCell ref="CG158:CQ158"/>
    <mergeCell ref="BL172:BS172"/>
    <mergeCell ref="CR177:DD177"/>
    <mergeCell ref="A182:BK182"/>
    <mergeCell ref="A266:BK266"/>
    <mergeCell ref="BL266:BS266"/>
    <mergeCell ref="BT266:CF266"/>
    <mergeCell ref="CG266:CQ266"/>
    <mergeCell ref="CR266:DD266"/>
    <mergeCell ref="CR259:DD259"/>
    <mergeCell ref="A203:BK203"/>
    <mergeCell ref="BL203:BS203"/>
    <mergeCell ref="A205:BK205"/>
    <mergeCell ref="BL205:BS205"/>
    <mergeCell ref="A206:BK206"/>
    <mergeCell ref="BL206:BS206"/>
    <mergeCell ref="BT206:CF206"/>
    <mergeCell ref="CG206:CQ206"/>
    <mergeCell ref="A221:BK221"/>
    <mergeCell ref="BL221:BS221"/>
    <mergeCell ref="A261:BK261"/>
    <mergeCell ref="A251:BK251"/>
    <mergeCell ref="A208:BK208"/>
    <mergeCell ref="EE425:EQ425"/>
    <mergeCell ref="CR425:DD425"/>
    <mergeCell ref="DE425:DQ425"/>
    <mergeCell ref="EE374:EQ374"/>
    <mergeCell ref="BL425:BS425"/>
    <mergeCell ref="BT425:CF425"/>
    <mergeCell ref="CG425:CQ425"/>
    <mergeCell ref="DR425:ED425"/>
    <mergeCell ref="CR382:DD382"/>
    <mergeCell ref="BL378:BS378"/>
    <mergeCell ref="BT378:CF378"/>
    <mergeCell ref="CG378:CQ378"/>
    <mergeCell ref="DR428:ED428"/>
    <mergeCell ref="EE428:EQ428"/>
    <mergeCell ref="CG375:CQ375"/>
    <mergeCell ref="DR375:ED375"/>
    <mergeCell ref="BL389:BS389"/>
    <mergeCell ref="CR409:DD409"/>
    <mergeCell ref="DE409:DQ409"/>
    <mergeCell ref="DE427:DQ427"/>
    <mergeCell ref="DR427:ED427"/>
    <mergeCell ref="CG390:CQ390"/>
    <mergeCell ref="CR426:DD426"/>
    <mergeCell ref="DE426:DQ426"/>
    <mergeCell ref="CR394:DD394"/>
    <mergeCell ref="DE394:DQ394"/>
    <mergeCell ref="DR394:ED394"/>
    <mergeCell ref="CR395:DD395"/>
    <mergeCell ref="DE395:DQ395"/>
    <mergeCell ref="DR395:ED395"/>
    <mergeCell ref="CG412:CQ412"/>
    <mergeCell ref="CR412:DD412"/>
    <mergeCell ref="ER428:FB428"/>
    <mergeCell ref="FC428:FL428"/>
    <mergeCell ref="DR426:ED426"/>
    <mergeCell ref="EE426:EQ426"/>
    <mergeCell ref="ER426:FB426"/>
    <mergeCell ref="FC426:FL426"/>
    <mergeCell ref="EE350:EQ350"/>
    <mergeCell ref="DR255:ED255"/>
    <mergeCell ref="BT202:CF202"/>
    <mergeCell ref="CG202:CQ202"/>
    <mergeCell ref="EE255:EQ255"/>
    <mergeCell ref="CR214:DD214"/>
    <mergeCell ref="DE214:DQ214"/>
    <mergeCell ref="DR214:ED214"/>
    <mergeCell ref="EE202:EQ202"/>
    <mergeCell ref="CG215:CQ215"/>
    <mergeCell ref="DR215:ED215"/>
    <mergeCell ref="CR202:DD202"/>
    <mergeCell ref="DR210:ED210"/>
    <mergeCell ref="CR271:DD271"/>
    <mergeCell ref="DE271:DQ271"/>
    <mergeCell ref="BT276:CF276"/>
    <mergeCell ref="CG276:CQ276"/>
    <mergeCell ref="CR276:DD276"/>
    <mergeCell ref="DE276:DQ276"/>
    <mergeCell ref="DR276:ED276"/>
    <mergeCell ref="DR209:ED209"/>
    <mergeCell ref="FC280:FL280"/>
    <mergeCell ref="FC274:FL274"/>
    <mergeCell ref="CG275:CQ275"/>
    <mergeCell ref="BT345:CF345"/>
    <mergeCell ref="ER275:FB275"/>
    <mergeCell ref="A242:BK242"/>
    <mergeCell ref="A272:BK272"/>
    <mergeCell ref="BL272:BS272"/>
    <mergeCell ref="A244:BK244"/>
    <mergeCell ref="DR236:ED236"/>
    <mergeCell ref="EE236:EQ236"/>
    <mergeCell ref="A255:BK255"/>
    <mergeCell ref="ER280:FB280"/>
    <mergeCell ref="A243:BK243"/>
    <mergeCell ref="BL243:BS243"/>
    <mergeCell ref="BT243:CF243"/>
    <mergeCell ref="CG243:CQ243"/>
    <mergeCell ref="CR243:DD243"/>
    <mergeCell ref="DE243:DQ243"/>
    <mergeCell ref="DR243:ED243"/>
    <mergeCell ref="BL271:BS271"/>
    <mergeCell ref="BT271:CF271"/>
    <mergeCell ref="CG271:CQ271"/>
    <mergeCell ref="A277:BK277"/>
    <mergeCell ref="A274:BK274"/>
    <mergeCell ref="CR245:DD245"/>
    <mergeCell ref="BL255:BS255"/>
    <mergeCell ref="CR253:DD253"/>
    <mergeCell ref="A254:BK254"/>
    <mergeCell ref="BL254:BS254"/>
    <mergeCell ref="DE266:DQ266"/>
    <mergeCell ref="DR266:ED266"/>
    <mergeCell ref="EE243:EQ243"/>
    <mergeCell ref="DE265:DQ265"/>
    <mergeCell ref="A276:BK276"/>
    <mergeCell ref="BL277:BS277"/>
    <mergeCell ref="BT277:CF277"/>
    <mergeCell ref="DE294:DQ294"/>
    <mergeCell ref="DR294:ED294"/>
    <mergeCell ref="EE294:EQ294"/>
    <mergeCell ref="ER294:FB294"/>
    <mergeCell ref="ER278:FB278"/>
    <mergeCell ref="DR344:ED344"/>
    <mergeCell ref="BL343:BS343"/>
    <mergeCell ref="A278:BK278"/>
    <mergeCell ref="CR345:DD345"/>
    <mergeCell ref="DE345:DQ345"/>
    <mergeCell ref="FC275:FL275"/>
    <mergeCell ref="FC374:FL374"/>
    <mergeCell ref="BT278:CF278"/>
    <mergeCell ref="CG278:CQ278"/>
    <mergeCell ref="EE282:EQ282"/>
    <mergeCell ref="BT377:CF377"/>
    <mergeCell ref="A377:BK377"/>
    <mergeCell ref="BL377:BS377"/>
    <mergeCell ref="CR375:DD375"/>
    <mergeCell ref="CG277:CQ277"/>
    <mergeCell ref="CR277:DD277"/>
    <mergeCell ref="DE277:DQ277"/>
    <mergeCell ref="DR277:ED277"/>
    <mergeCell ref="EE277:EQ277"/>
    <mergeCell ref="ER277:FB277"/>
    <mergeCell ref="FC277:FL277"/>
    <mergeCell ref="ER348:FB348"/>
    <mergeCell ref="FC347:FL347"/>
    <mergeCell ref="BT290:CF290"/>
    <mergeCell ref="CG290:CQ290"/>
    <mergeCell ref="FC350:FL350"/>
    <mergeCell ref="BL275:BS275"/>
    <mergeCell ref="BT275:CF275"/>
    <mergeCell ref="BT272:CF272"/>
    <mergeCell ref="CG272:CQ272"/>
    <mergeCell ref="BT274:CF274"/>
    <mergeCell ref="DR274:ED274"/>
    <mergeCell ref="BT232:CF232"/>
    <mergeCell ref="A271:BK271"/>
    <mergeCell ref="DE260:DQ260"/>
    <mergeCell ref="CG232:CQ232"/>
    <mergeCell ref="BT342:CF342"/>
    <mergeCell ref="EE298:EQ298"/>
    <mergeCell ref="ER298:FB298"/>
    <mergeCell ref="FC298:FL298"/>
    <mergeCell ref="A294:BK294"/>
    <mergeCell ref="CR289:DD289"/>
    <mergeCell ref="FC375:FL375"/>
    <mergeCell ref="DR287:ED287"/>
    <mergeCell ref="BL276:BS276"/>
    <mergeCell ref="EE276:EQ276"/>
    <mergeCell ref="FC276:FL276"/>
    <mergeCell ref="ER375:FB375"/>
    <mergeCell ref="A280:BK280"/>
    <mergeCell ref="BL280:BS280"/>
    <mergeCell ref="BT280:CF280"/>
    <mergeCell ref="CR280:DD280"/>
    <mergeCell ref="DE280:DQ280"/>
    <mergeCell ref="CG350:CQ350"/>
    <mergeCell ref="BL294:BS294"/>
    <mergeCell ref="BT294:CF294"/>
    <mergeCell ref="CG294:CQ294"/>
    <mergeCell ref="CR294:DD294"/>
    <mergeCell ref="FC186:FL186"/>
    <mergeCell ref="ER187:FB187"/>
    <mergeCell ref="ER210:FB210"/>
    <mergeCell ref="CR196:DD196"/>
    <mergeCell ref="A198:BK198"/>
    <mergeCell ref="BL198:BS198"/>
    <mergeCell ref="BT198:CF198"/>
    <mergeCell ref="A209:BK209"/>
    <mergeCell ref="BL209:BS209"/>
    <mergeCell ref="BT209:CF209"/>
    <mergeCell ref="A196:BK196"/>
    <mergeCell ref="BT196:CF196"/>
    <mergeCell ref="CG205:CQ205"/>
    <mergeCell ref="BL197:BS197"/>
    <mergeCell ref="A199:BK199"/>
    <mergeCell ref="BL199:BS199"/>
    <mergeCell ref="A197:BK197"/>
    <mergeCell ref="EE197:EQ197"/>
    <mergeCell ref="A201:BK201"/>
    <mergeCell ref="CR201:DD201"/>
    <mergeCell ref="EE206:EQ206"/>
    <mergeCell ref="ER200:FB200"/>
    <mergeCell ref="EE210:EQ210"/>
    <mergeCell ref="DR198:ED198"/>
    <mergeCell ref="EE198:EQ198"/>
    <mergeCell ref="DR194:ED194"/>
    <mergeCell ref="BT194:CF195"/>
    <mergeCell ref="DR206:ED206"/>
    <mergeCell ref="A204:BK204"/>
    <mergeCell ref="BL204:BS204"/>
    <mergeCell ref="BT204:CF204"/>
    <mergeCell ref="FC200:FL200"/>
    <mergeCell ref="FC189:FL189"/>
    <mergeCell ref="DR187:ED187"/>
    <mergeCell ref="EE187:EQ187"/>
    <mergeCell ref="FC181:FN181"/>
    <mergeCell ref="FC175:FN175"/>
    <mergeCell ref="FC174:FL174"/>
    <mergeCell ref="EE188:EQ188"/>
    <mergeCell ref="DR184:ED184"/>
    <mergeCell ref="FC199:FL199"/>
    <mergeCell ref="BT207:CF207"/>
    <mergeCell ref="CG207:CQ207"/>
    <mergeCell ref="CR207:DD207"/>
    <mergeCell ref="DE207:DQ207"/>
    <mergeCell ref="CR199:DD199"/>
    <mergeCell ref="DE199:DQ199"/>
    <mergeCell ref="DR199:ED199"/>
    <mergeCell ref="EE199:EQ199"/>
    <mergeCell ref="ER199:FB199"/>
    <mergeCell ref="DR207:ED207"/>
    <mergeCell ref="EE207:EQ207"/>
    <mergeCell ref="ER207:FB207"/>
    <mergeCell ref="FC204:FL204"/>
    <mergeCell ref="CR203:DD203"/>
    <mergeCell ref="CR205:DD205"/>
    <mergeCell ref="FC205:FL205"/>
    <mergeCell ref="ER202:FB202"/>
    <mergeCell ref="EE182:EQ182"/>
    <mergeCell ref="ER188:FB188"/>
    <mergeCell ref="ER186:FB186"/>
    <mergeCell ref="EE181:EQ181"/>
    <mergeCell ref="FC178:FL178"/>
    <mergeCell ref="DR183:ED183"/>
    <mergeCell ref="FC144:FN144"/>
    <mergeCell ref="FC145:FN145"/>
    <mergeCell ref="FC146:FN146"/>
    <mergeCell ref="FC147:FN147"/>
    <mergeCell ref="ER155:FB155"/>
    <mergeCell ref="FC170:FN170"/>
    <mergeCell ref="EE169:EQ169"/>
    <mergeCell ref="DR172:ED172"/>
    <mergeCell ref="ER182:FB182"/>
    <mergeCell ref="ER185:FB185"/>
    <mergeCell ref="ER197:FB197"/>
    <mergeCell ref="FC197:FL197"/>
    <mergeCell ref="ER177:FB177"/>
    <mergeCell ref="FC173:FL173"/>
    <mergeCell ref="FC177:FL177"/>
    <mergeCell ref="DR193:ED193"/>
    <mergeCell ref="EE193:EQ193"/>
    <mergeCell ref="FC183:FN183"/>
    <mergeCell ref="DR196:ED196"/>
    <mergeCell ref="EE196:EQ196"/>
    <mergeCell ref="ER196:FB196"/>
    <mergeCell ref="FC196:FL196"/>
    <mergeCell ref="ER194:FB195"/>
    <mergeCell ref="FC194:FL195"/>
    <mergeCell ref="FC193:FL193"/>
    <mergeCell ref="FC182:FN182"/>
    <mergeCell ref="EE192:EQ192"/>
    <mergeCell ref="ER192:FB192"/>
    <mergeCell ref="DR188:ED188"/>
    <mergeCell ref="ER193:FB193"/>
    <mergeCell ref="ER181:FB181"/>
    <mergeCell ref="ER174:FB174"/>
    <mergeCell ref="FC184:FN184"/>
    <mergeCell ref="EE172:EQ172"/>
    <mergeCell ref="EE184:EQ184"/>
    <mergeCell ref="ER184:FB184"/>
    <mergeCell ref="DR185:ED185"/>
    <mergeCell ref="EE185:EQ185"/>
    <mergeCell ref="DR177:ED177"/>
    <mergeCell ref="ER172:FB172"/>
    <mergeCell ref="FC149:FL149"/>
    <mergeCell ref="EE155:EQ155"/>
    <mergeCell ref="FC163:FN163"/>
    <mergeCell ref="ER170:FB170"/>
    <mergeCell ref="ER138:FB138"/>
    <mergeCell ref="FC138:FL138"/>
    <mergeCell ref="BL148:BS148"/>
    <mergeCell ref="BT148:CF148"/>
    <mergeCell ref="CG148:CQ148"/>
    <mergeCell ref="CR148:DD148"/>
    <mergeCell ref="DR153:ED153"/>
    <mergeCell ref="EE153:EQ153"/>
    <mergeCell ref="FC152:FL152"/>
    <mergeCell ref="CG150:CQ150"/>
    <mergeCell ref="CR150:DD150"/>
    <mergeCell ref="DE150:DQ150"/>
    <mergeCell ref="DE148:DQ148"/>
    <mergeCell ref="DR143:ED143"/>
    <mergeCell ref="EE160:EQ160"/>
    <mergeCell ref="EE158:EQ158"/>
    <mergeCell ref="EE157:EQ157"/>
    <mergeCell ref="EE162:EQ162"/>
    <mergeCell ref="DE169:DQ169"/>
    <mergeCell ref="FC169:FN169"/>
    <mergeCell ref="ER167:FB167"/>
    <mergeCell ref="CG172:CQ172"/>
    <mergeCell ref="CR172:DD172"/>
    <mergeCell ref="FC179:FL179"/>
    <mergeCell ref="FC168:FN168"/>
    <mergeCell ref="EE179:EQ179"/>
    <mergeCell ref="CR155:DD155"/>
    <mergeCell ref="EE148:EQ148"/>
    <mergeCell ref="FC161:FN161"/>
    <mergeCell ref="EE161:EQ161"/>
    <mergeCell ref="ER161:FB161"/>
    <mergeCell ref="FC160:FN160"/>
    <mergeCell ref="ER149:FB149"/>
    <mergeCell ref="DE149:DQ149"/>
    <mergeCell ref="ER156:FB156"/>
    <mergeCell ref="DR159:ED159"/>
    <mergeCell ref="CG152:CQ152"/>
    <mergeCell ref="DR175:ED175"/>
    <mergeCell ref="DR174:ED174"/>
    <mergeCell ref="CR173:DD173"/>
    <mergeCell ref="DR176:ED176"/>
    <mergeCell ref="CR174:DD174"/>
    <mergeCell ref="DE170:DQ170"/>
    <mergeCell ref="EE176:EQ176"/>
    <mergeCell ref="ER176:FB176"/>
    <mergeCell ref="CR163:DD163"/>
    <mergeCell ref="DR169:ED169"/>
    <mergeCell ref="DE173:DQ173"/>
    <mergeCell ref="ER160:FB160"/>
    <mergeCell ref="ER163:FB163"/>
    <mergeCell ref="FC176:FL176"/>
    <mergeCell ref="DR155:ED155"/>
    <mergeCell ref="EE180:EQ180"/>
    <mergeCell ref="CG181:CQ181"/>
    <mergeCell ref="CR181:DD181"/>
    <mergeCell ref="CR161:DD161"/>
    <mergeCell ref="DE161:DQ161"/>
    <mergeCell ref="DR161:ED161"/>
    <mergeCell ref="ER162:FB162"/>
    <mergeCell ref="CR167:DD167"/>
    <mergeCell ref="CR151:DD151"/>
    <mergeCell ref="CR171:DD171"/>
    <mergeCell ref="EE170:EQ170"/>
    <mergeCell ref="DE174:DQ174"/>
    <mergeCell ref="EE168:EQ168"/>
    <mergeCell ref="DR162:ED162"/>
    <mergeCell ref="DR167:ED167"/>
    <mergeCell ref="EE167:EQ167"/>
    <mergeCell ref="DR163:ED163"/>
    <mergeCell ref="EE163:EQ163"/>
    <mergeCell ref="ER169:FB169"/>
    <mergeCell ref="EE174:EQ174"/>
    <mergeCell ref="EE171:EQ171"/>
    <mergeCell ref="ER171:FB171"/>
    <mergeCell ref="DR171:ED171"/>
    <mergeCell ref="DE157:DQ157"/>
    <mergeCell ref="DR157:ED157"/>
    <mergeCell ref="CR152:DD152"/>
    <mergeCell ref="DE152:DQ152"/>
    <mergeCell ref="DR152:ED152"/>
    <mergeCell ref="DE167:DQ167"/>
    <mergeCell ref="DE168:DQ168"/>
    <mergeCell ref="CG157:CQ157"/>
    <mergeCell ref="ER168:FB168"/>
    <mergeCell ref="BL136:BS136"/>
    <mergeCell ref="BT136:CF136"/>
    <mergeCell ref="BL142:BS142"/>
    <mergeCell ref="CG134:CQ134"/>
    <mergeCell ref="ER140:FB140"/>
    <mergeCell ref="ER141:FB141"/>
    <mergeCell ref="ER142:FB142"/>
    <mergeCell ref="ER143:FB143"/>
    <mergeCell ref="A147:BK147"/>
    <mergeCell ref="BL147:BS147"/>
    <mergeCell ref="BT147:CF147"/>
    <mergeCell ref="A146:BK146"/>
    <mergeCell ref="BL146:BS146"/>
    <mergeCell ref="BT146:CF146"/>
    <mergeCell ref="EE147:EQ147"/>
    <mergeCell ref="A145:BK145"/>
    <mergeCell ref="ER136:FB136"/>
    <mergeCell ref="A139:BK139"/>
    <mergeCell ref="BL139:BS139"/>
    <mergeCell ref="BT139:CF139"/>
    <mergeCell ref="CG139:CQ139"/>
    <mergeCell ref="CR139:DD139"/>
    <mergeCell ref="DR136:ED136"/>
    <mergeCell ref="DR134:ED134"/>
    <mergeCell ref="DE134:DQ134"/>
    <mergeCell ref="CG147:CQ147"/>
    <mergeCell ref="ER145:FB145"/>
    <mergeCell ref="ER133:FB133"/>
    <mergeCell ref="A137:BK137"/>
    <mergeCell ref="BL137:BS137"/>
    <mergeCell ref="CG137:CQ137"/>
    <mergeCell ref="A138:BK138"/>
    <mergeCell ref="DE139:DQ139"/>
    <mergeCell ref="DR139:ED139"/>
    <mergeCell ref="EE139:EQ139"/>
    <mergeCell ref="CR149:DD149"/>
    <mergeCell ref="BT132:CF132"/>
    <mergeCell ref="CG132:CQ132"/>
    <mergeCell ref="CR132:DD132"/>
    <mergeCell ref="DE132:DQ132"/>
    <mergeCell ref="ER137:FB137"/>
    <mergeCell ref="DR137:ED137"/>
    <mergeCell ref="BL145:BS145"/>
    <mergeCell ref="DR145:ED145"/>
    <mergeCell ref="EE143:EQ143"/>
    <mergeCell ref="ER146:FB146"/>
    <mergeCell ref="CR147:DD147"/>
    <mergeCell ref="DE147:DQ147"/>
    <mergeCell ref="DR147:ED147"/>
    <mergeCell ref="EE141:EQ141"/>
    <mergeCell ref="EE137:EQ137"/>
    <mergeCell ref="BL138:BS138"/>
    <mergeCell ref="BT137:CF137"/>
    <mergeCell ref="CG142:CQ142"/>
    <mergeCell ref="CR142:DD142"/>
    <mergeCell ref="DE142:DQ142"/>
    <mergeCell ref="CR141:DD141"/>
    <mergeCell ref="ER148:FB148"/>
    <mergeCell ref="EE149:EQ149"/>
    <mergeCell ref="A129:BK129"/>
    <mergeCell ref="A133:BK133"/>
    <mergeCell ref="A134:BK134"/>
    <mergeCell ref="BL134:BS134"/>
    <mergeCell ref="A150:BK150"/>
    <mergeCell ref="BL150:BS150"/>
    <mergeCell ref="BT150:CF150"/>
    <mergeCell ref="DR133:ED133"/>
    <mergeCell ref="BL133:BS133"/>
    <mergeCell ref="BT133:CF133"/>
    <mergeCell ref="DE133:DQ133"/>
    <mergeCell ref="DE128:DQ128"/>
    <mergeCell ref="DE127:DQ127"/>
    <mergeCell ref="DR135:ED135"/>
    <mergeCell ref="DR149:ED149"/>
    <mergeCell ref="DR140:ED140"/>
    <mergeCell ref="DR141:ED141"/>
    <mergeCell ref="BT144:CF144"/>
    <mergeCell ref="CR136:DD136"/>
    <mergeCell ref="DE136:DQ136"/>
    <mergeCell ref="A136:BK136"/>
    <mergeCell ref="BT135:CF135"/>
    <mergeCell ref="BL129:BS129"/>
    <mergeCell ref="BL130:BS130"/>
    <mergeCell ref="A132:BK132"/>
    <mergeCell ref="BL132:BS132"/>
    <mergeCell ref="CG136:CQ136"/>
    <mergeCell ref="CG144:CQ144"/>
    <mergeCell ref="BT141:CF141"/>
    <mergeCell ref="BT138:CF138"/>
    <mergeCell ref="CG138:CQ138"/>
    <mergeCell ref="CR138:DD138"/>
    <mergeCell ref="BT115:CF115"/>
    <mergeCell ref="CG115:CQ115"/>
    <mergeCell ref="CR115:DD115"/>
    <mergeCell ref="FC116:FN116"/>
    <mergeCell ref="A122:BK122"/>
    <mergeCell ref="BL122:BS122"/>
    <mergeCell ref="BT122:CF122"/>
    <mergeCell ref="A121:BK121"/>
    <mergeCell ref="BL121:BS121"/>
    <mergeCell ref="BT121:CF121"/>
    <mergeCell ref="CG121:CQ121"/>
    <mergeCell ref="CR121:DD121"/>
    <mergeCell ref="DE121:DQ121"/>
    <mergeCell ref="DR121:ED121"/>
    <mergeCell ref="EE121:EQ121"/>
    <mergeCell ref="ER121:FB121"/>
    <mergeCell ref="A120:BK120"/>
    <mergeCell ref="BL120:BS120"/>
    <mergeCell ref="BT120:CF120"/>
    <mergeCell ref="CG120:CQ120"/>
    <mergeCell ref="CR120:DD120"/>
    <mergeCell ref="DE120:DQ120"/>
    <mergeCell ref="DR120:ED120"/>
    <mergeCell ref="EE120:EQ120"/>
    <mergeCell ref="ER120:FB120"/>
    <mergeCell ref="BL109:BS109"/>
    <mergeCell ref="A106:BK106"/>
    <mergeCell ref="A118:BK118"/>
    <mergeCell ref="A117:BK117"/>
    <mergeCell ref="BL117:BS117"/>
    <mergeCell ref="BT117:CF117"/>
    <mergeCell ref="CG117:CQ117"/>
    <mergeCell ref="CR117:DD117"/>
    <mergeCell ref="DE117:DQ117"/>
    <mergeCell ref="A107:BK107"/>
    <mergeCell ref="BL107:BS107"/>
    <mergeCell ref="CG108:CQ108"/>
    <mergeCell ref="CR108:DD108"/>
    <mergeCell ref="DE108:DQ108"/>
    <mergeCell ref="DR108:ED108"/>
    <mergeCell ref="CR109:DD109"/>
    <mergeCell ref="CG118:CQ118"/>
    <mergeCell ref="A114:BK114"/>
    <mergeCell ref="BL114:BS114"/>
    <mergeCell ref="CG114:CQ114"/>
    <mergeCell ref="CR114:DD114"/>
    <mergeCell ref="DE114:DQ114"/>
    <mergeCell ref="DR114:ED114"/>
    <mergeCell ref="A116:BK116"/>
    <mergeCell ref="BL116:BS116"/>
    <mergeCell ref="BT116:CF116"/>
    <mergeCell ref="CG116:CQ116"/>
    <mergeCell ref="CR116:DD116"/>
    <mergeCell ref="DE116:DQ116"/>
    <mergeCell ref="DR116:ED116"/>
    <mergeCell ref="A115:BK115"/>
    <mergeCell ref="BL115:BS115"/>
    <mergeCell ref="A98:BK98"/>
    <mergeCell ref="BL98:BS98"/>
    <mergeCell ref="BT98:CF98"/>
    <mergeCell ref="CG98:CQ98"/>
    <mergeCell ref="ER152:FB152"/>
    <mergeCell ref="BT97:CF97"/>
    <mergeCell ref="CG127:CQ127"/>
    <mergeCell ref="CR127:DD127"/>
    <mergeCell ref="EE99:EQ99"/>
    <mergeCell ref="ER99:FB99"/>
    <mergeCell ref="ER112:FB112"/>
    <mergeCell ref="ER111:FB111"/>
    <mergeCell ref="BL111:BS111"/>
    <mergeCell ref="BT111:CF111"/>
    <mergeCell ref="EE127:EQ127"/>
    <mergeCell ref="EE112:EQ112"/>
    <mergeCell ref="CG122:CQ122"/>
    <mergeCell ref="CR122:DD122"/>
    <mergeCell ref="A113:BK113"/>
    <mergeCell ref="A112:BK112"/>
    <mergeCell ref="A105:BK105"/>
    <mergeCell ref="BL123:BS123"/>
    <mergeCell ref="BT123:CF123"/>
    <mergeCell ref="A110:BK110"/>
    <mergeCell ref="BL110:BS110"/>
    <mergeCell ref="BL113:BS113"/>
    <mergeCell ref="A119:BK119"/>
    <mergeCell ref="DR105:ED105"/>
    <mergeCell ref="BL105:BS105"/>
    <mergeCell ref="BT105:CF105"/>
    <mergeCell ref="DR117:ED117"/>
    <mergeCell ref="BT109:CF109"/>
    <mergeCell ref="BT87:CF87"/>
    <mergeCell ref="FC88:FL88"/>
    <mergeCell ref="ER95:FB95"/>
    <mergeCell ref="CR98:DD98"/>
    <mergeCell ref="DE98:DQ98"/>
    <mergeCell ref="DR98:ED98"/>
    <mergeCell ref="ER98:FB98"/>
    <mergeCell ref="FC126:FL126"/>
    <mergeCell ref="DE115:DQ115"/>
    <mergeCell ref="DR115:ED115"/>
    <mergeCell ref="EE115:EQ115"/>
    <mergeCell ref="CG125:CQ125"/>
    <mergeCell ref="EE87:EQ87"/>
    <mergeCell ref="EE123:EQ123"/>
    <mergeCell ref="CR126:DD126"/>
    <mergeCell ref="DE126:DQ126"/>
    <mergeCell ref="BT96:CF96"/>
    <mergeCell ref="EE110:EQ110"/>
    <mergeCell ref="ER110:FB110"/>
    <mergeCell ref="BT107:CF107"/>
    <mergeCell ref="DR93:ED93"/>
    <mergeCell ref="CR94:DD94"/>
    <mergeCell ref="DR94:ED94"/>
    <mergeCell ref="CG91:CQ91"/>
    <mergeCell ref="CR102:DD102"/>
    <mergeCell ref="DE102:DQ102"/>
    <mergeCell ref="BT102:CF102"/>
    <mergeCell ref="FC118:FL118"/>
    <mergeCell ref="FC125:FL125"/>
    <mergeCell ref="FC117:FN117"/>
    <mergeCell ref="FC97:FN97"/>
    <mergeCell ref="FC121:FN121"/>
    <mergeCell ref="A101:BK101"/>
    <mergeCell ref="BL101:BS101"/>
    <mergeCell ref="BT101:CF101"/>
    <mergeCell ref="CG90:CQ90"/>
    <mergeCell ref="CR90:DD90"/>
    <mergeCell ref="DR90:ED90"/>
    <mergeCell ref="FC96:FN96"/>
    <mergeCell ref="CG95:CQ95"/>
    <mergeCell ref="A96:BK96"/>
    <mergeCell ref="ER94:FB94"/>
    <mergeCell ref="CG89:CQ89"/>
    <mergeCell ref="CR101:DD101"/>
    <mergeCell ref="DE101:DQ101"/>
    <mergeCell ref="CG102:CQ102"/>
    <mergeCell ref="EE90:EQ90"/>
    <mergeCell ref="EE94:EQ94"/>
    <mergeCell ref="EE109:EQ109"/>
    <mergeCell ref="FC93:FL93"/>
    <mergeCell ref="FC92:FL92"/>
    <mergeCell ref="EE107:EQ107"/>
    <mergeCell ref="CG109:CQ109"/>
    <mergeCell ref="CR95:DD95"/>
    <mergeCell ref="DE95:DQ95"/>
    <mergeCell ref="CR91:DD91"/>
    <mergeCell ref="DE91:DQ91"/>
    <mergeCell ref="EE89:EQ89"/>
    <mergeCell ref="DE90:DQ90"/>
    <mergeCell ref="EE102:EQ102"/>
    <mergeCell ref="ER92:FB92"/>
    <mergeCell ref="ER96:FB96"/>
    <mergeCell ref="CR89:DD89"/>
    <mergeCell ref="BL102:BS102"/>
    <mergeCell ref="A85:BK85"/>
    <mergeCell ref="BL85:BS85"/>
    <mergeCell ref="BT85:CF85"/>
    <mergeCell ref="CG85:CQ85"/>
    <mergeCell ref="CR85:DD85"/>
    <mergeCell ref="DE86:DQ86"/>
    <mergeCell ref="DR86:ED86"/>
    <mergeCell ref="EE86:EQ86"/>
    <mergeCell ref="ER86:FB86"/>
    <mergeCell ref="FC86:FN86"/>
    <mergeCell ref="DE83:DQ83"/>
    <mergeCell ref="DR83:ED83"/>
    <mergeCell ref="EE83:EQ83"/>
    <mergeCell ref="ER83:FB83"/>
    <mergeCell ref="FC83:FN83"/>
    <mergeCell ref="A84:BK84"/>
    <mergeCell ref="BL84:BS84"/>
    <mergeCell ref="BT84:CF84"/>
    <mergeCell ref="CG84:CQ84"/>
    <mergeCell ref="CR84:DD84"/>
    <mergeCell ref="DE85:DQ85"/>
    <mergeCell ref="DR85:ED85"/>
    <mergeCell ref="FC85:FN85"/>
    <mergeCell ref="A86:BK86"/>
    <mergeCell ref="BL86:BS86"/>
    <mergeCell ref="BT86:CF86"/>
    <mergeCell ref="CG86:CQ86"/>
    <mergeCell ref="CR86:DD86"/>
    <mergeCell ref="DE84:DQ84"/>
    <mergeCell ref="ER84:FB84"/>
    <mergeCell ref="DR84:ED84"/>
    <mergeCell ref="A81:BK81"/>
    <mergeCell ref="BL81:BS81"/>
    <mergeCell ref="BT81:CF81"/>
    <mergeCell ref="CG81:CQ81"/>
    <mergeCell ref="CR81:DD81"/>
    <mergeCell ref="DR82:ED82"/>
    <mergeCell ref="EE82:EQ82"/>
    <mergeCell ref="CR82:DD82"/>
    <mergeCell ref="DE82:DQ82"/>
    <mergeCell ref="A82:BK82"/>
    <mergeCell ref="BL82:BS82"/>
    <mergeCell ref="BT82:CF82"/>
    <mergeCell ref="FC82:FL82"/>
    <mergeCell ref="ER82:FB82"/>
    <mergeCell ref="A83:BK83"/>
    <mergeCell ref="BL83:BS83"/>
    <mergeCell ref="BT83:CF83"/>
    <mergeCell ref="CG83:CQ83"/>
    <mergeCell ref="CR83:DD83"/>
    <mergeCell ref="DE81:DQ81"/>
    <mergeCell ref="DR81:ED81"/>
    <mergeCell ref="EE81:EQ81"/>
    <mergeCell ref="ER81:FB81"/>
    <mergeCell ref="FC81:FN81"/>
    <mergeCell ref="CG82:CQ82"/>
    <mergeCell ref="CG72:CQ72"/>
    <mergeCell ref="A72:BK72"/>
    <mergeCell ref="A68:BK68"/>
    <mergeCell ref="BT72:CF72"/>
    <mergeCell ref="A79:BK79"/>
    <mergeCell ref="BL79:BS79"/>
    <mergeCell ref="BT79:CF79"/>
    <mergeCell ref="CG79:CQ79"/>
    <mergeCell ref="CR79:DD79"/>
    <mergeCell ref="FC77:FL77"/>
    <mergeCell ref="CG77:CQ77"/>
    <mergeCell ref="DR77:ED77"/>
    <mergeCell ref="EE77:EQ77"/>
    <mergeCell ref="CG78:CQ78"/>
    <mergeCell ref="CR78:DD78"/>
    <mergeCell ref="A77:BK77"/>
    <mergeCell ref="BL77:BS77"/>
    <mergeCell ref="BT77:CF77"/>
    <mergeCell ref="A78:BK78"/>
    <mergeCell ref="BL78:BS78"/>
    <mergeCell ref="BT78:CF78"/>
    <mergeCell ref="A61:BK61"/>
    <mergeCell ref="CR62:DD62"/>
    <mergeCell ref="BT62:CF62"/>
    <mergeCell ref="BL61:BS61"/>
    <mergeCell ref="BL62:BS62"/>
    <mergeCell ref="BT61:CF61"/>
    <mergeCell ref="A62:BK62"/>
    <mergeCell ref="A69:BK69"/>
    <mergeCell ref="BL69:BS69"/>
    <mergeCell ref="A66:BK66"/>
    <mergeCell ref="BL66:BS66"/>
    <mergeCell ref="BT66:CF66"/>
    <mergeCell ref="CG66:CQ66"/>
    <mergeCell ref="CR66:DD66"/>
    <mergeCell ref="DE66:DQ66"/>
    <mergeCell ref="DE72:DQ72"/>
    <mergeCell ref="EE70:EQ70"/>
    <mergeCell ref="A70:BK70"/>
    <mergeCell ref="BL70:BS70"/>
    <mergeCell ref="BT70:CF70"/>
    <mergeCell ref="CG70:CQ70"/>
    <mergeCell ref="BL71:BS71"/>
    <mergeCell ref="BT71:CF71"/>
    <mergeCell ref="CR70:DD70"/>
    <mergeCell ref="BL72:BS72"/>
    <mergeCell ref="CG68:CQ68"/>
    <mergeCell ref="CR68:DD68"/>
    <mergeCell ref="BL68:BS68"/>
    <mergeCell ref="BT68:CF68"/>
    <mergeCell ref="DE71:DQ71"/>
    <mergeCell ref="CR72:DD72"/>
    <mergeCell ref="EE68:EQ68"/>
    <mergeCell ref="FC31:FN31"/>
    <mergeCell ref="A32:BK32"/>
    <mergeCell ref="BL32:BS32"/>
    <mergeCell ref="BT32:CF32"/>
    <mergeCell ref="CG32:CQ32"/>
    <mergeCell ref="CR32:DD32"/>
    <mergeCell ref="DE32:DQ32"/>
    <mergeCell ref="DR32:ED32"/>
    <mergeCell ref="A34:BK34"/>
    <mergeCell ref="DE36:DQ36"/>
    <mergeCell ref="BL35:BS35"/>
    <mergeCell ref="BT34:CF34"/>
    <mergeCell ref="CR35:DD35"/>
    <mergeCell ref="DE35:DQ35"/>
    <mergeCell ref="CG34:CQ34"/>
    <mergeCell ref="CR34:DD34"/>
    <mergeCell ref="DE34:DQ34"/>
    <mergeCell ref="DR35:ED35"/>
    <mergeCell ref="EE35:EQ35"/>
    <mergeCell ref="A31:BK31"/>
    <mergeCell ref="BL31:BS31"/>
    <mergeCell ref="BT31:CF31"/>
    <mergeCell ref="CG31:CQ31"/>
    <mergeCell ref="DE31:DQ31"/>
    <mergeCell ref="DR31:ED31"/>
    <mergeCell ref="A36:BK36"/>
    <mergeCell ref="BL36:BS36"/>
    <mergeCell ref="BT36:CF36"/>
    <mergeCell ref="CG36:CQ36"/>
    <mergeCell ref="CR36:DD36"/>
    <mergeCell ref="FC35:FL35"/>
    <mergeCell ref="EE36:EQ36"/>
    <mergeCell ref="ER38:FB38"/>
    <mergeCell ref="FC38:FN38"/>
    <mergeCell ref="EE37:EQ37"/>
    <mergeCell ref="ER37:FB37"/>
    <mergeCell ref="FC37:FN37"/>
    <mergeCell ref="BL38:BS38"/>
    <mergeCell ref="BT38:CF38"/>
    <mergeCell ref="A38:BK38"/>
    <mergeCell ref="CG38:CQ38"/>
    <mergeCell ref="EE47:EQ47"/>
    <mergeCell ref="DR60:ED60"/>
    <mergeCell ref="EE60:EQ60"/>
    <mergeCell ref="BT63:CF63"/>
    <mergeCell ref="DR64:ED64"/>
    <mergeCell ref="EE64:EQ64"/>
    <mergeCell ref="BT56:CF56"/>
    <mergeCell ref="CG56:CQ56"/>
    <mergeCell ref="DR56:ED56"/>
    <mergeCell ref="EE56:EQ56"/>
    <mergeCell ref="DE45:DQ45"/>
    <mergeCell ref="DR46:ED46"/>
    <mergeCell ref="CR39:DD39"/>
    <mergeCell ref="BT44:CF44"/>
    <mergeCell ref="CG44:CQ44"/>
    <mergeCell ref="CR44:DD44"/>
    <mergeCell ref="BT43:CF43"/>
    <mergeCell ref="CG43:CQ43"/>
    <mergeCell ref="BT42:CF42"/>
    <mergeCell ref="BL43:BS43"/>
    <mergeCell ref="A57:BK57"/>
    <mergeCell ref="BL57:BS57"/>
    <mergeCell ref="BL63:BS63"/>
    <mergeCell ref="A64:BK64"/>
    <mergeCell ref="BL64:BS64"/>
    <mergeCell ref="BT64:CF64"/>
    <mergeCell ref="FC100:FL100"/>
    <mergeCell ref="FC102:FL102"/>
    <mergeCell ref="ER157:FB157"/>
    <mergeCell ref="FC157:FN157"/>
    <mergeCell ref="ER139:FB139"/>
    <mergeCell ref="FC139:FL139"/>
    <mergeCell ref="EE159:EQ159"/>
    <mergeCell ref="ER159:FB159"/>
    <mergeCell ref="FC159:FN159"/>
    <mergeCell ref="FC192:FL192"/>
    <mergeCell ref="ER215:FB215"/>
    <mergeCell ref="ER272:FB272"/>
    <mergeCell ref="ER204:FB204"/>
    <mergeCell ref="ER206:FB206"/>
    <mergeCell ref="FC156:FL156"/>
    <mergeCell ref="FC167:FL167"/>
    <mergeCell ref="FC180:FL180"/>
    <mergeCell ref="ER153:FB153"/>
    <mergeCell ref="ER158:FB158"/>
    <mergeCell ref="FC158:FN158"/>
    <mergeCell ref="ER175:FB175"/>
    <mergeCell ref="EE175:EQ175"/>
    <mergeCell ref="FC108:FL108"/>
    <mergeCell ref="EE108:EQ108"/>
    <mergeCell ref="ER108:FB108"/>
    <mergeCell ref="EE146:EQ146"/>
    <mergeCell ref="ER134:FB134"/>
    <mergeCell ref="A67:BK67"/>
    <mergeCell ref="BL67:BS67"/>
    <mergeCell ref="FC434:FL434"/>
    <mergeCell ref="FC435:FL435"/>
    <mergeCell ref="FC436:FL436"/>
    <mergeCell ref="FC215:FL215"/>
    <mergeCell ref="FC272:FL272"/>
    <mergeCell ref="FC345:FL345"/>
    <mergeCell ref="FC425:FL425"/>
    <mergeCell ref="FC429:FL429"/>
    <mergeCell ref="FC430:FL430"/>
    <mergeCell ref="FC431:FL431"/>
    <mergeCell ref="FC432:FL432"/>
    <mergeCell ref="FC99:FN99"/>
    <mergeCell ref="FC112:FN112"/>
    <mergeCell ref="FC130:FL130"/>
    <mergeCell ref="FC131:FL131"/>
    <mergeCell ref="FC188:FN188"/>
    <mergeCell ref="FC187:FN187"/>
    <mergeCell ref="FC185:FN185"/>
    <mergeCell ref="FC171:FN171"/>
    <mergeCell ref="FC172:FN172"/>
    <mergeCell ref="FC162:FN162"/>
    <mergeCell ref="FC155:FL155"/>
    <mergeCell ref="FC140:FL140"/>
    <mergeCell ref="FC141:FL141"/>
    <mergeCell ref="FC142:FL142"/>
    <mergeCell ref="FC143:FL143"/>
    <mergeCell ref="FC148:FL148"/>
    <mergeCell ref="FC150:FL150"/>
    <mergeCell ref="FC342:FL342"/>
    <mergeCell ref="FC101:FL101"/>
    <mergeCell ref="FC232:FL232"/>
    <mergeCell ref="FC132:FN132"/>
    <mergeCell ref="FC73:FN73"/>
    <mergeCell ref="ER44:FB44"/>
    <mergeCell ref="FC44:FN44"/>
    <mergeCell ref="ER45:FB45"/>
    <mergeCell ref="FC45:FN45"/>
    <mergeCell ref="ER47:FB47"/>
    <mergeCell ref="ER55:FB55"/>
    <mergeCell ref="FC63:FN63"/>
    <mergeCell ref="FC70:FN70"/>
    <mergeCell ref="FC62:FL62"/>
    <mergeCell ref="ER73:FB73"/>
    <mergeCell ref="ER64:FB64"/>
    <mergeCell ref="ER68:FB68"/>
    <mergeCell ref="FC50:FN50"/>
    <mergeCell ref="DR72:ED72"/>
    <mergeCell ref="ER51:FB51"/>
    <mergeCell ref="FC433:FL433"/>
    <mergeCell ref="EE93:EQ93"/>
    <mergeCell ref="DR109:ED109"/>
    <mergeCell ref="DR111:ED111"/>
    <mergeCell ref="DR97:ED97"/>
    <mergeCell ref="EE95:EQ95"/>
    <mergeCell ref="FC136:FL136"/>
    <mergeCell ref="EE152:EQ152"/>
    <mergeCell ref="FC153:FL153"/>
    <mergeCell ref="FC135:FN135"/>
    <mergeCell ref="FC134:FN134"/>
    <mergeCell ref="FC137:FL137"/>
    <mergeCell ref="FC133:FN133"/>
    <mergeCell ref="FC113:FN113"/>
    <mergeCell ref="EE114:EQ114"/>
    <mergeCell ref="FC115:FN115"/>
    <mergeCell ref="FC58:FN58"/>
    <mergeCell ref="EE50:EQ50"/>
    <mergeCell ref="ER50:FB50"/>
    <mergeCell ref="DR65:ED65"/>
    <mergeCell ref="EE65:EQ65"/>
    <mergeCell ref="EE72:EQ72"/>
    <mergeCell ref="ER71:FB71"/>
    <mergeCell ref="FC65:FN65"/>
    <mergeCell ref="ER72:FB72"/>
    <mergeCell ref="DR42:ED42"/>
    <mergeCell ref="FC69:FL69"/>
    <mergeCell ref="FC67:FN67"/>
    <mergeCell ref="FC64:FN64"/>
    <mergeCell ref="DR62:ED62"/>
    <mergeCell ref="ER48:FB48"/>
    <mergeCell ref="FC48:FN48"/>
    <mergeCell ref="EE49:EQ49"/>
    <mergeCell ref="ER49:FB49"/>
    <mergeCell ref="FC49:FN49"/>
    <mergeCell ref="ER57:FB57"/>
    <mergeCell ref="ER56:FB56"/>
    <mergeCell ref="FC54:FN54"/>
    <mergeCell ref="ER59:FB59"/>
    <mergeCell ref="FC59:FN59"/>
    <mergeCell ref="FC95:FN95"/>
    <mergeCell ref="FC52:FL52"/>
    <mergeCell ref="FC41:FN41"/>
    <mergeCell ref="ER43:FB43"/>
    <mergeCell ref="ER12:FB12"/>
    <mergeCell ref="EE39:EQ39"/>
    <mergeCell ref="EE40:EQ40"/>
    <mergeCell ref="FC76:FN76"/>
    <mergeCell ref="ER39:FB39"/>
    <mergeCell ref="FC39:FN39"/>
    <mergeCell ref="FC80:FN80"/>
    <mergeCell ref="EE62:EQ62"/>
    <mergeCell ref="FC61:FN61"/>
    <mergeCell ref="EE44:EQ44"/>
    <mergeCell ref="EE45:EQ45"/>
    <mergeCell ref="EE55:EQ55"/>
    <mergeCell ref="EE53:EQ53"/>
    <mergeCell ref="EE41:EQ41"/>
    <mergeCell ref="EE75:EQ75"/>
    <mergeCell ref="ER69:FB69"/>
    <mergeCell ref="ER74:FB74"/>
    <mergeCell ref="EE61:EQ61"/>
    <mergeCell ref="EE78:EQ78"/>
    <mergeCell ref="ER78:FB78"/>
    <mergeCell ref="ER41:FB41"/>
    <mergeCell ref="FC43:FN43"/>
    <mergeCell ref="EE46:EQ46"/>
    <mergeCell ref="ER62:FB62"/>
    <mergeCell ref="ER65:FB65"/>
    <mergeCell ref="ER66:FB66"/>
    <mergeCell ref="FC66:FN66"/>
    <mergeCell ref="FC68:FN68"/>
    <mergeCell ref="ER32:FB32"/>
    <mergeCell ref="FC19:FN19"/>
    <mergeCell ref="FC25:FL25"/>
    <mergeCell ref="ER21:FB21"/>
    <mergeCell ref="ER23:FB23"/>
    <mergeCell ref="FC119:FL119"/>
    <mergeCell ref="FC55:FN55"/>
    <mergeCell ref="FC56:FN56"/>
    <mergeCell ref="FC89:FL89"/>
    <mergeCell ref="FC109:FL109"/>
    <mergeCell ref="FC42:FL42"/>
    <mergeCell ref="ER40:FB40"/>
    <mergeCell ref="ER46:FB46"/>
    <mergeCell ref="FC46:FN46"/>
    <mergeCell ref="FC51:FN51"/>
    <mergeCell ref="FC47:FN47"/>
    <mergeCell ref="FC57:FN57"/>
    <mergeCell ref="FC74:FN74"/>
    <mergeCell ref="FC75:FN75"/>
    <mergeCell ref="FC72:FL72"/>
    <mergeCell ref="FC71:FL71"/>
    <mergeCell ref="FC79:FN79"/>
    <mergeCell ref="FC84:FN84"/>
    <mergeCell ref="ER87:FB87"/>
    <mergeCell ref="FC40:FN40"/>
    <mergeCell ref="FC60:FN60"/>
    <mergeCell ref="FC78:FN78"/>
    <mergeCell ref="ER53:FB53"/>
    <mergeCell ref="ER54:FB54"/>
    <mergeCell ref="FC103:FL103"/>
    <mergeCell ref="ER107:FB107"/>
    <mergeCell ref="FC98:FN98"/>
    <mergeCell ref="ER29:FB29"/>
    <mergeCell ref="ER30:FB30"/>
    <mergeCell ref="EE12:EQ12"/>
    <mergeCell ref="FC8:FN8"/>
    <mergeCell ref="FC9:FN9"/>
    <mergeCell ref="DR13:ED13"/>
    <mergeCell ref="EE18:EQ18"/>
    <mergeCell ref="ER24:FB24"/>
    <mergeCell ref="FC36:FN36"/>
    <mergeCell ref="FC29:FN29"/>
    <mergeCell ref="ER52:FB52"/>
    <mergeCell ref="FC53:FN53"/>
    <mergeCell ref="FC23:FN23"/>
    <mergeCell ref="EE21:EQ21"/>
    <mergeCell ref="FC26:FN26"/>
    <mergeCell ref="EE20:EQ20"/>
    <mergeCell ref="EE26:EQ26"/>
    <mergeCell ref="EE22:EQ22"/>
    <mergeCell ref="EE17:EQ17"/>
    <mergeCell ref="ER18:FB18"/>
    <mergeCell ref="ER19:FB19"/>
    <mergeCell ref="ER20:FB20"/>
    <mergeCell ref="ER31:FB31"/>
    <mergeCell ref="EE19:EQ19"/>
    <mergeCell ref="FC30:FN30"/>
    <mergeCell ref="FC20:FN20"/>
    <mergeCell ref="ER28:FB28"/>
    <mergeCell ref="FC28:FN28"/>
    <mergeCell ref="FC34:FL34"/>
    <mergeCell ref="FC33:FL33"/>
    <mergeCell ref="FC22:FN22"/>
    <mergeCell ref="FC32:FL32"/>
    <mergeCell ref="FC16:FN16"/>
    <mergeCell ref="FC27:FL27"/>
    <mergeCell ref="ER10:FB10"/>
    <mergeCell ref="FC13:FM13"/>
    <mergeCell ref="DE21:DQ21"/>
    <mergeCell ref="ER22:FB22"/>
    <mergeCell ref="FC4:FN5"/>
    <mergeCell ref="FC6:FN6"/>
    <mergeCell ref="FC7:FN7"/>
    <mergeCell ref="FC11:FM11"/>
    <mergeCell ref="FC12:FM12"/>
    <mergeCell ref="FC14:FM14"/>
    <mergeCell ref="FC15:FM15"/>
    <mergeCell ref="FC21:FN21"/>
    <mergeCell ref="DE22:DQ22"/>
    <mergeCell ref="EE24:EQ24"/>
    <mergeCell ref="DR23:ED23"/>
    <mergeCell ref="EE23:EQ23"/>
    <mergeCell ref="EE14:EQ14"/>
    <mergeCell ref="ER4:EW4"/>
    <mergeCell ref="EX4:EZ4"/>
    <mergeCell ref="FC24:FN24"/>
    <mergeCell ref="ER26:FB26"/>
    <mergeCell ref="EE25:EQ25"/>
    <mergeCell ref="ER17:FB17"/>
    <mergeCell ref="ER6:FB6"/>
    <mergeCell ref="DR6:ED6"/>
    <mergeCell ref="EE6:EQ6"/>
    <mergeCell ref="EE5:EQ5"/>
    <mergeCell ref="DR5:ED5"/>
    <mergeCell ref="DR4:DW4"/>
    <mergeCell ref="EA4:ED4"/>
    <mergeCell ref="BT3:CF5"/>
    <mergeCell ref="A8:BK8"/>
    <mergeCell ref="BL8:BS8"/>
    <mergeCell ref="A6:BK6"/>
    <mergeCell ref="BL6:BS6"/>
    <mergeCell ref="BT6:CF6"/>
    <mergeCell ref="BT8:CF8"/>
    <mergeCell ref="CG8:CQ8"/>
    <mergeCell ref="CR3:FL3"/>
    <mergeCell ref="DR14:ED14"/>
    <mergeCell ref="CR8:DD8"/>
    <mergeCell ref="EE13:EQ13"/>
    <mergeCell ref="ER13:FB13"/>
    <mergeCell ref="FC10:FN10"/>
    <mergeCell ref="ER8:FB8"/>
    <mergeCell ref="ER9:FB9"/>
    <mergeCell ref="BL18:BS18"/>
    <mergeCell ref="ER14:FB14"/>
    <mergeCell ref="ER16:FB16"/>
    <mergeCell ref="EE11:EQ11"/>
    <mergeCell ref="CR16:DD16"/>
    <mergeCell ref="CR14:DD14"/>
    <mergeCell ref="DE14:DQ14"/>
    <mergeCell ref="CR15:DD15"/>
    <mergeCell ref="DE15:DQ15"/>
    <mergeCell ref="EE9:EQ9"/>
    <mergeCell ref="EE16:EQ16"/>
    <mergeCell ref="EE15:EQ15"/>
    <mergeCell ref="DE10:DQ10"/>
    <mergeCell ref="DE13:DQ13"/>
    <mergeCell ref="FC17:FN17"/>
    <mergeCell ref="FC18:FN18"/>
    <mergeCell ref="CG64:CQ64"/>
    <mergeCell ref="CR64:DD64"/>
    <mergeCell ref="DE64:DQ64"/>
    <mergeCell ref="CG45:CQ45"/>
    <mergeCell ref="CR28:DD28"/>
    <mergeCell ref="CG42:CQ42"/>
    <mergeCell ref="DR30:ED30"/>
    <mergeCell ref="BT24:CF24"/>
    <mergeCell ref="CR22:DD22"/>
    <mergeCell ref="DR22:ED22"/>
    <mergeCell ref="BT25:CF25"/>
    <mergeCell ref="CG22:CQ22"/>
    <mergeCell ref="DE23:DQ23"/>
    <mergeCell ref="DR54:ED54"/>
    <mergeCell ref="DR44:ED44"/>
    <mergeCell ref="DR45:ED45"/>
    <mergeCell ref="DR38:ED38"/>
    <mergeCell ref="BT57:CF57"/>
    <mergeCell ref="CG57:CQ57"/>
    <mergeCell ref="CR57:DD57"/>
    <mergeCell ref="DE57:DQ57"/>
    <mergeCell ref="BT53:CF53"/>
    <mergeCell ref="BT47:CF47"/>
    <mergeCell ref="DR47:ED47"/>
    <mergeCell ref="DR53:ED53"/>
    <mergeCell ref="BT40:CF40"/>
    <mergeCell ref="DE39:DQ39"/>
    <mergeCell ref="CG61:CQ61"/>
    <mergeCell ref="BL11:BS11"/>
    <mergeCell ref="DR18:ED18"/>
    <mergeCell ref="A22:BK22"/>
    <mergeCell ref="DE28:DQ28"/>
    <mergeCell ref="CR17:DD17"/>
    <mergeCell ref="BL24:BS24"/>
    <mergeCell ref="BL25:BS25"/>
    <mergeCell ref="CR11:DD11"/>
    <mergeCell ref="DE11:DQ11"/>
    <mergeCell ref="CR12:DD12"/>
    <mergeCell ref="DE12:DQ12"/>
    <mergeCell ref="A29:BK29"/>
    <mergeCell ref="BL29:BS29"/>
    <mergeCell ref="BT29:CF29"/>
    <mergeCell ref="CG29:CQ29"/>
    <mergeCell ref="A27:BK27"/>
    <mergeCell ref="BT55:CF55"/>
    <mergeCell ref="DR20:ED20"/>
    <mergeCell ref="DE20:DQ20"/>
    <mergeCell ref="CR45:DD45"/>
    <mergeCell ref="CG28:CQ28"/>
    <mergeCell ref="BL26:BS26"/>
    <mergeCell ref="BT26:CF26"/>
    <mergeCell ref="CG26:CQ26"/>
    <mergeCell ref="BL22:BS22"/>
    <mergeCell ref="CG18:CQ18"/>
    <mergeCell ref="BT21:CF21"/>
    <mergeCell ref="CG21:CQ21"/>
    <mergeCell ref="BT22:CF22"/>
    <mergeCell ref="CR25:DD25"/>
    <mergeCell ref="CR27:DD27"/>
    <mergeCell ref="BL20:BS20"/>
    <mergeCell ref="DR21:ED21"/>
    <mergeCell ref="DE24:DQ24"/>
    <mergeCell ref="CR26:DD26"/>
    <mergeCell ref="DR25:ED25"/>
    <mergeCell ref="A14:BK14"/>
    <mergeCell ref="BT19:CF19"/>
    <mergeCell ref="CR18:DD18"/>
    <mergeCell ref="DE18:DQ18"/>
    <mergeCell ref="BL14:BS14"/>
    <mergeCell ref="BT14:CF14"/>
    <mergeCell ref="CG14:CQ14"/>
    <mergeCell ref="DE17:DQ17"/>
    <mergeCell ref="DR24:ED24"/>
    <mergeCell ref="A16:BK16"/>
    <mergeCell ref="BL16:BS16"/>
    <mergeCell ref="DE16:DQ16"/>
    <mergeCell ref="A24:BK24"/>
    <mergeCell ref="EE66:EQ66"/>
    <mergeCell ref="EE51:EQ51"/>
    <mergeCell ref="EE74:EQ74"/>
    <mergeCell ref="EE43:EQ43"/>
    <mergeCell ref="EE67:EQ67"/>
    <mergeCell ref="EE69:EQ69"/>
    <mergeCell ref="EE73:EQ73"/>
    <mergeCell ref="EE30:EQ30"/>
    <mergeCell ref="EE71:EQ71"/>
    <mergeCell ref="EE33:EQ33"/>
    <mergeCell ref="EE34:EQ34"/>
    <mergeCell ref="EE57:EQ57"/>
    <mergeCell ref="EE63:EQ63"/>
    <mergeCell ref="EE31:EQ31"/>
    <mergeCell ref="EE32:EQ32"/>
    <mergeCell ref="DR52:ED52"/>
    <mergeCell ref="CR41:DD41"/>
    <mergeCell ref="DE41:DQ41"/>
    <mergeCell ref="DE55:DQ55"/>
    <mergeCell ref="CR53:DD53"/>
    <mergeCell ref="DE38:DQ38"/>
    <mergeCell ref="EE42:EQ42"/>
    <mergeCell ref="EE38:EQ38"/>
    <mergeCell ref="DE42:DQ42"/>
    <mergeCell ref="DR39:ED39"/>
    <mergeCell ref="DR43:ED43"/>
    <mergeCell ref="CR42:DD42"/>
    <mergeCell ref="CR43:DD43"/>
    <mergeCell ref="CR37:DD37"/>
    <mergeCell ref="DR49:ED49"/>
    <mergeCell ref="BT10:CF10"/>
    <mergeCell ref="BT20:CF20"/>
    <mergeCell ref="BT11:CF11"/>
    <mergeCell ref="BT16:CF16"/>
    <mergeCell ref="CG16:CQ16"/>
    <mergeCell ref="CG20:CQ20"/>
    <mergeCell ref="EE29:EQ29"/>
    <mergeCell ref="EE28:EQ28"/>
    <mergeCell ref="EE52:EQ52"/>
    <mergeCell ref="EE54:EQ54"/>
    <mergeCell ref="CR10:DD10"/>
    <mergeCell ref="DE26:DQ26"/>
    <mergeCell ref="CR23:DD23"/>
    <mergeCell ref="DR27:ED27"/>
    <mergeCell ref="BT23:CF23"/>
    <mergeCell ref="DR12:ED12"/>
    <mergeCell ref="BT12:CF12"/>
    <mergeCell ref="ER125:FB125"/>
    <mergeCell ref="ER118:FB118"/>
    <mergeCell ref="EE125:EQ125"/>
    <mergeCell ref="EE92:EQ92"/>
    <mergeCell ref="EE80:EQ80"/>
    <mergeCell ref="ER119:FB119"/>
    <mergeCell ref="EE116:EQ116"/>
    <mergeCell ref="ER115:FB115"/>
    <mergeCell ref="ER128:FB128"/>
    <mergeCell ref="CR29:DD29"/>
    <mergeCell ref="DE29:DQ29"/>
    <mergeCell ref="DR29:ED29"/>
    <mergeCell ref="DR66:ED66"/>
    <mergeCell ref="DR51:ED51"/>
    <mergeCell ref="DR55:ED55"/>
    <mergeCell ref="CR65:DD65"/>
    <mergeCell ref="DE43:DQ43"/>
    <mergeCell ref="DR70:ED70"/>
    <mergeCell ref="DE61:DQ61"/>
    <mergeCell ref="DE62:DQ62"/>
    <mergeCell ref="DE69:DQ69"/>
    <mergeCell ref="DR36:ED36"/>
    <mergeCell ref="DE40:DQ40"/>
    <mergeCell ref="DE37:DQ37"/>
    <mergeCell ref="DR37:ED37"/>
    <mergeCell ref="CR31:DD31"/>
    <mergeCell ref="DR61:ED61"/>
    <mergeCell ref="DR57:ED57"/>
    <mergeCell ref="DR63:ED63"/>
    <mergeCell ref="CR33:DD33"/>
    <mergeCell ref="DE65:DQ65"/>
    <mergeCell ref="CR56:DD56"/>
    <mergeCell ref="EE103:EQ103"/>
    <mergeCell ref="EE85:EQ85"/>
    <mergeCell ref="ER85:FB85"/>
    <mergeCell ref="EE79:EQ79"/>
    <mergeCell ref="ER89:FB89"/>
    <mergeCell ref="ER100:FB100"/>
    <mergeCell ref="ER76:FB76"/>
    <mergeCell ref="ER80:FB80"/>
    <mergeCell ref="EE105:EQ105"/>
    <mergeCell ref="ER105:FB105"/>
    <mergeCell ref="ER123:FB123"/>
    <mergeCell ref="ER79:FB79"/>
    <mergeCell ref="ER77:FB77"/>
    <mergeCell ref="EE76:EQ76"/>
    <mergeCell ref="EE97:EQ97"/>
    <mergeCell ref="EE98:EQ98"/>
    <mergeCell ref="ER124:FB124"/>
    <mergeCell ref="ER97:FB97"/>
    <mergeCell ref="ER7:FB7"/>
    <mergeCell ref="ER11:FB11"/>
    <mergeCell ref="ER15:FB15"/>
    <mergeCell ref="CG10:CQ10"/>
    <mergeCell ref="DR10:ED10"/>
    <mergeCell ref="CG51:CQ51"/>
    <mergeCell ref="CG24:CQ24"/>
    <mergeCell ref="CG25:CQ25"/>
    <mergeCell ref="CG23:CQ23"/>
    <mergeCell ref="EE10:EQ10"/>
    <mergeCell ref="CG105:CQ105"/>
    <mergeCell ref="DR7:ED7"/>
    <mergeCell ref="EE7:EQ7"/>
    <mergeCell ref="DR8:ED8"/>
    <mergeCell ref="EE8:EQ8"/>
    <mergeCell ref="ER93:FB93"/>
    <mergeCell ref="ER102:FB102"/>
    <mergeCell ref="ER42:FB42"/>
    <mergeCell ref="ER58:FB58"/>
    <mergeCell ref="CR13:DD13"/>
    <mergeCell ref="ER36:FB36"/>
    <mergeCell ref="ER35:FB35"/>
    <mergeCell ref="ER33:FB33"/>
    <mergeCell ref="CG75:CQ75"/>
    <mergeCell ref="CR50:DD50"/>
    <mergeCell ref="DE50:DQ50"/>
    <mergeCell ref="DR50:ED50"/>
    <mergeCell ref="DR91:ED91"/>
    <mergeCell ref="CR55:DD55"/>
    <mergeCell ref="CG73:CQ73"/>
    <mergeCell ref="ER103:FB103"/>
    <mergeCell ref="ER75:FB75"/>
    <mergeCell ref="ER433:FB433"/>
    <mergeCell ref="EE27:EQ27"/>
    <mergeCell ref="CG27:CQ27"/>
    <mergeCell ref="EE58:EQ58"/>
    <mergeCell ref="CG58:CQ58"/>
    <mergeCell ref="ER435:FB435"/>
    <mergeCell ref="ER436:FB436"/>
    <mergeCell ref="ER25:FB25"/>
    <mergeCell ref="ER27:FB27"/>
    <mergeCell ref="ER63:FB63"/>
    <mergeCell ref="ER109:FB109"/>
    <mergeCell ref="ER34:FB34"/>
    <mergeCell ref="CG53:CQ53"/>
    <mergeCell ref="ER434:FB434"/>
    <mergeCell ref="ER429:FB429"/>
    <mergeCell ref="ER430:FB430"/>
    <mergeCell ref="ER431:FB431"/>
    <mergeCell ref="ER432:FB432"/>
    <mergeCell ref="CR198:DD198"/>
    <mergeCell ref="DE198:DQ198"/>
    <mergeCell ref="CG209:CQ209"/>
    <mergeCell ref="CR209:DD209"/>
    <mergeCell ref="DE178:DQ178"/>
    <mergeCell ref="CG196:CQ196"/>
    <mergeCell ref="ER135:FB135"/>
    <mergeCell ref="ER60:FB60"/>
    <mergeCell ref="ER61:FB61"/>
    <mergeCell ref="ER67:FB67"/>
    <mergeCell ref="ER70:FB70"/>
    <mergeCell ref="DE30:DQ30"/>
    <mergeCell ref="ER131:FB131"/>
    <mergeCell ref="EE122:EQ122"/>
    <mergeCell ref="CR67:DD67"/>
    <mergeCell ref="DE67:DQ67"/>
    <mergeCell ref="A75:BK75"/>
    <mergeCell ref="BL75:BS75"/>
    <mergeCell ref="BT75:CF75"/>
    <mergeCell ref="ER203:FB203"/>
    <mergeCell ref="DE111:DQ111"/>
    <mergeCell ref="DE94:DQ94"/>
    <mergeCell ref="DR156:ED156"/>
    <mergeCell ref="EE156:EQ156"/>
    <mergeCell ref="CR71:DD71"/>
    <mergeCell ref="CG153:CQ153"/>
    <mergeCell ref="EE84:EQ84"/>
    <mergeCell ref="DE93:DQ93"/>
    <mergeCell ref="CG87:CQ87"/>
    <mergeCell ref="CR87:DD87"/>
    <mergeCell ref="DE87:DQ87"/>
    <mergeCell ref="DR87:ED87"/>
    <mergeCell ref="CR88:DD88"/>
    <mergeCell ref="DE88:DQ88"/>
    <mergeCell ref="CG99:CQ99"/>
    <mergeCell ref="CR99:DD99"/>
    <mergeCell ref="DE78:DQ78"/>
    <mergeCell ref="CR153:DD153"/>
    <mergeCell ref="DE153:DQ153"/>
    <mergeCell ref="DE196:DQ196"/>
    <mergeCell ref="DE77:DQ77"/>
    <mergeCell ref="ER127:FB127"/>
    <mergeCell ref="ER90:FB90"/>
    <mergeCell ref="ER122:FB122"/>
    <mergeCell ref="ER126:FB126"/>
    <mergeCell ref="ER129:FB129"/>
    <mergeCell ref="BL47:BS47"/>
    <mergeCell ref="DE44:DQ44"/>
    <mergeCell ref="CG46:CQ46"/>
    <mergeCell ref="A52:BK52"/>
    <mergeCell ref="CR46:DD46"/>
    <mergeCell ref="BL45:BS45"/>
    <mergeCell ref="BL44:BS44"/>
    <mergeCell ref="CR51:DD51"/>
    <mergeCell ref="A49:BK49"/>
    <mergeCell ref="BL49:BS49"/>
    <mergeCell ref="BT49:CF49"/>
    <mergeCell ref="CG49:CQ49"/>
    <mergeCell ref="CR49:DD49"/>
    <mergeCell ref="DE49:DQ49"/>
    <mergeCell ref="CR76:DD76"/>
    <mergeCell ref="CR61:DD61"/>
    <mergeCell ref="DR58:ED58"/>
    <mergeCell ref="CR52:DD52"/>
    <mergeCell ref="DR75:ED75"/>
    <mergeCell ref="CR73:DD73"/>
    <mergeCell ref="DR67:ED67"/>
    <mergeCell ref="DR68:ED68"/>
    <mergeCell ref="DE73:DQ73"/>
    <mergeCell ref="CG62:CQ62"/>
    <mergeCell ref="DE53:DQ53"/>
    <mergeCell ref="DR76:ED76"/>
    <mergeCell ref="CG71:CQ71"/>
    <mergeCell ref="DE56:DQ56"/>
    <mergeCell ref="DE70:DQ70"/>
    <mergeCell ref="CG54:CQ54"/>
    <mergeCell ref="CR54:DD54"/>
    <mergeCell ref="DE54:DQ54"/>
    <mergeCell ref="DR41:ED41"/>
    <mergeCell ref="BT37:CF37"/>
    <mergeCell ref="BT45:CF45"/>
    <mergeCell ref="A53:BK53"/>
    <mergeCell ref="BT9:CF9"/>
    <mergeCell ref="CG9:CQ9"/>
    <mergeCell ref="DR9:ED9"/>
    <mergeCell ref="DR16:ED16"/>
    <mergeCell ref="DR15:ED15"/>
    <mergeCell ref="A15:BK15"/>
    <mergeCell ref="BL15:BS15"/>
    <mergeCell ref="CG12:CQ12"/>
    <mergeCell ref="A17:BK17"/>
    <mergeCell ref="A12:BK12"/>
    <mergeCell ref="DR17:ED17"/>
    <mergeCell ref="DR26:ED26"/>
    <mergeCell ref="DE25:DQ25"/>
    <mergeCell ref="DR11:ED11"/>
    <mergeCell ref="CG19:CQ19"/>
    <mergeCell ref="A23:BK23"/>
    <mergeCell ref="CG11:CQ11"/>
    <mergeCell ref="A11:BK11"/>
    <mergeCell ref="BL34:BS34"/>
    <mergeCell ref="BL53:BS53"/>
    <mergeCell ref="A47:BK47"/>
    <mergeCell ref="A45:BK45"/>
    <mergeCell ref="A43:BK43"/>
    <mergeCell ref="A51:BK51"/>
    <mergeCell ref="A50:BK50"/>
    <mergeCell ref="CG50:CQ50"/>
    <mergeCell ref="A46:BK46"/>
    <mergeCell ref="DE51:DQ51"/>
    <mergeCell ref="A453:FB453"/>
    <mergeCell ref="A445:FB445"/>
    <mergeCell ref="A447:FB447"/>
    <mergeCell ref="A448:FB448"/>
    <mergeCell ref="A449:FB449"/>
    <mergeCell ref="DR438:ED438"/>
    <mergeCell ref="EE438:EQ438"/>
    <mergeCell ref="A438:BK438"/>
    <mergeCell ref="BL438:BS438"/>
    <mergeCell ref="BT438:CF438"/>
    <mergeCell ref="CG438:CQ438"/>
    <mergeCell ref="DR437:ED437"/>
    <mergeCell ref="EE437:EQ437"/>
    <mergeCell ref="A437:BK437"/>
    <mergeCell ref="BL437:BS437"/>
    <mergeCell ref="BT437:CF437"/>
    <mergeCell ref="CG437:CQ437"/>
    <mergeCell ref="CR437:DD437"/>
    <mergeCell ref="DE437:DQ437"/>
    <mergeCell ref="CR438:DD438"/>
    <mergeCell ref="DE438:DQ438"/>
    <mergeCell ref="ER437:FB437"/>
    <mergeCell ref="ER438:FB438"/>
    <mergeCell ref="A450:FL450"/>
    <mergeCell ref="FC437:FL437"/>
    <mergeCell ref="FC438:FL438"/>
    <mergeCell ref="DR433:ED433"/>
    <mergeCell ref="EE433:EQ433"/>
    <mergeCell ref="DR436:ED436"/>
    <mergeCell ref="EE436:EQ436"/>
    <mergeCell ref="A436:BK436"/>
    <mergeCell ref="BL436:BS436"/>
    <mergeCell ref="BT436:CF436"/>
    <mergeCell ref="CG436:CQ436"/>
    <mergeCell ref="CR436:DD436"/>
    <mergeCell ref="DE436:DQ436"/>
    <mergeCell ref="DR435:ED435"/>
    <mergeCell ref="EE435:EQ435"/>
    <mergeCell ref="A435:BK435"/>
    <mergeCell ref="BL435:BS435"/>
    <mergeCell ref="BT435:CF435"/>
    <mergeCell ref="CG435:CQ435"/>
    <mergeCell ref="CR435:DD435"/>
    <mergeCell ref="DE435:DQ435"/>
    <mergeCell ref="DR434:ED434"/>
    <mergeCell ref="EE434:EQ434"/>
    <mergeCell ref="A434:BK434"/>
    <mergeCell ref="BL434:BS434"/>
    <mergeCell ref="BT434:CF434"/>
    <mergeCell ref="CG434:CQ434"/>
    <mergeCell ref="CR434:DD434"/>
    <mergeCell ref="DE434:DQ434"/>
    <mergeCell ref="A433:BK433"/>
    <mergeCell ref="BL433:BS433"/>
    <mergeCell ref="BT433:CF433"/>
    <mergeCell ref="CG433:CQ433"/>
    <mergeCell ref="CR433:DD433"/>
    <mergeCell ref="DE433:DQ433"/>
    <mergeCell ref="EE432:EQ432"/>
    <mergeCell ref="A432:BK432"/>
    <mergeCell ref="BL432:BS432"/>
    <mergeCell ref="BT432:CF432"/>
    <mergeCell ref="CG432:CQ432"/>
    <mergeCell ref="CR432:DD432"/>
    <mergeCell ref="DE432:DQ432"/>
    <mergeCell ref="DR431:ED431"/>
    <mergeCell ref="EE431:EQ431"/>
    <mergeCell ref="A431:BK431"/>
    <mergeCell ref="BL431:BS431"/>
    <mergeCell ref="BT431:CF431"/>
    <mergeCell ref="CG431:CQ431"/>
    <mergeCell ref="CR431:DD431"/>
    <mergeCell ref="DE431:DQ431"/>
    <mergeCell ref="DE375:DQ375"/>
    <mergeCell ref="A375:BK375"/>
    <mergeCell ref="BL375:BS375"/>
    <mergeCell ref="BT375:CF375"/>
    <mergeCell ref="EE383:EQ383"/>
    <mergeCell ref="DR432:ED432"/>
    <mergeCell ref="A428:BK428"/>
    <mergeCell ref="BL428:BS428"/>
    <mergeCell ref="BT428:CF428"/>
    <mergeCell ref="CG428:CQ428"/>
    <mergeCell ref="CR428:DD428"/>
    <mergeCell ref="DE428:DQ428"/>
    <mergeCell ref="DR382:ED382"/>
    <mergeCell ref="EE382:EQ382"/>
    <mergeCell ref="A426:BK426"/>
    <mergeCell ref="BL426:BS426"/>
    <mergeCell ref="BT426:CF426"/>
    <mergeCell ref="DR430:ED430"/>
    <mergeCell ref="EE430:EQ430"/>
    <mergeCell ref="A430:BK430"/>
    <mergeCell ref="BL430:BS430"/>
    <mergeCell ref="BT430:CF430"/>
    <mergeCell ref="CG430:CQ430"/>
    <mergeCell ref="CR430:DD430"/>
    <mergeCell ref="DE430:DQ430"/>
    <mergeCell ref="DR429:ED429"/>
    <mergeCell ref="EE429:EQ429"/>
    <mergeCell ref="A429:BK429"/>
    <mergeCell ref="BL429:BS429"/>
    <mergeCell ref="BT429:CF429"/>
    <mergeCell ref="CG429:CQ429"/>
    <mergeCell ref="CR429:DD429"/>
    <mergeCell ref="DE429:DQ429"/>
    <mergeCell ref="CR275:DD275"/>
    <mergeCell ref="DR280:ED280"/>
    <mergeCell ref="EE280:EQ280"/>
    <mergeCell ref="BL346:BS346"/>
    <mergeCell ref="BT346:CF346"/>
    <mergeCell ref="CG346:CQ346"/>
    <mergeCell ref="CR346:DD346"/>
    <mergeCell ref="DE346:DQ346"/>
    <mergeCell ref="CR347:DD347"/>
    <mergeCell ref="A348:BK348"/>
    <mergeCell ref="BL348:BS348"/>
    <mergeCell ref="CG348:CQ348"/>
    <mergeCell ref="CR348:DD348"/>
    <mergeCell ref="A343:BK343"/>
    <mergeCell ref="CR278:DD278"/>
    <mergeCell ref="DE278:DQ278"/>
    <mergeCell ref="DE192:DQ192"/>
    <mergeCell ref="A188:BK188"/>
    <mergeCell ref="DE183:DQ183"/>
    <mergeCell ref="CG186:CQ186"/>
    <mergeCell ref="CR186:DD186"/>
    <mergeCell ref="CR272:DD272"/>
    <mergeCell ref="DE272:DQ272"/>
    <mergeCell ref="EE375:EQ375"/>
    <mergeCell ref="A384:BK384"/>
    <mergeCell ref="A383:BK383"/>
    <mergeCell ref="EE200:EQ200"/>
    <mergeCell ref="DE193:DQ193"/>
    <mergeCell ref="BL187:BS187"/>
    <mergeCell ref="BT187:CF187"/>
    <mergeCell ref="CG187:CQ187"/>
    <mergeCell ref="CR232:DD232"/>
    <mergeCell ref="BL215:BS215"/>
    <mergeCell ref="BT215:CF215"/>
    <mergeCell ref="BL189:BS189"/>
    <mergeCell ref="BT189:CF189"/>
    <mergeCell ref="EE203:EQ203"/>
    <mergeCell ref="CG342:CQ342"/>
    <mergeCell ref="BL274:BS274"/>
    <mergeCell ref="DR272:ED272"/>
    <mergeCell ref="EE272:EQ272"/>
    <mergeCell ref="DE230:DQ230"/>
    <mergeCell ref="EE344:EQ344"/>
    <mergeCell ref="BT344:CF344"/>
    <mergeCell ref="CG344:CQ344"/>
    <mergeCell ref="DR271:ED271"/>
    <mergeCell ref="EE271:EQ271"/>
    <mergeCell ref="A279:BK279"/>
    <mergeCell ref="BT379:CF379"/>
    <mergeCell ref="CG274:CQ274"/>
    <mergeCell ref="BL185:BS185"/>
    <mergeCell ref="BT181:CF181"/>
    <mergeCell ref="A168:BK168"/>
    <mergeCell ref="BL179:BS179"/>
    <mergeCell ref="A169:BK169"/>
    <mergeCell ref="CG169:CQ169"/>
    <mergeCell ref="A161:BK161"/>
    <mergeCell ref="BL161:BS161"/>
    <mergeCell ref="BT161:CF161"/>
    <mergeCell ref="BL176:BS176"/>
    <mergeCell ref="A159:BK159"/>
    <mergeCell ref="BL159:BS159"/>
    <mergeCell ref="BT159:CF159"/>
    <mergeCell ref="CG159:CQ159"/>
    <mergeCell ref="CR159:DD159"/>
    <mergeCell ref="CG179:CQ179"/>
    <mergeCell ref="BT182:CF182"/>
    <mergeCell ref="CG182:CQ182"/>
    <mergeCell ref="BT193:CF193"/>
    <mergeCell ref="CG193:CQ193"/>
    <mergeCell ref="BL180:BS180"/>
    <mergeCell ref="BL279:BS279"/>
    <mergeCell ref="BT279:CF279"/>
    <mergeCell ref="CG279:CQ279"/>
    <mergeCell ref="CR279:DD279"/>
    <mergeCell ref="A316:BK316"/>
    <mergeCell ref="BL316:BS316"/>
    <mergeCell ref="BT316:CF316"/>
    <mergeCell ref="BL246:BS246"/>
    <mergeCell ref="A275:BK275"/>
    <mergeCell ref="BL192:BS192"/>
    <mergeCell ref="BT192:CF192"/>
    <mergeCell ref="CG192:CQ192"/>
    <mergeCell ref="CR192:DD192"/>
    <mergeCell ref="DR200:ED200"/>
    <mergeCell ref="BL89:BS89"/>
    <mergeCell ref="BL112:BS112"/>
    <mergeCell ref="BT112:CF112"/>
    <mergeCell ref="CR110:DD110"/>
    <mergeCell ref="CG107:CQ107"/>
    <mergeCell ref="CR107:DD107"/>
    <mergeCell ref="BL99:BS99"/>
    <mergeCell ref="BT99:CF99"/>
    <mergeCell ref="CG101:CQ101"/>
    <mergeCell ref="BL93:BS93"/>
    <mergeCell ref="BT93:CF93"/>
    <mergeCell ref="CG93:CQ93"/>
    <mergeCell ref="DE141:DQ141"/>
    <mergeCell ref="DR102:ED102"/>
    <mergeCell ref="CR125:DD125"/>
    <mergeCell ref="DE125:DQ125"/>
    <mergeCell ref="BT125:CF125"/>
    <mergeCell ref="BT126:CF126"/>
    <mergeCell ref="DR125:ED125"/>
    <mergeCell ref="DE107:DQ107"/>
    <mergeCell ref="DR107:ED107"/>
    <mergeCell ref="DE96:DQ96"/>
    <mergeCell ref="DR96:ED96"/>
    <mergeCell ref="DE97:DQ97"/>
    <mergeCell ref="CR111:DD111"/>
    <mergeCell ref="CG126:CQ126"/>
    <mergeCell ref="DR110:ED110"/>
    <mergeCell ref="A173:BK173"/>
    <mergeCell ref="A174:BK174"/>
    <mergeCell ref="BL174:BS174"/>
    <mergeCell ref="CG146:CQ146"/>
    <mergeCell ref="CR146:DD146"/>
    <mergeCell ref="DE146:DQ146"/>
    <mergeCell ref="DE151:DQ151"/>
    <mergeCell ref="A155:BK155"/>
    <mergeCell ref="CG156:CQ156"/>
    <mergeCell ref="BL154:BS154"/>
    <mergeCell ref="BT154:CF154"/>
    <mergeCell ref="CG154:CQ154"/>
    <mergeCell ref="CR154:DD154"/>
    <mergeCell ref="DE171:DQ171"/>
    <mergeCell ref="CR144:DD144"/>
    <mergeCell ref="DE144:DQ144"/>
    <mergeCell ref="A143:BK143"/>
    <mergeCell ref="A167:BK167"/>
    <mergeCell ref="BL167:BS167"/>
    <mergeCell ref="CR162:DD162"/>
    <mergeCell ref="A156:BK156"/>
    <mergeCell ref="BL156:BS156"/>
    <mergeCell ref="A153:BK153"/>
    <mergeCell ref="BL153:BS153"/>
    <mergeCell ref="BT153:CF153"/>
    <mergeCell ref="BT155:CF155"/>
    <mergeCell ref="CG155:CQ155"/>
    <mergeCell ref="BL149:BS149"/>
    <mergeCell ref="BT149:CF149"/>
    <mergeCell ref="CG149:CQ149"/>
    <mergeCell ref="BT167:CF167"/>
    <mergeCell ref="CG167:CQ167"/>
    <mergeCell ref="DR112:ED112"/>
    <mergeCell ref="A73:BK73"/>
    <mergeCell ref="A80:BK80"/>
    <mergeCell ref="BL80:BS80"/>
    <mergeCell ref="BT80:CF80"/>
    <mergeCell ref="CG80:CQ80"/>
    <mergeCell ref="CR80:DD80"/>
    <mergeCell ref="DR78:ED78"/>
    <mergeCell ref="DE80:DQ80"/>
    <mergeCell ref="DR80:ED80"/>
    <mergeCell ref="A99:BK99"/>
    <mergeCell ref="DE99:DQ99"/>
    <mergeCell ref="DR99:ED99"/>
    <mergeCell ref="DE74:DQ74"/>
    <mergeCell ref="DR89:ED89"/>
    <mergeCell ref="A104:BK104"/>
    <mergeCell ref="BL104:BS104"/>
    <mergeCell ref="BT104:CF104"/>
    <mergeCell ref="CG104:CQ104"/>
    <mergeCell ref="CR104:DD104"/>
    <mergeCell ref="DE104:DQ104"/>
    <mergeCell ref="A76:BK76"/>
    <mergeCell ref="BL76:BS76"/>
    <mergeCell ref="BT74:CF74"/>
    <mergeCell ref="CG74:CQ74"/>
    <mergeCell ref="DE79:DQ79"/>
    <mergeCell ref="DR79:ED79"/>
    <mergeCell ref="DE76:DQ76"/>
    <mergeCell ref="DE75:DQ75"/>
    <mergeCell ref="DR74:ED74"/>
    <mergeCell ref="DR73:ED73"/>
    <mergeCell ref="BT76:CF76"/>
    <mergeCell ref="DE7:DQ7"/>
    <mergeCell ref="A40:BK40"/>
    <mergeCell ref="BL40:BS40"/>
    <mergeCell ref="A35:BK35"/>
    <mergeCell ref="BT35:CF35"/>
    <mergeCell ref="CG35:CQ35"/>
    <mergeCell ref="DR33:ED33"/>
    <mergeCell ref="DR34:ED34"/>
    <mergeCell ref="DR19:ED19"/>
    <mergeCell ref="CR20:DD20"/>
    <mergeCell ref="CR21:DD21"/>
    <mergeCell ref="CR19:DD19"/>
    <mergeCell ref="DE19:DQ19"/>
    <mergeCell ref="BT30:CF30"/>
    <mergeCell ref="CG30:CQ30"/>
    <mergeCell ref="A19:BK19"/>
    <mergeCell ref="CR38:DD38"/>
    <mergeCell ref="A33:BK33"/>
    <mergeCell ref="DE33:DQ33"/>
    <mergeCell ref="BL39:BS39"/>
    <mergeCell ref="BT39:CF39"/>
    <mergeCell ref="CR30:DD30"/>
    <mergeCell ref="DE27:DQ27"/>
    <mergeCell ref="DE8:DQ8"/>
    <mergeCell ref="CR24:DD24"/>
    <mergeCell ref="CG39:CQ39"/>
    <mergeCell ref="CR9:DD9"/>
    <mergeCell ref="DE9:DQ9"/>
    <mergeCell ref="DR28:ED28"/>
    <mergeCell ref="BL23:BS23"/>
    <mergeCell ref="BL21:BS21"/>
    <mergeCell ref="BL19:BS19"/>
    <mergeCell ref="DR40:ED40"/>
    <mergeCell ref="CR40:DD40"/>
    <mergeCell ref="A55:BK55"/>
    <mergeCell ref="CG55:CQ55"/>
    <mergeCell ref="BT65:CF65"/>
    <mergeCell ref="BL30:BS30"/>
    <mergeCell ref="BL96:BS96"/>
    <mergeCell ref="A42:BK42"/>
    <mergeCell ref="BL55:BS55"/>
    <mergeCell ref="CR77:DD77"/>
    <mergeCell ref="CG63:CQ63"/>
    <mergeCell ref="BT67:CF67"/>
    <mergeCell ref="CG67:CQ67"/>
    <mergeCell ref="BT69:CF69"/>
    <mergeCell ref="CG69:CQ69"/>
    <mergeCell ref="CR69:DD69"/>
    <mergeCell ref="CR60:DD60"/>
    <mergeCell ref="BL65:BS65"/>
    <mergeCell ref="BL74:BS74"/>
    <mergeCell ref="CR74:DD74"/>
    <mergeCell ref="CG76:CQ76"/>
    <mergeCell ref="BT73:CF73"/>
    <mergeCell ref="CR75:DD75"/>
    <mergeCell ref="A74:BK74"/>
    <mergeCell ref="A71:BK71"/>
    <mergeCell ref="A65:BK65"/>
    <mergeCell ref="BL73:BS73"/>
    <mergeCell ref="A63:BK63"/>
    <mergeCell ref="BL54:BS54"/>
    <mergeCell ref="BT54:CF54"/>
    <mergeCell ref="BL51:BS51"/>
    <mergeCell ref="BT51:CF51"/>
    <mergeCell ref="DN4:DQ4"/>
    <mergeCell ref="CR5:DD5"/>
    <mergeCell ref="DE5:DQ5"/>
    <mergeCell ref="CR6:DD6"/>
    <mergeCell ref="DE6:DQ6"/>
    <mergeCell ref="A7:BK7"/>
    <mergeCell ref="CG96:CQ96"/>
    <mergeCell ref="CR96:DD96"/>
    <mergeCell ref="BT18:CF18"/>
    <mergeCell ref="A21:BK21"/>
    <mergeCell ref="CG6:CQ6"/>
    <mergeCell ref="A28:BK28"/>
    <mergeCell ref="BL28:BS28"/>
    <mergeCell ref="A9:BK9"/>
    <mergeCell ref="BL9:BS9"/>
    <mergeCell ref="BL42:BS42"/>
    <mergeCell ref="A10:BK10"/>
    <mergeCell ref="BL10:BS10"/>
    <mergeCell ref="A13:BK13"/>
    <mergeCell ref="BL12:BS12"/>
    <mergeCell ref="BL13:BS13"/>
    <mergeCell ref="CG37:CQ37"/>
    <mergeCell ref="BT33:CF33"/>
    <mergeCell ref="A44:BK44"/>
    <mergeCell ref="BL46:BS46"/>
    <mergeCell ref="BT46:CF46"/>
    <mergeCell ref="DE68:DQ68"/>
    <mergeCell ref="DE52:DQ52"/>
    <mergeCell ref="BL7:BS7"/>
    <mergeCell ref="BT7:CF7"/>
    <mergeCell ref="CG7:CQ7"/>
    <mergeCell ref="CR7:DD7"/>
    <mergeCell ref="EE100:EQ100"/>
    <mergeCell ref="CR105:DD105"/>
    <mergeCell ref="DE105:DQ105"/>
    <mergeCell ref="BT91:CF91"/>
    <mergeCell ref="BT103:CF103"/>
    <mergeCell ref="CG103:CQ103"/>
    <mergeCell ref="CR103:DD103"/>
    <mergeCell ref="DE103:DQ103"/>
    <mergeCell ref="DR103:ED103"/>
    <mergeCell ref="EE104:EQ104"/>
    <mergeCell ref="A48:BK48"/>
    <mergeCell ref="BL48:BS48"/>
    <mergeCell ref="BT48:CF48"/>
    <mergeCell ref="CG48:CQ48"/>
    <mergeCell ref="CR48:DD48"/>
    <mergeCell ref="DE48:DQ48"/>
    <mergeCell ref="DR48:ED48"/>
    <mergeCell ref="EE48:EQ48"/>
    <mergeCell ref="A97:BK97"/>
    <mergeCell ref="BL97:BS97"/>
    <mergeCell ref="CG97:CQ97"/>
    <mergeCell ref="CR97:DD97"/>
    <mergeCell ref="DR69:ED69"/>
    <mergeCell ref="BT50:CF50"/>
    <mergeCell ref="BL50:BS50"/>
    <mergeCell ref="BL52:BS52"/>
    <mergeCell ref="BT52:CF52"/>
    <mergeCell ref="CG52:CQ52"/>
    <mergeCell ref="CG65:CQ65"/>
    <mergeCell ref="DR71:ED71"/>
    <mergeCell ref="CR63:DD63"/>
    <mergeCell ref="DE63:DQ63"/>
    <mergeCell ref="DE156:DQ156"/>
    <mergeCell ref="A93:BK93"/>
    <mergeCell ref="A108:BK108"/>
    <mergeCell ref="BL108:BS108"/>
    <mergeCell ref="BT108:CF108"/>
    <mergeCell ref="A41:BK41"/>
    <mergeCell ref="BL41:BS41"/>
    <mergeCell ref="BT41:CF41"/>
    <mergeCell ref="CG41:CQ41"/>
    <mergeCell ref="A37:BK37"/>
    <mergeCell ref="BL37:BS37"/>
    <mergeCell ref="CG40:CQ40"/>
    <mergeCell ref="BT28:CF28"/>
    <mergeCell ref="A39:BK39"/>
    <mergeCell ref="A25:BK25"/>
    <mergeCell ref="BT13:CF13"/>
    <mergeCell ref="CG13:CQ13"/>
    <mergeCell ref="A18:BK18"/>
    <mergeCell ref="A20:BK20"/>
    <mergeCell ref="CG123:CQ123"/>
    <mergeCell ref="CR123:DD123"/>
    <mergeCell ref="DE123:DQ123"/>
    <mergeCell ref="CR124:DD124"/>
    <mergeCell ref="DE124:DQ124"/>
    <mergeCell ref="DE109:DQ109"/>
    <mergeCell ref="CG112:CQ112"/>
    <mergeCell ref="CR112:DD112"/>
    <mergeCell ref="DE112:DQ112"/>
    <mergeCell ref="DE47:DQ47"/>
    <mergeCell ref="DE46:DQ46"/>
    <mergeCell ref="CG47:CQ47"/>
    <mergeCell ref="CR47:DD47"/>
    <mergeCell ref="A1:FB1"/>
    <mergeCell ref="ER5:FB5"/>
    <mergeCell ref="A88:BK88"/>
    <mergeCell ref="BL88:BS88"/>
    <mergeCell ref="CG88:CQ88"/>
    <mergeCell ref="EE96:EQ96"/>
    <mergeCell ref="CR93:DD93"/>
    <mergeCell ref="A3:BK5"/>
    <mergeCell ref="BL3:BS5"/>
    <mergeCell ref="BT15:CF15"/>
    <mergeCell ref="CG15:CQ15"/>
    <mergeCell ref="BL17:BS17"/>
    <mergeCell ref="BT17:CF17"/>
    <mergeCell ref="CG17:CQ17"/>
    <mergeCell ref="BL33:BS33"/>
    <mergeCell ref="CG33:CQ33"/>
    <mergeCell ref="BL27:BS27"/>
    <mergeCell ref="BT27:CF27"/>
    <mergeCell ref="A26:BK26"/>
    <mergeCell ref="A30:BK30"/>
    <mergeCell ref="EE88:EQ88"/>
    <mergeCell ref="A89:BK89"/>
    <mergeCell ref="EN4:EQ4"/>
    <mergeCell ref="DX4:DZ4"/>
    <mergeCell ref="CG3:CQ5"/>
    <mergeCell ref="EE4:EJ4"/>
    <mergeCell ref="EK4:EM4"/>
    <mergeCell ref="CR4:CW4"/>
    <mergeCell ref="CX4:CZ4"/>
    <mergeCell ref="DA4:DD4"/>
    <mergeCell ref="DE4:DJ4"/>
    <mergeCell ref="DK4:DM4"/>
    <mergeCell ref="DE186:DQ186"/>
    <mergeCell ref="CR180:DD180"/>
    <mergeCell ref="DE181:DQ181"/>
    <mergeCell ref="CR158:DD158"/>
    <mergeCell ref="EE124:EQ124"/>
    <mergeCell ref="EE111:EQ111"/>
    <mergeCell ref="CG110:CQ110"/>
    <mergeCell ref="DR128:ED128"/>
    <mergeCell ref="CG128:CQ128"/>
    <mergeCell ref="CR128:DD128"/>
    <mergeCell ref="DE131:DQ131"/>
    <mergeCell ref="EE128:EQ128"/>
    <mergeCell ref="BT130:CF130"/>
    <mergeCell ref="CG130:CQ130"/>
    <mergeCell ref="BT151:CF151"/>
    <mergeCell ref="CG151:CQ151"/>
    <mergeCell ref="DR146:ED146"/>
    <mergeCell ref="DR151:ED151"/>
    <mergeCell ref="DR144:ED144"/>
    <mergeCell ref="DR126:ED126"/>
    <mergeCell ref="CR175:DD175"/>
    <mergeCell ref="DE137:DQ137"/>
    <mergeCell ref="CG135:CQ135"/>
    <mergeCell ref="CR135:DD135"/>
    <mergeCell ref="DE135:DQ135"/>
    <mergeCell ref="CR143:DD143"/>
    <mergeCell ref="DE143:DQ143"/>
    <mergeCell ref="EE132:EQ132"/>
    <mergeCell ref="EE131:EQ131"/>
    <mergeCell ref="DE130:DQ130"/>
    <mergeCell ref="EE145:EQ145"/>
    <mergeCell ref="DR148:ED148"/>
    <mergeCell ref="BT180:CF180"/>
    <mergeCell ref="CG180:CQ180"/>
    <mergeCell ref="CG176:CQ176"/>
    <mergeCell ref="BL128:BS128"/>
    <mergeCell ref="BT128:CF128"/>
    <mergeCell ref="A130:BK130"/>
    <mergeCell ref="BT145:CF145"/>
    <mergeCell ref="CG145:CQ145"/>
    <mergeCell ref="CR145:DD145"/>
    <mergeCell ref="DE145:DQ145"/>
    <mergeCell ref="BL100:BS100"/>
    <mergeCell ref="BT89:CF89"/>
    <mergeCell ref="BT100:CF100"/>
    <mergeCell ref="CG100:CQ100"/>
    <mergeCell ref="CR100:DD100"/>
    <mergeCell ref="DE100:DQ100"/>
    <mergeCell ref="DR100:ED100"/>
    <mergeCell ref="A144:BK144"/>
    <mergeCell ref="BL144:BS144"/>
    <mergeCell ref="BL126:BS126"/>
    <mergeCell ref="CR137:DD137"/>
    <mergeCell ref="DR127:ED127"/>
    <mergeCell ref="DR132:ED132"/>
    <mergeCell ref="DR131:ED131"/>
    <mergeCell ref="A131:BK131"/>
    <mergeCell ref="BL131:BS131"/>
    <mergeCell ref="DR104:ED104"/>
    <mergeCell ref="BT156:CF156"/>
    <mergeCell ref="CR156:DD156"/>
    <mergeCell ref="CG141:CQ141"/>
    <mergeCell ref="A103:BK103"/>
    <mergeCell ref="BL103:BS103"/>
    <mergeCell ref="A185:BK185"/>
    <mergeCell ref="BL184:BS184"/>
    <mergeCell ref="CG133:CQ133"/>
    <mergeCell ref="CG208:CQ208"/>
    <mergeCell ref="CR208:DD208"/>
    <mergeCell ref="DE208:DQ208"/>
    <mergeCell ref="CG210:CQ210"/>
    <mergeCell ref="CR210:DD210"/>
    <mergeCell ref="DE210:DQ210"/>
    <mergeCell ref="BL218:BS218"/>
    <mergeCell ref="BT218:CF218"/>
    <mergeCell ref="A216:BK216"/>
    <mergeCell ref="BL216:BS216"/>
    <mergeCell ref="BT216:CF216"/>
    <mergeCell ref="CG216:CQ216"/>
    <mergeCell ref="CR216:DD216"/>
    <mergeCell ref="DE154:DQ154"/>
    <mergeCell ref="BT211:CF211"/>
    <mergeCell ref="BT190:CF190"/>
    <mergeCell ref="CG190:CQ190"/>
    <mergeCell ref="CR190:DD190"/>
    <mergeCell ref="DE190:DQ190"/>
    <mergeCell ref="A179:BK179"/>
    <mergeCell ref="A163:BK163"/>
    <mergeCell ref="DE177:DQ177"/>
    <mergeCell ref="CR179:DD179"/>
    <mergeCell ref="A172:BK172"/>
    <mergeCell ref="A170:BK170"/>
    <mergeCell ref="A176:BK176"/>
    <mergeCell ref="CG163:CQ163"/>
    <mergeCell ref="CR176:DD176"/>
    <mergeCell ref="DE176:DQ176"/>
    <mergeCell ref="BT162:CF162"/>
    <mergeCell ref="CG162:CQ162"/>
    <mergeCell ref="DR202:ED202"/>
    <mergeCell ref="BT203:CF203"/>
    <mergeCell ref="DE172:DQ172"/>
    <mergeCell ref="DE162:DQ162"/>
    <mergeCell ref="CR187:DD187"/>
    <mergeCell ref="DE179:DQ179"/>
    <mergeCell ref="DR192:ED192"/>
    <mergeCell ref="BT131:CF131"/>
    <mergeCell ref="CG131:CQ131"/>
    <mergeCell ref="CR131:DD131"/>
    <mergeCell ref="DE138:DQ138"/>
    <mergeCell ref="BT171:CF171"/>
    <mergeCell ref="CG171:CQ171"/>
    <mergeCell ref="A125:BK125"/>
    <mergeCell ref="BL125:BS125"/>
    <mergeCell ref="CG203:CQ203"/>
    <mergeCell ref="BL163:BS163"/>
    <mergeCell ref="BL168:BS168"/>
    <mergeCell ref="BT168:CF168"/>
    <mergeCell ref="BT178:CF178"/>
    <mergeCell ref="CG178:CQ178"/>
    <mergeCell ref="CR178:DD178"/>
    <mergeCell ref="BL169:BS169"/>
    <mergeCell ref="DE175:DQ175"/>
    <mergeCell ref="BT176:CF176"/>
    <mergeCell ref="CG173:CQ173"/>
    <mergeCell ref="BL170:BS170"/>
    <mergeCell ref="BT170:CF170"/>
    <mergeCell ref="CG170:CQ170"/>
    <mergeCell ref="CR170:DD170"/>
    <mergeCell ref="CR182:DD182"/>
    <mergeCell ref="DE182:DQ182"/>
    <mergeCell ref="A184:BK184"/>
    <mergeCell ref="BT185:CF185"/>
    <mergeCell ref="DE159:DQ159"/>
    <mergeCell ref="CG160:CQ160"/>
    <mergeCell ref="CR160:DD160"/>
    <mergeCell ref="DE160:DQ160"/>
    <mergeCell ref="A171:BK171"/>
    <mergeCell ref="BL190:BS190"/>
    <mergeCell ref="DR178:ED178"/>
    <mergeCell ref="DR204:ED204"/>
    <mergeCell ref="DR158:ED158"/>
    <mergeCell ref="CG161:CQ161"/>
    <mergeCell ref="BT174:CF174"/>
    <mergeCell ref="CG174:CQ174"/>
    <mergeCell ref="ER189:FB189"/>
    <mergeCell ref="ER180:FB180"/>
    <mergeCell ref="BT184:CF184"/>
    <mergeCell ref="CG184:CQ184"/>
    <mergeCell ref="CR184:DD184"/>
    <mergeCell ref="DE184:DQ184"/>
    <mergeCell ref="CG189:CQ189"/>
    <mergeCell ref="CR189:DD189"/>
    <mergeCell ref="DE189:DQ189"/>
    <mergeCell ref="DR189:ED189"/>
    <mergeCell ref="EE189:EQ189"/>
    <mergeCell ref="DE180:DQ180"/>
    <mergeCell ref="DR180:ED180"/>
    <mergeCell ref="EE204:EQ204"/>
    <mergeCell ref="DE204:DQ204"/>
    <mergeCell ref="BT169:CF169"/>
    <mergeCell ref="FC201:FL201"/>
    <mergeCell ref="BT227:CF227"/>
    <mergeCell ref="CG227:CQ227"/>
    <mergeCell ref="FC207:FL207"/>
    <mergeCell ref="DR205:ED205"/>
    <mergeCell ref="ER276:FB276"/>
    <mergeCell ref="BT199:CF199"/>
    <mergeCell ref="CG199:CQ199"/>
    <mergeCell ref="DE203:DQ203"/>
    <mergeCell ref="BL278:BS278"/>
    <mergeCell ref="ER208:FB208"/>
    <mergeCell ref="DR154:ED154"/>
    <mergeCell ref="A200:BK200"/>
    <mergeCell ref="BL200:BS200"/>
    <mergeCell ref="BT200:CF200"/>
    <mergeCell ref="CG200:CQ200"/>
    <mergeCell ref="CR200:DD200"/>
    <mergeCell ref="DE200:DQ200"/>
    <mergeCell ref="BL155:BS155"/>
    <mergeCell ref="DE155:DQ155"/>
    <mergeCell ref="A175:BK175"/>
    <mergeCell ref="BL175:BS175"/>
    <mergeCell ref="BT175:CF175"/>
    <mergeCell ref="CG175:CQ175"/>
    <mergeCell ref="A160:BK160"/>
    <mergeCell ref="BL160:BS160"/>
    <mergeCell ref="A178:BK178"/>
    <mergeCell ref="BL178:BS178"/>
    <mergeCell ref="DR179:ED179"/>
    <mergeCell ref="BT179:CF179"/>
    <mergeCell ref="A189:BK189"/>
    <mergeCell ref="DE188:DQ188"/>
    <mergeCell ref="CG197:CQ197"/>
    <mergeCell ref="CR197:DD197"/>
    <mergeCell ref="DE197:DQ197"/>
    <mergeCell ref="DR197:ED197"/>
    <mergeCell ref="BL201:BS201"/>
    <mergeCell ref="BT201:CF201"/>
    <mergeCell ref="CG201:CQ201"/>
    <mergeCell ref="ER274:FB274"/>
    <mergeCell ref="ER205:FB205"/>
    <mergeCell ref="EE215:EQ215"/>
    <mergeCell ref="CR220:DD220"/>
    <mergeCell ref="DE220:DQ220"/>
    <mergeCell ref="DR220:ED220"/>
    <mergeCell ref="BT197:CF197"/>
    <mergeCell ref="DE201:DQ201"/>
    <mergeCell ref="DR201:ED201"/>
    <mergeCell ref="EE201:EQ201"/>
    <mergeCell ref="ER201:FB201"/>
    <mergeCell ref="EE274:EQ274"/>
    <mergeCell ref="ER271:FB271"/>
    <mergeCell ref="EE232:EQ232"/>
    <mergeCell ref="ER232:FB232"/>
    <mergeCell ref="CG204:CQ204"/>
    <mergeCell ref="CR204:DD204"/>
    <mergeCell ref="CR215:DD215"/>
    <mergeCell ref="DE215:DQ215"/>
    <mergeCell ref="BL207:BS207"/>
    <mergeCell ref="DR230:ED230"/>
    <mergeCell ref="EE230:EQ230"/>
    <mergeCell ref="DE232:DQ232"/>
    <mergeCell ref="DR232:ED232"/>
    <mergeCell ref="BL208:BS208"/>
    <mergeCell ref="A287:BK287"/>
    <mergeCell ref="A298:BK298"/>
    <mergeCell ref="BL298:BS298"/>
    <mergeCell ref="BT298:CF298"/>
    <mergeCell ref="CG298:CQ298"/>
    <mergeCell ref="CR298:DD298"/>
    <mergeCell ref="DE298:DQ298"/>
    <mergeCell ref="DR298:ED298"/>
    <mergeCell ref="A288:BK288"/>
    <mergeCell ref="BL288:BS288"/>
    <mergeCell ref="FC287:FL287"/>
    <mergeCell ref="A286:BK286"/>
    <mergeCell ref="BL286:BS286"/>
    <mergeCell ref="A281:BK281"/>
    <mergeCell ref="BL281:BS281"/>
    <mergeCell ref="CG281:CQ281"/>
    <mergeCell ref="CR281:DD281"/>
    <mergeCell ref="DE281:DQ281"/>
    <mergeCell ref="DR281:ED281"/>
    <mergeCell ref="EE281:EQ281"/>
    <mergeCell ref="ER281:FB281"/>
    <mergeCell ref="FC281:FL281"/>
    <mergeCell ref="A285:BK285"/>
    <mergeCell ref="BL285:BS285"/>
    <mergeCell ref="BT285:CF285"/>
    <mergeCell ref="CG285:CQ285"/>
    <mergeCell ref="BT281:CF281"/>
    <mergeCell ref="A282:BK282"/>
    <mergeCell ref="A284:BK284"/>
    <mergeCell ref="BL284:BS284"/>
    <mergeCell ref="DE283:DQ283"/>
    <mergeCell ref="FC283:FL283"/>
    <mergeCell ref="DR348:ED348"/>
    <mergeCell ref="ER345:FB345"/>
    <mergeCell ref="A345:BK345"/>
    <mergeCell ref="BL345:BS345"/>
    <mergeCell ref="FC282:FL282"/>
    <mergeCell ref="A283:BK283"/>
    <mergeCell ref="BL283:BS283"/>
    <mergeCell ref="A312:BK312"/>
    <mergeCell ref="BL312:BS312"/>
    <mergeCell ref="BT312:CF312"/>
    <mergeCell ref="CG312:CQ312"/>
    <mergeCell ref="CR312:DD312"/>
    <mergeCell ref="DE312:DQ312"/>
    <mergeCell ref="DR312:ED312"/>
    <mergeCell ref="EE312:EQ312"/>
    <mergeCell ref="ER312:FB312"/>
    <mergeCell ref="FC312:FL312"/>
    <mergeCell ref="FC285:FL285"/>
    <mergeCell ref="BT286:CF286"/>
    <mergeCell ref="CG286:CQ286"/>
    <mergeCell ref="CR286:DD286"/>
    <mergeCell ref="BT288:CF288"/>
    <mergeCell ref="CG288:CQ288"/>
    <mergeCell ref="EE290:EQ290"/>
    <mergeCell ref="CR296:DD296"/>
    <mergeCell ref="DE296:DQ296"/>
    <mergeCell ref="DR296:ED296"/>
    <mergeCell ref="EE296:EQ296"/>
    <mergeCell ref="ER296:FB296"/>
    <mergeCell ref="ER290:FB290"/>
    <mergeCell ref="CR291:DD291"/>
    <mergeCell ref="DE291:DQ291"/>
    <mergeCell ref="CR377:DD377"/>
    <mergeCell ref="DE377:DQ377"/>
    <mergeCell ref="DR377:ED377"/>
    <mergeCell ref="EE377:EQ377"/>
    <mergeCell ref="ER377:FB377"/>
    <mergeCell ref="EE135:EQ135"/>
    <mergeCell ref="A142:BK142"/>
    <mergeCell ref="EE134:EQ134"/>
    <mergeCell ref="EE140:EQ140"/>
    <mergeCell ref="A140:BK140"/>
    <mergeCell ref="BL140:BS140"/>
    <mergeCell ref="BT140:CF140"/>
    <mergeCell ref="CG140:CQ140"/>
    <mergeCell ref="CR140:DD140"/>
    <mergeCell ref="DE140:DQ140"/>
    <mergeCell ref="A141:BK141"/>
    <mergeCell ref="DR142:ED142"/>
    <mergeCell ref="EE142:EQ142"/>
    <mergeCell ref="EE178:EQ178"/>
    <mergeCell ref="BT160:CF160"/>
    <mergeCell ref="CR188:DD188"/>
    <mergeCell ref="EE186:EQ186"/>
    <mergeCell ref="BL282:BS282"/>
    <mergeCell ref="BT282:CF282"/>
    <mergeCell ref="A177:BK177"/>
    <mergeCell ref="BL177:BS177"/>
    <mergeCell ref="BT177:CF177"/>
    <mergeCell ref="CG177:CQ177"/>
    <mergeCell ref="A180:BK180"/>
    <mergeCell ref="BT348:CF348"/>
    <mergeCell ref="BT210:CF210"/>
    <mergeCell ref="A222:BK222"/>
    <mergeCell ref="ER104:FB104"/>
    <mergeCell ref="FC104:FL104"/>
    <mergeCell ref="EE154:EQ154"/>
    <mergeCell ref="ER154:FB154"/>
    <mergeCell ref="FC154:FL154"/>
    <mergeCell ref="BT152:CF152"/>
    <mergeCell ref="CG143:CQ143"/>
    <mergeCell ref="BL143:BS143"/>
    <mergeCell ref="BT143:CF143"/>
    <mergeCell ref="A126:BK126"/>
    <mergeCell ref="BL141:BS141"/>
    <mergeCell ref="A151:BK151"/>
    <mergeCell ref="EE151:EQ151"/>
    <mergeCell ref="ER151:FB151"/>
    <mergeCell ref="FC151:FL151"/>
    <mergeCell ref="BT142:CF142"/>
    <mergeCell ref="DE106:DQ106"/>
    <mergeCell ref="DR106:ED106"/>
    <mergeCell ref="EE106:EQ106"/>
    <mergeCell ref="ER106:FB106"/>
    <mergeCell ref="FC106:FL106"/>
    <mergeCell ref="FC105:FL105"/>
    <mergeCell ref="A154:BK154"/>
    <mergeCell ref="A127:BK127"/>
    <mergeCell ref="EE126:EQ126"/>
    <mergeCell ref="CR134:DD134"/>
    <mergeCell ref="BT114:CF114"/>
    <mergeCell ref="CR130:DD130"/>
    <mergeCell ref="ER132:FB132"/>
    <mergeCell ref="A109:BK109"/>
    <mergeCell ref="DR123:ED123"/>
    <mergeCell ref="DR124:ED124"/>
    <mergeCell ref="FC208:FL208"/>
    <mergeCell ref="BL202:BS202"/>
    <mergeCell ref="A207:BK207"/>
    <mergeCell ref="DE206:DQ206"/>
    <mergeCell ref="A202:BK202"/>
    <mergeCell ref="EE205:EQ205"/>
    <mergeCell ref="DE205:DQ205"/>
    <mergeCell ref="A181:BK181"/>
    <mergeCell ref="DR181:ED181"/>
    <mergeCell ref="A183:BK183"/>
    <mergeCell ref="BL183:BS183"/>
    <mergeCell ref="BT183:CF183"/>
    <mergeCell ref="CG183:CQ183"/>
    <mergeCell ref="CR183:DD183"/>
    <mergeCell ref="DR186:ED186"/>
    <mergeCell ref="DR182:ED182"/>
    <mergeCell ref="BL188:BS188"/>
    <mergeCell ref="BT188:CF188"/>
    <mergeCell ref="CG188:CQ188"/>
    <mergeCell ref="CR193:DD193"/>
    <mergeCell ref="BL182:BS182"/>
    <mergeCell ref="A187:BK187"/>
    <mergeCell ref="FC198:FL198"/>
    <mergeCell ref="ER198:FB198"/>
    <mergeCell ref="FC203:FL203"/>
    <mergeCell ref="FC202:FL202"/>
    <mergeCell ref="DR203:ED203"/>
    <mergeCell ref="A192:BK192"/>
    <mergeCell ref="CG194:CQ195"/>
    <mergeCell ref="DE194:DQ194"/>
    <mergeCell ref="DE195:DQ195"/>
    <mergeCell ref="A190:BK190"/>
    <mergeCell ref="A213:BK213"/>
    <mergeCell ref="BL213:BS213"/>
    <mergeCell ref="BT213:CF213"/>
    <mergeCell ref="CG213:CQ213"/>
    <mergeCell ref="ER213:FB213"/>
    <mergeCell ref="FC213:FL213"/>
    <mergeCell ref="A211:BK211"/>
    <mergeCell ref="BL211:BS211"/>
    <mergeCell ref="A210:BK210"/>
    <mergeCell ref="A217:BK217"/>
    <mergeCell ref="BL217:BS217"/>
    <mergeCell ref="BT217:CF217"/>
    <mergeCell ref="ER214:FB214"/>
    <mergeCell ref="EE216:EQ216"/>
    <mergeCell ref="ER216:FB216"/>
    <mergeCell ref="ER218:FB218"/>
    <mergeCell ref="CG217:CQ217"/>
    <mergeCell ref="CR217:DD217"/>
    <mergeCell ref="DE217:DQ217"/>
    <mergeCell ref="CG211:CQ211"/>
    <mergeCell ref="CR211:DD211"/>
    <mergeCell ref="CR213:DD213"/>
    <mergeCell ref="DE213:DQ213"/>
    <mergeCell ref="FC214:FL214"/>
    <mergeCell ref="EE214:EQ214"/>
    <mergeCell ref="FC216:FL216"/>
    <mergeCell ref="BL222:BS222"/>
    <mergeCell ref="BT222:CF222"/>
    <mergeCell ref="CG222:CQ222"/>
    <mergeCell ref="CR222:DD222"/>
    <mergeCell ref="DE222:DQ222"/>
    <mergeCell ref="DR222:ED222"/>
    <mergeCell ref="EE222:EQ222"/>
    <mergeCell ref="ER222:FB222"/>
    <mergeCell ref="FC222:FL222"/>
    <mergeCell ref="FC217:FL217"/>
    <mergeCell ref="A218:BK218"/>
    <mergeCell ref="CG218:CQ218"/>
    <mergeCell ref="CR218:DD218"/>
    <mergeCell ref="DE218:DQ218"/>
    <mergeCell ref="DR218:ED218"/>
    <mergeCell ref="EE218:EQ218"/>
    <mergeCell ref="A223:BK223"/>
    <mergeCell ref="BL223:BS223"/>
    <mergeCell ref="BT223:CF223"/>
    <mergeCell ref="CG223:CQ223"/>
    <mergeCell ref="CR223:DD223"/>
    <mergeCell ref="DE223:DQ223"/>
    <mergeCell ref="DR223:ED223"/>
    <mergeCell ref="EE223:EQ223"/>
    <mergeCell ref="ER223:FB223"/>
    <mergeCell ref="FC223:FL223"/>
    <mergeCell ref="BT219:CF219"/>
    <mergeCell ref="CG219:CQ219"/>
    <mergeCell ref="DE219:DQ219"/>
    <mergeCell ref="EE220:EQ220"/>
    <mergeCell ref="ER220:FB220"/>
    <mergeCell ref="FC220:FL220"/>
    <mergeCell ref="BL229:BS229"/>
    <mergeCell ref="CG229:CQ229"/>
    <mergeCell ref="CR229:DD229"/>
    <mergeCell ref="A224:BK224"/>
    <mergeCell ref="BL224:BS224"/>
    <mergeCell ref="BT224:CF224"/>
    <mergeCell ref="CG224:CQ224"/>
    <mergeCell ref="CR224:DD224"/>
    <mergeCell ref="DE224:DQ224"/>
    <mergeCell ref="DR224:ED224"/>
    <mergeCell ref="EE224:EQ224"/>
    <mergeCell ref="ER224:FB224"/>
    <mergeCell ref="FC224:FL224"/>
    <mergeCell ref="A225:BK225"/>
    <mergeCell ref="BL225:BS225"/>
    <mergeCell ref="BT225:CF225"/>
    <mergeCell ref="CG225:CQ225"/>
    <mergeCell ref="CR225:DD225"/>
    <mergeCell ref="DE225:DQ225"/>
    <mergeCell ref="DR225:ED225"/>
    <mergeCell ref="EE225:EQ225"/>
    <mergeCell ref="ER225:FB225"/>
    <mergeCell ref="A228:BK228"/>
    <mergeCell ref="FC227:FL227"/>
    <mergeCell ref="DE229:DQ229"/>
    <mergeCell ref="DR229:ED229"/>
    <mergeCell ref="EE229:EQ229"/>
    <mergeCell ref="ER229:FB229"/>
    <mergeCell ref="FC229:FL229"/>
    <mergeCell ref="A233:BK233"/>
    <mergeCell ref="BL233:BS233"/>
    <mergeCell ref="BT233:CF233"/>
    <mergeCell ref="CG233:CQ233"/>
    <mergeCell ref="CR233:DD233"/>
    <mergeCell ref="DE233:DQ233"/>
    <mergeCell ref="DR233:ED233"/>
    <mergeCell ref="EE233:EQ233"/>
    <mergeCell ref="BL228:BS228"/>
    <mergeCell ref="BT228:CF228"/>
    <mergeCell ref="CG228:CQ228"/>
    <mergeCell ref="ER230:FB230"/>
    <mergeCell ref="FC230:FL230"/>
    <mergeCell ref="BL230:BS230"/>
    <mergeCell ref="BT229:CF229"/>
    <mergeCell ref="A229:BK229"/>
    <mergeCell ref="BL226:BS226"/>
    <mergeCell ref="BT226:CF226"/>
    <mergeCell ref="CG226:CQ226"/>
    <mergeCell ref="CR226:DD226"/>
    <mergeCell ref="DE226:DQ226"/>
    <mergeCell ref="DR226:ED226"/>
    <mergeCell ref="EE226:EQ226"/>
    <mergeCell ref="ER226:FB226"/>
    <mergeCell ref="FC226:FL226"/>
    <mergeCell ref="A227:BK227"/>
    <mergeCell ref="BL227:BS227"/>
    <mergeCell ref="CR227:DD227"/>
    <mergeCell ref="DE227:DQ227"/>
    <mergeCell ref="DR227:ED227"/>
    <mergeCell ref="EE227:EQ227"/>
    <mergeCell ref="ER227:FB227"/>
    <mergeCell ref="A236:BK236"/>
    <mergeCell ref="BL236:BS236"/>
    <mergeCell ref="BT236:CF236"/>
    <mergeCell ref="CG236:CQ236"/>
    <mergeCell ref="CR236:DD236"/>
    <mergeCell ref="DE236:DQ236"/>
    <mergeCell ref="DE234:DQ234"/>
    <mergeCell ref="DR234:ED234"/>
    <mergeCell ref="DR228:ED228"/>
    <mergeCell ref="EE228:EQ228"/>
    <mergeCell ref="ER228:FB228"/>
    <mergeCell ref="FC228:FL228"/>
    <mergeCell ref="DR219:ED219"/>
    <mergeCell ref="EE219:EQ219"/>
    <mergeCell ref="ER219:FB219"/>
    <mergeCell ref="FC219:FL219"/>
    <mergeCell ref="FC225:FL225"/>
    <mergeCell ref="DR221:ED221"/>
    <mergeCell ref="EE221:EQ221"/>
    <mergeCell ref="ER221:FB221"/>
    <mergeCell ref="FC221:FL221"/>
    <mergeCell ref="EE231:EQ231"/>
    <mergeCell ref="ER231:FB231"/>
    <mergeCell ref="FC231:FL231"/>
    <mergeCell ref="CR228:DD228"/>
    <mergeCell ref="DE228:DQ228"/>
    <mergeCell ref="A232:BK232"/>
    <mergeCell ref="BL232:BS232"/>
    <mergeCell ref="FC233:FL233"/>
    <mergeCell ref="ER236:FB236"/>
    <mergeCell ref="FC236:FL236"/>
    <mergeCell ref="A226:BK226"/>
    <mergeCell ref="DR213:ED213"/>
    <mergeCell ref="EE213:EQ213"/>
    <mergeCell ref="FC210:FL210"/>
    <mergeCell ref="DR217:ED217"/>
    <mergeCell ref="EE217:EQ217"/>
    <mergeCell ref="ER217:FB217"/>
    <mergeCell ref="DE216:DQ216"/>
    <mergeCell ref="CR288:DD288"/>
    <mergeCell ref="DE288:DQ288"/>
    <mergeCell ref="DR288:ED288"/>
    <mergeCell ref="EE288:EQ288"/>
    <mergeCell ref="ER288:FB288"/>
    <mergeCell ref="DR285:ED285"/>
    <mergeCell ref="EE285:EQ285"/>
    <mergeCell ref="ER285:FB285"/>
    <mergeCell ref="DE211:DQ211"/>
    <mergeCell ref="DR211:ED211"/>
    <mergeCell ref="EE211:EQ211"/>
    <mergeCell ref="ER211:FB211"/>
    <mergeCell ref="FC211:FL211"/>
    <mergeCell ref="CR212:DD212"/>
    <mergeCell ref="DE212:DQ212"/>
    <mergeCell ref="DR212:ED212"/>
    <mergeCell ref="EE212:EQ212"/>
    <mergeCell ref="CR231:DD231"/>
    <mergeCell ref="DE231:DQ231"/>
    <mergeCell ref="DR231:ED231"/>
    <mergeCell ref="ER233:FB233"/>
    <mergeCell ref="FC234:FL234"/>
    <mergeCell ref="CR234:DD234"/>
    <mergeCell ref="CR219:DD219"/>
    <mergeCell ref="FC218:FL218"/>
    <mergeCell ref="A273:BK273"/>
    <mergeCell ref="BL273:BS273"/>
    <mergeCell ref="BT273:CF273"/>
    <mergeCell ref="CG273:CQ273"/>
    <mergeCell ref="CR273:DD273"/>
    <mergeCell ref="ER295:FB295"/>
    <mergeCell ref="FC295:FL295"/>
    <mergeCell ref="A231:BK231"/>
    <mergeCell ref="BL231:BS231"/>
    <mergeCell ref="BT231:CF231"/>
    <mergeCell ref="CG231:CQ231"/>
    <mergeCell ref="BT284:CF284"/>
    <mergeCell ref="CG284:CQ284"/>
    <mergeCell ref="CR284:DD284"/>
    <mergeCell ref="DE284:DQ284"/>
    <mergeCell ref="DR284:ED284"/>
    <mergeCell ref="EE284:EQ284"/>
    <mergeCell ref="ER284:FB284"/>
    <mergeCell ref="DE273:DQ273"/>
    <mergeCell ref="DR273:ED273"/>
    <mergeCell ref="EE273:EQ273"/>
    <mergeCell ref="ER273:FB273"/>
    <mergeCell ref="FC284:FL284"/>
    <mergeCell ref="CR290:DD290"/>
    <mergeCell ref="DR291:ED291"/>
    <mergeCell ref="EE291:EQ291"/>
    <mergeCell ref="DE289:DQ289"/>
    <mergeCell ref="DR289:ED289"/>
    <mergeCell ref="EE287:EQ287"/>
    <mergeCell ref="DE242:DQ242"/>
    <mergeCell ref="DR242:ED242"/>
    <mergeCell ref="EE242:EQ242"/>
    <mergeCell ref="A289:BK289"/>
    <mergeCell ref="BL289:BS289"/>
    <mergeCell ref="BT289:CF289"/>
    <mergeCell ref="FC288:FL288"/>
    <mergeCell ref="BT283:CF283"/>
    <mergeCell ref="CG283:CQ283"/>
    <mergeCell ref="CR283:DD283"/>
    <mergeCell ref="BT349:CF349"/>
    <mergeCell ref="CG349:CQ349"/>
    <mergeCell ref="CR349:DD349"/>
    <mergeCell ref="DE349:DQ349"/>
    <mergeCell ref="DR349:ED349"/>
    <mergeCell ref="EE349:EQ349"/>
    <mergeCell ref="ER349:FB349"/>
    <mergeCell ref="EE348:EQ348"/>
    <mergeCell ref="CR342:DD342"/>
    <mergeCell ref="DE342:DQ342"/>
    <mergeCell ref="DR342:ED342"/>
    <mergeCell ref="EE342:EQ342"/>
    <mergeCell ref="ER342:FB342"/>
    <mergeCell ref="A342:BK342"/>
    <mergeCell ref="A300:BK300"/>
    <mergeCell ref="BL300:BS300"/>
    <mergeCell ref="BT300:CF300"/>
    <mergeCell ref="CG300:CQ300"/>
    <mergeCell ref="CR300:DD300"/>
    <mergeCell ref="DE300:DQ300"/>
    <mergeCell ref="DR300:ED300"/>
    <mergeCell ref="EE300:EQ300"/>
    <mergeCell ref="ER300:FB300"/>
    <mergeCell ref="DR346:ED346"/>
    <mergeCell ref="BL287:BS287"/>
    <mergeCell ref="BT302:CF302"/>
    <mergeCell ref="CG302:CQ302"/>
    <mergeCell ref="CR302:DD302"/>
    <mergeCell ref="CG353:CQ353"/>
    <mergeCell ref="CR353:DD353"/>
    <mergeCell ref="FC377:FL377"/>
    <mergeCell ref="A374:BK374"/>
    <mergeCell ref="BL374:BS374"/>
    <mergeCell ref="BT374:CF374"/>
    <mergeCell ref="CG374:CQ374"/>
    <mergeCell ref="ER374:FB374"/>
    <mergeCell ref="A351:BK351"/>
    <mergeCell ref="BL351:BS351"/>
    <mergeCell ref="DE347:DQ347"/>
    <mergeCell ref="DR347:ED347"/>
    <mergeCell ref="CR374:DD374"/>
    <mergeCell ref="DE374:DQ374"/>
    <mergeCell ref="DR374:ED374"/>
    <mergeCell ref="ER350:FB350"/>
    <mergeCell ref="BL342:BS342"/>
    <mergeCell ref="DE353:DQ353"/>
    <mergeCell ref="DR353:ED353"/>
    <mergeCell ref="EE353:EQ353"/>
    <mergeCell ref="FC349:FL349"/>
    <mergeCell ref="BL349:BS349"/>
    <mergeCell ref="CG377:CQ377"/>
    <mergeCell ref="FC348:FL348"/>
    <mergeCell ref="CR344:DD344"/>
    <mergeCell ref="DE344:DQ344"/>
    <mergeCell ref="EE346:EQ346"/>
    <mergeCell ref="ER346:FB346"/>
    <mergeCell ref="A346:BK346"/>
    <mergeCell ref="ER353:FB353"/>
    <mergeCell ref="A357:BK357"/>
    <mergeCell ref="BL357:BS357"/>
    <mergeCell ref="BT357:CF357"/>
    <mergeCell ref="CG357:CQ357"/>
    <mergeCell ref="CR357:DD357"/>
    <mergeCell ref="DE357:DQ357"/>
    <mergeCell ref="DR357:ED357"/>
    <mergeCell ref="EE357:EQ357"/>
    <mergeCell ref="ER357:FB357"/>
    <mergeCell ref="FC357:FL357"/>
    <mergeCell ref="DR361:ED361"/>
    <mergeCell ref="EE295:EQ295"/>
    <mergeCell ref="CG296:CQ296"/>
    <mergeCell ref="BL385:BS385"/>
    <mergeCell ref="BT385:CF385"/>
    <mergeCell ref="DE343:DQ343"/>
    <mergeCell ref="CG345:CQ345"/>
    <mergeCell ref="DR345:ED345"/>
    <mergeCell ref="EE345:EQ345"/>
    <mergeCell ref="ER383:FB383"/>
    <mergeCell ref="FC353:FL353"/>
    <mergeCell ref="A356:BK356"/>
    <mergeCell ref="BL356:BS356"/>
    <mergeCell ref="BT356:CF356"/>
    <mergeCell ref="CG356:CQ356"/>
    <mergeCell ref="CR356:DD356"/>
    <mergeCell ref="DE356:DQ356"/>
    <mergeCell ref="DR356:ED356"/>
    <mergeCell ref="EE356:EQ356"/>
    <mergeCell ref="ER356:FB356"/>
    <mergeCell ref="FC356:FL356"/>
    <mergeCell ref="A305:BK305"/>
    <mergeCell ref="BL305:BS305"/>
    <mergeCell ref="BT305:CF305"/>
    <mergeCell ref="DR306:ED306"/>
    <mergeCell ref="EE306:EQ306"/>
    <mergeCell ref="A353:BK353"/>
    <mergeCell ref="BL353:BS353"/>
    <mergeCell ref="BT353:CF353"/>
    <mergeCell ref="CR304:DD304"/>
    <mergeCell ref="DE304:DQ304"/>
    <mergeCell ref="FC273:FL273"/>
    <mergeCell ref="A299:BK299"/>
    <mergeCell ref="BL299:BS299"/>
    <mergeCell ref="BT299:CF299"/>
    <mergeCell ref="CG299:CQ299"/>
    <mergeCell ref="CR299:DD299"/>
    <mergeCell ref="DE299:DQ299"/>
    <mergeCell ref="DR299:ED299"/>
    <mergeCell ref="EE299:EQ299"/>
    <mergeCell ref="ER299:FB299"/>
    <mergeCell ref="FC299:FL299"/>
    <mergeCell ref="DR297:ED297"/>
    <mergeCell ref="EE297:EQ297"/>
    <mergeCell ref="ER297:FB297"/>
    <mergeCell ref="FC297:FL297"/>
    <mergeCell ref="A291:BK291"/>
    <mergeCell ref="BL291:BS291"/>
    <mergeCell ref="BT291:CF291"/>
    <mergeCell ref="CG291:CQ291"/>
    <mergeCell ref="A295:BK295"/>
    <mergeCell ref="BL295:BS295"/>
    <mergeCell ref="BT295:CF295"/>
    <mergeCell ref="BL304:BS304"/>
    <mergeCell ref="BT304:CF304"/>
    <mergeCell ref="CG304:CQ304"/>
    <mergeCell ref="DR304:ED304"/>
    <mergeCell ref="FC302:FL302"/>
    <mergeCell ref="A301:BK301"/>
    <mergeCell ref="BL301:BS301"/>
    <mergeCell ref="BT301:CF301"/>
    <mergeCell ref="CG301:CQ301"/>
    <mergeCell ref="CR301:DD301"/>
    <mergeCell ref="DE301:DQ301"/>
    <mergeCell ref="DR301:ED301"/>
    <mergeCell ref="EE301:EQ301"/>
    <mergeCell ref="ER301:FB301"/>
    <mergeCell ref="FC301:FL301"/>
    <mergeCell ref="A303:BK303"/>
    <mergeCell ref="BL303:BS303"/>
    <mergeCell ref="BT303:CF303"/>
    <mergeCell ref="CG303:CQ303"/>
    <mergeCell ref="CR303:DD303"/>
    <mergeCell ref="DE303:DQ303"/>
    <mergeCell ref="DR303:ED303"/>
    <mergeCell ref="EE303:EQ303"/>
    <mergeCell ref="ER303:FB303"/>
    <mergeCell ref="FC303:FL303"/>
    <mergeCell ref="A304:BK304"/>
    <mergeCell ref="DE302:DQ302"/>
    <mergeCell ref="DR302:ED302"/>
    <mergeCell ref="EE302:EQ302"/>
    <mergeCell ref="ER302:FB302"/>
    <mergeCell ref="A302:BK302"/>
    <mergeCell ref="BL302:BS302"/>
    <mergeCell ref="A317:BK317"/>
    <mergeCell ref="BL317:BS317"/>
    <mergeCell ref="BT317:CF317"/>
    <mergeCell ref="CG317:CQ317"/>
    <mergeCell ref="CR317:DD317"/>
    <mergeCell ref="DE317:DQ317"/>
    <mergeCell ref="DR317:ED317"/>
    <mergeCell ref="A307:BK307"/>
    <mergeCell ref="FC309:FL309"/>
    <mergeCell ref="FC306:FL306"/>
    <mergeCell ref="A306:BK306"/>
    <mergeCell ref="BL306:BS306"/>
    <mergeCell ref="BT306:CF306"/>
    <mergeCell ref="BT309:CF309"/>
    <mergeCell ref="CG309:CQ309"/>
    <mergeCell ref="CR309:DD309"/>
    <mergeCell ref="DE309:DQ309"/>
    <mergeCell ref="DR309:ED309"/>
    <mergeCell ref="EE309:EQ309"/>
    <mergeCell ref="ER309:FB309"/>
    <mergeCell ref="DE315:DQ315"/>
    <mergeCell ref="DR315:ED315"/>
    <mergeCell ref="EE315:EQ315"/>
    <mergeCell ref="ER315:FB315"/>
    <mergeCell ref="FC315:FL315"/>
    <mergeCell ref="A313:BK313"/>
    <mergeCell ref="EE317:EQ317"/>
    <mergeCell ref="ER317:FB317"/>
    <mergeCell ref="FC313:FL313"/>
    <mergeCell ref="A314:BK314"/>
    <mergeCell ref="BL314:BS314"/>
    <mergeCell ref="BT314:CF314"/>
    <mergeCell ref="A318:BK318"/>
    <mergeCell ref="BL318:BS318"/>
    <mergeCell ref="BT318:CF318"/>
    <mergeCell ref="CG318:CQ318"/>
    <mergeCell ref="CR318:DD318"/>
    <mergeCell ref="DE318:DQ318"/>
    <mergeCell ref="DE310:DQ310"/>
    <mergeCell ref="DR310:ED310"/>
    <mergeCell ref="EE310:EQ310"/>
    <mergeCell ref="ER310:FB310"/>
    <mergeCell ref="FC310:FL310"/>
    <mergeCell ref="A311:BK311"/>
    <mergeCell ref="BL311:BS311"/>
    <mergeCell ref="BT311:CF311"/>
    <mergeCell ref="CG311:CQ311"/>
    <mergeCell ref="FC316:FL316"/>
    <mergeCell ref="ER311:FB311"/>
    <mergeCell ref="FC311:FL311"/>
    <mergeCell ref="FC317:FL317"/>
    <mergeCell ref="BT310:CF310"/>
    <mergeCell ref="CG310:CQ310"/>
    <mergeCell ref="CR310:DD310"/>
    <mergeCell ref="A310:BK310"/>
    <mergeCell ref="BL310:BS310"/>
    <mergeCell ref="DR318:ED318"/>
    <mergeCell ref="EE318:EQ318"/>
    <mergeCell ref="ER318:FB318"/>
    <mergeCell ref="FC318:FL318"/>
    <mergeCell ref="BL315:BS315"/>
    <mergeCell ref="BT315:CF315"/>
    <mergeCell ref="CG315:CQ315"/>
    <mergeCell ref="CR315:DD315"/>
    <mergeCell ref="EE340:EQ340"/>
    <mergeCell ref="ER340:FB340"/>
    <mergeCell ref="FC340:FL340"/>
    <mergeCell ref="A341:BK341"/>
    <mergeCell ref="BL341:BS341"/>
    <mergeCell ref="BT341:CF341"/>
    <mergeCell ref="CG341:CQ341"/>
    <mergeCell ref="CR341:DD341"/>
    <mergeCell ref="DE341:DQ341"/>
    <mergeCell ref="DR341:ED341"/>
    <mergeCell ref="EE341:EQ341"/>
    <mergeCell ref="ER341:FB341"/>
    <mergeCell ref="FC341:FL341"/>
    <mergeCell ref="A324:BK324"/>
    <mergeCell ref="BL324:BS324"/>
    <mergeCell ref="BT324:CF324"/>
    <mergeCell ref="CG324:CQ324"/>
    <mergeCell ref="CR324:DD324"/>
    <mergeCell ref="DE324:DQ324"/>
    <mergeCell ref="DR324:ED324"/>
    <mergeCell ref="EE324:EQ324"/>
    <mergeCell ref="ER324:FB324"/>
    <mergeCell ref="FC324:FL324"/>
    <mergeCell ref="A326:BK326"/>
    <mergeCell ref="BL326:BS326"/>
    <mergeCell ref="BT326:CF326"/>
    <mergeCell ref="CG326:CQ326"/>
    <mergeCell ref="CR326:DD326"/>
    <mergeCell ref="DE326:DQ326"/>
    <mergeCell ref="DR326:ED326"/>
    <mergeCell ref="EE326:EQ326"/>
    <mergeCell ref="ER326:FB326"/>
    <mergeCell ref="A319:BK319"/>
    <mergeCell ref="BL319:BS319"/>
    <mergeCell ref="BT319:CF319"/>
    <mergeCell ref="CG319:CQ319"/>
    <mergeCell ref="CR319:DD319"/>
    <mergeCell ref="DE319:DQ319"/>
    <mergeCell ref="DR319:ED319"/>
    <mergeCell ref="EE319:EQ319"/>
    <mergeCell ref="ER319:FB319"/>
    <mergeCell ref="FC319:FL319"/>
    <mergeCell ref="A323:BK323"/>
    <mergeCell ref="BL323:BS323"/>
    <mergeCell ref="BT323:CF323"/>
    <mergeCell ref="CG323:CQ323"/>
    <mergeCell ref="CR323:DD323"/>
    <mergeCell ref="DE323:DQ323"/>
    <mergeCell ref="DR323:ED323"/>
    <mergeCell ref="EE323:EQ323"/>
    <mergeCell ref="BT322:CF322"/>
    <mergeCell ref="CG322:CQ322"/>
    <mergeCell ref="A320:BK320"/>
    <mergeCell ref="BL320:BS320"/>
    <mergeCell ref="BT320:CF320"/>
    <mergeCell ref="CG320:CQ320"/>
    <mergeCell ref="CR320:DD320"/>
    <mergeCell ref="DE320:DQ320"/>
    <mergeCell ref="DR320:ED320"/>
    <mergeCell ref="EE320:EQ320"/>
    <mergeCell ref="FC326:FL326"/>
    <mergeCell ref="FC320:FL320"/>
    <mergeCell ref="A321:BK321"/>
    <mergeCell ref="BL321:BS321"/>
    <mergeCell ref="BT321:CF321"/>
    <mergeCell ref="CG321:CQ321"/>
    <mergeCell ref="CR321:DD321"/>
    <mergeCell ref="DE321:DQ321"/>
    <mergeCell ref="DR321:ED321"/>
    <mergeCell ref="EE321:EQ321"/>
    <mergeCell ref="ER321:FB321"/>
    <mergeCell ref="FC321:FL321"/>
    <mergeCell ref="A322:BK322"/>
    <mergeCell ref="BL322:BS322"/>
    <mergeCell ref="CR322:DD322"/>
    <mergeCell ref="DE322:DQ322"/>
    <mergeCell ref="DR322:ED322"/>
    <mergeCell ref="EE322:EQ322"/>
    <mergeCell ref="ER322:FB322"/>
    <mergeCell ref="FC322:FL322"/>
    <mergeCell ref="ER320:FB320"/>
    <mergeCell ref="ER323:FB323"/>
    <mergeCell ref="FC323:FL323"/>
    <mergeCell ref="A325:BK325"/>
    <mergeCell ref="BL325:BS325"/>
    <mergeCell ref="BT325:CF325"/>
    <mergeCell ref="CG325:CQ325"/>
    <mergeCell ref="CR325:DD325"/>
    <mergeCell ref="DE325:DQ325"/>
    <mergeCell ref="DR325:ED325"/>
    <mergeCell ref="EE325:EQ325"/>
    <mergeCell ref="ER325:FB325"/>
    <mergeCell ref="FC325:FL325"/>
    <mergeCell ref="FC296:FL296"/>
    <mergeCell ref="A297:BK297"/>
    <mergeCell ref="BL297:BS297"/>
    <mergeCell ref="BT297:CF297"/>
    <mergeCell ref="CG297:CQ297"/>
    <mergeCell ref="CR297:DD297"/>
    <mergeCell ref="DE297:DQ297"/>
    <mergeCell ref="BL307:BS307"/>
    <mergeCell ref="BT307:CF307"/>
    <mergeCell ref="CG307:CQ307"/>
    <mergeCell ref="A308:BK308"/>
    <mergeCell ref="BL308:BS308"/>
    <mergeCell ref="BT308:CF308"/>
    <mergeCell ref="CG308:CQ308"/>
    <mergeCell ref="CR308:DD308"/>
    <mergeCell ref="DE308:DQ308"/>
    <mergeCell ref="DR308:ED308"/>
    <mergeCell ref="EE308:EQ308"/>
    <mergeCell ref="ER308:FB308"/>
    <mergeCell ref="FC308:FL308"/>
    <mergeCell ref="A309:BK309"/>
    <mergeCell ref="BL309:BS309"/>
    <mergeCell ref="A315:BK315"/>
    <mergeCell ref="BL313:BS313"/>
    <mergeCell ref="BT313:CF313"/>
    <mergeCell ref="CG313:CQ313"/>
    <mergeCell ref="CR313:DD313"/>
    <mergeCell ref="DE313:DQ313"/>
    <mergeCell ref="DR313:ED313"/>
    <mergeCell ref="EE313:EQ313"/>
    <mergeCell ref="ER313:FB313"/>
    <mergeCell ref="A329:BK329"/>
    <mergeCell ref="BL329:BS329"/>
    <mergeCell ref="BT329:CF329"/>
    <mergeCell ref="CG329:CQ329"/>
    <mergeCell ref="CR329:DD329"/>
    <mergeCell ref="DE329:DQ329"/>
    <mergeCell ref="DR329:ED329"/>
    <mergeCell ref="EE329:EQ329"/>
    <mergeCell ref="ER329:FB329"/>
    <mergeCell ref="FC329:FL329"/>
    <mergeCell ref="A327:BK327"/>
    <mergeCell ref="BL327:BS327"/>
    <mergeCell ref="BT327:CF327"/>
    <mergeCell ref="CG327:CQ327"/>
    <mergeCell ref="CR327:DD327"/>
    <mergeCell ref="DE327:DQ327"/>
    <mergeCell ref="DR327:ED327"/>
    <mergeCell ref="EE327:EQ327"/>
    <mergeCell ref="ER327:FB327"/>
    <mergeCell ref="FC327:FL327"/>
    <mergeCell ref="A328:BK328"/>
    <mergeCell ref="BL328:BS328"/>
    <mergeCell ref="BT328:CF328"/>
    <mergeCell ref="CG328:CQ328"/>
    <mergeCell ref="CR328:DD328"/>
    <mergeCell ref="DE328:DQ328"/>
    <mergeCell ref="DR328:ED328"/>
    <mergeCell ref="EE328:EQ328"/>
    <mergeCell ref="ER328:FB328"/>
    <mergeCell ref="FC328:FL328"/>
    <mergeCell ref="EE338:EQ338"/>
    <mergeCell ref="ER338:FB338"/>
    <mergeCell ref="FC338:FL338"/>
    <mergeCell ref="ER291:FB291"/>
    <mergeCell ref="FC291:FL291"/>
    <mergeCell ref="A292:BK292"/>
    <mergeCell ref="BL292:BS292"/>
    <mergeCell ref="BT292:CF292"/>
    <mergeCell ref="CG292:CQ292"/>
    <mergeCell ref="CR292:DD292"/>
    <mergeCell ref="DE292:DQ292"/>
    <mergeCell ref="DR292:ED292"/>
    <mergeCell ref="EE292:EQ292"/>
    <mergeCell ref="ER292:FB292"/>
    <mergeCell ref="FC292:FL292"/>
    <mergeCell ref="A293:BK293"/>
    <mergeCell ref="BL293:BS293"/>
    <mergeCell ref="BT293:CF293"/>
    <mergeCell ref="CG293:CQ293"/>
    <mergeCell ref="CR293:DD293"/>
    <mergeCell ref="DE293:DQ293"/>
    <mergeCell ref="DR293:ED293"/>
    <mergeCell ref="EE293:EQ293"/>
    <mergeCell ref="ER293:FB293"/>
    <mergeCell ref="FC293:FL293"/>
    <mergeCell ref="CR311:DD311"/>
    <mergeCell ref="DE311:DQ311"/>
    <mergeCell ref="DR311:ED311"/>
    <mergeCell ref="EE311:EQ311"/>
    <mergeCell ref="A296:BK296"/>
    <mergeCell ref="BL296:BS296"/>
    <mergeCell ref="BT296:CF296"/>
    <mergeCell ref="BT336:CF336"/>
    <mergeCell ref="CG336:CQ336"/>
    <mergeCell ref="CR336:DD336"/>
    <mergeCell ref="DE336:DQ336"/>
    <mergeCell ref="DR336:ED336"/>
    <mergeCell ref="EE336:EQ336"/>
    <mergeCell ref="ER336:FB336"/>
    <mergeCell ref="FC336:FL336"/>
    <mergeCell ref="A339:BK339"/>
    <mergeCell ref="BL339:BS339"/>
    <mergeCell ref="BT339:CF339"/>
    <mergeCell ref="CG339:CQ339"/>
    <mergeCell ref="CR339:DD339"/>
    <mergeCell ref="DE339:DQ339"/>
    <mergeCell ref="DR339:ED339"/>
    <mergeCell ref="EE339:EQ339"/>
    <mergeCell ref="ER339:FB339"/>
    <mergeCell ref="FC339:FL339"/>
    <mergeCell ref="A337:BK337"/>
    <mergeCell ref="BL337:BS337"/>
    <mergeCell ref="BT337:CF337"/>
    <mergeCell ref="CG337:CQ337"/>
    <mergeCell ref="CR337:DD337"/>
    <mergeCell ref="DE337:DQ337"/>
    <mergeCell ref="DR337:ED337"/>
    <mergeCell ref="EE337:EQ337"/>
    <mergeCell ref="ER337:FB337"/>
    <mergeCell ref="FC337:FL337"/>
    <mergeCell ref="A338:BK338"/>
    <mergeCell ref="CR338:DD338"/>
    <mergeCell ref="DE338:DQ338"/>
    <mergeCell ref="DR338:ED338"/>
    <mergeCell ref="A330:BK330"/>
    <mergeCell ref="BL330:BS330"/>
    <mergeCell ref="BT330:CF330"/>
    <mergeCell ref="CG330:CQ330"/>
    <mergeCell ref="CR330:DD330"/>
    <mergeCell ref="DE330:DQ330"/>
    <mergeCell ref="DR330:ED330"/>
    <mergeCell ref="EE330:EQ330"/>
    <mergeCell ref="ER330:FB330"/>
    <mergeCell ref="FC330:FL330"/>
    <mergeCell ref="A331:BK331"/>
    <mergeCell ref="BL331:BS331"/>
    <mergeCell ref="BT331:CF331"/>
    <mergeCell ref="CG331:CQ331"/>
    <mergeCell ref="CR331:DD331"/>
    <mergeCell ref="DE331:DQ331"/>
    <mergeCell ref="DR331:ED331"/>
    <mergeCell ref="EE331:EQ331"/>
    <mergeCell ref="ER331:FB331"/>
    <mergeCell ref="FC331:FL331"/>
    <mergeCell ref="FC332:FL332"/>
    <mergeCell ref="A333:BK333"/>
    <mergeCell ref="BL333:BS333"/>
    <mergeCell ref="BT333:CF333"/>
    <mergeCell ref="CG333:CQ333"/>
    <mergeCell ref="CR333:DD333"/>
    <mergeCell ref="DE333:DQ333"/>
    <mergeCell ref="DR333:ED333"/>
    <mergeCell ref="EE333:EQ333"/>
    <mergeCell ref="ER333:FB333"/>
    <mergeCell ref="FC333:FL333"/>
    <mergeCell ref="A334:BK334"/>
    <mergeCell ref="BL334:BS334"/>
    <mergeCell ref="BT334:CF334"/>
    <mergeCell ref="CG334:CQ334"/>
    <mergeCell ref="CR334:DD334"/>
    <mergeCell ref="DE334:DQ334"/>
    <mergeCell ref="DR334:ED334"/>
    <mergeCell ref="EE334:EQ334"/>
    <mergeCell ref="ER334:FB334"/>
    <mergeCell ref="FC334:FL334"/>
    <mergeCell ref="A332:BK332"/>
    <mergeCell ref="BL332:BS332"/>
    <mergeCell ref="BT332:CF332"/>
    <mergeCell ref="CG332:CQ332"/>
    <mergeCell ref="CR332:DD332"/>
    <mergeCell ref="DE332:DQ332"/>
    <mergeCell ref="DR332:ED332"/>
    <mergeCell ref="EE332:EQ332"/>
    <mergeCell ref="ER332:FB332"/>
    <mergeCell ref="A335:BK335"/>
    <mergeCell ref="BL335:BS335"/>
    <mergeCell ref="BT335:CF335"/>
    <mergeCell ref="CG335:CQ335"/>
    <mergeCell ref="CR335:DD335"/>
    <mergeCell ref="DE335:DQ335"/>
    <mergeCell ref="DR335:ED335"/>
    <mergeCell ref="EE335:EQ335"/>
    <mergeCell ref="ER335:FB335"/>
    <mergeCell ref="FC335:FL335"/>
    <mergeCell ref="A336:BK336"/>
    <mergeCell ref="BL336:BS336"/>
    <mergeCell ref="A352:BK352"/>
    <mergeCell ref="BL352:BS352"/>
    <mergeCell ref="BT352:CF352"/>
    <mergeCell ref="CG352:CQ352"/>
    <mergeCell ref="CR352:DD352"/>
    <mergeCell ref="DE352:DQ352"/>
    <mergeCell ref="DR352:ED352"/>
    <mergeCell ref="EE352:EQ352"/>
    <mergeCell ref="ER352:FB352"/>
    <mergeCell ref="FC352:FL352"/>
    <mergeCell ref="BL338:BS338"/>
    <mergeCell ref="BT338:CF338"/>
    <mergeCell ref="CG338:CQ338"/>
    <mergeCell ref="A340:BK340"/>
    <mergeCell ref="BL340:BS340"/>
    <mergeCell ref="BT340:CF340"/>
    <mergeCell ref="CG340:CQ340"/>
    <mergeCell ref="CR340:DD340"/>
    <mergeCell ref="DE340:DQ340"/>
    <mergeCell ref="DR340:ED340"/>
    <mergeCell ref="FC361:FL361"/>
    <mergeCell ref="EE361:EQ361"/>
    <mergeCell ref="ER361:FB361"/>
    <mergeCell ref="A358:BK358"/>
    <mergeCell ref="BL358:BS358"/>
    <mergeCell ref="BT358:CF358"/>
    <mergeCell ref="CG358:CQ358"/>
    <mergeCell ref="CR358:DD358"/>
    <mergeCell ref="DE358:DQ358"/>
    <mergeCell ref="DR358:ED358"/>
    <mergeCell ref="EE358:EQ358"/>
    <mergeCell ref="ER358:FB358"/>
    <mergeCell ref="FC358:FL358"/>
    <mergeCell ref="A359:BK359"/>
    <mergeCell ref="BL359:BS359"/>
    <mergeCell ref="BT359:CF359"/>
    <mergeCell ref="CG359:CQ359"/>
    <mergeCell ref="CR359:DD359"/>
    <mergeCell ref="DE359:DQ359"/>
    <mergeCell ref="DR359:ED359"/>
    <mergeCell ref="EE359:EQ359"/>
    <mergeCell ref="ER359:FB359"/>
    <mergeCell ref="FC359:FL359"/>
    <mergeCell ref="CR368:DD368"/>
    <mergeCell ref="DE368:DQ368"/>
    <mergeCell ref="DR368:ED368"/>
    <mergeCell ref="EE368:EQ368"/>
    <mergeCell ref="ER368:FB368"/>
    <mergeCell ref="FC368:FL368"/>
    <mergeCell ref="A369:BK369"/>
    <mergeCell ref="BL369:BS369"/>
    <mergeCell ref="BT369:CF369"/>
    <mergeCell ref="CG369:CQ369"/>
    <mergeCell ref="CR369:DD369"/>
    <mergeCell ref="DE369:DQ369"/>
    <mergeCell ref="DR369:ED369"/>
    <mergeCell ref="EE369:EQ369"/>
    <mergeCell ref="ER369:FB369"/>
    <mergeCell ref="FC369:FL369"/>
    <mergeCell ref="A360:BK360"/>
    <mergeCell ref="BL360:BS360"/>
    <mergeCell ref="BT360:CF360"/>
    <mergeCell ref="CG360:CQ360"/>
    <mergeCell ref="CR360:DD360"/>
    <mergeCell ref="DE360:DQ360"/>
    <mergeCell ref="DR360:ED360"/>
    <mergeCell ref="EE360:EQ360"/>
    <mergeCell ref="ER360:FB360"/>
    <mergeCell ref="FC360:FL360"/>
    <mergeCell ref="A361:BK361"/>
    <mergeCell ref="BL361:BS361"/>
    <mergeCell ref="BT361:CF361"/>
    <mergeCell ref="CG361:CQ361"/>
    <mergeCell ref="CR361:DD361"/>
    <mergeCell ref="DE361:DQ361"/>
    <mergeCell ref="A354:BK354"/>
    <mergeCell ref="BL354:BS354"/>
    <mergeCell ref="BT354:CF354"/>
    <mergeCell ref="CG354:CQ354"/>
    <mergeCell ref="CR354:DD354"/>
    <mergeCell ref="DE354:DQ354"/>
    <mergeCell ref="DR354:ED354"/>
    <mergeCell ref="EE354:EQ354"/>
    <mergeCell ref="ER354:FB354"/>
    <mergeCell ref="FC354:FL354"/>
    <mergeCell ref="A355:BK355"/>
    <mergeCell ref="BL355:BS355"/>
    <mergeCell ref="BT355:CF355"/>
    <mergeCell ref="CG355:CQ355"/>
    <mergeCell ref="CR355:DD355"/>
    <mergeCell ref="DE355:DQ355"/>
    <mergeCell ref="DR355:ED355"/>
    <mergeCell ref="EE355:EQ355"/>
    <mergeCell ref="ER355:FB355"/>
    <mergeCell ref="FC355:FL355"/>
    <mergeCell ref="BT362:CF362"/>
    <mergeCell ref="CG362:CQ362"/>
    <mergeCell ref="CR362:DD362"/>
    <mergeCell ref="DE362:DQ362"/>
    <mergeCell ref="DR362:ED362"/>
    <mergeCell ref="EE362:EQ362"/>
    <mergeCell ref="ER362:FB362"/>
    <mergeCell ref="FC362:FL362"/>
    <mergeCell ref="A365:BK365"/>
    <mergeCell ref="BL365:BS365"/>
    <mergeCell ref="BT365:CF365"/>
    <mergeCell ref="CG365:CQ365"/>
    <mergeCell ref="CR365:DD365"/>
    <mergeCell ref="DE365:DQ365"/>
    <mergeCell ref="DR365:ED365"/>
    <mergeCell ref="EE365:EQ365"/>
    <mergeCell ref="ER365:FB365"/>
    <mergeCell ref="FC365:FL365"/>
    <mergeCell ref="A362:BK362"/>
    <mergeCell ref="BL362:BS362"/>
    <mergeCell ref="A363:BK363"/>
    <mergeCell ref="BL363:BS363"/>
    <mergeCell ref="BT363:CF363"/>
    <mergeCell ref="CG363:CQ363"/>
    <mergeCell ref="CR363:DD363"/>
    <mergeCell ref="DE363:DQ363"/>
    <mergeCell ref="DR363:ED363"/>
    <mergeCell ref="EE363:EQ363"/>
    <mergeCell ref="ER363:FB363"/>
    <mergeCell ref="FC363:FL363"/>
    <mergeCell ref="A364:BK364"/>
    <mergeCell ref="BL364:BS364"/>
    <mergeCell ref="CR367:DD367"/>
    <mergeCell ref="DE367:DQ367"/>
    <mergeCell ref="DR367:ED367"/>
    <mergeCell ref="EE367:EQ367"/>
    <mergeCell ref="ER367:FB367"/>
    <mergeCell ref="FC367:FL367"/>
    <mergeCell ref="A370:BK370"/>
    <mergeCell ref="CG371:CQ371"/>
    <mergeCell ref="CR371:DD371"/>
    <mergeCell ref="DE371:DQ371"/>
    <mergeCell ref="DR371:ED371"/>
    <mergeCell ref="EE371:EQ371"/>
    <mergeCell ref="ER371:FB371"/>
    <mergeCell ref="FC371:FL371"/>
    <mergeCell ref="A372:BK372"/>
    <mergeCell ref="BL372:BS372"/>
    <mergeCell ref="BT372:CF372"/>
    <mergeCell ref="CG372:CQ372"/>
    <mergeCell ref="CR372:DD372"/>
    <mergeCell ref="DE372:DQ372"/>
    <mergeCell ref="DR372:ED372"/>
    <mergeCell ref="EE372:EQ372"/>
    <mergeCell ref="CR370:DD370"/>
    <mergeCell ref="DE370:DQ370"/>
    <mergeCell ref="DR370:ED370"/>
    <mergeCell ref="EE370:EQ370"/>
    <mergeCell ref="ER370:FB370"/>
    <mergeCell ref="FC370:FL370"/>
    <mergeCell ref="A368:BK368"/>
    <mergeCell ref="BL368:BS368"/>
    <mergeCell ref="BT368:CF368"/>
    <mergeCell ref="CG368:CQ368"/>
    <mergeCell ref="BT364:CF364"/>
    <mergeCell ref="CG364:CQ364"/>
    <mergeCell ref="CR364:DD364"/>
    <mergeCell ref="DE364:DQ364"/>
    <mergeCell ref="DR364:ED364"/>
    <mergeCell ref="EE364:EQ364"/>
    <mergeCell ref="ER364:FB364"/>
    <mergeCell ref="FC364:FL364"/>
    <mergeCell ref="DR190:ED190"/>
    <mergeCell ref="EE190:EQ190"/>
    <mergeCell ref="ER190:FB190"/>
    <mergeCell ref="FC190:FL190"/>
    <mergeCell ref="A191:BK191"/>
    <mergeCell ref="BL191:BS191"/>
    <mergeCell ref="BT191:CF191"/>
    <mergeCell ref="CG191:CQ191"/>
    <mergeCell ref="CR191:DD191"/>
    <mergeCell ref="DE191:DQ191"/>
    <mergeCell ref="DR191:ED191"/>
    <mergeCell ref="EE191:EQ191"/>
    <mergeCell ref="ER191:FB191"/>
    <mergeCell ref="FC191:FL191"/>
    <mergeCell ref="A235:BK235"/>
    <mergeCell ref="BL235:BS235"/>
    <mergeCell ref="BT235:CF235"/>
    <mergeCell ref="CG235:CQ235"/>
    <mergeCell ref="CR235:DD235"/>
    <mergeCell ref="DE235:DQ235"/>
    <mergeCell ref="DR235:ED235"/>
    <mergeCell ref="EE235:EQ235"/>
    <mergeCell ref="ER235:FB235"/>
    <mergeCell ref="FC235:FL235"/>
    <mergeCell ref="FC314:FL314"/>
    <mergeCell ref="CR307:DD307"/>
    <mergeCell ref="DE307:DQ307"/>
    <mergeCell ref="DR307:ED307"/>
    <mergeCell ref="EE307:EQ307"/>
    <mergeCell ref="ER307:FB307"/>
    <mergeCell ref="FC307:FL307"/>
    <mergeCell ref="EE304:EQ304"/>
    <mergeCell ref="ER304:FB304"/>
    <mergeCell ref="FC304:FL304"/>
    <mergeCell ref="CG305:CQ305"/>
    <mergeCell ref="CR305:DD305"/>
    <mergeCell ref="DE305:DQ305"/>
    <mergeCell ref="DR305:ED305"/>
    <mergeCell ref="EE305:EQ305"/>
    <mergeCell ref="ER305:FB305"/>
    <mergeCell ref="FC305:FL305"/>
    <mergeCell ref="DE306:DQ306"/>
    <mergeCell ref="CR306:DD306"/>
    <mergeCell ref="CR295:DD295"/>
    <mergeCell ref="DE295:DQ295"/>
    <mergeCell ref="DR295:ED295"/>
    <mergeCell ref="ER287:FB287"/>
    <mergeCell ref="ER242:FB242"/>
    <mergeCell ref="DE286:DQ286"/>
    <mergeCell ref="DR286:ED286"/>
    <mergeCell ref="EE286:EQ286"/>
    <mergeCell ref="ER286:FB286"/>
    <mergeCell ref="DR283:ED283"/>
    <mergeCell ref="EE283:EQ283"/>
    <mergeCell ref="CG314:CQ314"/>
    <mergeCell ref="CR314:DD314"/>
    <mergeCell ref="DE314:DQ314"/>
    <mergeCell ref="DR314:ED314"/>
    <mergeCell ref="EE314:EQ314"/>
    <mergeCell ref="ER314:FB314"/>
    <mergeCell ref="ER283:FB283"/>
    <mergeCell ref="CR274:DD274"/>
    <mergeCell ref="DE274:DQ274"/>
    <mergeCell ref="DR278:ED278"/>
    <mergeCell ref="EE278:EQ278"/>
    <mergeCell ref="ER243:FB243"/>
    <mergeCell ref="CR263:DD263"/>
    <mergeCell ref="ER262:FB262"/>
    <mergeCell ref="CR285:DD285"/>
    <mergeCell ref="DE285:DQ285"/>
    <mergeCell ref="CG282:CQ282"/>
    <mergeCell ref="CR282:DD282"/>
    <mergeCell ref="DE282:DQ282"/>
    <mergeCell ref="DR282:ED282"/>
    <mergeCell ref="ER282:FB282"/>
    <mergeCell ref="FC290:FL290"/>
    <mergeCell ref="DE290:DQ290"/>
    <mergeCell ref="DR290:ED290"/>
    <mergeCell ref="CR241:DD241"/>
    <mergeCell ref="DE241:DQ241"/>
    <mergeCell ref="DR241:ED241"/>
    <mergeCell ref="EE241:EQ241"/>
    <mergeCell ref="ER241:FB241"/>
    <mergeCell ref="FC241:FL241"/>
    <mergeCell ref="BT239:CF239"/>
    <mergeCell ref="CG239:CQ239"/>
    <mergeCell ref="CR239:DD239"/>
    <mergeCell ref="DE239:DQ239"/>
    <mergeCell ref="DR239:ED239"/>
    <mergeCell ref="EE239:EQ239"/>
    <mergeCell ref="BT287:CF287"/>
    <mergeCell ref="CG287:CQ287"/>
    <mergeCell ref="CR287:DD287"/>
    <mergeCell ref="DE287:DQ287"/>
    <mergeCell ref="FC242:FL242"/>
    <mergeCell ref="FC286:FL286"/>
    <mergeCell ref="FC278:FL278"/>
    <mergeCell ref="ER279:FB279"/>
    <mergeCell ref="FC279:FL279"/>
    <mergeCell ref="DE275:DQ275"/>
    <mergeCell ref="DR275:ED275"/>
    <mergeCell ref="EE275:EQ275"/>
    <mergeCell ref="DE279:DQ279"/>
    <mergeCell ref="DR279:ED279"/>
    <mergeCell ref="EE279:EQ279"/>
    <mergeCell ref="FC271:FL271"/>
    <mergeCell ref="DE245:DQ245"/>
    <mergeCell ref="DE373:DQ373"/>
    <mergeCell ref="DR373:ED373"/>
    <mergeCell ref="EE373:EQ373"/>
    <mergeCell ref="ER373:FB373"/>
    <mergeCell ref="FC373:FL373"/>
    <mergeCell ref="A371:BK371"/>
    <mergeCell ref="BL371:BS371"/>
    <mergeCell ref="BT371:CF371"/>
    <mergeCell ref="BT370:CF370"/>
    <mergeCell ref="CG370:CQ370"/>
    <mergeCell ref="ER306:FB306"/>
    <mergeCell ref="CG306:CQ306"/>
    <mergeCell ref="ER405:FB405"/>
    <mergeCell ref="FC405:FL405"/>
    <mergeCell ref="ER212:FB212"/>
    <mergeCell ref="FC212:FL212"/>
    <mergeCell ref="A402:BK402"/>
    <mergeCell ref="BL402:BS402"/>
    <mergeCell ref="BT402:CF402"/>
    <mergeCell ref="CG402:CQ402"/>
    <mergeCell ref="CR402:DD402"/>
    <mergeCell ref="DE402:DQ402"/>
    <mergeCell ref="DR402:ED402"/>
    <mergeCell ref="EE402:EQ402"/>
    <mergeCell ref="ER402:FB402"/>
    <mergeCell ref="FC402:FL402"/>
    <mergeCell ref="A241:BK241"/>
    <mergeCell ref="BL241:BS241"/>
    <mergeCell ref="BT241:CF241"/>
    <mergeCell ref="CG241:CQ241"/>
    <mergeCell ref="CG295:CQ295"/>
    <mergeCell ref="FC300:FL300"/>
    <mergeCell ref="A366:BK366"/>
    <mergeCell ref="BL366:BS366"/>
    <mergeCell ref="BT366:CF366"/>
    <mergeCell ref="CG366:CQ366"/>
    <mergeCell ref="CR366:DD366"/>
    <mergeCell ref="DE366:DQ366"/>
    <mergeCell ref="DR366:ED366"/>
    <mergeCell ref="EE366:EQ366"/>
    <mergeCell ref="ER366:FB366"/>
    <mergeCell ref="FC366:FL366"/>
    <mergeCell ref="ER239:FB239"/>
    <mergeCell ref="FC239:FL239"/>
    <mergeCell ref="A404:BK404"/>
    <mergeCell ref="BL404:BS404"/>
    <mergeCell ref="BT404:CF404"/>
    <mergeCell ref="CG404:CQ404"/>
    <mergeCell ref="CR404:DD404"/>
    <mergeCell ref="DE404:DQ404"/>
    <mergeCell ref="DR404:ED404"/>
    <mergeCell ref="EE404:EQ404"/>
    <mergeCell ref="ER404:FB404"/>
    <mergeCell ref="FC404:FL404"/>
    <mergeCell ref="BL370:BS370"/>
    <mergeCell ref="BT367:CF367"/>
    <mergeCell ref="CG367:CQ367"/>
    <mergeCell ref="A367:BK367"/>
    <mergeCell ref="BL367:BS367"/>
    <mergeCell ref="A373:BK373"/>
    <mergeCell ref="BL373:BS373"/>
    <mergeCell ref="BT373:CF373"/>
    <mergeCell ref="CG373:CQ373"/>
    <mergeCell ref="CR373:DD373"/>
    <mergeCell ref="DE60:DQ60"/>
    <mergeCell ref="CG60:CQ60"/>
    <mergeCell ref="BT60:CF60"/>
    <mergeCell ref="BL60:BS60"/>
    <mergeCell ref="A60:BK60"/>
    <mergeCell ref="DE58:DQ58"/>
    <mergeCell ref="CR58:DD58"/>
    <mergeCell ref="BT58:CF58"/>
    <mergeCell ref="BL58:BS58"/>
    <mergeCell ref="A58:BK58"/>
    <mergeCell ref="BL56:BS56"/>
    <mergeCell ref="A56:BK56"/>
    <mergeCell ref="A54:BK54"/>
    <mergeCell ref="DR59:ED59"/>
    <mergeCell ref="EE59:EQ59"/>
    <mergeCell ref="A59:BK59"/>
    <mergeCell ref="BL59:BS59"/>
    <mergeCell ref="BT59:CF59"/>
    <mergeCell ref="CG59:CQ59"/>
    <mergeCell ref="CR59:DD59"/>
    <mergeCell ref="DE59:DQ59"/>
    <mergeCell ref="A164:BK164"/>
    <mergeCell ref="BL164:BS164"/>
    <mergeCell ref="BT164:CF164"/>
    <mergeCell ref="CG164:CQ164"/>
    <mergeCell ref="CR164:DD164"/>
    <mergeCell ref="DE164:DQ164"/>
    <mergeCell ref="DR164:ED164"/>
    <mergeCell ref="EE164:EQ164"/>
    <mergeCell ref="ER164:FB164"/>
    <mergeCell ref="FC164:FN164"/>
    <mergeCell ref="A165:BK165"/>
    <mergeCell ref="BL165:BS165"/>
    <mergeCell ref="BT165:CF165"/>
    <mergeCell ref="CG165:CQ165"/>
    <mergeCell ref="CR165:DD165"/>
    <mergeCell ref="DE165:DQ165"/>
    <mergeCell ref="DR165:ED165"/>
    <mergeCell ref="EE165:EQ165"/>
    <mergeCell ref="ER165:FB165"/>
    <mergeCell ref="FC165:FN165"/>
    <mergeCell ref="A424:BK424"/>
    <mergeCell ref="BL424:BS424"/>
    <mergeCell ref="BT424:CF424"/>
    <mergeCell ref="CG424:CQ424"/>
    <mergeCell ref="CR424:DD424"/>
    <mergeCell ref="DE424:DQ424"/>
    <mergeCell ref="DR424:ED424"/>
    <mergeCell ref="EE424:EQ424"/>
    <mergeCell ref="ER424:FB424"/>
    <mergeCell ref="FC424:FL424"/>
    <mergeCell ref="A166:BK166"/>
    <mergeCell ref="BL166:BS166"/>
    <mergeCell ref="BT166:CF166"/>
    <mergeCell ref="CG166:CQ166"/>
    <mergeCell ref="CR166:DD166"/>
    <mergeCell ref="DE166:DQ166"/>
    <mergeCell ref="DR166:ED166"/>
    <mergeCell ref="EE166:EQ166"/>
    <mergeCell ref="ER166:FB166"/>
    <mergeCell ref="FC166:FN166"/>
    <mergeCell ref="A423:BK423"/>
    <mergeCell ref="BL423:BS423"/>
    <mergeCell ref="BT423:CF423"/>
    <mergeCell ref="CG423:CQ423"/>
    <mergeCell ref="CR423:DD423"/>
    <mergeCell ref="DE423:DQ423"/>
    <mergeCell ref="DR423:ED423"/>
    <mergeCell ref="EE423:EQ423"/>
    <mergeCell ref="ER423:FB423"/>
    <mergeCell ref="FC423:FL423"/>
    <mergeCell ref="ER372:FB372"/>
    <mergeCell ref="FC372:FL372"/>
  </mergeCells>
  <pageMargins left="0.31496062992125984" right="0.31496062992125984" top="0.39370078740157483" bottom="0.39370078740157483" header="0.11811023622047245" footer="0.11811023622047245"/>
  <pageSetup paperSize="9" scale="91" fitToHeight="4" orientation="landscape" blackAndWhite="1" r:id="rId1"/>
  <headerFooter alignWithMargins="0"/>
</worksheet>
</file>

<file path=xl/worksheets/sheet3.xml><?xml version="1.0" encoding="utf-8"?>
<worksheet xmlns="http://schemas.openxmlformats.org/spreadsheetml/2006/main" xmlns:r="http://schemas.openxmlformats.org/officeDocument/2006/relationships">
  <sheetPr>
    <tabColor theme="9"/>
  </sheetPr>
  <dimension ref="A1:HE38"/>
  <sheetViews>
    <sheetView view="pageBreakPreview" topLeftCell="D1" zoomScale="120" zoomScaleSheetLayoutView="120" workbookViewId="0">
      <selection activeCell="I15" sqref="I15:CM15"/>
    </sheetView>
  </sheetViews>
  <sheetFormatPr defaultColWidth="0.88671875" defaultRowHeight="10.199999999999999"/>
  <cols>
    <col min="1" max="60" width="0.88671875" style="1"/>
    <col min="61" max="61" width="0.88671875" style="1" customWidth="1"/>
    <col min="62" max="64" width="0.88671875" style="1"/>
    <col min="65" max="65" width="0.88671875" style="1" customWidth="1"/>
    <col min="66" max="75" width="0.88671875" style="1"/>
    <col min="76" max="77" width="0.88671875" style="1" customWidth="1"/>
    <col min="78" max="83" width="0.88671875" style="1"/>
    <col min="84" max="84" width="0.6640625" style="1" customWidth="1"/>
    <col min="85" max="90" width="0.88671875" style="1" hidden="1" customWidth="1"/>
    <col min="91" max="91" width="12" style="1" customWidth="1"/>
    <col min="92" max="119" width="0.88671875" style="1"/>
    <col min="120" max="145" width="0" style="1" hidden="1" customWidth="1"/>
    <col min="146" max="190" width="0.88671875" style="1"/>
    <col min="191" max="191" width="0.109375" style="1" customWidth="1"/>
    <col min="192" max="193" width="0.88671875" style="1"/>
    <col min="194" max="194" width="0.88671875" style="1" hidden="1" customWidth="1"/>
    <col min="195" max="196" width="0.88671875" style="1"/>
    <col min="197" max="209" width="0" style="1" hidden="1" customWidth="1"/>
    <col min="210" max="212" width="0.88671875" style="1"/>
    <col min="213" max="213" width="11.109375" style="1" customWidth="1"/>
    <col min="214" max="217" width="4" style="1" customWidth="1"/>
    <col min="218" max="240" width="0.88671875" style="1"/>
    <col min="241" max="241" width="3.6640625" style="1" customWidth="1"/>
    <col min="242" max="16384" width="0.88671875" style="1"/>
  </cols>
  <sheetData>
    <row r="1" spans="1:213" s="3" customFormat="1" ht="13.5" customHeight="1">
      <c r="B1" s="522" t="s">
        <v>298</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522"/>
      <c r="EY1" s="522"/>
      <c r="EZ1" s="522"/>
      <c r="FA1" s="522"/>
      <c r="FB1" s="522"/>
      <c r="FC1" s="522"/>
      <c r="FD1" s="522"/>
      <c r="FE1" s="522"/>
      <c r="FF1" s="522"/>
      <c r="FG1" s="522"/>
      <c r="FH1" s="522"/>
      <c r="FI1" s="522"/>
      <c r="FJ1" s="522"/>
      <c r="FK1" s="522"/>
      <c r="FL1" s="522"/>
      <c r="FM1" s="522"/>
      <c r="FN1" s="522"/>
      <c r="FO1" s="522"/>
      <c r="FP1" s="522"/>
      <c r="FQ1" s="522"/>
      <c r="FR1" s="522"/>
      <c r="FS1" s="522"/>
      <c r="FT1" s="522"/>
      <c r="FU1" s="522"/>
      <c r="FV1" s="522"/>
      <c r="FW1" s="522"/>
      <c r="FX1" s="522"/>
      <c r="FY1" s="522"/>
      <c r="FZ1" s="522"/>
      <c r="GA1" s="522"/>
      <c r="GB1" s="522"/>
      <c r="GC1" s="522"/>
      <c r="GD1" s="522"/>
      <c r="GE1" s="522"/>
      <c r="GF1" s="522"/>
      <c r="GG1" s="522"/>
      <c r="GH1" s="522"/>
      <c r="GI1" s="522"/>
      <c r="GJ1" s="522"/>
      <c r="GK1" s="522"/>
      <c r="GL1" s="522"/>
      <c r="GM1" s="522"/>
      <c r="GN1" s="522"/>
      <c r="GO1" s="522"/>
      <c r="GP1" s="522"/>
      <c r="GQ1" s="522"/>
      <c r="GR1" s="522"/>
      <c r="GS1" s="522"/>
      <c r="GT1" s="522"/>
      <c r="GU1" s="522"/>
      <c r="GV1" s="522"/>
      <c r="GW1" s="522"/>
      <c r="GX1" s="522"/>
      <c r="GY1" s="522"/>
      <c r="GZ1" s="522"/>
    </row>
    <row r="2" spans="1:213" ht="5.25" customHeight="1"/>
    <row r="3" spans="1:213" ht="11.25" customHeight="1">
      <c r="A3" s="539" t="s">
        <v>133</v>
      </c>
      <c r="B3" s="539"/>
      <c r="C3" s="539"/>
      <c r="D3" s="539"/>
      <c r="E3" s="539"/>
      <c r="F3" s="539"/>
      <c r="G3" s="539"/>
      <c r="H3" s="540"/>
      <c r="I3" s="530" t="s">
        <v>0</v>
      </c>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c r="CG3" s="530"/>
      <c r="CH3" s="530"/>
      <c r="CI3" s="530"/>
      <c r="CJ3" s="530"/>
      <c r="CK3" s="530"/>
      <c r="CL3" s="530"/>
      <c r="CM3" s="531"/>
      <c r="CN3" s="538" t="s">
        <v>134</v>
      </c>
      <c r="CO3" s="539"/>
      <c r="CP3" s="539"/>
      <c r="CQ3" s="539"/>
      <c r="CR3" s="539"/>
      <c r="CS3" s="539"/>
      <c r="CT3" s="539"/>
      <c r="CU3" s="540"/>
      <c r="CV3" s="538" t="s">
        <v>135</v>
      </c>
      <c r="CW3" s="539"/>
      <c r="CX3" s="539"/>
      <c r="CY3" s="539"/>
      <c r="CZ3" s="539"/>
      <c r="DA3" s="539"/>
      <c r="DB3" s="539"/>
      <c r="DC3" s="539"/>
      <c r="DD3" s="539"/>
      <c r="DE3" s="540"/>
      <c r="DF3" s="538" t="s">
        <v>1110</v>
      </c>
      <c r="DG3" s="539"/>
      <c r="DH3" s="539"/>
      <c r="DI3" s="539"/>
      <c r="DJ3" s="539"/>
      <c r="DK3" s="539"/>
      <c r="DL3" s="539"/>
      <c r="DM3" s="539"/>
      <c r="DN3" s="539"/>
      <c r="DO3" s="540"/>
      <c r="DP3" s="538" t="s">
        <v>8</v>
      </c>
      <c r="DQ3" s="741"/>
      <c r="DR3" s="741"/>
      <c r="DS3" s="741"/>
      <c r="DT3" s="741"/>
      <c r="DU3" s="741"/>
      <c r="DV3" s="741"/>
      <c r="DW3" s="741"/>
      <c r="DX3" s="741"/>
      <c r="DY3" s="741"/>
      <c r="DZ3" s="741"/>
      <c r="EA3" s="741"/>
      <c r="EB3" s="741"/>
      <c r="EC3" s="741"/>
      <c r="ED3" s="741"/>
      <c r="EE3" s="741"/>
      <c r="EF3" s="741"/>
      <c r="EG3" s="741"/>
      <c r="EH3" s="741"/>
      <c r="EI3" s="741"/>
      <c r="EJ3" s="741"/>
      <c r="EK3" s="741"/>
      <c r="EL3" s="741"/>
      <c r="EM3" s="741"/>
      <c r="EN3" s="741"/>
      <c r="EO3" s="741"/>
      <c r="EP3" s="741"/>
      <c r="EQ3" s="741"/>
      <c r="ER3" s="741"/>
      <c r="ES3" s="741"/>
      <c r="ET3" s="741"/>
      <c r="EU3" s="741"/>
      <c r="EV3" s="741"/>
      <c r="EW3" s="741"/>
      <c r="EX3" s="741"/>
      <c r="EY3" s="741"/>
      <c r="EZ3" s="741"/>
      <c r="FA3" s="741"/>
      <c r="FB3" s="741"/>
      <c r="FC3" s="741"/>
      <c r="FD3" s="741"/>
      <c r="FE3" s="741"/>
      <c r="FF3" s="741"/>
      <c r="FG3" s="741"/>
      <c r="FH3" s="741"/>
      <c r="FI3" s="741"/>
      <c r="FJ3" s="741"/>
      <c r="FK3" s="741"/>
      <c r="FL3" s="741"/>
      <c r="FM3" s="741"/>
      <c r="FN3" s="741"/>
      <c r="FO3" s="741"/>
      <c r="FP3" s="741"/>
      <c r="FQ3" s="741"/>
      <c r="FR3" s="741"/>
      <c r="FS3" s="741"/>
      <c r="FT3" s="741"/>
      <c r="FU3" s="741"/>
      <c r="FV3" s="741"/>
      <c r="FW3" s="741"/>
      <c r="FX3" s="741"/>
      <c r="FY3" s="741"/>
      <c r="FZ3" s="741"/>
      <c r="GA3" s="741"/>
      <c r="GB3" s="741"/>
      <c r="GC3" s="741"/>
      <c r="GD3" s="741"/>
      <c r="GE3" s="741"/>
      <c r="GF3" s="741"/>
      <c r="GG3" s="741"/>
      <c r="GH3" s="741"/>
      <c r="GI3" s="741"/>
      <c r="GJ3" s="741"/>
      <c r="GK3" s="741"/>
      <c r="GL3" s="741"/>
      <c r="GM3" s="741"/>
      <c r="GN3" s="741"/>
      <c r="GO3" s="741"/>
      <c r="GP3" s="741"/>
      <c r="GQ3" s="741"/>
      <c r="GR3" s="741"/>
      <c r="GS3" s="741"/>
      <c r="GT3" s="741"/>
      <c r="GU3" s="741"/>
      <c r="GV3" s="741"/>
      <c r="GW3" s="741"/>
      <c r="GX3" s="741"/>
      <c r="GY3" s="741"/>
      <c r="GZ3" s="741"/>
      <c r="HA3" s="741"/>
    </row>
    <row r="4" spans="1:213" ht="11.25" customHeight="1">
      <c r="A4" s="542"/>
      <c r="B4" s="542"/>
      <c r="C4" s="542"/>
      <c r="D4" s="542"/>
      <c r="E4" s="542"/>
      <c r="F4" s="542"/>
      <c r="G4" s="542"/>
      <c r="H4" s="54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4"/>
      <c r="CN4" s="541"/>
      <c r="CO4" s="542"/>
      <c r="CP4" s="542"/>
      <c r="CQ4" s="542"/>
      <c r="CR4" s="542"/>
      <c r="CS4" s="542"/>
      <c r="CT4" s="542"/>
      <c r="CU4" s="543"/>
      <c r="CV4" s="541"/>
      <c r="CW4" s="542"/>
      <c r="CX4" s="542"/>
      <c r="CY4" s="542"/>
      <c r="CZ4" s="542"/>
      <c r="DA4" s="542"/>
      <c r="DB4" s="542"/>
      <c r="DC4" s="542"/>
      <c r="DD4" s="542"/>
      <c r="DE4" s="543"/>
      <c r="DF4" s="541"/>
      <c r="DG4" s="542"/>
      <c r="DH4" s="542"/>
      <c r="DI4" s="542"/>
      <c r="DJ4" s="542"/>
      <c r="DK4" s="542"/>
      <c r="DL4" s="542"/>
      <c r="DM4" s="542"/>
      <c r="DN4" s="542"/>
      <c r="DO4" s="543"/>
      <c r="DP4" s="562" t="s">
        <v>3</v>
      </c>
      <c r="DQ4" s="563"/>
      <c r="DR4" s="563"/>
      <c r="DS4" s="563"/>
      <c r="DT4" s="563"/>
      <c r="DU4" s="563"/>
      <c r="DV4" s="343" t="s">
        <v>279</v>
      </c>
      <c r="DW4" s="343"/>
      <c r="DX4" s="343"/>
      <c r="DY4" s="564" t="s">
        <v>4</v>
      </c>
      <c r="DZ4" s="564"/>
      <c r="EA4" s="564"/>
      <c r="EB4" s="565"/>
      <c r="EC4" s="562" t="s">
        <v>3</v>
      </c>
      <c r="ED4" s="563"/>
      <c r="EE4" s="563"/>
      <c r="EF4" s="563"/>
      <c r="EG4" s="563"/>
      <c r="EH4" s="563"/>
      <c r="EI4" s="343" t="s">
        <v>190</v>
      </c>
      <c r="EJ4" s="343"/>
      <c r="EK4" s="343"/>
      <c r="EL4" s="564" t="s">
        <v>4</v>
      </c>
      <c r="EM4" s="564"/>
      <c r="EN4" s="564"/>
      <c r="EO4" s="565"/>
      <c r="EP4" s="562" t="s">
        <v>3</v>
      </c>
      <c r="EQ4" s="563"/>
      <c r="ER4" s="563"/>
      <c r="ES4" s="563"/>
      <c r="ET4" s="563"/>
      <c r="EU4" s="563"/>
      <c r="EV4" s="343" t="s">
        <v>191</v>
      </c>
      <c r="EW4" s="343"/>
      <c r="EX4" s="343"/>
      <c r="EY4" s="564" t="s">
        <v>4</v>
      </c>
      <c r="EZ4" s="564"/>
      <c r="FA4" s="564"/>
      <c r="FB4" s="565"/>
      <c r="FC4" s="562" t="s">
        <v>3</v>
      </c>
      <c r="FD4" s="563"/>
      <c r="FE4" s="563"/>
      <c r="FF4" s="563"/>
      <c r="FG4" s="563"/>
      <c r="FH4" s="563"/>
      <c r="FI4" s="343" t="s">
        <v>192</v>
      </c>
      <c r="FJ4" s="343"/>
      <c r="FK4" s="343"/>
      <c r="FL4" s="564" t="s">
        <v>4</v>
      </c>
      <c r="FM4" s="564"/>
      <c r="FN4" s="564"/>
      <c r="FO4" s="565"/>
      <c r="FP4" s="562" t="s">
        <v>3</v>
      </c>
      <c r="FQ4" s="563"/>
      <c r="FR4" s="563"/>
      <c r="FS4" s="563"/>
      <c r="FT4" s="563"/>
      <c r="FU4" s="563"/>
      <c r="FV4" s="343" t="s">
        <v>1062</v>
      </c>
      <c r="FW4" s="343"/>
      <c r="FX4" s="564" t="s">
        <v>4</v>
      </c>
      <c r="FY4" s="564"/>
      <c r="FZ4" s="564"/>
      <c r="GA4" s="565"/>
      <c r="GB4" s="538" t="s">
        <v>7</v>
      </c>
      <c r="GC4" s="539"/>
      <c r="GD4" s="539"/>
      <c r="GE4" s="539"/>
      <c r="GF4" s="539"/>
      <c r="GG4" s="539"/>
      <c r="GH4" s="741"/>
      <c r="GI4" s="741"/>
      <c r="GJ4" s="741"/>
      <c r="GK4" s="741"/>
      <c r="GL4" s="741"/>
      <c r="GM4" s="741"/>
      <c r="GN4" s="742"/>
      <c r="GO4" s="538" t="s">
        <v>7</v>
      </c>
      <c r="GP4" s="539"/>
      <c r="GQ4" s="539"/>
      <c r="GR4" s="539"/>
      <c r="GS4" s="539"/>
      <c r="GT4" s="539"/>
      <c r="GU4" s="539"/>
      <c r="GV4" s="539"/>
      <c r="GW4" s="539"/>
      <c r="GX4" s="539"/>
      <c r="GY4" s="539"/>
      <c r="GZ4" s="539"/>
      <c r="HA4" s="539"/>
    </row>
    <row r="5" spans="1:213" ht="31.95" customHeight="1">
      <c r="A5" s="545"/>
      <c r="B5" s="545"/>
      <c r="C5" s="545"/>
      <c r="D5" s="545"/>
      <c r="E5" s="545"/>
      <c r="F5" s="545"/>
      <c r="G5" s="545"/>
      <c r="H5" s="54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c r="BZ5" s="536"/>
      <c r="CA5" s="536"/>
      <c r="CB5" s="536"/>
      <c r="CC5" s="536"/>
      <c r="CD5" s="536"/>
      <c r="CE5" s="536"/>
      <c r="CF5" s="536"/>
      <c r="CG5" s="536"/>
      <c r="CH5" s="536"/>
      <c r="CI5" s="536"/>
      <c r="CJ5" s="536"/>
      <c r="CK5" s="536"/>
      <c r="CL5" s="536"/>
      <c r="CM5" s="537"/>
      <c r="CN5" s="544"/>
      <c r="CO5" s="545"/>
      <c r="CP5" s="545"/>
      <c r="CQ5" s="545"/>
      <c r="CR5" s="545"/>
      <c r="CS5" s="545"/>
      <c r="CT5" s="545"/>
      <c r="CU5" s="546"/>
      <c r="CV5" s="544"/>
      <c r="CW5" s="545"/>
      <c r="CX5" s="545"/>
      <c r="CY5" s="545"/>
      <c r="CZ5" s="545"/>
      <c r="DA5" s="545"/>
      <c r="DB5" s="545"/>
      <c r="DC5" s="545"/>
      <c r="DD5" s="545"/>
      <c r="DE5" s="546"/>
      <c r="DF5" s="544"/>
      <c r="DG5" s="545"/>
      <c r="DH5" s="545"/>
      <c r="DI5" s="545"/>
      <c r="DJ5" s="545"/>
      <c r="DK5" s="545"/>
      <c r="DL5" s="545"/>
      <c r="DM5" s="545"/>
      <c r="DN5" s="545"/>
      <c r="DO5" s="546"/>
      <c r="DP5" s="566" t="s">
        <v>280</v>
      </c>
      <c r="DQ5" s="567"/>
      <c r="DR5" s="567"/>
      <c r="DS5" s="567"/>
      <c r="DT5" s="567"/>
      <c r="DU5" s="567"/>
      <c r="DV5" s="567"/>
      <c r="DW5" s="567"/>
      <c r="DX5" s="567"/>
      <c r="DY5" s="567"/>
      <c r="DZ5" s="567"/>
      <c r="EA5" s="567"/>
      <c r="EB5" s="568"/>
      <c r="EC5" s="566" t="s">
        <v>5</v>
      </c>
      <c r="ED5" s="567"/>
      <c r="EE5" s="567"/>
      <c r="EF5" s="567"/>
      <c r="EG5" s="567"/>
      <c r="EH5" s="567"/>
      <c r="EI5" s="567"/>
      <c r="EJ5" s="567"/>
      <c r="EK5" s="567"/>
      <c r="EL5" s="567"/>
      <c r="EM5" s="567"/>
      <c r="EN5" s="567"/>
      <c r="EO5" s="568"/>
      <c r="EP5" s="566" t="s">
        <v>5</v>
      </c>
      <c r="EQ5" s="567"/>
      <c r="ER5" s="567"/>
      <c r="ES5" s="567"/>
      <c r="ET5" s="567"/>
      <c r="EU5" s="567"/>
      <c r="EV5" s="567"/>
      <c r="EW5" s="567"/>
      <c r="EX5" s="567"/>
      <c r="EY5" s="567"/>
      <c r="EZ5" s="567"/>
      <c r="FA5" s="567"/>
      <c r="FB5" s="568"/>
      <c r="FC5" s="566" t="s">
        <v>6</v>
      </c>
      <c r="FD5" s="567"/>
      <c r="FE5" s="567"/>
      <c r="FF5" s="567"/>
      <c r="FG5" s="567"/>
      <c r="FH5" s="567"/>
      <c r="FI5" s="567"/>
      <c r="FJ5" s="567"/>
      <c r="FK5" s="567"/>
      <c r="FL5" s="567"/>
      <c r="FM5" s="567"/>
      <c r="FN5" s="567"/>
      <c r="FO5" s="568"/>
      <c r="FP5" s="566" t="s">
        <v>297</v>
      </c>
      <c r="FQ5" s="567"/>
      <c r="FR5" s="567"/>
      <c r="FS5" s="567"/>
      <c r="FT5" s="567"/>
      <c r="FU5" s="567"/>
      <c r="FV5" s="567"/>
      <c r="FW5" s="567"/>
      <c r="FX5" s="567"/>
      <c r="FY5" s="567"/>
      <c r="FZ5" s="567"/>
      <c r="GA5" s="568"/>
      <c r="GB5" s="743"/>
      <c r="GC5" s="744"/>
      <c r="GD5" s="744"/>
      <c r="GE5" s="744"/>
      <c r="GF5" s="744"/>
      <c r="GG5" s="744"/>
      <c r="GH5" s="744"/>
      <c r="GI5" s="744"/>
      <c r="GJ5" s="744"/>
      <c r="GK5" s="744"/>
      <c r="GL5" s="744"/>
      <c r="GM5" s="744"/>
      <c r="GN5" s="745"/>
      <c r="GO5" s="544"/>
      <c r="GP5" s="545"/>
      <c r="GQ5" s="545"/>
      <c r="GR5" s="545"/>
      <c r="GS5" s="545"/>
      <c r="GT5" s="545"/>
      <c r="GU5" s="545"/>
      <c r="GV5" s="545"/>
      <c r="GW5" s="545"/>
      <c r="GX5" s="545"/>
      <c r="GY5" s="545"/>
      <c r="GZ5" s="545"/>
      <c r="HA5" s="545"/>
      <c r="HE5" s="1" t="s">
        <v>954</v>
      </c>
    </row>
    <row r="6" spans="1:213" ht="10.8" thickBot="1">
      <c r="A6" s="620" t="s">
        <v>9</v>
      </c>
      <c r="B6" s="620"/>
      <c r="C6" s="620"/>
      <c r="D6" s="620"/>
      <c r="E6" s="620"/>
      <c r="F6" s="620"/>
      <c r="G6" s="620"/>
      <c r="H6" s="621"/>
      <c r="I6" s="620" t="s">
        <v>10</v>
      </c>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0"/>
      <c r="BD6" s="620"/>
      <c r="BE6" s="620"/>
      <c r="BF6" s="620"/>
      <c r="BG6" s="620"/>
      <c r="BH6" s="620"/>
      <c r="BI6" s="620"/>
      <c r="BJ6" s="620"/>
      <c r="BK6" s="620"/>
      <c r="BL6" s="620"/>
      <c r="BM6" s="620"/>
      <c r="BN6" s="620"/>
      <c r="BO6" s="620"/>
      <c r="BP6" s="620"/>
      <c r="BQ6" s="620"/>
      <c r="BR6" s="620"/>
      <c r="BS6" s="620"/>
      <c r="BT6" s="620"/>
      <c r="BU6" s="620"/>
      <c r="BV6" s="620"/>
      <c r="BW6" s="620"/>
      <c r="BX6" s="620"/>
      <c r="BY6" s="620"/>
      <c r="BZ6" s="620"/>
      <c r="CA6" s="620"/>
      <c r="CB6" s="620"/>
      <c r="CC6" s="620"/>
      <c r="CD6" s="620"/>
      <c r="CE6" s="620"/>
      <c r="CF6" s="620"/>
      <c r="CG6" s="620"/>
      <c r="CH6" s="620"/>
      <c r="CI6" s="620"/>
      <c r="CJ6" s="620"/>
      <c r="CK6" s="620"/>
      <c r="CL6" s="620"/>
      <c r="CM6" s="621"/>
      <c r="CN6" s="731" t="s">
        <v>11</v>
      </c>
      <c r="CO6" s="732"/>
      <c r="CP6" s="732"/>
      <c r="CQ6" s="732"/>
      <c r="CR6" s="732"/>
      <c r="CS6" s="732"/>
      <c r="CT6" s="732"/>
      <c r="CU6" s="733"/>
      <c r="CV6" s="731" t="s">
        <v>12</v>
      </c>
      <c r="CW6" s="732"/>
      <c r="CX6" s="732"/>
      <c r="CY6" s="732"/>
      <c r="CZ6" s="732"/>
      <c r="DA6" s="732"/>
      <c r="DB6" s="732"/>
      <c r="DC6" s="732"/>
      <c r="DD6" s="732"/>
      <c r="DE6" s="733"/>
      <c r="DF6" s="731" t="s">
        <v>1109</v>
      </c>
      <c r="DG6" s="732"/>
      <c r="DH6" s="732"/>
      <c r="DI6" s="732"/>
      <c r="DJ6" s="732"/>
      <c r="DK6" s="732"/>
      <c r="DL6" s="732"/>
      <c r="DM6" s="732"/>
      <c r="DN6" s="732"/>
      <c r="DO6" s="733"/>
      <c r="DP6" s="731" t="s">
        <v>13</v>
      </c>
      <c r="DQ6" s="732"/>
      <c r="DR6" s="732"/>
      <c r="DS6" s="732"/>
      <c r="DT6" s="732"/>
      <c r="DU6" s="732"/>
      <c r="DV6" s="732"/>
      <c r="DW6" s="732"/>
      <c r="DX6" s="732"/>
      <c r="DY6" s="732"/>
      <c r="DZ6" s="732"/>
      <c r="EA6" s="732"/>
      <c r="EB6" s="733"/>
      <c r="EC6" s="731" t="s">
        <v>13</v>
      </c>
      <c r="ED6" s="732"/>
      <c r="EE6" s="732"/>
      <c r="EF6" s="732"/>
      <c r="EG6" s="732"/>
      <c r="EH6" s="732"/>
      <c r="EI6" s="732"/>
      <c r="EJ6" s="732"/>
      <c r="EK6" s="732"/>
      <c r="EL6" s="732"/>
      <c r="EM6" s="732"/>
      <c r="EN6" s="732"/>
      <c r="EO6" s="733"/>
      <c r="EP6" s="731" t="s">
        <v>13</v>
      </c>
      <c r="EQ6" s="732"/>
      <c r="ER6" s="732"/>
      <c r="ES6" s="732"/>
      <c r="ET6" s="732"/>
      <c r="EU6" s="732"/>
      <c r="EV6" s="732"/>
      <c r="EW6" s="732"/>
      <c r="EX6" s="732"/>
      <c r="EY6" s="732"/>
      <c r="EZ6" s="732"/>
      <c r="FA6" s="732"/>
      <c r="FB6" s="733"/>
      <c r="FC6" s="731" t="s">
        <v>13</v>
      </c>
      <c r="FD6" s="732"/>
      <c r="FE6" s="732"/>
      <c r="FF6" s="732"/>
      <c r="FG6" s="732"/>
      <c r="FH6" s="732"/>
      <c r="FI6" s="732"/>
      <c r="FJ6" s="732"/>
      <c r="FK6" s="732"/>
      <c r="FL6" s="732"/>
      <c r="FM6" s="732"/>
      <c r="FN6" s="732"/>
      <c r="FO6" s="733"/>
      <c r="FP6" s="731" t="s">
        <v>14</v>
      </c>
      <c r="FQ6" s="732"/>
      <c r="FR6" s="732"/>
      <c r="FS6" s="732"/>
      <c r="FT6" s="732"/>
      <c r="FU6" s="732"/>
      <c r="FV6" s="732"/>
      <c r="FW6" s="732"/>
      <c r="FX6" s="732"/>
      <c r="FY6" s="732"/>
      <c r="FZ6" s="732"/>
      <c r="GA6" s="733"/>
      <c r="GB6" s="731" t="s">
        <v>15</v>
      </c>
      <c r="GC6" s="732"/>
      <c r="GD6" s="732"/>
      <c r="GE6" s="732"/>
      <c r="GF6" s="732"/>
      <c r="GG6" s="732"/>
      <c r="GH6" s="732"/>
      <c r="GI6" s="732"/>
      <c r="GJ6" s="732"/>
      <c r="GK6" s="732"/>
      <c r="GL6" s="732"/>
      <c r="GM6" s="732"/>
      <c r="GN6" s="733"/>
      <c r="GO6" s="731" t="s">
        <v>16</v>
      </c>
      <c r="GP6" s="732"/>
      <c r="GQ6" s="732"/>
      <c r="GR6" s="732"/>
      <c r="GS6" s="732"/>
      <c r="GT6" s="732"/>
      <c r="GU6" s="732"/>
      <c r="GV6" s="732"/>
      <c r="GW6" s="732"/>
      <c r="GX6" s="732"/>
      <c r="GY6" s="732"/>
      <c r="GZ6" s="732"/>
      <c r="HA6" s="732"/>
    </row>
    <row r="7" spans="1:213" ht="12.75" customHeight="1">
      <c r="A7" s="363">
        <v>1</v>
      </c>
      <c r="B7" s="363"/>
      <c r="C7" s="363"/>
      <c r="D7" s="363"/>
      <c r="E7" s="363"/>
      <c r="F7" s="363"/>
      <c r="G7" s="363"/>
      <c r="H7" s="364"/>
      <c r="I7" s="586" t="s">
        <v>299</v>
      </c>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734" t="s">
        <v>136</v>
      </c>
      <c r="CO7" s="735"/>
      <c r="CP7" s="735"/>
      <c r="CQ7" s="735"/>
      <c r="CR7" s="735"/>
      <c r="CS7" s="735"/>
      <c r="CT7" s="735"/>
      <c r="CU7" s="735"/>
      <c r="CV7" s="736" t="s">
        <v>21</v>
      </c>
      <c r="CW7" s="736"/>
      <c r="CX7" s="736"/>
      <c r="CY7" s="736"/>
      <c r="CZ7" s="736"/>
      <c r="DA7" s="736"/>
      <c r="DB7" s="736"/>
      <c r="DC7" s="736"/>
      <c r="DD7" s="736"/>
      <c r="DE7" s="736"/>
      <c r="DF7" s="736" t="s">
        <v>21</v>
      </c>
      <c r="DG7" s="736"/>
      <c r="DH7" s="736"/>
      <c r="DI7" s="736"/>
      <c r="DJ7" s="736"/>
      <c r="DK7" s="736"/>
      <c r="DL7" s="736"/>
      <c r="DM7" s="736"/>
      <c r="DN7" s="736"/>
      <c r="DO7" s="736"/>
      <c r="DP7" s="728">
        <f t="shared" ref="DP7" si="0">DP8+DP9+DP10+DP13</f>
        <v>0</v>
      </c>
      <c r="DQ7" s="737"/>
      <c r="DR7" s="737"/>
      <c r="DS7" s="737"/>
      <c r="DT7" s="737"/>
      <c r="DU7" s="737"/>
      <c r="DV7" s="737"/>
      <c r="DW7" s="737"/>
      <c r="DX7" s="737"/>
      <c r="DY7" s="737"/>
      <c r="DZ7" s="737"/>
      <c r="EA7" s="737"/>
      <c r="EB7" s="737"/>
      <c r="EC7" s="738">
        <f>EC10+EC13</f>
        <v>9072761.7899999991</v>
      </c>
      <c r="ED7" s="739"/>
      <c r="EE7" s="739"/>
      <c r="EF7" s="739"/>
      <c r="EG7" s="739"/>
      <c r="EH7" s="739"/>
      <c r="EI7" s="739"/>
      <c r="EJ7" s="739"/>
      <c r="EK7" s="739"/>
      <c r="EL7" s="739"/>
      <c r="EM7" s="739"/>
      <c r="EN7" s="739"/>
      <c r="EO7" s="740"/>
      <c r="EP7" s="738">
        <f>'стр. 2_8'!DR180</f>
        <v>8821879.6600000001</v>
      </c>
      <c r="EQ7" s="739"/>
      <c r="ER7" s="739"/>
      <c r="ES7" s="739"/>
      <c r="ET7" s="739"/>
      <c r="EU7" s="739"/>
      <c r="EV7" s="739"/>
      <c r="EW7" s="739"/>
      <c r="EX7" s="739"/>
      <c r="EY7" s="739"/>
      <c r="EZ7" s="739"/>
      <c r="FA7" s="739"/>
      <c r="FB7" s="740"/>
      <c r="FC7" s="738">
        <f>'стр. 2_8'!EE180</f>
        <v>0</v>
      </c>
      <c r="FD7" s="739"/>
      <c r="FE7" s="739"/>
      <c r="FF7" s="739"/>
      <c r="FG7" s="739"/>
      <c r="FH7" s="739"/>
      <c r="FI7" s="739"/>
      <c r="FJ7" s="739"/>
      <c r="FK7" s="739"/>
      <c r="FL7" s="739"/>
      <c r="FM7" s="739"/>
      <c r="FN7" s="739"/>
      <c r="FO7" s="740"/>
      <c r="FP7" s="728">
        <v>0</v>
      </c>
      <c r="FQ7" s="728"/>
      <c r="FR7" s="728"/>
      <c r="FS7" s="728"/>
      <c r="FT7" s="728"/>
      <c r="FU7" s="728"/>
      <c r="FV7" s="728"/>
      <c r="FW7" s="728"/>
      <c r="FX7" s="728"/>
      <c r="FY7" s="728"/>
      <c r="FZ7" s="728"/>
      <c r="GA7" s="728"/>
      <c r="GB7" s="729"/>
      <c r="GC7" s="729"/>
      <c r="GD7" s="729"/>
      <c r="GE7" s="729"/>
      <c r="GF7" s="729"/>
      <c r="GG7" s="729"/>
      <c r="GH7" s="729"/>
      <c r="GI7" s="729"/>
      <c r="GJ7" s="729"/>
      <c r="GK7" s="729"/>
      <c r="GL7" s="729"/>
      <c r="GM7" s="729"/>
      <c r="GN7" s="730"/>
      <c r="GO7" s="715"/>
      <c r="GP7" s="715"/>
      <c r="GQ7" s="715"/>
      <c r="GR7" s="715"/>
      <c r="GS7" s="715"/>
      <c r="GT7" s="715"/>
      <c r="GU7" s="715"/>
      <c r="GV7" s="715"/>
      <c r="GW7" s="715"/>
      <c r="GX7" s="715"/>
      <c r="GY7" s="715"/>
      <c r="GZ7" s="715"/>
      <c r="HA7" s="716"/>
      <c r="HE7" s="173">
        <f>EP10+EP15+EP18+EP25</f>
        <v>8821879.6600000001</v>
      </c>
    </row>
    <row r="8" spans="1:213" ht="59.4" customHeight="1">
      <c r="A8" s="340" t="s">
        <v>137</v>
      </c>
      <c r="B8" s="340"/>
      <c r="C8" s="340"/>
      <c r="D8" s="340"/>
      <c r="E8" s="340"/>
      <c r="F8" s="340"/>
      <c r="G8" s="340"/>
      <c r="H8" s="341"/>
      <c r="I8" s="386" t="s">
        <v>300</v>
      </c>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5"/>
      <c r="AZ8" s="555"/>
      <c r="BA8" s="555"/>
      <c r="BB8" s="555"/>
      <c r="BC8" s="555"/>
      <c r="BD8" s="555"/>
      <c r="BE8" s="555"/>
      <c r="BF8" s="555"/>
      <c r="BG8" s="555"/>
      <c r="BH8" s="555"/>
      <c r="BI8" s="555"/>
      <c r="BJ8" s="555"/>
      <c r="BK8" s="555"/>
      <c r="BL8" s="555"/>
      <c r="BM8" s="555"/>
      <c r="BN8" s="555"/>
      <c r="BO8" s="555"/>
      <c r="BP8" s="555"/>
      <c r="BQ8" s="555"/>
      <c r="BR8" s="555"/>
      <c r="BS8" s="555"/>
      <c r="BT8" s="555"/>
      <c r="BU8" s="555"/>
      <c r="BV8" s="555"/>
      <c r="BW8" s="555"/>
      <c r="BX8" s="555"/>
      <c r="BY8" s="555"/>
      <c r="BZ8" s="555"/>
      <c r="CA8" s="555"/>
      <c r="CB8" s="555"/>
      <c r="CC8" s="555"/>
      <c r="CD8" s="555"/>
      <c r="CE8" s="555"/>
      <c r="CF8" s="555"/>
      <c r="CG8" s="555"/>
      <c r="CH8" s="555"/>
      <c r="CI8" s="555"/>
      <c r="CJ8" s="555"/>
      <c r="CK8" s="555"/>
      <c r="CL8" s="555"/>
      <c r="CM8" s="555"/>
      <c r="CN8" s="705" t="s">
        <v>138</v>
      </c>
      <c r="CO8" s="706"/>
      <c r="CP8" s="706"/>
      <c r="CQ8" s="706"/>
      <c r="CR8" s="706"/>
      <c r="CS8" s="706"/>
      <c r="CT8" s="706"/>
      <c r="CU8" s="706"/>
      <c r="CV8" s="693" t="s">
        <v>21</v>
      </c>
      <c r="CW8" s="693"/>
      <c r="CX8" s="693"/>
      <c r="CY8" s="693"/>
      <c r="CZ8" s="693"/>
      <c r="DA8" s="693"/>
      <c r="DB8" s="693"/>
      <c r="DC8" s="693"/>
      <c r="DD8" s="693"/>
      <c r="DE8" s="693"/>
      <c r="DF8" s="693" t="s">
        <v>21</v>
      </c>
      <c r="DG8" s="693"/>
      <c r="DH8" s="693"/>
      <c r="DI8" s="693"/>
      <c r="DJ8" s="693"/>
      <c r="DK8" s="693"/>
      <c r="DL8" s="693"/>
      <c r="DM8" s="693"/>
      <c r="DN8" s="693"/>
      <c r="DO8" s="693"/>
      <c r="DP8" s="711"/>
      <c r="DQ8" s="711"/>
      <c r="DR8" s="711"/>
      <c r="DS8" s="711"/>
      <c r="DT8" s="711"/>
      <c r="DU8" s="711"/>
      <c r="DV8" s="711"/>
      <c r="DW8" s="711"/>
      <c r="DX8" s="711"/>
      <c r="DY8" s="711"/>
      <c r="DZ8" s="711"/>
      <c r="EA8" s="711"/>
      <c r="EB8" s="711"/>
      <c r="EC8" s="711"/>
      <c r="ED8" s="711"/>
      <c r="EE8" s="711"/>
      <c r="EF8" s="711"/>
      <c r="EG8" s="711"/>
      <c r="EH8" s="711"/>
      <c r="EI8" s="711"/>
      <c r="EJ8" s="711"/>
      <c r="EK8" s="711"/>
      <c r="EL8" s="711"/>
      <c r="EM8" s="711"/>
      <c r="EN8" s="711"/>
      <c r="EO8" s="711"/>
      <c r="EP8" s="711"/>
      <c r="EQ8" s="711"/>
      <c r="ER8" s="711"/>
      <c r="ES8" s="711"/>
      <c r="ET8" s="711"/>
      <c r="EU8" s="711"/>
      <c r="EV8" s="711"/>
      <c r="EW8" s="711"/>
      <c r="EX8" s="711"/>
      <c r="EY8" s="711"/>
      <c r="EZ8" s="711"/>
      <c r="FA8" s="711"/>
      <c r="FB8" s="711"/>
      <c r="FC8" s="711"/>
      <c r="FD8" s="711"/>
      <c r="FE8" s="711"/>
      <c r="FF8" s="711"/>
      <c r="FG8" s="711"/>
      <c r="FH8" s="711"/>
      <c r="FI8" s="711"/>
      <c r="FJ8" s="711"/>
      <c r="FK8" s="711"/>
      <c r="FL8" s="711"/>
      <c r="FM8" s="711"/>
      <c r="FN8" s="711"/>
      <c r="FO8" s="711"/>
      <c r="FP8" s="685"/>
      <c r="FQ8" s="685"/>
      <c r="FR8" s="685"/>
      <c r="FS8" s="685"/>
      <c r="FT8" s="685"/>
      <c r="FU8" s="685"/>
      <c r="FV8" s="685"/>
      <c r="FW8" s="685"/>
      <c r="FX8" s="685"/>
      <c r="FY8" s="685"/>
      <c r="FZ8" s="685"/>
      <c r="GA8" s="685"/>
      <c r="GB8" s="685"/>
      <c r="GC8" s="685"/>
      <c r="GD8" s="685"/>
      <c r="GE8" s="685"/>
      <c r="GF8" s="685"/>
      <c r="GG8" s="685"/>
      <c r="GH8" s="685"/>
      <c r="GI8" s="685"/>
      <c r="GJ8" s="685"/>
      <c r="GK8" s="685"/>
      <c r="GL8" s="685"/>
      <c r="GM8" s="685"/>
      <c r="GN8" s="686"/>
      <c r="GO8" s="687"/>
      <c r="GP8" s="687"/>
      <c r="GQ8" s="687"/>
      <c r="GR8" s="687"/>
      <c r="GS8" s="687"/>
      <c r="GT8" s="687"/>
      <c r="GU8" s="687"/>
      <c r="GV8" s="687"/>
      <c r="GW8" s="687"/>
      <c r="GX8" s="687"/>
      <c r="GY8" s="687"/>
      <c r="GZ8" s="687"/>
      <c r="HA8" s="688"/>
    </row>
    <row r="9" spans="1:213" ht="24" customHeight="1">
      <c r="A9" s="340" t="s">
        <v>139</v>
      </c>
      <c r="B9" s="340"/>
      <c r="C9" s="340"/>
      <c r="D9" s="340"/>
      <c r="E9" s="340"/>
      <c r="F9" s="340"/>
      <c r="G9" s="340"/>
      <c r="H9" s="341"/>
      <c r="I9" s="386" t="s">
        <v>301</v>
      </c>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5"/>
      <c r="CE9" s="555"/>
      <c r="CF9" s="555"/>
      <c r="CG9" s="555"/>
      <c r="CH9" s="555"/>
      <c r="CI9" s="555"/>
      <c r="CJ9" s="555"/>
      <c r="CK9" s="555"/>
      <c r="CL9" s="555"/>
      <c r="CM9" s="555"/>
      <c r="CN9" s="705" t="s">
        <v>140</v>
      </c>
      <c r="CO9" s="706"/>
      <c r="CP9" s="706"/>
      <c r="CQ9" s="706"/>
      <c r="CR9" s="706"/>
      <c r="CS9" s="706"/>
      <c r="CT9" s="706"/>
      <c r="CU9" s="706"/>
      <c r="CV9" s="693" t="s">
        <v>21</v>
      </c>
      <c r="CW9" s="693"/>
      <c r="CX9" s="693"/>
      <c r="CY9" s="693"/>
      <c r="CZ9" s="693"/>
      <c r="DA9" s="693"/>
      <c r="DB9" s="693"/>
      <c r="DC9" s="693"/>
      <c r="DD9" s="693"/>
      <c r="DE9" s="693"/>
      <c r="DF9" s="693" t="s">
        <v>21</v>
      </c>
      <c r="DG9" s="693"/>
      <c r="DH9" s="693"/>
      <c r="DI9" s="693"/>
      <c r="DJ9" s="693"/>
      <c r="DK9" s="693"/>
      <c r="DL9" s="693"/>
      <c r="DM9" s="693"/>
      <c r="DN9" s="693"/>
      <c r="DO9" s="693"/>
      <c r="DP9" s="711"/>
      <c r="DQ9" s="711"/>
      <c r="DR9" s="711"/>
      <c r="DS9" s="711"/>
      <c r="DT9" s="711"/>
      <c r="DU9" s="711"/>
      <c r="DV9" s="711"/>
      <c r="DW9" s="711"/>
      <c r="DX9" s="711"/>
      <c r="DY9" s="711"/>
      <c r="DZ9" s="711"/>
      <c r="EA9" s="711"/>
      <c r="EB9" s="711"/>
      <c r="EC9" s="711"/>
      <c r="ED9" s="711"/>
      <c r="EE9" s="711"/>
      <c r="EF9" s="711"/>
      <c r="EG9" s="711"/>
      <c r="EH9" s="711"/>
      <c r="EI9" s="711"/>
      <c r="EJ9" s="711"/>
      <c r="EK9" s="711"/>
      <c r="EL9" s="711"/>
      <c r="EM9" s="711"/>
      <c r="EN9" s="711"/>
      <c r="EO9" s="711"/>
      <c r="EP9" s="711"/>
      <c r="EQ9" s="711"/>
      <c r="ER9" s="711"/>
      <c r="ES9" s="711"/>
      <c r="ET9" s="711"/>
      <c r="EU9" s="711"/>
      <c r="EV9" s="711"/>
      <c r="EW9" s="711"/>
      <c r="EX9" s="711"/>
      <c r="EY9" s="711"/>
      <c r="EZ9" s="711"/>
      <c r="FA9" s="711"/>
      <c r="FB9" s="711"/>
      <c r="FC9" s="711"/>
      <c r="FD9" s="711"/>
      <c r="FE9" s="711"/>
      <c r="FF9" s="711"/>
      <c r="FG9" s="711"/>
      <c r="FH9" s="711"/>
      <c r="FI9" s="711"/>
      <c r="FJ9" s="711"/>
      <c r="FK9" s="711"/>
      <c r="FL9" s="711"/>
      <c r="FM9" s="711"/>
      <c r="FN9" s="711"/>
      <c r="FO9" s="711"/>
      <c r="FP9" s="685"/>
      <c r="FQ9" s="685"/>
      <c r="FR9" s="685"/>
      <c r="FS9" s="685"/>
      <c r="FT9" s="685"/>
      <c r="FU9" s="685"/>
      <c r="FV9" s="685"/>
      <c r="FW9" s="685"/>
      <c r="FX9" s="685"/>
      <c r="FY9" s="685"/>
      <c r="FZ9" s="685"/>
      <c r="GA9" s="685"/>
      <c r="GB9" s="685"/>
      <c r="GC9" s="685"/>
      <c r="GD9" s="685"/>
      <c r="GE9" s="685"/>
      <c r="GF9" s="685"/>
      <c r="GG9" s="685"/>
      <c r="GH9" s="685"/>
      <c r="GI9" s="685"/>
      <c r="GJ9" s="685"/>
      <c r="GK9" s="685"/>
      <c r="GL9" s="685"/>
      <c r="GM9" s="685"/>
      <c r="GN9" s="686"/>
      <c r="GO9" s="687"/>
      <c r="GP9" s="687"/>
      <c r="GQ9" s="687"/>
      <c r="GR9" s="687"/>
      <c r="GS9" s="687"/>
      <c r="GT9" s="687"/>
      <c r="GU9" s="687"/>
      <c r="GV9" s="687"/>
      <c r="GW9" s="687"/>
      <c r="GX9" s="687"/>
      <c r="GY9" s="687"/>
      <c r="GZ9" s="687"/>
      <c r="HA9" s="688"/>
    </row>
    <row r="10" spans="1:213" ht="24" customHeight="1">
      <c r="A10" s="340" t="s">
        <v>141</v>
      </c>
      <c r="B10" s="340"/>
      <c r="C10" s="340"/>
      <c r="D10" s="340"/>
      <c r="E10" s="340"/>
      <c r="F10" s="340"/>
      <c r="G10" s="340"/>
      <c r="H10" s="341"/>
      <c r="I10" s="386" t="s">
        <v>302</v>
      </c>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5"/>
      <c r="AY10" s="555"/>
      <c r="AZ10" s="555"/>
      <c r="BA10" s="555"/>
      <c r="BB10" s="555"/>
      <c r="BC10" s="555"/>
      <c r="BD10" s="555"/>
      <c r="BE10" s="555"/>
      <c r="BF10" s="555"/>
      <c r="BG10" s="555"/>
      <c r="BH10" s="555"/>
      <c r="BI10" s="555"/>
      <c r="BJ10" s="555"/>
      <c r="BK10" s="555"/>
      <c r="BL10" s="555"/>
      <c r="BM10" s="555"/>
      <c r="BN10" s="555"/>
      <c r="BO10" s="555"/>
      <c r="BP10" s="555"/>
      <c r="BQ10" s="555"/>
      <c r="BR10" s="555"/>
      <c r="BS10" s="555"/>
      <c r="BT10" s="555"/>
      <c r="BU10" s="555"/>
      <c r="BV10" s="555"/>
      <c r="BW10" s="555"/>
      <c r="BX10" s="555"/>
      <c r="BY10" s="555"/>
      <c r="BZ10" s="555"/>
      <c r="CA10" s="555"/>
      <c r="CB10" s="555"/>
      <c r="CC10" s="555"/>
      <c r="CD10" s="555"/>
      <c r="CE10" s="555"/>
      <c r="CF10" s="555"/>
      <c r="CG10" s="555"/>
      <c r="CH10" s="555"/>
      <c r="CI10" s="555"/>
      <c r="CJ10" s="555"/>
      <c r="CK10" s="555"/>
      <c r="CL10" s="555"/>
      <c r="CM10" s="555"/>
      <c r="CN10" s="705" t="s">
        <v>143</v>
      </c>
      <c r="CO10" s="706"/>
      <c r="CP10" s="706"/>
      <c r="CQ10" s="706"/>
      <c r="CR10" s="706"/>
      <c r="CS10" s="706"/>
      <c r="CT10" s="706"/>
      <c r="CU10" s="706"/>
      <c r="CV10" s="693" t="s">
        <v>21</v>
      </c>
      <c r="CW10" s="693"/>
      <c r="CX10" s="693"/>
      <c r="CY10" s="693"/>
      <c r="CZ10" s="693"/>
      <c r="DA10" s="693"/>
      <c r="DB10" s="693"/>
      <c r="DC10" s="693"/>
      <c r="DD10" s="693"/>
      <c r="DE10" s="693"/>
      <c r="DF10" s="693" t="s">
        <v>21</v>
      </c>
      <c r="DG10" s="693"/>
      <c r="DH10" s="693"/>
      <c r="DI10" s="693"/>
      <c r="DJ10" s="693"/>
      <c r="DK10" s="693"/>
      <c r="DL10" s="693"/>
      <c r="DM10" s="693"/>
      <c r="DN10" s="693"/>
      <c r="DO10" s="693"/>
      <c r="DP10" s="711">
        <v>0</v>
      </c>
      <c r="DQ10" s="711"/>
      <c r="DR10" s="711"/>
      <c r="DS10" s="711"/>
      <c r="DT10" s="711"/>
      <c r="DU10" s="711"/>
      <c r="DV10" s="711"/>
      <c r="DW10" s="711"/>
      <c r="DX10" s="711"/>
      <c r="DY10" s="711"/>
      <c r="DZ10" s="711"/>
      <c r="EA10" s="711"/>
      <c r="EB10" s="711"/>
      <c r="EC10" s="711">
        <v>319835.34000000003</v>
      </c>
      <c r="ED10" s="711"/>
      <c r="EE10" s="711"/>
      <c r="EF10" s="711"/>
      <c r="EG10" s="711"/>
      <c r="EH10" s="711"/>
      <c r="EI10" s="711"/>
      <c r="EJ10" s="711"/>
      <c r="EK10" s="711"/>
      <c r="EL10" s="711"/>
      <c r="EM10" s="711"/>
      <c r="EN10" s="711"/>
      <c r="EO10" s="711"/>
      <c r="EP10" s="708">
        <f>EP11+EP12</f>
        <v>361137.65</v>
      </c>
      <c r="EQ10" s="708"/>
      <c r="ER10" s="708"/>
      <c r="ES10" s="708"/>
      <c r="ET10" s="708"/>
      <c r="EU10" s="708"/>
      <c r="EV10" s="708"/>
      <c r="EW10" s="708"/>
      <c r="EX10" s="708"/>
      <c r="EY10" s="708"/>
      <c r="EZ10" s="708"/>
      <c r="FA10" s="708"/>
      <c r="FB10" s="708"/>
      <c r="FC10" s="708">
        <f>FC11+FC12</f>
        <v>0</v>
      </c>
      <c r="FD10" s="708"/>
      <c r="FE10" s="708"/>
      <c r="FF10" s="708"/>
      <c r="FG10" s="708"/>
      <c r="FH10" s="708"/>
      <c r="FI10" s="708"/>
      <c r="FJ10" s="708"/>
      <c r="FK10" s="708"/>
      <c r="FL10" s="708"/>
      <c r="FM10" s="708"/>
      <c r="FN10" s="708"/>
      <c r="FO10" s="708"/>
      <c r="FP10" s="711">
        <v>0</v>
      </c>
      <c r="FQ10" s="711"/>
      <c r="FR10" s="711"/>
      <c r="FS10" s="711"/>
      <c r="FT10" s="711"/>
      <c r="FU10" s="711"/>
      <c r="FV10" s="711"/>
      <c r="FW10" s="711"/>
      <c r="FX10" s="711"/>
      <c r="FY10" s="711"/>
      <c r="FZ10" s="711"/>
      <c r="GA10" s="711"/>
      <c r="GB10" s="685"/>
      <c r="GC10" s="685"/>
      <c r="GD10" s="685"/>
      <c r="GE10" s="685"/>
      <c r="GF10" s="685"/>
      <c r="GG10" s="685"/>
      <c r="GH10" s="685"/>
      <c r="GI10" s="685"/>
      <c r="GJ10" s="685"/>
      <c r="GK10" s="685"/>
      <c r="GL10" s="685"/>
      <c r="GM10" s="685"/>
      <c r="GN10" s="686"/>
      <c r="GO10" s="687"/>
      <c r="GP10" s="687"/>
      <c r="GQ10" s="687"/>
      <c r="GR10" s="687"/>
      <c r="GS10" s="687"/>
      <c r="GT10" s="687"/>
      <c r="GU10" s="687"/>
      <c r="GV10" s="687"/>
      <c r="GW10" s="687"/>
      <c r="GX10" s="687"/>
      <c r="GY10" s="687"/>
      <c r="GZ10" s="687"/>
      <c r="HA10" s="688"/>
    </row>
    <row r="11" spans="1:213" ht="20.399999999999999" customHeight="1">
      <c r="A11" s="340" t="s">
        <v>1113</v>
      </c>
      <c r="B11" s="340"/>
      <c r="C11" s="340"/>
      <c r="D11" s="340"/>
      <c r="E11" s="340"/>
      <c r="F11" s="340"/>
      <c r="G11" s="340"/>
      <c r="H11" s="341"/>
      <c r="I11" s="485" t="s">
        <v>148</v>
      </c>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705" t="s">
        <v>1111</v>
      </c>
      <c r="CO11" s="706"/>
      <c r="CP11" s="706"/>
      <c r="CQ11" s="706"/>
      <c r="CR11" s="706"/>
      <c r="CS11" s="706"/>
      <c r="CT11" s="706"/>
      <c r="CU11" s="706"/>
      <c r="CV11" s="693" t="s">
        <v>21</v>
      </c>
      <c r="CW11" s="693"/>
      <c r="CX11" s="693"/>
      <c r="CY11" s="693"/>
      <c r="CZ11" s="693"/>
      <c r="DA11" s="693"/>
      <c r="DB11" s="693"/>
      <c r="DC11" s="693"/>
      <c r="DD11" s="693"/>
      <c r="DE11" s="693"/>
      <c r="DF11" s="693" t="s">
        <v>21</v>
      </c>
      <c r="DG11" s="693"/>
      <c r="DH11" s="693"/>
      <c r="DI11" s="693"/>
      <c r="DJ11" s="693"/>
      <c r="DK11" s="693"/>
      <c r="DL11" s="693"/>
      <c r="DM11" s="693"/>
      <c r="DN11" s="693"/>
      <c r="DO11" s="693"/>
      <c r="DP11" s="711">
        <v>0</v>
      </c>
      <c r="DQ11" s="711"/>
      <c r="DR11" s="711"/>
      <c r="DS11" s="711"/>
      <c r="DT11" s="711"/>
      <c r="DU11" s="711"/>
      <c r="DV11" s="711"/>
      <c r="DW11" s="711"/>
      <c r="DX11" s="711"/>
      <c r="DY11" s="711"/>
      <c r="DZ11" s="711"/>
      <c r="EA11" s="711"/>
      <c r="EB11" s="711"/>
      <c r="EC11" s="711">
        <v>319835.34000000003</v>
      </c>
      <c r="ED11" s="711"/>
      <c r="EE11" s="711"/>
      <c r="EF11" s="711"/>
      <c r="EG11" s="711"/>
      <c r="EH11" s="711"/>
      <c r="EI11" s="711"/>
      <c r="EJ11" s="711"/>
      <c r="EK11" s="711"/>
      <c r="EL11" s="711"/>
      <c r="EM11" s="711"/>
      <c r="EN11" s="711"/>
      <c r="EO11" s="711"/>
      <c r="EP11" s="711">
        <f>361137.65</f>
        <v>361137.65</v>
      </c>
      <c r="EQ11" s="711"/>
      <c r="ER11" s="711"/>
      <c r="ES11" s="711"/>
      <c r="ET11" s="711"/>
      <c r="EU11" s="711"/>
      <c r="EV11" s="711"/>
      <c r="EW11" s="711"/>
      <c r="EX11" s="711"/>
      <c r="EY11" s="711"/>
      <c r="EZ11" s="711"/>
      <c r="FA11" s="711"/>
      <c r="FB11" s="711"/>
      <c r="FC11" s="711">
        <v>0</v>
      </c>
      <c r="FD11" s="711"/>
      <c r="FE11" s="711"/>
      <c r="FF11" s="711"/>
      <c r="FG11" s="711"/>
      <c r="FH11" s="711"/>
      <c r="FI11" s="711"/>
      <c r="FJ11" s="711"/>
      <c r="FK11" s="711"/>
      <c r="FL11" s="711"/>
      <c r="FM11" s="711"/>
      <c r="FN11" s="711"/>
      <c r="FO11" s="711"/>
      <c r="FP11" s="711">
        <v>0</v>
      </c>
      <c r="FQ11" s="711"/>
      <c r="FR11" s="711"/>
      <c r="FS11" s="711"/>
      <c r="FT11" s="711"/>
      <c r="FU11" s="711"/>
      <c r="FV11" s="711"/>
      <c r="FW11" s="711"/>
      <c r="FX11" s="711"/>
      <c r="FY11" s="711"/>
      <c r="FZ11" s="711"/>
      <c r="GA11" s="711"/>
      <c r="GB11" s="685"/>
      <c r="GC11" s="685"/>
      <c r="GD11" s="685"/>
      <c r="GE11" s="685"/>
      <c r="GF11" s="685"/>
      <c r="GG11" s="685"/>
      <c r="GH11" s="685"/>
      <c r="GI11" s="685"/>
      <c r="GJ11" s="685"/>
      <c r="GK11" s="685"/>
      <c r="GL11" s="685"/>
      <c r="GM11" s="685"/>
      <c r="GN11" s="686"/>
      <c r="GO11" s="687"/>
      <c r="GP11" s="687"/>
      <c r="GQ11" s="687"/>
      <c r="GR11" s="687"/>
      <c r="GS11" s="687"/>
      <c r="GT11" s="687"/>
      <c r="GU11" s="687"/>
      <c r="GV11" s="687"/>
      <c r="GW11" s="687"/>
      <c r="GX11" s="687"/>
      <c r="GY11" s="687"/>
      <c r="GZ11" s="687"/>
      <c r="HA11" s="688"/>
    </row>
    <row r="12" spans="1:213" ht="12" customHeight="1">
      <c r="A12" s="340" t="s">
        <v>1114</v>
      </c>
      <c r="B12" s="340"/>
      <c r="C12" s="340"/>
      <c r="D12" s="340"/>
      <c r="E12" s="340"/>
      <c r="F12" s="340"/>
      <c r="G12" s="340"/>
      <c r="H12" s="341"/>
      <c r="I12" s="485" t="s">
        <v>304</v>
      </c>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705" t="s">
        <v>1112</v>
      </c>
      <c r="CO12" s="706"/>
      <c r="CP12" s="706"/>
      <c r="CQ12" s="706"/>
      <c r="CR12" s="706"/>
      <c r="CS12" s="706"/>
      <c r="CT12" s="706"/>
      <c r="CU12" s="706"/>
      <c r="CV12" s="693" t="s">
        <v>21</v>
      </c>
      <c r="CW12" s="693"/>
      <c r="CX12" s="693"/>
      <c r="CY12" s="693"/>
      <c r="CZ12" s="693"/>
      <c r="DA12" s="693"/>
      <c r="DB12" s="693"/>
      <c r="DC12" s="693"/>
      <c r="DD12" s="693"/>
      <c r="DE12" s="693"/>
      <c r="DF12" s="693" t="s">
        <v>21</v>
      </c>
      <c r="DG12" s="693"/>
      <c r="DH12" s="693"/>
      <c r="DI12" s="693"/>
      <c r="DJ12" s="693"/>
      <c r="DK12" s="693"/>
      <c r="DL12" s="693"/>
      <c r="DM12" s="693"/>
      <c r="DN12" s="693"/>
      <c r="DO12" s="693"/>
      <c r="DP12" s="711">
        <v>0</v>
      </c>
      <c r="DQ12" s="711"/>
      <c r="DR12" s="711"/>
      <c r="DS12" s="711"/>
      <c r="DT12" s="711"/>
      <c r="DU12" s="711"/>
      <c r="DV12" s="711"/>
      <c r="DW12" s="711"/>
      <c r="DX12" s="711"/>
      <c r="DY12" s="711"/>
      <c r="DZ12" s="711"/>
      <c r="EA12" s="711"/>
      <c r="EB12" s="711"/>
      <c r="EC12" s="711">
        <v>319835.34000000003</v>
      </c>
      <c r="ED12" s="711"/>
      <c r="EE12" s="711"/>
      <c r="EF12" s="711"/>
      <c r="EG12" s="711"/>
      <c r="EH12" s="711"/>
      <c r="EI12" s="711"/>
      <c r="EJ12" s="711"/>
      <c r="EK12" s="711"/>
      <c r="EL12" s="711"/>
      <c r="EM12" s="711"/>
      <c r="EN12" s="711"/>
      <c r="EO12" s="711"/>
      <c r="EP12" s="711">
        <v>0</v>
      </c>
      <c r="EQ12" s="711"/>
      <c r="ER12" s="711"/>
      <c r="ES12" s="711"/>
      <c r="ET12" s="711"/>
      <c r="EU12" s="711"/>
      <c r="EV12" s="711"/>
      <c r="EW12" s="711"/>
      <c r="EX12" s="711"/>
      <c r="EY12" s="711"/>
      <c r="EZ12" s="711"/>
      <c r="FA12" s="711"/>
      <c r="FB12" s="711"/>
      <c r="FC12" s="711">
        <v>0</v>
      </c>
      <c r="FD12" s="711"/>
      <c r="FE12" s="711"/>
      <c r="FF12" s="711"/>
      <c r="FG12" s="711"/>
      <c r="FH12" s="711"/>
      <c r="FI12" s="711"/>
      <c r="FJ12" s="711"/>
      <c r="FK12" s="711"/>
      <c r="FL12" s="711"/>
      <c r="FM12" s="711"/>
      <c r="FN12" s="711"/>
      <c r="FO12" s="711"/>
      <c r="FP12" s="711">
        <v>0</v>
      </c>
      <c r="FQ12" s="711"/>
      <c r="FR12" s="711"/>
      <c r="FS12" s="711"/>
      <c r="FT12" s="711"/>
      <c r="FU12" s="711"/>
      <c r="FV12" s="711"/>
      <c r="FW12" s="711"/>
      <c r="FX12" s="711"/>
      <c r="FY12" s="711"/>
      <c r="FZ12" s="711"/>
      <c r="GA12" s="711"/>
      <c r="GB12" s="685"/>
      <c r="GC12" s="685"/>
      <c r="GD12" s="685"/>
      <c r="GE12" s="685"/>
      <c r="GF12" s="685"/>
      <c r="GG12" s="685"/>
      <c r="GH12" s="685"/>
      <c r="GI12" s="685"/>
      <c r="GJ12" s="685"/>
      <c r="GK12" s="685"/>
      <c r="GL12" s="685"/>
      <c r="GM12" s="685"/>
      <c r="GN12" s="686"/>
      <c r="GO12" s="687"/>
      <c r="GP12" s="687"/>
      <c r="GQ12" s="687"/>
      <c r="GR12" s="687"/>
      <c r="GS12" s="687"/>
      <c r="GT12" s="687"/>
      <c r="GU12" s="687"/>
      <c r="GV12" s="687"/>
      <c r="GW12" s="687"/>
      <c r="GX12" s="687"/>
      <c r="GY12" s="687"/>
      <c r="GZ12" s="687"/>
      <c r="HA12" s="688"/>
    </row>
    <row r="13" spans="1:213" ht="24" customHeight="1">
      <c r="A13" s="340" t="s">
        <v>142</v>
      </c>
      <c r="B13" s="340"/>
      <c r="C13" s="340"/>
      <c r="D13" s="340"/>
      <c r="E13" s="340"/>
      <c r="F13" s="340"/>
      <c r="G13" s="340"/>
      <c r="H13" s="341"/>
      <c r="I13" s="386" t="s">
        <v>303</v>
      </c>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705" t="s">
        <v>144</v>
      </c>
      <c r="CO13" s="706"/>
      <c r="CP13" s="706"/>
      <c r="CQ13" s="706"/>
      <c r="CR13" s="706"/>
      <c r="CS13" s="706"/>
      <c r="CT13" s="706"/>
      <c r="CU13" s="706"/>
      <c r="CV13" s="693" t="s">
        <v>21</v>
      </c>
      <c r="CW13" s="693"/>
      <c r="CX13" s="693"/>
      <c r="CY13" s="693"/>
      <c r="CZ13" s="693"/>
      <c r="DA13" s="693"/>
      <c r="DB13" s="693"/>
      <c r="DC13" s="693"/>
      <c r="DD13" s="693"/>
      <c r="DE13" s="693"/>
      <c r="DF13" s="693" t="s">
        <v>21</v>
      </c>
      <c r="DG13" s="693"/>
      <c r="DH13" s="693"/>
      <c r="DI13" s="693"/>
      <c r="DJ13" s="693"/>
      <c r="DK13" s="693"/>
      <c r="DL13" s="693"/>
      <c r="DM13" s="693"/>
      <c r="DN13" s="693"/>
      <c r="DO13" s="693"/>
      <c r="DP13" s="727">
        <f>DP14+DP17+DP24</f>
        <v>0</v>
      </c>
      <c r="DQ13" s="727"/>
      <c r="DR13" s="727"/>
      <c r="DS13" s="727"/>
      <c r="DT13" s="727"/>
      <c r="DU13" s="727"/>
      <c r="DV13" s="727"/>
      <c r="DW13" s="727"/>
      <c r="DX13" s="727"/>
      <c r="DY13" s="727"/>
      <c r="DZ13" s="727"/>
      <c r="EA13" s="727"/>
      <c r="EB13" s="727"/>
      <c r="EC13" s="724">
        <f>EC14+EC17+EC24</f>
        <v>8752926.4499999993</v>
      </c>
      <c r="ED13" s="725"/>
      <c r="EE13" s="725"/>
      <c r="EF13" s="725"/>
      <c r="EG13" s="725"/>
      <c r="EH13" s="725"/>
      <c r="EI13" s="725"/>
      <c r="EJ13" s="725"/>
      <c r="EK13" s="725"/>
      <c r="EL13" s="725"/>
      <c r="EM13" s="725"/>
      <c r="EN13" s="725"/>
      <c r="EO13" s="726"/>
      <c r="EP13" s="724">
        <f>EP7-EP10</f>
        <v>8460742.0099999998</v>
      </c>
      <c r="EQ13" s="725"/>
      <c r="ER13" s="725"/>
      <c r="ES13" s="725"/>
      <c r="ET13" s="725"/>
      <c r="EU13" s="725"/>
      <c r="EV13" s="725"/>
      <c r="EW13" s="725"/>
      <c r="EX13" s="725"/>
      <c r="EY13" s="725"/>
      <c r="EZ13" s="725"/>
      <c r="FA13" s="725"/>
      <c r="FB13" s="726"/>
      <c r="FC13" s="724">
        <f>FC14+FC17+FC24</f>
        <v>0</v>
      </c>
      <c r="FD13" s="725"/>
      <c r="FE13" s="725"/>
      <c r="FF13" s="725"/>
      <c r="FG13" s="725"/>
      <c r="FH13" s="725"/>
      <c r="FI13" s="725"/>
      <c r="FJ13" s="725"/>
      <c r="FK13" s="725"/>
      <c r="FL13" s="725"/>
      <c r="FM13" s="725"/>
      <c r="FN13" s="725"/>
      <c r="FO13" s="726"/>
      <c r="FP13" s="727">
        <v>0</v>
      </c>
      <c r="FQ13" s="727"/>
      <c r="FR13" s="727"/>
      <c r="FS13" s="727"/>
      <c r="FT13" s="727"/>
      <c r="FU13" s="727"/>
      <c r="FV13" s="727"/>
      <c r="FW13" s="727"/>
      <c r="FX13" s="727"/>
      <c r="FY13" s="727"/>
      <c r="FZ13" s="727"/>
      <c r="GA13" s="727"/>
      <c r="GB13" s="685"/>
      <c r="GC13" s="685"/>
      <c r="GD13" s="685"/>
      <c r="GE13" s="685"/>
      <c r="GF13" s="685"/>
      <c r="GG13" s="685"/>
      <c r="GH13" s="685"/>
      <c r="GI13" s="685"/>
      <c r="GJ13" s="685"/>
      <c r="GK13" s="685"/>
      <c r="GL13" s="685"/>
      <c r="GM13" s="685"/>
      <c r="GN13" s="686"/>
      <c r="GO13" s="687"/>
      <c r="GP13" s="687"/>
      <c r="GQ13" s="687"/>
      <c r="GR13" s="687"/>
      <c r="GS13" s="687"/>
      <c r="GT13" s="687"/>
      <c r="GU13" s="687"/>
      <c r="GV13" s="687"/>
      <c r="GW13" s="687"/>
      <c r="GX13" s="687"/>
      <c r="GY13" s="687"/>
      <c r="GZ13" s="687"/>
      <c r="HA13" s="688"/>
    </row>
    <row r="14" spans="1:213" ht="27" customHeight="1">
      <c r="A14" s="340" t="s">
        <v>145</v>
      </c>
      <c r="B14" s="340"/>
      <c r="C14" s="340"/>
      <c r="D14" s="340"/>
      <c r="E14" s="340"/>
      <c r="F14" s="340"/>
      <c r="G14" s="340"/>
      <c r="H14" s="341"/>
      <c r="I14" s="354" t="s">
        <v>204</v>
      </c>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705" t="s">
        <v>146</v>
      </c>
      <c r="CO14" s="706"/>
      <c r="CP14" s="706"/>
      <c r="CQ14" s="706"/>
      <c r="CR14" s="706"/>
      <c r="CS14" s="706"/>
      <c r="CT14" s="706"/>
      <c r="CU14" s="706"/>
      <c r="CV14" s="693" t="s">
        <v>21</v>
      </c>
      <c r="CW14" s="693"/>
      <c r="CX14" s="693"/>
      <c r="CY14" s="693"/>
      <c r="CZ14" s="693"/>
      <c r="DA14" s="693"/>
      <c r="DB14" s="693"/>
      <c r="DC14" s="693"/>
      <c r="DD14" s="693"/>
      <c r="DE14" s="693"/>
      <c r="DF14" s="693" t="s">
        <v>21</v>
      </c>
      <c r="DG14" s="693"/>
      <c r="DH14" s="693"/>
      <c r="DI14" s="693"/>
      <c r="DJ14" s="693"/>
      <c r="DK14" s="693"/>
      <c r="DL14" s="693"/>
      <c r="DM14" s="693"/>
      <c r="DN14" s="693"/>
      <c r="DO14" s="693"/>
      <c r="DP14" s="698">
        <f>DP15+DP16</f>
        <v>0</v>
      </c>
      <c r="DQ14" s="698"/>
      <c r="DR14" s="698"/>
      <c r="DS14" s="698"/>
      <c r="DT14" s="698"/>
      <c r="DU14" s="698"/>
      <c r="DV14" s="698"/>
      <c r="DW14" s="698"/>
      <c r="DX14" s="698"/>
      <c r="DY14" s="698"/>
      <c r="DZ14" s="698"/>
      <c r="EA14" s="698"/>
      <c r="EB14" s="698"/>
      <c r="EC14" s="724">
        <f>EC15</f>
        <v>4546045.58</v>
      </c>
      <c r="ED14" s="725"/>
      <c r="EE14" s="725"/>
      <c r="EF14" s="725"/>
      <c r="EG14" s="725"/>
      <c r="EH14" s="725"/>
      <c r="EI14" s="725"/>
      <c r="EJ14" s="725"/>
      <c r="EK14" s="725"/>
      <c r="EL14" s="725"/>
      <c r="EM14" s="725"/>
      <c r="EN14" s="725"/>
      <c r="EO14" s="726"/>
      <c r="EP14" s="724">
        <f>EP15</f>
        <v>5432891.1099999994</v>
      </c>
      <c r="EQ14" s="725"/>
      <c r="ER14" s="725"/>
      <c r="ES14" s="725"/>
      <c r="ET14" s="725"/>
      <c r="EU14" s="725"/>
      <c r="EV14" s="725"/>
      <c r="EW14" s="725"/>
      <c r="EX14" s="725"/>
      <c r="EY14" s="725"/>
      <c r="EZ14" s="725"/>
      <c r="FA14" s="725"/>
      <c r="FB14" s="726"/>
      <c r="FC14" s="724">
        <f>FC15</f>
        <v>0</v>
      </c>
      <c r="FD14" s="725"/>
      <c r="FE14" s="725"/>
      <c r="FF14" s="725"/>
      <c r="FG14" s="725"/>
      <c r="FH14" s="725"/>
      <c r="FI14" s="725"/>
      <c r="FJ14" s="725"/>
      <c r="FK14" s="725"/>
      <c r="FL14" s="725"/>
      <c r="FM14" s="725"/>
      <c r="FN14" s="725"/>
      <c r="FO14" s="726"/>
      <c r="FP14" s="698">
        <v>0</v>
      </c>
      <c r="FQ14" s="698"/>
      <c r="FR14" s="698"/>
      <c r="FS14" s="698"/>
      <c r="FT14" s="698"/>
      <c r="FU14" s="698"/>
      <c r="FV14" s="698"/>
      <c r="FW14" s="698"/>
      <c r="FX14" s="698"/>
      <c r="FY14" s="698"/>
      <c r="FZ14" s="698"/>
      <c r="GA14" s="698"/>
      <c r="GB14" s="685"/>
      <c r="GC14" s="685"/>
      <c r="GD14" s="685"/>
      <c r="GE14" s="685"/>
      <c r="GF14" s="685"/>
      <c r="GG14" s="685"/>
      <c r="GH14" s="685"/>
      <c r="GI14" s="685"/>
      <c r="GJ14" s="685"/>
      <c r="GK14" s="685"/>
      <c r="GL14" s="685"/>
      <c r="GM14" s="685"/>
      <c r="GN14" s="686"/>
      <c r="GO14" s="687"/>
      <c r="GP14" s="687"/>
      <c r="GQ14" s="687"/>
      <c r="GR14" s="687"/>
      <c r="GS14" s="687"/>
      <c r="GT14" s="687"/>
      <c r="GU14" s="687"/>
      <c r="GV14" s="687"/>
      <c r="GW14" s="687"/>
      <c r="GX14" s="687"/>
      <c r="GY14" s="687"/>
      <c r="GZ14" s="687"/>
      <c r="HA14" s="688"/>
    </row>
    <row r="15" spans="1:213" ht="24" customHeight="1">
      <c r="A15" s="340" t="s">
        <v>147</v>
      </c>
      <c r="B15" s="340"/>
      <c r="C15" s="340"/>
      <c r="D15" s="340"/>
      <c r="E15" s="340"/>
      <c r="F15" s="340"/>
      <c r="G15" s="340"/>
      <c r="H15" s="341"/>
      <c r="I15" s="485" t="s">
        <v>148</v>
      </c>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705" t="s">
        <v>149</v>
      </c>
      <c r="CO15" s="706"/>
      <c r="CP15" s="706"/>
      <c r="CQ15" s="706"/>
      <c r="CR15" s="706"/>
      <c r="CS15" s="706"/>
      <c r="CT15" s="706"/>
      <c r="CU15" s="706"/>
      <c r="CV15" s="693" t="s">
        <v>21</v>
      </c>
      <c r="CW15" s="693"/>
      <c r="CX15" s="693"/>
      <c r="CY15" s="693"/>
      <c r="CZ15" s="693"/>
      <c r="DA15" s="693"/>
      <c r="DB15" s="693"/>
      <c r="DC15" s="693"/>
      <c r="DD15" s="693"/>
      <c r="DE15" s="693"/>
      <c r="DF15" s="693" t="s">
        <v>21</v>
      </c>
      <c r="DG15" s="693"/>
      <c r="DH15" s="693"/>
      <c r="DI15" s="693"/>
      <c r="DJ15" s="693"/>
      <c r="DK15" s="693"/>
      <c r="DL15" s="693"/>
      <c r="DM15" s="693"/>
      <c r="DN15" s="693"/>
      <c r="DO15" s="693"/>
      <c r="DP15" s="711"/>
      <c r="DQ15" s="711"/>
      <c r="DR15" s="711"/>
      <c r="DS15" s="711"/>
      <c r="DT15" s="711"/>
      <c r="DU15" s="711"/>
      <c r="DV15" s="711"/>
      <c r="DW15" s="711"/>
      <c r="DX15" s="711"/>
      <c r="DY15" s="711"/>
      <c r="DZ15" s="711"/>
      <c r="EA15" s="711"/>
      <c r="EB15" s="711"/>
      <c r="EC15" s="708">
        <f>'стр. 2_8'!DE196+'стр. 2_8'!DE205+'стр. 2_8'!DE216+'стр. 2_8'!DE273+'стр. 2_8'!DE346+'стр. 2_8'!DE376-319653.34</f>
        <v>4546045.58</v>
      </c>
      <c r="ED15" s="708"/>
      <c r="EE15" s="708"/>
      <c r="EF15" s="708"/>
      <c r="EG15" s="708"/>
      <c r="EH15" s="708"/>
      <c r="EI15" s="708"/>
      <c r="EJ15" s="708"/>
      <c r="EK15" s="708"/>
      <c r="EL15" s="708"/>
      <c r="EM15" s="708"/>
      <c r="EN15" s="708"/>
      <c r="EO15" s="708"/>
      <c r="EP15" s="708">
        <f>EP13-EP18-EP25</f>
        <v>5432891.1099999994</v>
      </c>
      <c r="EQ15" s="708"/>
      <c r="ER15" s="708"/>
      <c r="ES15" s="708"/>
      <c r="ET15" s="708"/>
      <c r="EU15" s="708"/>
      <c r="EV15" s="708"/>
      <c r="EW15" s="708"/>
      <c r="EX15" s="708"/>
      <c r="EY15" s="708"/>
      <c r="EZ15" s="708"/>
      <c r="FA15" s="708"/>
      <c r="FB15" s="708"/>
      <c r="FC15" s="708">
        <v>0</v>
      </c>
      <c r="FD15" s="708"/>
      <c r="FE15" s="708"/>
      <c r="FF15" s="708"/>
      <c r="FG15" s="708"/>
      <c r="FH15" s="708"/>
      <c r="FI15" s="708"/>
      <c r="FJ15" s="708"/>
      <c r="FK15" s="708"/>
      <c r="FL15" s="708"/>
      <c r="FM15" s="708"/>
      <c r="FN15" s="708"/>
      <c r="FO15" s="708"/>
      <c r="FP15" s="685"/>
      <c r="FQ15" s="685"/>
      <c r="FR15" s="685"/>
      <c r="FS15" s="685"/>
      <c r="FT15" s="685"/>
      <c r="FU15" s="685"/>
      <c r="FV15" s="685"/>
      <c r="FW15" s="685"/>
      <c r="FX15" s="685"/>
      <c r="FY15" s="685"/>
      <c r="FZ15" s="685"/>
      <c r="GA15" s="685"/>
      <c r="GB15" s="685"/>
      <c r="GC15" s="685"/>
      <c r="GD15" s="685"/>
      <c r="GE15" s="685"/>
      <c r="GF15" s="685"/>
      <c r="GG15" s="685"/>
      <c r="GH15" s="685"/>
      <c r="GI15" s="685"/>
      <c r="GJ15" s="685"/>
      <c r="GK15" s="685"/>
      <c r="GL15" s="685"/>
      <c r="GM15" s="685"/>
      <c r="GN15" s="686"/>
      <c r="GO15" s="687"/>
      <c r="GP15" s="687"/>
      <c r="GQ15" s="687"/>
      <c r="GR15" s="687"/>
      <c r="GS15" s="687"/>
      <c r="GT15" s="687"/>
      <c r="GU15" s="687"/>
      <c r="GV15" s="687"/>
      <c r="GW15" s="687"/>
      <c r="GX15" s="687"/>
      <c r="GY15" s="687"/>
      <c r="GZ15" s="687"/>
      <c r="HA15" s="688"/>
    </row>
    <row r="16" spans="1:213" ht="12" customHeight="1">
      <c r="A16" s="340" t="s">
        <v>150</v>
      </c>
      <c r="B16" s="340"/>
      <c r="C16" s="340"/>
      <c r="D16" s="340"/>
      <c r="E16" s="340"/>
      <c r="F16" s="340"/>
      <c r="G16" s="340"/>
      <c r="H16" s="341"/>
      <c r="I16" s="485" t="s">
        <v>304</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705" t="s">
        <v>151</v>
      </c>
      <c r="CO16" s="706"/>
      <c r="CP16" s="706"/>
      <c r="CQ16" s="706"/>
      <c r="CR16" s="706"/>
      <c r="CS16" s="706"/>
      <c r="CT16" s="706"/>
      <c r="CU16" s="706"/>
      <c r="CV16" s="693" t="s">
        <v>21</v>
      </c>
      <c r="CW16" s="693"/>
      <c r="CX16" s="693"/>
      <c r="CY16" s="693"/>
      <c r="CZ16" s="693"/>
      <c r="DA16" s="693"/>
      <c r="DB16" s="693"/>
      <c r="DC16" s="693"/>
      <c r="DD16" s="693"/>
      <c r="DE16" s="693"/>
      <c r="DF16" s="693" t="s">
        <v>21</v>
      </c>
      <c r="DG16" s="693"/>
      <c r="DH16" s="693"/>
      <c r="DI16" s="693"/>
      <c r="DJ16" s="693"/>
      <c r="DK16" s="693"/>
      <c r="DL16" s="693"/>
      <c r="DM16" s="693"/>
      <c r="DN16" s="693"/>
      <c r="DO16" s="693"/>
      <c r="DP16" s="711"/>
      <c r="DQ16" s="711"/>
      <c r="DR16" s="711"/>
      <c r="DS16" s="711"/>
      <c r="DT16" s="711"/>
      <c r="DU16" s="711"/>
      <c r="DV16" s="711"/>
      <c r="DW16" s="711"/>
      <c r="DX16" s="711"/>
      <c r="DY16" s="711"/>
      <c r="DZ16" s="711"/>
      <c r="EA16" s="711"/>
      <c r="EB16" s="711"/>
      <c r="EC16" s="711">
        <v>0</v>
      </c>
      <c r="ED16" s="711"/>
      <c r="EE16" s="711"/>
      <c r="EF16" s="711"/>
      <c r="EG16" s="711"/>
      <c r="EH16" s="711"/>
      <c r="EI16" s="711"/>
      <c r="EJ16" s="711"/>
      <c r="EK16" s="711"/>
      <c r="EL16" s="711"/>
      <c r="EM16" s="711"/>
      <c r="EN16" s="711"/>
      <c r="EO16" s="711"/>
      <c r="EP16" s="711"/>
      <c r="EQ16" s="711"/>
      <c r="ER16" s="711"/>
      <c r="ES16" s="711"/>
      <c r="ET16" s="711"/>
      <c r="EU16" s="711"/>
      <c r="EV16" s="711"/>
      <c r="EW16" s="711"/>
      <c r="EX16" s="711"/>
      <c r="EY16" s="711"/>
      <c r="EZ16" s="711"/>
      <c r="FA16" s="711"/>
      <c r="FB16" s="711"/>
      <c r="FC16" s="711"/>
      <c r="FD16" s="711"/>
      <c r="FE16" s="711"/>
      <c r="FF16" s="711"/>
      <c r="FG16" s="711"/>
      <c r="FH16" s="711"/>
      <c r="FI16" s="711"/>
      <c r="FJ16" s="711"/>
      <c r="FK16" s="711"/>
      <c r="FL16" s="711"/>
      <c r="FM16" s="711"/>
      <c r="FN16" s="711"/>
      <c r="FO16" s="711"/>
      <c r="FP16" s="685"/>
      <c r="FQ16" s="685"/>
      <c r="FR16" s="685"/>
      <c r="FS16" s="685"/>
      <c r="FT16" s="685"/>
      <c r="FU16" s="685"/>
      <c r="FV16" s="685"/>
      <c r="FW16" s="685"/>
      <c r="FX16" s="685"/>
      <c r="FY16" s="685"/>
      <c r="FZ16" s="685"/>
      <c r="GA16" s="685"/>
      <c r="GB16" s="685"/>
      <c r="GC16" s="685"/>
      <c r="GD16" s="685"/>
      <c r="GE16" s="685"/>
      <c r="GF16" s="685"/>
      <c r="GG16" s="685"/>
      <c r="GH16" s="685"/>
      <c r="GI16" s="685"/>
      <c r="GJ16" s="685"/>
      <c r="GK16" s="685"/>
      <c r="GL16" s="685"/>
      <c r="GM16" s="685"/>
      <c r="GN16" s="686"/>
      <c r="GO16" s="687"/>
      <c r="GP16" s="687"/>
      <c r="GQ16" s="687"/>
      <c r="GR16" s="687"/>
      <c r="GS16" s="687"/>
      <c r="GT16" s="687"/>
      <c r="GU16" s="687"/>
      <c r="GV16" s="687"/>
      <c r="GW16" s="687"/>
      <c r="GX16" s="687"/>
      <c r="GY16" s="687"/>
      <c r="GZ16" s="687"/>
      <c r="HA16" s="688"/>
    </row>
    <row r="17" spans="1:209" ht="24" customHeight="1">
      <c r="A17" s="340" t="s">
        <v>152</v>
      </c>
      <c r="B17" s="340"/>
      <c r="C17" s="340"/>
      <c r="D17" s="340"/>
      <c r="E17" s="340"/>
      <c r="F17" s="340"/>
      <c r="G17" s="340"/>
      <c r="H17" s="341"/>
      <c r="I17" s="552" t="s">
        <v>153</v>
      </c>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53"/>
      <c r="BH17" s="553"/>
      <c r="BI17" s="553"/>
      <c r="BJ17" s="553"/>
      <c r="BK17" s="553"/>
      <c r="BL17" s="553"/>
      <c r="BM17" s="553"/>
      <c r="BN17" s="553"/>
      <c r="BO17" s="553"/>
      <c r="BP17" s="553"/>
      <c r="BQ17" s="553"/>
      <c r="BR17" s="553"/>
      <c r="BS17" s="553"/>
      <c r="BT17" s="553"/>
      <c r="BU17" s="553"/>
      <c r="BV17" s="553"/>
      <c r="BW17" s="553"/>
      <c r="BX17" s="553"/>
      <c r="BY17" s="553"/>
      <c r="BZ17" s="553"/>
      <c r="CA17" s="553"/>
      <c r="CB17" s="553"/>
      <c r="CC17" s="553"/>
      <c r="CD17" s="553"/>
      <c r="CE17" s="553"/>
      <c r="CF17" s="553"/>
      <c r="CG17" s="553"/>
      <c r="CH17" s="553"/>
      <c r="CI17" s="553"/>
      <c r="CJ17" s="553"/>
      <c r="CK17" s="553"/>
      <c r="CL17" s="553"/>
      <c r="CM17" s="553"/>
      <c r="CN17" s="705" t="s">
        <v>154</v>
      </c>
      <c r="CO17" s="706"/>
      <c r="CP17" s="706"/>
      <c r="CQ17" s="706"/>
      <c r="CR17" s="706"/>
      <c r="CS17" s="706"/>
      <c r="CT17" s="706"/>
      <c r="CU17" s="706"/>
      <c r="CV17" s="693" t="s">
        <v>21</v>
      </c>
      <c r="CW17" s="693"/>
      <c r="CX17" s="693"/>
      <c r="CY17" s="693"/>
      <c r="CZ17" s="693"/>
      <c r="DA17" s="693"/>
      <c r="DB17" s="693"/>
      <c r="DC17" s="693"/>
      <c r="DD17" s="693"/>
      <c r="DE17" s="693"/>
      <c r="DF17" s="693" t="s">
        <v>21</v>
      </c>
      <c r="DG17" s="693"/>
      <c r="DH17" s="693"/>
      <c r="DI17" s="693"/>
      <c r="DJ17" s="693"/>
      <c r="DK17" s="693"/>
      <c r="DL17" s="693"/>
      <c r="DM17" s="693"/>
      <c r="DN17" s="693"/>
      <c r="DO17" s="693"/>
      <c r="DP17" s="698">
        <f t="shared" ref="DP17" si="1">DP18+DP19</f>
        <v>0</v>
      </c>
      <c r="DQ17" s="698"/>
      <c r="DR17" s="698"/>
      <c r="DS17" s="698"/>
      <c r="DT17" s="698"/>
      <c r="DU17" s="698"/>
      <c r="DV17" s="698"/>
      <c r="DW17" s="698"/>
      <c r="DX17" s="698"/>
      <c r="DY17" s="698"/>
      <c r="DZ17" s="698"/>
      <c r="EA17" s="698"/>
      <c r="EB17" s="698"/>
      <c r="EC17" s="724">
        <f>EC18</f>
        <v>3915795</v>
      </c>
      <c r="ED17" s="725"/>
      <c r="EE17" s="725"/>
      <c r="EF17" s="725"/>
      <c r="EG17" s="725"/>
      <c r="EH17" s="725"/>
      <c r="EI17" s="725"/>
      <c r="EJ17" s="725"/>
      <c r="EK17" s="725"/>
      <c r="EL17" s="725"/>
      <c r="EM17" s="725"/>
      <c r="EN17" s="725"/>
      <c r="EO17" s="726"/>
      <c r="EP17" s="724">
        <f>EP18</f>
        <v>2737850.9</v>
      </c>
      <c r="EQ17" s="725"/>
      <c r="ER17" s="725"/>
      <c r="ES17" s="725"/>
      <c r="ET17" s="725"/>
      <c r="EU17" s="725"/>
      <c r="EV17" s="725"/>
      <c r="EW17" s="725"/>
      <c r="EX17" s="725"/>
      <c r="EY17" s="725"/>
      <c r="EZ17" s="725"/>
      <c r="FA17" s="725"/>
      <c r="FB17" s="726"/>
      <c r="FC17" s="724">
        <f>FC18</f>
        <v>0</v>
      </c>
      <c r="FD17" s="725"/>
      <c r="FE17" s="725"/>
      <c r="FF17" s="725"/>
      <c r="FG17" s="725"/>
      <c r="FH17" s="725"/>
      <c r="FI17" s="725"/>
      <c r="FJ17" s="725"/>
      <c r="FK17" s="725"/>
      <c r="FL17" s="725"/>
      <c r="FM17" s="725"/>
      <c r="FN17" s="725"/>
      <c r="FO17" s="726"/>
      <c r="FP17" s="698">
        <v>0</v>
      </c>
      <c r="FQ17" s="698"/>
      <c r="FR17" s="698"/>
      <c r="FS17" s="698"/>
      <c r="FT17" s="698"/>
      <c r="FU17" s="698"/>
      <c r="FV17" s="698"/>
      <c r="FW17" s="698"/>
      <c r="FX17" s="698"/>
      <c r="FY17" s="698"/>
      <c r="FZ17" s="698"/>
      <c r="GA17" s="698"/>
      <c r="GB17" s="685"/>
      <c r="GC17" s="685"/>
      <c r="GD17" s="685"/>
      <c r="GE17" s="685"/>
      <c r="GF17" s="685"/>
      <c r="GG17" s="685"/>
      <c r="GH17" s="685"/>
      <c r="GI17" s="685"/>
      <c r="GJ17" s="685"/>
      <c r="GK17" s="685"/>
      <c r="GL17" s="685"/>
      <c r="GM17" s="685"/>
      <c r="GN17" s="686"/>
      <c r="GO17" s="687"/>
      <c r="GP17" s="687"/>
      <c r="GQ17" s="687"/>
      <c r="GR17" s="687"/>
      <c r="GS17" s="687"/>
      <c r="GT17" s="687"/>
      <c r="GU17" s="687"/>
      <c r="GV17" s="687"/>
      <c r="GW17" s="687"/>
      <c r="GX17" s="687"/>
      <c r="GY17" s="687"/>
      <c r="GZ17" s="687"/>
      <c r="HA17" s="688"/>
    </row>
    <row r="18" spans="1:209" ht="18" customHeight="1">
      <c r="A18" s="340" t="s">
        <v>155</v>
      </c>
      <c r="B18" s="340"/>
      <c r="C18" s="340"/>
      <c r="D18" s="340"/>
      <c r="E18" s="340"/>
      <c r="F18" s="340"/>
      <c r="G18" s="340"/>
      <c r="H18" s="341"/>
      <c r="I18" s="485" t="s">
        <v>148</v>
      </c>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705" t="s">
        <v>156</v>
      </c>
      <c r="CO18" s="706"/>
      <c r="CP18" s="706"/>
      <c r="CQ18" s="706"/>
      <c r="CR18" s="706"/>
      <c r="CS18" s="706"/>
      <c r="CT18" s="706"/>
      <c r="CU18" s="706"/>
      <c r="CV18" s="693" t="s">
        <v>21</v>
      </c>
      <c r="CW18" s="693"/>
      <c r="CX18" s="693"/>
      <c r="CY18" s="693"/>
      <c r="CZ18" s="693"/>
      <c r="DA18" s="693"/>
      <c r="DB18" s="693"/>
      <c r="DC18" s="693"/>
      <c r="DD18" s="693"/>
      <c r="DE18" s="693"/>
      <c r="DF18" s="693" t="s">
        <v>21</v>
      </c>
      <c r="DG18" s="693"/>
      <c r="DH18" s="693"/>
      <c r="DI18" s="693"/>
      <c r="DJ18" s="693"/>
      <c r="DK18" s="693"/>
      <c r="DL18" s="693"/>
      <c r="DM18" s="693"/>
      <c r="DN18" s="693"/>
      <c r="DO18" s="693"/>
      <c r="DP18" s="711"/>
      <c r="DQ18" s="711"/>
      <c r="DR18" s="711"/>
      <c r="DS18" s="711"/>
      <c r="DT18" s="711"/>
      <c r="DU18" s="711"/>
      <c r="DV18" s="711"/>
      <c r="DW18" s="711"/>
      <c r="DX18" s="711"/>
      <c r="DY18" s="711"/>
      <c r="DZ18" s="711"/>
      <c r="EA18" s="711"/>
      <c r="EB18" s="711"/>
      <c r="EC18" s="723">
        <f>2462144.77-250000-2000+946490+159600+3932.2+25000+260190.03+310438</f>
        <v>3915795</v>
      </c>
      <c r="ED18" s="723"/>
      <c r="EE18" s="723"/>
      <c r="EF18" s="723"/>
      <c r="EG18" s="723"/>
      <c r="EH18" s="723"/>
      <c r="EI18" s="723"/>
      <c r="EJ18" s="723"/>
      <c r="EK18" s="723"/>
      <c r="EL18" s="723"/>
      <c r="EM18" s="723"/>
      <c r="EN18" s="723"/>
      <c r="EO18" s="723"/>
      <c r="EP18" s="723">
        <f>122000+378625+8000+1473000+21800+14000+720425.9</f>
        <v>2737850.9</v>
      </c>
      <c r="EQ18" s="723"/>
      <c r="ER18" s="723"/>
      <c r="ES18" s="723"/>
      <c r="ET18" s="723"/>
      <c r="EU18" s="723"/>
      <c r="EV18" s="723"/>
      <c r="EW18" s="723"/>
      <c r="EX18" s="723"/>
      <c r="EY18" s="723"/>
      <c r="EZ18" s="723"/>
      <c r="FA18" s="723"/>
      <c r="FB18" s="723"/>
      <c r="FC18" s="723">
        <v>0</v>
      </c>
      <c r="FD18" s="723"/>
      <c r="FE18" s="723"/>
      <c r="FF18" s="723"/>
      <c r="FG18" s="723"/>
      <c r="FH18" s="723"/>
      <c r="FI18" s="723"/>
      <c r="FJ18" s="723"/>
      <c r="FK18" s="723"/>
      <c r="FL18" s="723"/>
      <c r="FM18" s="723"/>
      <c r="FN18" s="723"/>
      <c r="FO18" s="723"/>
      <c r="FP18" s="685"/>
      <c r="FQ18" s="685"/>
      <c r="FR18" s="685"/>
      <c r="FS18" s="685"/>
      <c r="FT18" s="685"/>
      <c r="FU18" s="685"/>
      <c r="FV18" s="685"/>
      <c r="FW18" s="685"/>
      <c r="FX18" s="685"/>
      <c r="FY18" s="685"/>
      <c r="FZ18" s="685"/>
      <c r="GA18" s="685"/>
      <c r="GB18" s="685"/>
      <c r="GC18" s="685"/>
      <c r="GD18" s="685"/>
      <c r="GE18" s="685"/>
      <c r="GF18" s="685"/>
      <c r="GG18" s="685"/>
      <c r="GH18" s="685"/>
      <c r="GI18" s="685"/>
      <c r="GJ18" s="685"/>
      <c r="GK18" s="685"/>
      <c r="GL18" s="685"/>
      <c r="GM18" s="685"/>
      <c r="GN18" s="686"/>
      <c r="GO18" s="687"/>
      <c r="GP18" s="687"/>
      <c r="GQ18" s="687"/>
      <c r="GR18" s="687"/>
      <c r="GS18" s="687"/>
      <c r="GT18" s="687"/>
      <c r="GU18" s="687"/>
      <c r="GV18" s="687"/>
      <c r="GW18" s="687"/>
      <c r="GX18" s="687"/>
      <c r="GY18" s="687"/>
      <c r="GZ18" s="687"/>
      <c r="HA18" s="688"/>
    </row>
    <row r="19" spans="1:209" ht="12" customHeight="1">
      <c r="A19" s="340" t="s">
        <v>157</v>
      </c>
      <c r="B19" s="340"/>
      <c r="C19" s="340"/>
      <c r="D19" s="340"/>
      <c r="E19" s="340"/>
      <c r="F19" s="340"/>
      <c r="G19" s="340"/>
      <c r="H19" s="341"/>
      <c r="I19" s="485" t="s">
        <v>304</v>
      </c>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705" t="s">
        <v>158</v>
      </c>
      <c r="CO19" s="706"/>
      <c r="CP19" s="706"/>
      <c r="CQ19" s="706"/>
      <c r="CR19" s="706"/>
      <c r="CS19" s="706"/>
      <c r="CT19" s="706"/>
      <c r="CU19" s="706"/>
      <c r="CV19" s="693" t="s">
        <v>21</v>
      </c>
      <c r="CW19" s="693"/>
      <c r="CX19" s="693"/>
      <c r="CY19" s="693"/>
      <c r="CZ19" s="693"/>
      <c r="DA19" s="693"/>
      <c r="DB19" s="693"/>
      <c r="DC19" s="693"/>
      <c r="DD19" s="693"/>
      <c r="DE19" s="693"/>
      <c r="DF19" s="693" t="s">
        <v>21</v>
      </c>
      <c r="DG19" s="693"/>
      <c r="DH19" s="693"/>
      <c r="DI19" s="693"/>
      <c r="DJ19" s="693"/>
      <c r="DK19" s="693"/>
      <c r="DL19" s="693"/>
      <c r="DM19" s="693"/>
      <c r="DN19" s="693"/>
      <c r="DO19" s="693"/>
      <c r="DP19" s="711"/>
      <c r="DQ19" s="711"/>
      <c r="DR19" s="711"/>
      <c r="DS19" s="711"/>
      <c r="DT19" s="711"/>
      <c r="DU19" s="711"/>
      <c r="DV19" s="711"/>
      <c r="DW19" s="711"/>
      <c r="DX19" s="711"/>
      <c r="DY19" s="711"/>
      <c r="DZ19" s="711"/>
      <c r="EA19" s="711"/>
      <c r="EB19" s="711"/>
      <c r="EC19" s="711">
        <v>0</v>
      </c>
      <c r="ED19" s="711"/>
      <c r="EE19" s="711"/>
      <c r="EF19" s="711"/>
      <c r="EG19" s="711"/>
      <c r="EH19" s="711"/>
      <c r="EI19" s="711"/>
      <c r="EJ19" s="711"/>
      <c r="EK19" s="711"/>
      <c r="EL19" s="711"/>
      <c r="EM19" s="711"/>
      <c r="EN19" s="711"/>
      <c r="EO19" s="711"/>
      <c r="EP19" s="711"/>
      <c r="EQ19" s="711"/>
      <c r="ER19" s="711"/>
      <c r="ES19" s="711"/>
      <c r="ET19" s="711"/>
      <c r="EU19" s="711"/>
      <c r="EV19" s="711"/>
      <c r="EW19" s="711"/>
      <c r="EX19" s="711"/>
      <c r="EY19" s="711"/>
      <c r="EZ19" s="711"/>
      <c r="FA19" s="711"/>
      <c r="FB19" s="711"/>
      <c r="FC19" s="711"/>
      <c r="FD19" s="711"/>
      <c r="FE19" s="711"/>
      <c r="FF19" s="711"/>
      <c r="FG19" s="711"/>
      <c r="FH19" s="711"/>
      <c r="FI19" s="711"/>
      <c r="FJ19" s="711"/>
      <c r="FK19" s="711"/>
      <c r="FL19" s="711"/>
      <c r="FM19" s="711"/>
      <c r="FN19" s="711"/>
      <c r="FO19" s="711"/>
      <c r="FP19" s="685"/>
      <c r="FQ19" s="685"/>
      <c r="FR19" s="685"/>
      <c r="FS19" s="685"/>
      <c r="FT19" s="685"/>
      <c r="FU19" s="685"/>
      <c r="FV19" s="685"/>
      <c r="FW19" s="685"/>
      <c r="FX19" s="685"/>
      <c r="FY19" s="685"/>
      <c r="FZ19" s="685"/>
      <c r="GA19" s="685"/>
      <c r="GB19" s="685"/>
      <c r="GC19" s="685"/>
      <c r="GD19" s="685"/>
      <c r="GE19" s="685"/>
      <c r="GF19" s="685"/>
      <c r="GG19" s="685"/>
      <c r="GH19" s="685"/>
      <c r="GI19" s="685"/>
      <c r="GJ19" s="685"/>
      <c r="GK19" s="685"/>
      <c r="GL19" s="685"/>
      <c r="GM19" s="685"/>
      <c r="GN19" s="686"/>
      <c r="GO19" s="687"/>
      <c r="GP19" s="687"/>
      <c r="GQ19" s="687"/>
      <c r="GR19" s="687"/>
      <c r="GS19" s="687"/>
      <c r="GT19" s="687"/>
      <c r="GU19" s="687"/>
      <c r="GV19" s="687"/>
      <c r="GW19" s="687"/>
      <c r="GX19" s="687"/>
      <c r="GY19" s="687"/>
      <c r="GZ19" s="687"/>
      <c r="HA19" s="688"/>
    </row>
    <row r="20" spans="1:209" ht="12" customHeight="1">
      <c r="A20" s="340" t="s">
        <v>159</v>
      </c>
      <c r="B20" s="340"/>
      <c r="C20" s="340"/>
      <c r="D20" s="340"/>
      <c r="E20" s="340"/>
      <c r="F20" s="340"/>
      <c r="G20" s="340"/>
      <c r="H20" s="341"/>
      <c r="I20" s="552" t="s">
        <v>306</v>
      </c>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705" t="s">
        <v>160</v>
      </c>
      <c r="CO20" s="706"/>
      <c r="CP20" s="706"/>
      <c r="CQ20" s="706"/>
      <c r="CR20" s="706"/>
      <c r="CS20" s="706"/>
      <c r="CT20" s="706"/>
      <c r="CU20" s="706"/>
      <c r="CV20" s="693" t="s">
        <v>21</v>
      </c>
      <c r="CW20" s="693"/>
      <c r="CX20" s="693"/>
      <c r="CY20" s="693"/>
      <c r="CZ20" s="693"/>
      <c r="DA20" s="693"/>
      <c r="DB20" s="693"/>
      <c r="DC20" s="693"/>
      <c r="DD20" s="693"/>
      <c r="DE20" s="693"/>
      <c r="DF20" s="693" t="s">
        <v>21</v>
      </c>
      <c r="DG20" s="693"/>
      <c r="DH20" s="693"/>
      <c r="DI20" s="693"/>
      <c r="DJ20" s="693"/>
      <c r="DK20" s="693"/>
      <c r="DL20" s="693"/>
      <c r="DM20" s="693"/>
      <c r="DN20" s="693"/>
      <c r="DO20" s="693"/>
      <c r="DP20" s="721">
        <v>0</v>
      </c>
      <c r="DQ20" s="721"/>
      <c r="DR20" s="721"/>
      <c r="DS20" s="721"/>
      <c r="DT20" s="721"/>
      <c r="DU20" s="721"/>
      <c r="DV20" s="721"/>
      <c r="DW20" s="721"/>
      <c r="DX20" s="721"/>
      <c r="DY20" s="721"/>
      <c r="DZ20" s="721"/>
      <c r="EA20" s="721"/>
      <c r="EB20" s="721"/>
      <c r="EC20" s="721">
        <v>0</v>
      </c>
      <c r="ED20" s="721"/>
      <c r="EE20" s="721"/>
      <c r="EF20" s="721"/>
      <c r="EG20" s="721"/>
      <c r="EH20" s="721"/>
      <c r="EI20" s="721"/>
      <c r="EJ20" s="721"/>
      <c r="EK20" s="721"/>
      <c r="EL20" s="721"/>
      <c r="EM20" s="721"/>
      <c r="EN20" s="721"/>
      <c r="EO20" s="721"/>
      <c r="EP20" s="721">
        <v>0</v>
      </c>
      <c r="EQ20" s="721"/>
      <c r="ER20" s="721"/>
      <c r="ES20" s="721"/>
      <c r="ET20" s="721"/>
      <c r="EU20" s="721"/>
      <c r="EV20" s="721"/>
      <c r="EW20" s="721"/>
      <c r="EX20" s="721"/>
      <c r="EY20" s="721"/>
      <c r="EZ20" s="721"/>
      <c r="FA20" s="721"/>
      <c r="FB20" s="721"/>
      <c r="FC20" s="721">
        <v>0</v>
      </c>
      <c r="FD20" s="721"/>
      <c r="FE20" s="721"/>
      <c r="FF20" s="721"/>
      <c r="FG20" s="721"/>
      <c r="FH20" s="721"/>
      <c r="FI20" s="721"/>
      <c r="FJ20" s="721"/>
      <c r="FK20" s="721"/>
      <c r="FL20" s="721"/>
      <c r="FM20" s="721"/>
      <c r="FN20" s="721"/>
      <c r="FO20" s="721"/>
      <c r="FP20" s="722">
        <v>0</v>
      </c>
      <c r="FQ20" s="722"/>
      <c r="FR20" s="722"/>
      <c r="FS20" s="722"/>
      <c r="FT20" s="722"/>
      <c r="FU20" s="722"/>
      <c r="FV20" s="722"/>
      <c r="FW20" s="722"/>
      <c r="FX20" s="722"/>
      <c r="FY20" s="722"/>
      <c r="FZ20" s="722"/>
      <c r="GA20" s="722"/>
      <c r="GB20" s="685"/>
      <c r="GC20" s="685"/>
      <c r="GD20" s="685"/>
      <c r="GE20" s="685"/>
      <c r="GF20" s="685"/>
      <c r="GG20" s="685"/>
      <c r="GH20" s="685"/>
      <c r="GI20" s="685"/>
      <c r="GJ20" s="685"/>
      <c r="GK20" s="685"/>
      <c r="GL20" s="685"/>
      <c r="GM20" s="685"/>
      <c r="GN20" s="686"/>
      <c r="GO20" s="687"/>
      <c r="GP20" s="687"/>
      <c r="GQ20" s="687"/>
      <c r="GR20" s="687"/>
      <c r="GS20" s="687"/>
      <c r="GT20" s="687"/>
      <c r="GU20" s="687"/>
      <c r="GV20" s="687"/>
      <c r="GW20" s="687"/>
      <c r="GX20" s="687"/>
      <c r="GY20" s="687"/>
      <c r="GZ20" s="687"/>
      <c r="HA20" s="688"/>
    </row>
    <row r="21" spans="1:209" ht="12" customHeight="1">
      <c r="A21" s="340" t="s">
        <v>161</v>
      </c>
      <c r="B21" s="340"/>
      <c r="C21" s="340"/>
      <c r="D21" s="340"/>
      <c r="E21" s="340"/>
      <c r="F21" s="340"/>
      <c r="G21" s="340"/>
      <c r="H21" s="341"/>
      <c r="I21" s="552" t="s">
        <v>162</v>
      </c>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3"/>
      <c r="BH21" s="553"/>
      <c r="BI21" s="553"/>
      <c r="BJ21" s="553"/>
      <c r="BK21" s="553"/>
      <c r="BL21" s="553"/>
      <c r="BM21" s="553"/>
      <c r="BN21" s="553"/>
      <c r="BO21" s="553"/>
      <c r="BP21" s="553"/>
      <c r="BQ21" s="553"/>
      <c r="BR21" s="553"/>
      <c r="BS21" s="553"/>
      <c r="BT21" s="553"/>
      <c r="BU21" s="553"/>
      <c r="BV21" s="553"/>
      <c r="BW21" s="553"/>
      <c r="BX21" s="553"/>
      <c r="BY21" s="553"/>
      <c r="BZ21" s="553"/>
      <c r="CA21" s="553"/>
      <c r="CB21" s="553"/>
      <c r="CC21" s="553"/>
      <c r="CD21" s="553"/>
      <c r="CE21" s="553"/>
      <c r="CF21" s="553"/>
      <c r="CG21" s="553"/>
      <c r="CH21" s="553"/>
      <c r="CI21" s="553"/>
      <c r="CJ21" s="553"/>
      <c r="CK21" s="553"/>
      <c r="CL21" s="553"/>
      <c r="CM21" s="553"/>
      <c r="CN21" s="705" t="s">
        <v>163</v>
      </c>
      <c r="CO21" s="706"/>
      <c r="CP21" s="706"/>
      <c r="CQ21" s="706"/>
      <c r="CR21" s="706"/>
      <c r="CS21" s="706"/>
      <c r="CT21" s="706"/>
      <c r="CU21" s="706"/>
      <c r="CV21" s="693" t="s">
        <v>21</v>
      </c>
      <c r="CW21" s="693"/>
      <c r="CX21" s="693"/>
      <c r="CY21" s="693"/>
      <c r="CZ21" s="693"/>
      <c r="DA21" s="693"/>
      <c r="DB21" s="693"/>
      <c r="DC21" s="693"/>
      <c r="DD21" s="693"/>
      <c r="DE21" s="693"/>
      <c r="DF21" s="693" t="s">
        <v>21</v>
      </c>
      <c r="DG21" s="693"/>
      <c r="DH21" s="693"/>
      <c r="DI21" s="693"/>
      <c r="DJ21" s="693"/>
      <c r="DK21" s="693"/>
      <c r="DL21" s="693"/>
      <c r="DM21" s="693"/>
      <c r="DN21" s="693"/>
      <c r="DO21" s="693"/>
      <c r="DP21" s="698">
        <f t="shared" ref="DP21" si="2">DP22+DP23</f>
        <v>0</v>
      </c>
      <c r="DQ21" s="698"/>
      <c r="DR21" s="698"/>
      <c r="DS21" s="698"/>
      <c r="DT21" s="698"/>
      <c r="DU21" s="698"/>
      <c r="DV21" s="698"/>
      <c r="DW21" s="698"/>
      <c r="DX21" s="698"/>
      <c r="DY21" s="698"/>
      <c r="DZ21" s="698"/>
      <c r="EA21" s="698"/>
      <c r="EB21" s="698"/>
      <c r="EC21" s="698">
        <f>EC22+EC23</f>
        <v>0</v>
      </c>
      <c r="ED21" s="698"/>
      <c r="EE21" s="698"/>
      <c r="EF21" s="698"/>
      <c r="EG21" s="698"/>
      <c r="EH21" s="698"/>
      <c r="EI21" s="698"/>
      <c r="EJ21" s="698"/>
      <c r="EK21" s="698"/>
      <c r="EL21" s="698"/>
      <c r="EM21" s="698"/>
      <c r="EN21" s="698"/>
      <c r="EO21" s="698"/>
      <c r="EP21" s="698">
        <f>EP22+EP23</f>
        <v>0</v>
      </c>
      <c r="EQ21" s="698"/>
      <c r="ER21" s="698"/>
      <c r="ES21" s="698"/>
      <c r="ET21" s="698"/>
      <c r="EU21" s="698"/>
      <c r="EV21" s="698"/>
      <c r="EW21" s="698"/>
      <c r="EX21" s="698"/>
      <c r="EY21" s="698"/>
      <c r="EZ21" s="698"/>
      <c r="FA21" s="698"/>
      <c r="FB21" s="698"/>
      <c r="FC21" s="698">
        <f>FC22+FC23</f>
        <v>0</v>
      </c>
      <c r="FD21" s="698"/>
      <c r="FE21" s="698"/>
      <c r="FF21" s="698"/>
      <c r="FG21" s="698"/>
      <c r="FH21" s="698"/>
      <c r="FI21" s="698"/>
      <c r="FJ21" s="698"/>
      <c r="FK21" s="698"/>
      <c r="FL21" s="698"/>
      <c r="FM21" s="698"/>
      <c r="FN21" s="698"/>
      <c r="FO21" s="698"/>
      <c r="FP21" s="698">
        <v>0</v>
      </c>
      <c r="FQ21" s="698"/>
      <c r="FR21" s="698"/>
      <c r="FS21" s="698"/>
      <c r="FT21" s="698"/>
      <c r="FU21" s="698"/>
      <c r="FV21" s="698"/>
      <c r="FW21" s="698"/>
      <c r="FX21" s="698"/>
      <c r="FY21" s="698"/>
      <c r="FZ21" s="698"/>
      <c r="GA21" s="698"/>
      <c r="GB21" s="685"/>
      <c r="GC21" s="685"/>
      <c r="GD21" s="685"/>
      <c r="GE21" s="685"/>
      <c r="GF21" s="685"/>
      <c r="GG21" s="685"/>
      <c r="GH21" s="685"/>
      <c r="GI21" s="685"/>
      <c r="GJ21" s="685"/>
      <c r="GK21" s="685"/>
      <c r="GL21" s="685"/>
      <c r="GM21" s="685"/>
      <c r="GN21" s="686"/>
      <c r="GO21" s="687"/>
      <c r="GP21" s="687"/>
      <c r="GQ21" s="687"/>
      <c r="GR21" s="687"/>
      <c r="GS21" s="687"/>
      <c r="GT21" s="687"/>
      <c r="GU21" s="687"/>
      <c r="GV21" s="687"/>
      <c r="GW21" s="687"/>
      <c r="GX21" s="687"/>
      <c r="GY21" s="687"/>
      <c r="GZ21" s="687"/>
      <c r="HA21" s="688"/>
    </row>
    <row r="22" spans="1:209" ht="20.399999999999999" customHeight="1">
      <c r="A22" s="340" t="s">
        <v>164</v>
      </c>
      <c r="B22" s="340"/>
      <c r="C22" s="340"/>
      <c r="D22" s="340"/>
      <c r="E22" s="340"/>
      <c r="F22" s="340"/>
      <c r="G22" s="340"/>
      <c r="H22" s="341"/>
      <c r="I22" s="485" t="s">
        <v>148</v>
      </c>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705" t="s">
        <v>165</v>
      </c>
      <c r="CO22" s="706"/>
      <c r="CP22" s="706"/>
      <c r="CQ22" s="706"/>
      <c r="CR22" s="706"/>
      <c r="CS22" s="706"/>
      <c r="CT22" s="706"/>
      <c r="CU22" s="706"/>
      <c r="CV22" s="693" t="s">
        <v>21</v>
      </c>
      <c r="CW22" s="693"/>
      <c r="CX22" s="693"/>
      <c r="CY22" s="693"/>
      <c r="CZ22" s="693"/>
      <c r="DA22" s="693"/>
      <c r="DB22" s="693"/>
      <c r="DC22" s="693"/>
      <c r="DD22" s="693"/>
      <c r="DE22" s="693"/>
      <c r="DF22" s="693" t="s">
        <v>21</v>
      </c>
      <c r="DG22" s="693"/>
      <c r="DH22" s="693"/>
      <c r="DI22" s="693"/>
      <c r="DJ22" s="693"/>
      <c r="DK22" s="693"/>
      <c r="DL22" s="693"/>
      <c r="DM22" s="693"/>
      <c r="DN22" s="693"/>
      <c r="DO22" s="693"/>
      <c r="DP22" s="711"/>
      <c r="DQ22" s="711"/>
      <c r="DR22" s="711"/>
      <c r="DS22" s="711"/>
      <c r="DT22" s="711"/>
      <c r="DU22" s="711"/>
      <c r="DV22" s="711"/>
      <c r="DW22" s="711"/>
      <c r="DX22" s="711"/>
      <c r="DY22" s="711"/>
      <c r="DZ22" s="711"/>
      <c r="EA22" s="711"/>
      <c r="EB22" s="711"/>
      <c r="EC22" s="711"/>
      <c r="ED22" s="711"/>
      <c r="EE22" s="711"/>
      <c r="EF22" s="711"/>
      <c r="EG22" s="711"/>
      <c r="EH22" s="711"/>
      <c r="EI22" s="711"/>
      <c r="EJ22" s="711"/>
      <c r="EK22" s="711"/>
      <c r="EL22" s="711"/>
      <c r="EM22" s="711"/>
      <c r="EN22" s="711"/>
      <c r="EO22" s="711"/>
      <c r="EP22" s="711"/>
      <c r="EQ22" s="711"/>
      <c r="ER22" s="711"/>
      <c r="ES22" s="711"/>
      <c r="ET22" s="711"/>
      <c r="EU22" s="711"/>
      <c r="EV22" s="711"/>
      <c r="EW22" s="711"/>
      <c r="EX22" s="711"/>
      <c r="EY22" s="711"/>
      <c r="EZ22" s="711"/>
      <c r="FA22" s="711"/>
      <c r="FB22" s="711"/>
      <c r="FC22" s="711"/>
      <c r="FD22" s="711"/>
      <c r="FE22" s="711"/>
      <c r="FF22" s="711"/>
      <c r="FG22" s="711"/>
      <c r="FH22" s="711"/>
      <c r="FI22" s="711"/>
      <c r="FJ22" s="711"/>
      <c r="FK22" s="711"/>
      <c r="FL22" s="711"/>
      <c r="FM22" s="711"/>
      <c r="FN22" s="711"/>
      <c r="FO22" s="711"/>
      <c r="FP22" s="685"/>
      <c r="FQ22" s="685"/>
      <c r="FR22" s="685"/>
      <c r="FS22" s="685"/>
      <c r="FT22" s="685"/>
      <c r="FU22" s="685"/>
      <c r="FV22" s="685"/>
      <c r="FW22" s="685"/>
      <c r="FX22" s="685"/>
      <c r="FY22" s="685"/>
      <c r="FZ22" s="685"/>
      <c r="GA22" s="685"/>
      <c r="GB22" s="685"/>
      <c r="GC22" s="685"/>
      <c r="GD22" s="685"/>
      <c r="GE22" s="685"/>
      <c r="GF22" s="685"/>
      <c r="GG22" s="685"/>
      <c r="GH22" s="685"/>
      <c r="GI22" s="685"/>
      <c r="GJ22" s="685"/>
      <c r="GK22" s="685"/>
      <c r="GL22" s="685"/>
      <c r="GM22" s="685"/>
      <c r="GN22" s="686"/>
      <c r="GO22" s="687"/>
      <c r="GP22" s="687"/>
      <c r="GQ22" s="687"/>
      <c r="GR22" s="687"/>
      <c r="GS22" s="687"/>
      <c r="GT22" s="687"/>
      <c r="GU22" s="687"/>
      <c r="GV22" s="687"/>
      <c r="GW22" s="687"/>
      <c r="GX22" s="687"/>
      <c r="GY22" s="687"/>
      <c r="GZ22" s="687"/>
      <c r="HA22" s="688"/>
    </row>
    <row r="23" spans="1:209" ht="12" customHeight="1">
      <c r="A23" s="340" t="s">
        <v>166</v>
      </c>
      <c r="B23" s="340"/>
      <c r="C23" s="340"/>
      <c r="D23" s="340"/>
      <c r="E23" s="340"/>
      <c r="F23" s="340"/>
      <c r="G23" s="340"/>
      <c r="H23" s="341"/>
      <c r="I23" s="485" t="s">
        <v>305</v>
      </c>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705" t="s">
        <v>167</v>
      </c>
      <c r="CO23" s="706"/>
      <c r="CP23" s="706"/>
      <c r="CQ23" s="706"/>
      <c r="CR23" s="706"/>
      <c r="CS23" s="706"/>
      <c r="CT23" s="706"/>
      <c r="CU23" s="706"/>
      <c r="CV23" s="693" t="s">
        <v>21</v>
      </c>
      <c r="CW23" s="693"/>
      <c r="CX23" s="693"/>
      <c r="CY23" s="693"/>
      <c r="CZ23" s="693"/>
      <c r="DA23" s="693"/>
      <c r="DB23" s="693"/>
      <c r="DC23" s="693"/>
      <c r="DD23" s="693"/>
      <c r="DE23" s="693"/>
      <c r="DF23" s="693" t="s">
        <v>21</v>
      </c>
      <c r="DG23" s="693"/>
      <c r="DH23" s="693"/>
      <c r="DI23" s="693"/>
      <c r="DJ23" s="693"/>
      <c r="DK23" s="693"/>
      <c r="DL23" s="693"/>
      <c r="DM23" s="693"/>
      <c r="DN23" s="693"/>
      <c r="DO23" s="693"/>
      <c r="DP23" s="711"/>
      <c r="DQ23" s="711"/>
      <c r="DR23" s="711"/>
      <c r="DS23" s="711"/>
      <c r="DT23" s="711"/>
      <c r="DU23" s="711"/>
      <c r="DV23" s="711"/>
      <c r="DW23" s="711"/>
      <c r="DX23" s="711"/>
      <c r="DY23" s="711"/>
      <c r="DZ23" s="711"/>
      <c r="EA23" s="711"/>
      <c r="EB23" s="711"/>
      <c r="EC23" s="711"/>
      <c r="ED23" s="711"/>
      <c r="EE23" s="711"/>
      <c r="EF23" s="711"/>
      <c r="EG23" s="711"/>
      <c r="EH23" s="711"/>
      <c r="EI23" s="711"/>
      <c r="EJ23" s="711"/>
      <c r="EK23" s="711"/>
      <c r="EL23" s="711"/>
      <c r="EM23" s="711"/>
      <c r="EN23" s="711"/>
      <c r="EO23" s="711"/>
      <c r="EP23" s="711"/>
      <c r="EQ23" s="711"/>
      <c r="ER23" s="711"/>
      <c r="ES23" s="711"/>
      <c r="ET23" s="711"/>
      <c r="EU23" s="711"/>
      <c r="EV23" s="711"/>
      <c r="EW23" s="711"/>
      <c r="EX23" s="711"/>
      <c r="EY23" s="711"/>
      <c r="EZ23" s="711"/>
      <c r="FA23" s="711"/>
      <c r="FB23" s="711"/>
      <c r="FC23" s="711"/>
      <c r="FD23" s="711"/>
      <c r="FE23" s="711"/>
      <c r="FF23" s="711"/>
      <c r="FG23" s="711"/>
      <c r="FH23" s="711"/>
      <c r="FI23" s="711"/>
      <c r="FJ23" s="711"/>
      <c r="FK23" s="711"/>
      <c r="FL23" s="711"/>
      <c r="FM23" s="711"/>
      <c r="FN23" s="711"/>
      <c r="FO23" s="711"/>
      <c r="FP23" s="685"/>
      <c r="FQ23" s="685"/>
      <c r="FR23" s="685"/>
      <c r="FS23" s="685"/>
      <c r="FT23" s="685"/>
      <c r="FU23" s="685"/>
      <c r="FV23" s="685"/>
      <c r="FW23" s="685"/>
      <c r="FX23" s="685"/>
      <c r="FY23" s="685"/>
      <c r="FZ23" s="685"/>
      <c r="GA23" s="685"/>
      <c r="GB23" s="685"/>
      <c r="GC23" s="685"/>
      <c r="GD23" s="685"/>
      <c r="GE23" s="685"/>
      <c r="GF23" s="685"/>
      <c r="GG23" s="685"/>
      <c r="GH23" s="685"/>
      <c r="GI23" s="685"/>
      <c r="GJ23" s="685"/>
      <c r="GK23" s="685"/>
      <c r="GL23" s="685"/>
      <c r="GM23" s="685"/>
      <c r="GN23" s="686"/>
      <c r="GO23" s="687"/>
      <c r="GP23" s="687"/>
      <c r="GQ23" s="687"/>
      <c r="GR23" s="687"/>
      <c r="GS23" s="687"/>
      <c r="GT23" s="687"/>
      <c r="GU23" s="687"/>
      <c r="GV23" s="687"/>
      <c r="GW23" s="687"/>
      <c r="GX23" s="687"/>
      <c r="GY23" s="687"/>
      <c r="GZ23" s="687"/>
      <c r="HA23" s="688"/>
    </row>
    <row r="24" spans="1:209" ht="10.8" thickBot="1">
      <c r="A24" s="340" t="s">
        <v>168</v>
      </c>
      <c r="B24" s="340"/>
      <c r="C24" s="340"/>
      <c r="D24" s="340"/>
      <c r="E24" s="340"/>
      <c r="F24" s="340"/>
      <c r="G24" s="340"/>
      <c r="H24" s="341"/>
      <c r="I24" s="552" t="s">
        <v>169</v>
      </c>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553"/>
      <c r="BN24" s="553"/>
      <c r="BO24" s="553"/>
      <c r="BP24" s="553"/>
      <c r="BQ24" s="553"/>
      <c r="BR24" s="553"/>
      <c r="BS24" s="553"/>
      <c r="BT24" s="553"/>
      <c r="BU24" s="553"/>
      <c r="BV24" s="553"/>
      <c r="BW24" s="553"/>
      <c r="BX24" s="553"/>
      <c r="BY24" s="553"/>
      <c r="BZ24" s="553"/>
      <c r="CA24" s="553"/>
      <c r="CB24" s="553"/>
      <c r="CC24" s="553"/>
      <c r="CD24" s="553"/>
      <c r="CE24" s="553"/>
      <c r="CF24" s="553"/>
      <c r="CG24" s="553"/>
      <c r="CH24" s="553"/>
      <c r="CI24" s="553"/>
      <c r="CJ24" s="553"/>
      <c r="CK24" s="553"/>
      <c r="CL24" s="553"/>
      <c r="CM24" s="553"/>
      <c r="CN24" s="705" t="s">
        <v>170</v>
      </c>
      <c r="CO24" s="706"/>
      <c r="CP24" s="706"/>
      <c r="CQ24" s="706"/>
      <c r="CR24" s="706"/>
      <c r="CS24" s="706"/>
      <c r="CT24" s="706"/>
      <c r="CU24" s="706"/>
      <c r="CV24" s="693" t="s">
        <v>21</v>
      </c>
      <c r="CW24" s="693"/>
      <c r="CX24" s="693"/>
      <c r="CY24" s="693"/>
      <c r="CZ24" s="693"/>
      <c r="DA24" s="693"/>
      <c r="DB24" s="693"/>
      <c r="DC24" s="693"/>
      <c r="DD24" s="693"/>
      <c r="DE24" s="693"/>
      <c r="DF24" s="693" t="s">
        <v>21</v>
      </c>
      <c r="DG24" s="693"/>
      <c r="DH24" s="693"/>
      <c r="DI24" s="693"/>
      <c r="DJ24" s="693"/>
      <c r="DK24" s="693"/>
      <c r="DL24" s="693"/>
      <c r="DM24" s="693"/>
      <c r="DN24" s="693"/>
      <c r="DO24" s="693"/>
      <c r="DP24" s="698">
        <f t="shared" ref="DP24" si="3">DP25+DP26</f>
        <v>0</v>
      </c>
      <c r="DQ24" s="698"/>
      <c r="DR24" s="698"/>
      <c r="DS24" s="698"/>
      <c r="DT24" s="698"/>
      <c r="DU24" s="698"/>
      <c r="DV24" s="698"/>
      <c r="DW24" s="698"/>
      <c r="DX24" s="698"/>
      <c r="DY24" s="698"/>
      <c r="DZ24" s="698"/>
      <c r="EA24" s="698"/>
      <c r="EB24" s="698"/>
      <c r="EC24" s="717">
        <f>EC26+EC25</f>
        <v>291085.87</v>
      </c>
      <c r="ED24" s="717"/>
      <c r="EE24" s="717"/>
      <c r="EF24" s="717"/>
      <c r="EG24" s="717"/>
      <c r="EH24" s="717"/>
      <c r="EI24" s="717"/>
      <c r="EJ24" s="717"/>
      <c r="EK24" s="717"/>
      <c r="EL24" s="717"/>
      <c r="EM24" s="717"/>
      <c r="EN24" s="717"/>
      <c r="EO24" s="717"/>
      <c r="EP24" s="717">
        <f>EP26+EP25</f>
        <v>290000</v>
      </c>
      <c r="EQ24" s="717"/>
      <c r="ER24" s="717"/>
      <c r="ES24" s="717"/>
      <c r="ET24" s="717"/>
      <c r="EU24" s="717"/>
      <c r="EV24" s="717"/>
      <c r="EW24" s="717"/>
      <c r="EX24" s="717"/>
      <c r="EY24" s="717"/>
      <c r="EZ24" s="717"/>
      <c r="FA24" s="717"/>
      <c r="FB24" s="717"/>
      <c r="FC24" s="717">
        <f>FC26+FC25</f>
        <v>0</v>
      </c>
      <c r="FD24" s="717"/>
      <c r="FE24" s="717"/>
      <c r="FF24" s="717"/>
      <c r="FG24" s="717"/>
      <c r="FH24" s="717"/>
      <c r="FI24" s="717"/>
      <c r="FJ24" s="717"/>
      <c r="FK24" s="717"/>
      <c r="FL24" s="717"/>
      <c r="FM24" s="717"/>
      <c r="FN24" s="717"/>
      <c r="FO24" s="717"/>
      <c r="FP24" s="698">
        <v>0</v>
      </c>
      <c r="FQ24" s="698"/>
      <c r="FR24" s="698"/>
      <c r="FS24" s="698"/>
      <c r="FT24" s="698"/>
      <c r="FU24" s="698"/>
      <c r="FV24" s="698"/>
      <c r="FW24" s="698"/>
      <c r="FX24" s="698"/>
      <c r="FY24" s="698"/>
      <c r="FZ24" s="698"/>
      <c r="GA24" s="698"/>
      <c r="GB24" s="685"/>
      <c r="GC24" s="685"/>
      <c r="GD24" s="685"/>
      <c r="GE24" s="685"/>
      <c r="GF24" s="685"/>
      <c r="GG24" s="685"/>
      <c r="GH24" s="685"/>
      <c r="GI24" s="685"/>
      <c r="GJ24" s="685"/>
      <c r="GK24" s="685"/>
      <c r="GL24" s="685"/>
      <c r="GM24" s="685"/>
      <c r="GN24" s="686"/>
      <c r="GO24" s="718"/>
      <c r="GP24" s="718"/>
      <c r="GQ24" s="718"/>
      <c r="GR24" s="718"/>
      <c r="GS24" s="718"/>
      <c r="GT24" s="718"/>
      <c r="GU24" s="718"/>
      <c r="GV24" s="718"/>
      <c r="GW24" s="718"/>
      <c r="GX24" s="718"/>
      <c r="GY24" s="718"/>
      <c r="GZ24" s="718"/>
      <c r="HA24" s="719"/>
    </row>
    <row r="25" spans="1:209" ht="18" customHeight="1">
      <c r="A25" s="340" t="s">
        <v>171</v>
      </c>
      <c r="B25" s="340"/>
      <c r="C25" s="340"/>
      <c r="D25" s="340"/>
      <c r="E25" s="340"/>
      <c r="F25" s="340"/>
      <c r="G25" s="340"/>
      <c r="H25" s="341"/>
      <c r="I25" s="485" t="s">
        <v>148</v>
      </c>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705" t="s">
        <v>172</v>
      </c>
      <c r="CO25" s="706"/>
      <c r="CP25" s="706"/>
      <c r="CQ25" s="706"/>
      <c r="CR25" s="706"/>
      <c r="CS25" s="706"/>
      <c r="CT25" s="706"/>
      <c r="CU25" s="706"/>
      <c r="CV25" s="693" t="s">
        <v>21</v>
      </c>
      <c r="CW25" s="693"/>
      <c r="CX25" s="693"/>
      <c r="CY25" s="693"/>
      <c r="CZ25" s="693"/>
      <c r="DA25" s="693"/>
      <c r="DB25" s="693"/>
      <c r="DC25" s="693"/>
      <c r="DD25" s="693"/>
      <c r="DE25" s="693"/>
      <c r="DF25" s="693" t="s">
        <v>21</v>
      </c>
      <c r="DG25" s="693"/>
      <c r="DH25" s="693"/>
      <c r="DI25" s="693"/>
      <c r="DJ25" s="693"/>
      <c r="DK25" s="693"/>
      <c r="DL25" s="693"/>
      <c r="DM25" s="693"/>
      <c r="DN25" s="693"/>
      <c r="DO25" s="693"/>
      <c r="DP25" s="720"/>
      <c r="DQ25" s="720"/>
      <c r="DR25" s="720"/>
      <c r="DS25" s="720"/>
      <c r="DT25" s="720"/>
      <c r="DU25" s="720"/>
      <c r="DV25" s="720"/>
      <c r="DW25" s="720"/>
      <c r="DX25" s="720"/>
      <c r="DY25" s="720"/>
      <c r="DZ25" s="720"/>
      <c r="EA25" s="720"/>
      <c r="EB25" s="720"/>
      <c r="EC25" s="713">
        <f>'стр. 2_8'!DE199+'стр. 2_8'!DE257+'стр. 2_8'!DE317+'стр. 2_8'!DE368+'стр. 2_8'!DE408+'стр. 2_8'!DE426-182</f>
        <v>291085.87</v>
      </c>
      <c r="ED25" s="713"/>
      <c r="EE25" s="713"/>
      <c r="EF25" s="713"/>
      <c r="EG25" s="713"/>
      <c r="EH25" s="713"/>
      <c r="EI25" s="713"/>
      <c r="EJ25" s="713"/>
      <c r="EK25" s="713"/>
      <c r="EL25" s="713"/>
      <c r="EM25" s="713"/>
      <c r="EN25" s="713"/>
      <c r="EO25" s="713"/>
      <c r="EP25" s="713">
        <f>'стр. 2_8'!DR184-367.37</f>
        <v>290000</v>
      </c>
      <c r="EQ25" s="713"/>
      <c r="ER25" s="713"/>
      <c r="ES25" s="713"/>
      <c r="ET25" s="713"/>
      <c r="EU25" s="713"/>
      <c r="EV25" s="713"/>
      <c r="EW25" s="713"/>
      <c r="EX25" s="713"/>
      <c r="EY25" s="713"/>
      <c r="EZ25" s="713"/>
      <c r="FA25" s="713"/>
      <c r="FB25" s="713"/>
      <c r="FC25" s="713">
        <v>0</v>
      </c>
      <c r="FD25" s="713"/>
      <c r="FE25" s="713"/>
      <c r="FF25" s="713"/>
      <c r="FG25" s="713"/>
      <c r="FH25" s="713"/>
      <c r="FI25" s="713"/>
      <c r="FJ25" s="713"/>
      <c r="FK25" s="713"/>
      <c r="FL25" s="713"/>
      <c r="FM25" s="713"/>
      <c r="FN25" s="713"/>
      <c r="FO25" s="713"/>
      <c r="FP25" s="714"/>
      <c r="FQ25" s="714"/>
      <c r="FR25" s="714"/>
      <c r="FS25" s="714"/>
      <c r="FT25" s="714"/>
      <c r="FU25" s="714"/>
      <c r="FV25" s="714"/>
      <c r="FW25" s="714"/>
      <c r="FX25" s="714"/>
      <c r="FY25" s="714"/>
      <c r="FZ25" s="714"/>
      <c r="GA25" s="714"/>
      <c r="GB25" s="685"/>
      <c r="GC25" s="685"/>
      <c r="GD25" s="685"/>
      <c r="GE25" s="685"/>
      <c r="GF25" s="685"/>
      <c r="GG25" s="685"/>
      <c r="GH25" s="685"/>
      <c r="GI25" s="685"/>
      <c r="GJ25" s="685"/>
      <c r="GK25" s="685"/>
      <c r="GL25" s="685"/>
      <c r="GM25" s="685"/>
      <c r="GN25" s="686"/>
      <c r="GO25" s="715"/>
      <c r="GP25" s="715"/>
      <c r="GQ25" s="715"/>
      <c r="GR25" s="715"/>
      <c r="GS25" s="715"/>
      <c r="GT25" s="715"/>
      <c r="GU25" s="715"/>
      <c r="GV25" s="715"/>
      <c r="GW25" s="715"/>
      <c r="GX25" s="715"/>
      <c r="GY25" s="715"/>
      <c r="GZ25" s="715"/>
      <c r="HA25" s="716"/>
    </row>
    <row r="26" spans="1:209" ht="13.2" customHeight="1">
      <c r="A26" s="340" t="s">
        <v>173</v>
      </c>
      <c r="B26" s="340"/>
      <c r="C26" s="340"/>
      <c r="D26" s="340"/>
      <c r="E26" s="340"/>
      <c r="F26" s="340"/>
      <c r="G26" s="340"/>
      <c r="H26" s="341"/>
      <c r="I26" s="485" t="s">
        <v>174</v>
      </c>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705" t="s">
        <v>175</v>
      </c>
      <c r="CO26" s="706"/>
      <c r="CP26" s="706"/>
      <c r="CQ26" s="706"/>
      <c r="CR26" s="706"/>
      <c r="CS26" s="706"/>
      <c r="CT26" s="706"/>
      <c r="CU26" s="706"/>
      <c r="CV26" s="693" t="s">
        <v>21</v>
      </c>
      <c r="CW26" s="693"/>
      <c r="CX26" s="693"/>
      <c r="CY26" s="693"/>
      <c r="CZ26" s="693"/>
      <c r="DA26" s="693"/>
      <c r="DB26" s="693"/>
      <c r="DC26" s="693"/>
      <c r="DD26" s="693"/>
      <c r="DE26" s="693"/>
      <c r="DF26" s="693" t="s">
        <v>21</v>
      </c>
      <c r="DG26" s="693"/>
      <c r="DH26" s="693"/>
      <c r="DI26" s="693"/>
      <c r="DJ26" s="693"/>
      <c r="DK26" s="693"/>
      <c r="DL26" s="693"/>
      <c r="DM26" s="693"/>
      <c r="DN26" s="693"/>
      <c r="DO26" s="693"/>
      <c r="DP26" s="711"/>
      <c r="DQ26" s="711"/>
      <c r="DR26" s="711"/>
      <c r="DS26" s="711"/>
      <c r="DT26" s="711"/>
      <c r="DU26" s="711"/>
      <c r="DV26" s="711"/>
      <c r="DW26" s="711"/>
      <c r="DX26" s="711"/>
      <c r="DY26" s="711"/>
      <c r="DZ26" s="711"/>
      <c r="EA26" s="711"/>
      <c r="EB26" s="711"/>
      <c r="EC26" s="711">
        <v>0</v>
      </c>
      <c r="ED26" s="711"/>
      <c r="EE26" s="711"/>
      <c r="EF26" s="711"/>
      <c r="EG26" s="711"/>
      <c r="EH26" s="711"/>
      <c r="EI26" s="711"/>
      <c r="EJ26" s="711"/>
      <c r="EK26" s="711"/>
      <c r="EL26" s="711"/>
      <c r="EM26" s="711"/>
      <c r="EN26" s="711"/>
      <c r="EO26" s="711"/>
      <c r="EP26" s="711"/>
      <c r="EQ26" s="711"/>
      <c r="ER26" s="711"/>
      <c r="ES26" s="711"/>
      <c r="ET26" s="711"/>
      <c r="EU26" s="711"/>
      <c r="EV26" s="711"/>
      <c r="EW26" s="711"/>
      <c r="EX26" s="711"/>
      <c r="EY26" s="711"/>
      <c r="EZ26" s="711"/>
      <c r="FA26" s="711"/>
      <c r="FB26" s="711"/>
      <c r="FC26" s="711"/>
      <c r="FD26" s="711"/>
      <c r="FE26" s="711"/>
      <c r="FF26" s="711"/>
      <c r="FG26" s="711"/>
      <c r="FH26" s="711"/>
      <c r="FI26" s="711"/>
      <c r="FJ26" s="711"/>
      <c r="FK26" s="711"/>
      <c r="FL26" s="711"/>
      <c r="FM26" s="711"/>
      <c r="FN26" s="711"/>
      <c r="FO26" s="711"/>
      <c r="FP26" s="685"/>
      <c r="FQ26" s="685"/>
      <c r="FR26" s="685"/>
      <c r="FS26" s="685"/>
      <c r="FT26" s="685"/>
      <c r="FU26" s="685"/>
      <c r="FV26" s="685"/>
      <c r="FW26" s="685"/>
      <c r="FX26" s="685"/>
      <c r="FY26" s="685"/>
      <c r="FZ26" s="685"/>
      <c r="GA26" s="685"/>
      <c r="GB26" s="685"/>
      <c r="GC26" s="685"/>
      <c r="GD26" s="685"/>
      <c r="GE26" s="685"/>
      <c r="GF26" s="685"/>
      <c r="GG26" s="685"/>
      <c r="GH26" s="685"/>
      <c r="GI26" s="685"/>
      <c r="GJ26" s="685"/>
      <c r="GK26" s="685"/>
      <c r="GL26" s="685"/>
      <c r="GM26" s="685"/>
      <c r="GN26" s="686"/>
      <c r="GO26" s="687"/>
      <c r="GP26" s="687"/>
      <c r="GQ26" s="687"/>
      <c r="GR26" s="687"/>
      <c r="GS26" s="687"/>
      <c r="GT26" s="687"/>
      <c r="GU26" s="687"/>
      <c r="GV26" s="687"/>
      <c r="GW26" s="687"/>
      <c r="GX26" s="687"/>
      <c r="GY26" s="687"/>
      <c r="GZ26" s="687"/>
      <c r="HA26" s="688"/>
    </row>
    <row r="27" spans="1:209" ht="24" customHeight="1">
      <c r="A27" s="340" t="s">
        <v>10</v>
      </c>
      <c r="B27" s="340"/>
      <c r="C27" s="340"/>
      <c r="D27" s="340"/>
      <c r="E27" s="340"/>
      <c r="F27" s="340"/>
      <c r="G27" s="340"/>
      <c r="H27" s="341"/>
      <c r="I27" s="707" t="s">
        <v>307</v>
      </c>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705" t="s">
        <v>176</v>
      </c>
      <c r="CO27" s="706"/>
      <c r="CP27" s="706"/>
      <c r="CQ27" s="706"/>
      <c r="CR27" s="706"/>
      <c r="CS27" s="706"/>
      <c r="CT27" s="706"/>
      <c r="CU27" s="706"/>
      <c r="CV27" s="693" t="s">
        <v>21</v>
      </c>
      <c r="CW27" s="693"/>
      <c r="CX27" s="693"/>
      <c r="CY27" s="693"/>
      <c r="CZ27" s="693"/>
      <c r="DA27" s="693"/>
      <c r="DB27" s="693"/>
      <c r="DC27" s="693"/>
      <c r="DD27" s="693"/>
      <c r="DE27" s="693"/>
      <c r="DF27" s="693" t="s">
        <v>21</v>
      </c>
      <c r="DG27" s="693"/>
      <c r="DH27" s="693"/>
      <c r="DI27" s="693"/>
      <c r="DJ27" s="693"/>
      <c r="DK27" s="693"/>
      <c r="DL27" s="693"/>
      <c r="DM27" s="693"/>
      <c r="DN27" s="693"/>
      <c r="DO27" s="693"/>
      <c r="DP27" s="712">
        <f t="shared" ref="DP27" si="4">DP28</f>
        <v>0</v>
      </c>
      <c r="DQ27" s="712"/>
      <c r="DR27" s="712"/>
      <c r="DS27" s="712"/>
      <c r="DT27" s="712"/>
      <c r="DU27" s="712"/>
      <c r="DV27" s="712"/>
      <c r="DW27" s="712"/>
      <c r="DX27" s="712"/>
      <c r="DY27" s="712"/>
      <c r="DZ27" s="712"/>
      <c r="EA27" s="712"/>
      <c r="EB27" s="712"/>
      <c r="EC27" s="712">
        <f>EC28</f>
        <v>8752926.4499999993</v>
      </c>
      <c r="ED27" s="712"/>
      <c r="EE27" s="712"/>
      <c r="EF27" s="712"/>
      <c r="EG27" s="712"/>
      <c r="EH27" s="712"/>
      <c r="EI27" s="712"/>
      <c r="EJ27" s="712"/>
      <c r="EK27" s="712"/>
      <c r="EL27" s="712"/>
      <c r="EM27" s="712"/>
      <c r="EN27" s="712"/>
      <c r="EO27" s="712"/>
      <c r="EP27" s="712">
        <f>EP28</f>
        <v>8460742.0099999998</v>
      </c>
      <c r="EQ27" s="712"/>
      <c r="ER27" s="712"/>
      <c r="ES27" s="712"/>
      <c r="ET27" s="712"/>
      <c r="EU27" s="712"/>
      <c r="EV27" s="712"/>
      <c r="EW27" s="712"/>
      <c r="EX27" s="712"/>
      <c r="EY27" s="712"/>
      <c r="EZ27" s="712"/>
      <c r="FA27" s="712"/>
      <c r="FB27" s="712"/>
      <c r="FC27" s="712">
        <f>FC28</f>
        <v>0</v>
      </c>
      <c r="FD27" s="712"/>
      <c r="FE27" s="712"/>
      <c r="FF27" s="712"/>
      <c r="FG27" s="712"/>
      <c r="FH27" s="712"/>
      <c r="FI27" s="712"/>
      <c r="FJ27" s="712"/>
      <c r="FK27" s="712"/>
      <c r="FL27" s="712"/>
      <c r="FM27" s="712"/>
      <c r="FN27" s="712"/>
      <c r="FO27" s="712"/>
      <c r="FP27" s="698">
        <v>0</v>
      </c>
      <c r="FQ27" s="698"/>
      <c r="FR27" s="698"/>
      <c r="FS27" s="698"/>
      <c r="FT27" s="698"/>
      <c r="FU27" s="698"/>
      <c r="FV27" s="698"/>
      <c r="FW27" s="698"/>
      <c r="FX27" s="698"/>
      <c r="FY27" s="698"/>
      <c r="FZ27" s="698"/>
      <c r="GA27" s="698"/>
      <c r="GB27" s="685"/>
      <c r="GC27" s="685"/>
      <c r="GD27" s="685"/>
      <c r="GE27" s="685"/>
      <c r="GF27" s="685"/>
      <c r="GG27" s="685"/>
      <c r="GH27" s="685"/>
      <c r="GI27" s="685"/>
      <c r="GJ27" s="685"/>
      <c r="GK27" s="685"/>
      <c r="GL27" s="685"/>
      <c r="GM27" s="685"/>
      <c r="GN27" s="686"/>
      <c r="GO27" s="687"/>
      <c r="GP27" s="687"/>
      <c r="GQ27" s="687"/>
      <c r="GR27" s="687"/>
      <c r="GS27" s="687"/>
      <c r="GT27" s="687"/>
      <c r="GU27" s="687"/>
      <c r="GV27" s="687"/>
      <c r="GW27" s="687"/>
      <c r="GX27" s="687"/>
      <c r="GY27" s="687"/>
      <c r="GZ27" s="687"/>
      <c r="HA27" s="688"/>
    </row>
    <row r="28" spans="1:209" ht="12" customHeight="1">
      <c r="A28" s="699"/>
      <c r="B28" s="699"/>
      <c r="C28" s="699"/>
      <c r="D28" s="699"/>
      <c r="E28" s="699"/>
      <c r="F28" s="699"/>
      <c r="G28" s="699"/>
      <c r="H28" s="700"/>
      <c r="I28" s="703" t="s">
        <v>27</v>
      </c>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704"/>
      <c r="BY28" s="704"/>
      <c r="BZ28" s="704"/>
      <c r="CA28" s="704"/>
      <c r="CB28" s="704"/>
      <c r="CC28" s="704"/>
      <c r="CD28" s="704"/>
      <c r="CE28" s="704"/>
      <c r="CF28" s="704"/>
      <c r="CG28" s="704"/>
      <c r="CH28" s="704"/>
      <c r="CI28" s="704"/>
      <c r="CJ28" s="704"/>
      <c r="CK28" s="704"/>
      <c r="CL28" s="704"/>
      <c r="CM28" s="704"/>
      <c r="CN28" s="705" t="s">
        <v>177</v>
      </c>
      <c r="CO28" s="706"/>
      <c r="CP28" s="706"/>
      <c r="CQ28" s="706"/>
      <c r="CR28" s="706"/>
      <c r="CS28" s="706"/>
      <c r="CT28" s="706"/>
      <c r="CU28" s="706"/>
      <c r="CV28" s="693"/>
      <c r="CW28" s="693"/>
      <c r="CX28" s="693"/>
      <c r="CY28" s="693"/>
      <c r="CZ28" s="693"/>
      <c r="DA28" s="693"/>
      <c r="DB28" s="693"/>
      <c r="DC28" s="693"/>
      <c r="DD28" s="693"/>
      <c r="DE28" s="693"/>
      <c r="DF28" s="693"/>
      <c r="DG28" s="693"/>
      <c r="DH28" s="693"/>
      <c r="DI28" s="693"/>
      <c r="DJ28" s="693"/>
      <c r="DK28" s="693"/>
      <c r="DL28" s="693"/>
      <c r="DM28" s="693"/>
      <c r="DN28" s="693"/>
      <c r="DO28" s="693"/>
      <c r="DP28" s="711"/>
      <c r="DQ28" s="711"/>
      <c r="DR28" s="711"/>
      <c r="DS28" s="711"/>
      <c r="DT28" s="711"/>
      <c r="DU28" s="711"/>
      <c r="DV28" s="711"/>
      <c r="DW28" s="711"/>
      <c r="DX28" s="711"/>
      <c r="DY28" s="711"/>
      <c r="DZ28" s="711"/>
      <c r="EA28" s="711"/>
      <c r="EB28" s="711"/>
      <c r="EC28" s="708">
        <f>EC25+EC18+EC15</f>
        <v>8752926.4499999993</v>
      </c>
      <c r="ED28" s="708"/>
      <c r="EE28" s="708"/>
      <c r="EF28" s="708"/>
      <c r="EG28" s="708"/>
      <c r="EH28" s="708"/>
      <c r="EI28" s="708"/>
      <c r="EJ28" s="708"/>
      <c r="EK28" s="708"/>
      <c r="EL28" s="708"/>
      <c r="EM28" s="708"/>
      <c r="EN28" s="708"/>
      <c r="EO28" s="708"/>
      <c r="EP28" s="708">
        <f>EP25+EP18+EP15</f>
        <v>8460742.0099999998</v>
      </c>
      <c r="EQ28" s="708"/>
      <c r="ER28" s="708"/>
      <c r="ES28" s="708"/>
      <c r="ET28" s="708"/>
      <c r="EU28" s="708"/>
      <c r="EV28" s="708"/>
      <c r="EW28" s="708"/>
      <c r="EX28" s="708"/>
      <c r="EY28" s="708"/>
      <c r="EZ28" s="708"/>
      <c r="FA28" s="708"/>
      <c r="FB28" s="708"/>
      <c r="FC28" s="708">
        <f>FC25+FC18+FC15</f>
        <v>0</v>
      </c>
      <c r="FD28" s="708"/>
      <c r="FE28" s="708"/>
      <c r="FF28" s="708"/>
      <c r="FG28" s="708"/>
      <c r="FH28" s="708"/>
      <c r="FI28" s="708"/>
      <c r="FJ28" s="708"/>
      <c r="FK28" s="708"/>
      <c r="FL28" s="708"/>
      <c r="FM28" s="708"/>
      <c r="FN28" s="708"/>
      <c r="FO28" s="708"/>
      <c r="FP28" s="685"/>
      <c r="FQ28" s="685"/>
      <c r="FR28" s="685"/>
      <c r="FS28" s="685"/>
      <c r="FT28" s="685"/>
      <c r="FU28" s="685"/>
      <c r="FV28" s="685"/>
      <c r="FW28" s="685"/>
      <c r="FX28" s="685"/>
      <c r="FY28" s="685"/>
      <c r="FZ28" s="685"/>
      <c r="GA28" s="685"/>
      <c r="GB28" s="685"/>
      <c r="GC28" s="685"/>
      <c r="GD28" s="685"/>
      <c r="GE28" s="685"/>
      <c r="GF28" s="685"/>
      <c r="GG28" s="685"/>
      <c r="GH28" s="685"/>
      <c r="GI28" s="685"/>
      <c r="GJ28" s="685"/>
      <c r="GK28" s="685"/>
      <c r="GL28" s="685"/>
      <c r="GM28" s="685"/>
      <c r="GN28" s="686"/>
      <c r="GO28" s="694"/>
      <c r="GP28" s="694"/>
      <c r="GQ28" s="694"/>
      <c r="GR28" s="694"/>
      <c r="GS28" s="694"/>
      <c r="GT28" s="694"/>
      <c r="GU28" s="694"/>
      <c r="GV28" s="694"/>
      <c r="GW28" s="694"/>
      <c r="GX28" s="694"/>
      <c r="GY28" s="694"/>
      <c r="GZ28" s="694"/>
      <c r="HA28" s="695"/>
    </row>
    <row r="29" spans="1:209" ht="23.4" customHeight="1">
      <c r="A29" s="701"/>
      <c r="B29" s="701"/>
      <c r="C29" s="701"/>
      <c r="D29" s="701"/>
      <c r="E29" s="701"/>
      <c r="F29" s="701"/>
      <c r="G29" s="701"/>
      <c r="H29" s="702"/>
      <c r="I29" s="691" t="s">
        <v>751</v>
      </c>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2"/>
      <c r="BU29" s="692"/>
      <c r="BV29" s="692"/>
      <c r="BW29" s="692"/>
      <c r="BX29" s="692"/>
      <c r="BY29" s="692"/>
      <c r="BZ29" s="692"/>
      <c r="CA29" s="692"/>
      <c r="CB29" s="692"/>
      <c r="CC29" s="692"/>
      <c r="CD29" s="692"/>
      <c r="CE29" s="692"/>
      <c r="CF29" s="692"/>
      <c r="CG29" s="692"/>
      <c r="CH29" s="692"/>
      <c r="CI29" s="692"/>
      <c r="CJ29" s="692"/>
      <c r="CK29" s="692"/>
      <c r="CL29" s="692"/>
      <c r="CM29" s="692"/>
      <c r="CN29" s="705"/>
      <c r="CO29" s="706"/>
      <c r="CP29" s="706"/>
      <c r="CQ29" s="706"/>
      <c r="CR29" s="706"/>
      <c r="CS29" s="706"/>
      <c r="CT29" s="706"/>
      <c r="CU29" s="706"/>
      <c r="CV29" s="693"/>
      <c r="CW29" s="693"/>
      <c r="CX29" s="693"/>
      <c r="CY29" s="693"/>
      <c r="CZ29" s="693"/>
      <c r="DA29" s="693"/>
      <c r="DB29" s="693"/>
      <c r="DC29" s="693"/>
      <c r="DD29" s="693"/>
      <c r="DE29" s="693"/>
      <c r="DF29" s="693"/>
      <c r="DG29" s="693"/>
      <c r="DH29" s="693"/>
      <c r="DI29" s="693"/>
      <c r="DJ29" s="693"/>
      <c r="DK29" s="693"/>
      <c r="DL29" s="693"/>
      <c r="DM29" s="693"/>
      <c r="DN29" s="693"/>
      <c r="DO29" s="693"/>
      <c r="DP29" s="711"/>
      <c r="DQ29" s="711"/>
      <c r="DR29" s="711"/>
      <c r="DS29" s="711"/>
      <c r="DT29" s="711"/>
      <c r="DU29" s="711"/>
      <c r="DV29" s="711"/>
      <c r="DW29" s="711"/>
      <c r="DX29" s="711"/>
      <c r="DY29" s="711"/>
      <c r="DZ29" s="711"/>
      <c r="EA29" s="711"/>
      <c r="EB29" s="711"/>
      <c r="EC29" s="708"/>
      <c r="ED29" s="708"/>
      <c r="EE29" s="708"/>
      <c r="EF29" s="708"/>
      <c r="EG29" s="708"/>
      <c r="EH29" s="708"/>
      <c r="EI29" s="708"/>
      <c r="EJ29" s="708"/>
      <c r="EK29" s="708"/>
      <c r="EL29" s="708"/>
      <c r="EM29" s="708"/>
      <c r="EN29" s="708"/>
      <c r="EO29" s="708"/>
      <c r="EP29" s="708"/>
      <c r="EQ29" s="708"/>
      <c r="ER29" s="708"/>
      <c r="ES29" s="708"/>
      <c r="ET29" s="708"/>
      <c r="EU29" s="708"/>
      <c r="EV29" s="708"/>
      <c r="EW29" s="708"/>
      <c r="EX29" s="708"/>
      <c r="EY29" s="708"/>
      <c r="EZ29" s="708"/>
      <c r="FA29" s="708"/>
      <c r="FB29" s="708"/>
      <c r="FC29" s="708"/>
      <c r="FD29" s="708"/>
      <c r="FE29" s="708"/>
      <c r="FF29" s="708"/>
      <c r="FG29" s="708"/>
      <c r="FH29" s="708"/>
      <c r="FI29" s="708"/>
      <c r="FJ29" s="708"/>
      <c r="FK29" s="708"/>
      <c r="FL29" s="708"/>
      <c r="FM29" s="708"/>
      <c r="FN29" s="708"/>
      <c r="FO29" s="708"/>
      <c r="FP29" s="685"/>
      <c r="FQ29" s="685"/>
      <c r="FR29" s="685"/>
      <c r="FS29" s="685"/>
      <c r="FT29" s="685"/>
      <c r="FU29" s="685"/>
      <c r="FV29" s="685"/>
      <c r="FW29" s="685"/>
      <c r="FX29" s="685"/>
      <c r="FY29" s="685"/>
      <c r="FZ29" s="685"/>
      <c r="GA29" s="685"/>
      <c r="GB29" s="685"/>
      <c r="GC29" s="685"/>
      <c r="GD29" s="685"/>
      <c r="GE29" s="685"/>
      <c r="GF29" s="685"/>
      <c r="GG29" s="685"/>
      <c r="GH29" s="685"/>
      <c r="GI29" s="685"/>
      <c r="GJ29" s="685"/>
      <c r="GK29" s="685"/>
      <c r="GL29" s="685"/>
      <c r="GM29" s="685"/>
      <c r="GN29" s="686"/>
      <c r="GO29" s="709"/>
      <c r="GP29" s="709"/>
      <c r="GQ29" s="709"/>
      <c r="GR29" s="709"/>
      <c r="GS29" s="709"/>
      <c r="GT29" s="709"/>
      <c r="GU29" s="709"/>
      <c r="GV29" s="709"/>
      <c r="GW29" s="709"/>
      <c r="GX29" s="709"/>
      <c r="GY29" s="709"/>
      <c r="GZ29" s="709"/>
      <c r="HA29" s="710"/>
    </row>
    <row r="30" spans="1:209" ht="24" customHeight="1">
      <c r="A30" s="340" t="s">
        <v>11</v>
      </c>
      <c r="B30" s="340"/>
      <c r="C30" s="340"/>
      <c r="D30" s="340"/>
      <c r="E30" s="340"/>
      <c r="F30" s="340"/>
      <c r="G30" s="340"/>
      <c r="H30" s="341"/>
      <c r="I30" s="707" t="s">
        <v>178</v>
      </c>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705" t="s">
        <v>179</v>
      </c>
      <c r="CO30" s="706"/>
      <c r="CP30" s="706"/>
      <c r="CQ30" s="706"/>
      <c r="CR30" s="706"/>
      <c r="CS30" s="706"/>
      <c r="CT30" s="706"/>
      <c r="CU30" s="706"/>
      <c r="CV30" s="693" t="s">
        <v>21</v>
      </c>
      <c r="CW30" s="693"/>
      <c r="CX30" s="693"/>
      <c r="CY30" s="693"/>
      <c r="CZ30" s="693"/>
      <c r="DA30" s="693"/>
      <c r="DB30" s="693"/>
      <c r="DC30" s="693"/>
      <c r="DD30" s="693"/>
      <c r="DE30" s="693"/>
      <c r="DF30" s="693" t="s">
        <v>21</v>
      </c>
      <c r="DG30" s="693"/>
      <c r="DH30" s="693"/>
      <c r="DI30" s="693"/>
      <c r="DJ30" s="693"/>
      <c r="DK30" s="693"/>
      <c r="DL30" s="693"/>
      <c r="DM30" s="693"/>
      <c r="DN30" s="693"/>
      <c r="DO30" s="693"/>
      <c r="DP30" s="698">
        <f>DP31</f>
        <v>0</v>
      </c>
      <c r="DQ30" s="698"/>
      <c r="DR30" s="698"/>
      <c r="DS30" s="698"/>
      <c r="DT30" s="698"/>
      <c r="DU30" s="698"/>
      <c r="DV30" s="698"/>
      <c r="DW30" s="698"/>
      <c r="DX30" s="698"/>
      <c r="DY30" s="698"/>
      <c r="DZ30" s="698"/>
      <c r="EA30" s="698"/>
      <c r="EB30" s="698"/>
      <c r="EC30" s="698">
        <f>EC31</f>
        <v>0</v>
      </c>
      <c r="ED30" s="698"/>
      <c r="EE30" s="698"/>
      <c r="EF30" s="698"/>
      <c r="EG30" s="698"/>
      <c r="EH30" s="698"/>
      <c r="EI30" s="698"/>
      <c r="EJ30" s="698"/>
      <c r="EK30" s="698"/>
      <c r="EL30" s="698"/>
      <c r="EM30" s="698"/>
      <c r="EN30" s="698"/>
      <c r="EO30" s="698"/>
      <c r="EP30" s="698">
        <f>EP31</f>
        <v>0</v>
      </c>
      <c r="EQ30" s="698"/>
      <c r="ER30" s="698"/>
      <c r="ES30" s="698"/>
      <c r="ET30" s="698"/>
      <c r="EU30" s="698"/>
      <c r="EV30" s="698"/>
      <c r="EW30" s="698"/>
      <c r="EX30" s="698"/>
      <c r="EY30" s="698"/>
      <c r="EZ30" s="698"/>
      <c r="FA30" s="698"/>
      <c r="FB30" s="698"/>
      <c r="FC30" s="698">
        <f>FC31</f>
        <v>0</v>
      </c>
      <c r="FD30" s="698"/>
      <c r="FE30" s="698"/>
      <c r="FF30" s="698"/>
      <c r="FG30" s="698"/>
      <c r="FH30" s="698"/>
      <c r="FI30" s="698"/>
      <c r="FJ30" s="698"/>
      <c r="FK30" s="698"/>
      <c r="FL30" s="698"/>
      <c r="FM30" s="698"/>
      <c r="FN30" s="698"/>
      <c r="FO30" s="698"/>
      <c r="FP30" s="698">
        <v>0</v>
      </c>
      <c r="FQ30" s="698"/>
      <c r="FR30" s="698"/>
      <c r="FS30" s="698"/>
      <c r="FT30" s="698"/>
      <c r="FU30" s="698"/>
      <c r="FV30" s="698"/>
      <c r="FW30" s="698"/>
      <c r="FX30" s="698"/>
      <c r="FY30" s="698"/>
      <c r="FZ30" s="698"/>
      <c r="GA30" s="698"/>
      <c r="GB30" s="685"/>
      <c r="GC30" s="685"/>
      <c r="GD30" s="685"/>
      <c r="GE30" s="685"/>
      <c r="GF30" s="685"/>
      <c r="GG30" s="685"/>
      <c r="GH30" s="685"/>
      <c r="GI30" s="685"/>
      <c r="GJ30" s="685"/>
      <c r="GK30" s="685"/>
      <c r="GL30" s="685"/>
      <c r="GM30" s="685"/>
      <c r="GN30" s="686"/>
      <c r="GO30" s="687"/>
      <c r="GP30" s="687"/>
      <c r="GQ30" s="687"/>
      <c r="GR30" s="687"/>
      <c r="GS30" s="687"/>
      <c r="GT30" s="687"/>
      <c r="GU30" s="687"/>
      <c r="GV30" s="687"/>
      <c r="GW30" s="687"/>
      <c r="GX30" s="687"/>
      <c r="GY30" s="687"/>
      <c r="GZ30" s="687"/>
      <c r="HA30" s="688"/>
    </row>
    <row r="31" spans="1:209">
      <c r="A31" s="699"/>
      <c r="B31" s="699"/>
      <c r="C31" s="699"/>
      <c r="D31" s="699"/>
      <c r="E31" s="699"/>
      <c r="F31" s="699"/>
      <c r="G31" s="699"/>
      <c r="H31" s="700"/>
      <c r="I31" s="703" t="s">
        <v>27</v>
      </c>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4"/>
      <c r="BH31" s="704"/>
      <c r="BI31" s="704"/>
      <c r="BJ31" s="704"/>
      <c r="BK31" s="704"/>
      <c r="BL31" s="704"/>
      <c r="BM31" s="704"/>
      <c r="BN31" s="704"/>
      <c r="BO31" s="704"/>
      <c r="BP31" s="704"/>
      <c r="BQ31" s="704"/>
      <c r="BR31" s="704"/>
      <c r="BS31" s="704"/>
      <c r="BT31" s="704"/>
      <c r="BU31" s="704"/>
      <c r="BV31" s="704"/>
      <c r="BW31" s="704"/>
      <c r="BX31" s="704"/>
      <c r="BY31" s="704"/>
      <c r="BZ31" s="704"/>
      <c r="CA31" s="704"/>
      <c r="CB31" s="704"/>
      <c r="CC31" s="704"/>
      <c r="CD31" s="704"/>
      <c r="CE31" s="704"/>
      <c r="CF31" s="704"/>
      <c r="CG31" s="704"/>
      <c r="CH31" s="704"/>
      <c r="CI31" s="704"/>
      <c r="CJ31" s="704"/>
      <c r="CK31" s="704"/>
      <c r="CL31" s="704"/>
      <c r="CM31" s="704"/>
      <c r="CN31" s="705" t="s">
        <v>180</v>
      </c>
      <c r="CO31" s="706"/>
      <c r="CP31" s="706"/>
      <c r="CQ31" s="706"/>
      <c r="CR31" s="706"/>
      <c r="CS31" s="706"/>
      <c r="CT31" s="706"/>
      <c r="CU31" s="706"/>
      <c r="CV31" s="693"/>
      <c r="CW31" s="693"/>
      <c r="CX31" s="693"/>
      <c r="CY31" s="693"/>
      <c r="CZ31" s="693"/>
      <c r="DA31" s="693"/>
      <c r="DB31" s="693"/>
      <c r="DC31" s="693"/>
      <c r="DD31" s="693"/>
      <c r="DE31" s="693"/>
      <c r="DF31" s="693"/>
      <c r="DG31" s="693"/>
      <c r="DH31" s="693"/>
      <c r="DI31" s="693"/>
      <c r="DJ31" s="693"/>
      <c r="DK31" s="693"/>
      <c r="DL31" s="693"/>
      <c r="DM31" s="693"/>
      <c r="DN31" s="693"/>
      <c r="DO31" s="693"/>
      <c r="DP31" s="685"/>
      <c r="DQ31" s="685"/>
      <c r="DR31" s="685"/>
      <c r="DS31" s="685"/>
      <c r="DT31" s="685"/>
      <c r="DU31" s="685"/>
      <c r="DV31" s="685"/>
      <c r="DW31" s="685"/>
      <c r="DX31" s="685"/>
      <c r="DY31" s="685"/>
      <c r="DZ31" s="685"/>
      <c r="EA31" s="685"/>
      <c r="EB31" s="685"/>
      <c r="EC31" s="685">
        <v>0</v>
      </c>
      <c r="ED31" s="685"/>
      <c r="EE31" s="685"/>
      <c r="EF31" s="685"/>
      <c r="EG31" s="685"/>
      <c r="EH31" s="685"/>
      <c r="EI31" s="685"/>
      <c r="EJ31" s="685"/>
      <c r="EK31" s="685"/>
      <c r="EL31" s="685"/>
      <c r="EM31" s="685"/>
      <c r="EN31" s="685"/>
      <c r="EO31" s="685"/>
      <c r="EP31" s="685">
        <v>0</v>
      </c>
      <c r="EQ31" s="685"/>
      <c r="ER31" s="685"/>
      <c r="ES31" s="685"/>
      <c r="ET31" s="685"/>
      <c r="EU31" s="685"/>
      <c r="EV31" s="685"/>
      <c r="EW31" s="685"/>
      <c r="EX31" s="685"/>
      <c r="EY31" s="685"/>
      <c r="EZ31" s="685"/>
      <c r="FA31" s="685"/>
      <c r="FB31" s="685"/>
      <c r="FC31" s="685">
        <v>0</v>
      </c>
      <c r="FD31" s="685"/>
      <c r="FE31" s="685"/>
      <c r="FF31" s="685"/>
      <c r="FG31" s="685"/>
      <c r="FH31" s="685"/>
      <c r="FI31" s="685"/>
      <c r="FJ31" s="685"/>
      <c r="FK31" s="685"/>
      <c r="FL31" s="685"/>
      <c r="FM31" s="685"/>
      <c r="FN31" s="685"/>
      <c r="FO31" s="685"/>
      <c r="FP31" s="685"/>
      <c r="FQ31" s="685"/>
      <c r="FR31" s="685"/>
      <c r="FS31" s="685"/>
      <c r="FT31" s="685"/>
      <c r="FU31" s="685"/>
      <c r="FV31" s="685"/>
      <c r="FW31" s="685"/>
      <c r="FX31" s="685"/>
      <c r="FY31" s="685"/>
      <c r="FZ31" s="685"/>
      <c r="GA31" s="685"/>
      <c r="GB31" s="685"/>
      <c r="GC31" s="685"/>
      <c r="GD31" s="685"/>
      <c r="GE31" s="685"/>
      <c r="GF31" s="685"/>
      <c r="GG31" s="685"/>
      <c r="GH31" s="685"/>
      <c r="GI31" s="685"/>
      <c r="GJ31" s="685"/>
      <c r="GK31" s="685"/>
      <c r="GL31" s="685"/>
      <c r="GM31" s="685"/>
      <c r="GN31" s="686"/>
      <c r="GO31" s="694"/>
      <c r="GP31" s="694"/>
      <c r="GQ31" s="694"/>
      <c r="GR31" s="694"/>
      <c r="GS31" s="694"/>
      <c r="GT31" s="694"/>
      <c r="GU31" s="694"/>
      <c r="GV31" s="694"/>
      <c r="GW31" s="694"/>
      <c r="GX31" s="694"/>
      <c r="GY31" s="694"/>
      <c r="GZ31" s="694"/>
      <c r="HA31" s="695"/>
    </row>
    <row r="32" spans="1:209" ht="20.399999999999999" customHeight="1" thickBot="1">
      <c r="A32" s="701"/>
      <c r="B32" s="701"/>
      <c r="C32" s="701"/>
      <c r="D32" s="701"/>
      <c r="E32" s="701"/>
      <c r="F32" s="701"/>
      <c r="G32" s="701"/>
      <c r="H32" s="702"/>
      <c r="I32" s="691" t="s">
        <v>752</v>
      </c>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2"/>
      <c r="AP32" s="692"/>
      <c r="AQ32" s="692"/>
      <c r="AR32" s="692"/>
      <c r="AS32" s="692"/>
      <c r="AT32" s="692"/>
      <c r="AU32" s="692"/>
      <c r="AV32" s="692"/>
      <c r="AW32" s="692"/>
      <c r="AX32" s="692"/>
      <c r="AY32" s="692"/>
      <c r="AZ32" s="692"/>
      <c r="BA32" s="692"/>
      <c r="BB32" s="692"/>
      <c r="BC32" s="692"/>
      <c r="BD32" s="692"/>
      <c r="BE32" s="692"/>
      <c r="BF32" s="692"/>
      <c r="BG32" s="692"/>
      <c r="BH32" s="692"/>
      <c r="BI32" s="692"/>
      <c r="BJ32" s="692"/>
      <c r="BK32" s="692"/>
      <c r="BL32" s="692"/>
      <c r="BM32" s="692"/>
      <c r="BN32" s="692"/>
      <c r="BO32" s="692"/>
      <c r="BP32" s="692"/>
      <c r="BQ32" s="692"/>
      <c r="BR32" s="692"/>
      <c r="BS32" s="692"/>
      <c r="BT32" s="692"/>
      <c r="BU32" s="692"/>
      <c r="BV32" s="692"/>
      <c r="BW32" s="692"/>
      <c r="BX32" s="692"/>
      <c r="BY32" s="692"/>
      <c r="BZ32" s="692"/>
      <c r="CA32" s="692"/>
      <c r="CB32" s="692"/>
      <c r="CC32" s="692"/>
      <c r="CD32" s="692"/>
      <c r="CE32" s="692"/>
      <c r="CF32" s="692"/>
      <c r="CG32" s="692"/>
      <c r="CH32" s="692"/>
      <c r="CI32" s="692"/>
      <c r="CJ32" s="692"/>
      <c r="CK32" s="692"/>
      <c r="CL32" s="692"/>
      <c r="CM32" s="692"/>
      <c r="CN32" s="705"/>
      <c r="CO32" s="706"/>
      <c r="CP32" s="706"/>
      <c r="CQ32" s="706"/>
      <c r="CR32" s="706"/>
      <c r="CS32" s="706"/>
      <c r="CT32" s="706"/>
      <c r="CU32" s="706"/>
      <c r="CV32" s="693"/>
      <c r="CW32" s="693"/>
      <c r="CX32" s="693"/>
      <c r="CY32" s="693"/>
      <c r="CZ32" s="693"/>
      <c r="DA32" s="693"/>
      <c r="DB32" s="693"/>
      <c r="DC32" s="693"/>
      <c r="DD32" s="693"/>
      <c r="DE32" s="693"/>
      <c r="DF32" s="693"/>
      <c r="DG32" s="693"/>
      <c r="DH32" s="693"/>
      <c r="DI32" s="693"/>
      <c r="DJ32" s="693"/>
      <c r="DK32" s="693"/>
      <c r="DL32" s="693"/>
      <c r="DM32" s="693"/>
      <c r="DN32" s="693"/>
      <c r="DO32" s="693"/>
      <c r="DP32" s="685"/>
      <c r="DQ32" s="685"/>
      <c r="DR32" s="685"/>
      <c r="DS32" s="685"/>
      <c r="DT32" s="685"/>
      <c r="DU32" s="685"/>
      <c r="DV32" s="685"/>
      <c r="DW32" s="685"/>
      <c r="DX32" s="685"/>
      <c r="DY32" s="685"/>
      <c r="DZ32" s="685"/>
      <c r="EA32" s="685"/>
      <c r="EB32" s="685"/>
      <c r="EC32" s="685"/>
      <c r="ED32" s="685"/>
      <c r="EE32" s="685"/>
      <c r="EF32" s="685"/>
      <c r="EG32" s="685"/>
      <c r="EH32" s="685"/>
      <c r="EI32" s="685"/>
      <c r="EJ32" s="685"/>
      <c r="EK32" s="685"/>
      <c r="EL32" s="685"/>
      <c r="EM32" s="685"/>
      <c r="EN32" s="685"/>
      <c r="EO32" s="685"/>
      <c r="EP32" s="685"/>
      <c r="EQ32" s="685"/>
      <c r="ER32" s="685"/>
      <c r="ES32" s="685"/>
      <c r="ET32" s="685"/>
      <c r="EU32" s="685"/>
      <c r="EV32" s="685"/>
      <c r="EW32" s="685"/>
      <c r="EX32" s="685"/>
      <c r="EY32" s="685"/>
      <c r="EZ32" s="685"/>
      <c r="FA32" s="685"/>
      <c r="FB32" s="685"/>
      <c r="FC32" s="685"/>
      <c r="FD32" s="685"/>
      <c r="FE32" s="685"/>
      <c r="FF32" s="685"/>
      <c r="FG32" s="685"/>
      <c r="FH32" s="685"/>
      <c r="FI32" s="685"/>
      <c r="FJ32" s="685"/>
      <c r="FK32" s="685"/>
      <c r="FL32" s="685"/>
      <c r="FM32" s="685"/>
      <c r="FN32" s="685"/>
      <c r="FO32" s="685"/>
      <c r="FP32" s="685"/>
      <c r="FQ32" s="685"/>
      <c r="FR32" s="685"/>
      <c r="FS32" s="685"/>
      <c r="FT32" s="685"/>
      <c r="FU32" s="685"/>
      <c r="FV32" s="685"/>
      <c r="FW32" s="685"/>
      <c r="FX32" s="685"/>
      <c r="FY32" s="685"/>
      <c r="FZ32" s="685"/>
      <c r="GA32" s="685"/>
      <c r="GB32" s="685"/>
      <c r="GC32" s="685"/>
      <c r="GD32" s="685"/>
      <c r="GE32" s="685"/>
      <c r="GF32" s="685"/>
      <c r="GG32" s="685"/>
      <c r="GH32" s="685"/>
      <c r="GI32" s="685"/>
      <c r="GJ32" s="685"/>
      <c r="GK32" s="685"/>
      <c r="GL32" s="685"/>
      <c r="GM32" s="685"/>
      <c r="GN32" s="686"/>
      <c r="GO32" s="696"/>
      <c r="GP32" s="696"/>
      <c r="GQ32" s="696"/>
      <c r="GR32" s="696"/>
      <c r="GS32" s="696"/>
      <c r="GT32" s="696"/>
      <c r="GU32" s="696"/>
      <c r="GV32" s="696"/>
      <c r="GW32" s="696"/>
      <c r="GX32" s="696"/>
      <c r="GY32" s="696"/>
      <c r="GZ32" s="696"/>
      <c r="HA32" s="697"/>
    </row>
    <row r="33" spans="1:183" ht="45" customHeight="1">
      <c r="A33" s="600" t="s">
        <v>314</v>
      </c>
      <c r="B33" s="690"/>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90"/>
      <c r="BD33" s="690"/>
      <c r="BE33" s="690"/>
      <c r="BF33" s="690"/>
      <c r="BG33" s="690"/>
      <c r="BH33" s="690"/>
      <c r="BI33" s="690"/>
      <c r="BJ33" s="690"/>
      <c r="BK33" s="690"/>
      <c r="BL33" s="690"/>
      <c r="BM33" s="690"/>
      <c r="BN33" s="690"/>
      <c r="BO33" s="690"/>
      <c r="BP33" s="690"/>
      <c r="BQ33" s="690"/>
      <c r="BR33" s="690"/>
      <c r="BS33" s="690"/>
      <c r="BT33" s="690"/>
      <c r="BU33" s="690"/>
      <c r="BV33" s="690"/>
      <c r="BW33" s="690"/>
      <c r="BX33" s="690"/>
      <c r="BY33" s="690"/>
      <c r="BZ33" s="690"/>
      <c r="CA33" s="690"/>
      <c r="CB33" s="690"/>
      <c r="CC33" s="690"/>
      <c r="CD33" s="690"/>
      <c r="CE33" s="690"/>
      <c r="CF33" s="690"/>
      <c r="CG33" s="690"/>
      <c r="CH33" s="690"/>
      <c r="CI33" s="690"/>
      <c r="CJ33" s="690"/>
      <c r="CK33" s="690"/>
      <c r="CL33" s="690"/>
      <c r="CM33" s="690"/>
      <c r="CN33" s="690"/>
      <c r="CO33" s="690"/>
      <c r="CP33" s="690"/>
      <c r="CQ33" s="690"/>
      <c r="CR33" s="690"/>
      <c r="CS33" s="690"/>
      <c r="CT33" s="690"/>
      <c r="CU33" s="690"/>
      <c r="CV33" s="690"/>
      <c r="CW33" s="690"/>
      <c r="CX33" s="690"/>
      <c r="CY33" s="690"/>
      <c r="CZ33" s="690"/>
      <c r="DA33" s="690"/>
      <c r="DB33" s="690"/>
      <c r="DC33" s="690"/>
      <c r="DD33" s="690"/>
      <c r="DE33" s="690"/>
      <c r="DF33" s="690"/>
      <c r="DG33" s="690"/>
      <c r="DH33" s="690"/>
      <c r="DI33" s="690"/>
      <c r="DJ33" s="690"/>
      <c r="DK33" s="690"/>
      <c r="DL33" s="690"/>
      <c r="DM33" s="690"/>
      <c r="DN33" s="690"/>
      <c r="DO33" s="690"/>
      <c r="DP33" s="690"/>
      <c r="DQ33" s="690"/>
      <c r="DR33" s="690"/>
      <c r="DS33" s="690"/>
      <c r="DT33" s="690"/>
      <c r="DU33" s="690"/>
      <c r="DV33" s="690"/>
      <c r="DW33" s="690"/>
      <c r="DX33" s="690"/>
      <c r="DY33" s="690"/>
      <c r="DZ33" s="690"/>
      <c r="EA33" s="690"/>
      <c r="EB33" s="690"/>
      <c r="EC33" s="690"/>
      <c r="ED33" s="690"/>
      <c r="EE33" s="690"/>
      <c r="EF33" s="690"/>
      <c r="EG33" s="690"/>
      <c r="EH33" s="690"/>
      <c r="EI33" s="690"/>
      <c r="EJ33" s="690"/>
      <c r="EK33" s="690"/>
      <c r="EL33" s="690"/>
      <c r="EM33" s="690"/>
      <c r="EN33" s="690"/>
      <c r="EO33" s="690"/>
      <c r="EP33" s="690"/>
      <c r="EQ33" s="690"/>
      <c r="ER33" s="690"/>
      <c r="ES33" s="690"/>
      <c r="ET33" s="690"/>
      <c r="EU33" s="690"/>
      <c r="EV33" s="690"/>
      <c r="EW33" s="690"/>
      <c r="EX33" s="690"/>
      <c r="EY33" s="690"/>
      <c r="EZ33" s="690"/>
      <c r="FA33" s="690"/>
      <c r="FB33" s="690"/>
      <c r="FC33" s="690"/>
      <c r="FD33" s="690"/>
      <c r="FE33" s="690"/>
      <c r="FF33" s="690"/>
      <c r="FG33" s="690"/>
      <c r="FH33" s="690"/>
      <c r="FI33" s="690"/>
      <c r="FJ33" s="690"/>
      <c r="FK33" s="690"/>
      <c r="FL33" s="690"/>
      <c r="FM33" s="690"/>
      <c r="FN33" s="690"/>
      <c r="FO33" s="690"/>
      <c r="FP33" s="690"/>
      <c r="FQ33" s="690"/>
      <c r="FR33" s="690"/>
      <c r="FS33" s="690"/>
      <c r="FT33" s="690"/>
      <c r="FU33" s="690"/>
      <c r="FV33" s="690"/>
      <c r="FW33" s="690"/>
      <c r="FX33" s="690"/>
      <c r="FY33" s="690"/>
      <c r="FZ33" s="690"/>
      <c r="GA33" s="690"/>
    </row>
    <row r="34" spans="1:183" ht="24" customHeight="1">
      <c r="A34" s="689" t="s">
        <v>315</v>
      </c>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c r="BD34" s="690"/>
      <c r="BE34" s="690"/>
      <c r="BF34" s="690"/>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690"/>
      <c r="CE34" s="690"/>
      <c r="CF34" s="690"/>
      <c r="CG34" s="690"/>
      <c r="CH34" s="690"/>
      <c r="CI34" s="690"/>
      <c r="CJ34" s="690"/>
      <c r="CK34" s="690"/>
      <c r="CL34" s="690"/>
      <c r="CM34" s="690"/>
      <c r="CN34" s="690"/>
      <c r="CO34" s="690"/>
      <c r="CP34" s="690"/>
      <c r="CQ34" s="690"/>
      <c r="CR34" s="690"/>
      <c r="CS34" s="690"/>
      <c r="CT34" s="690"/>
      <c r="CU34" s="690"/>
      <c r="CV34" s="690"/>
      <c r="CW34" s="690"/>
      <c r="CX34" s="690"/>
      <c r="CY34" s="690"/>
      <c r="CZ34" s="690"/>
      <c r="DA34" s="690"/>
      <c r="DB34" s="690"/>
      <c r="DC34" s="690"/>
      <c r="DD34" s="690"/>
      <c r="DE34" s="690"/>
      <c r="DF34" s="690"/>
      <c r="DG34" s="690"/>
      <c r="DH34" s="690"/>
      <c r="DI34" s="690"/>
      <c r="DJ34" s="690"/>
      <c r="DK34" s="690"/>
      <c r="DL34" s="690"/>
      <c r="DM34" s="690"/>
      <c r="DN34" s="690"/>
      <c r="DO34" s="690"/>
      <c r="DP34" s="690"/>
      <c r="DQ34" s="690"/>
      <c r="DR34" s="690"/>
      <c r="DS34" s="690"/>
      <c r="DT34" s="690"/>
      <c r="DU34" s="690"/>
      <c r="DV34" s="690"/>
      <c r="DW34" s="690"/>
      <c r="DX34" s="690"/>
      <c r="DY34" s="690"/>
      <c r="DZ34" s="690"/>
      <c r="EA34" s="690"/>
      <c r="EB34" s="690"/>
      <c r="EC34" s="690"/>
      <c r="ED34" s="690"/>
      <c r="EE34" s="690"/>
      <c r="EF34" s="690"/>
      <c r="EG34" s="690"/>
      <c r="EH34" s="690"/>
      <c r="EI34" s="690"/>
      <c r="EJ34" s="690"/>
      <c r="EK34" s="690"/>
      <c r="EL34" s="690"/>
      <c r="EM34" s="690"/>
      <c r="EN34" s="690"/>
      <c r="EO34" s="690"/>
      <c r="EP34" s="690"/>
      <c r="EQ34" s="690"/>
      <c r="ER34" s="690"/>
      <c r="ES34" s="690"/>
      <c r="ET34" s="690"/>
      <c r="EU34" s="690"/>
      <c r="EV34" s="690"/>
      <c r="EW34" s="690"/>
      <c r="EX34" s="690"/>
      <c r="EY34" s="690"/>
      <c r="EZ34" s="690"/>
      <c r="FA34" s="690"/>
      <c r="FB34" s="690"/>
      <c r="FC34" s="690"/>
      <c r="FD34" s="690"/>
      <c r="FE34" s="690"/>
      <c r="FF34" s="690"/>
      <c r="FG34" s="690"/>
      <c r="FH34" s="690"/>
      <c r="FI34" s="690"/>
      <c r="FJ34" s="690"/>
      <c r="FK34" s="690"/>
      <c r="FL34" s="690"/>
      <c r="FM34" s="690"/>
      <c r="FN34" s="690"/>
      <c r="FO34" s="690"/>
      <c r="FP34" s="690"/>
      <c r="FQ34" s="690"/>
      <c r="FR34" s="690"/>
      <c r="FS34" s="690"/>
      <c r="FT34" s="690"/>
      <c r="FU34" s="690"/>
      <c r="FV34" s="690"/>
      <c r="FW34" s="690"/>
      <c r="FX34" s="690"/>
      <c r="FY34" s="690"/>
      <c r="FZ34" s="690"/>
      <c r="GA34" s="690"/>
    </row>
    <row r="35" spans="1:183" ht="12" customHeight="1">
      <c r="A35" s="689" t="s">
        <v>316</v>
      </c>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690"/>
      <c r="CE35" s="690"/>
      <c r="CF35" s="690"/>
      <c r="CG35" s="690"/>
      <c r="CH35" s="690"/>
      <c r="CI35" s="690"/>
      <c r="CJ35" s="690"/>
      <c r="CK35" s="690"/>
      <c r="CL35" s="690"/>
      <c r="CM35" s="690"/>
      <c r="CN35" s="690"/>
      <c r="CO35" s="690"/>
      <c r="CP35" s="690"/>
      <c r="CQ35" s="690"/>
      <c r="CR35" s="690"/>
      <c r="CS35" s="690"/>
      <c r="CT35" s="690"/>
      <c r="CU35" s="690"/>
      <c r="CV35" s="690"/>
      <c r="CW35" s="690"/>
      <c r="CX35" s="690"/>
      <c r="CY35" s="690"/>
      <c r="CZ35" s="690"/>
      <c r="DA35" s="690"/>
      <c r="DB35" s="690"/>
      <c r="DC35" s="690"/>
      <c r="DD35" s="690"/>
      <c r="DE35" s="690"/>
      <c r="DF35" s="690"/>
      <c r="DG35" s="690"/>
      <c r="DH35" s="690"/>
      <c r="DI35" s="690"/>
      <c r="DJ35" s="690"/>
      <c r="DK35" s="690"/>
      <c r="DL35" s="690"/>
      <c r="DM35" s="690"/>
      <c r="DN35" s="690"/>
      <c r="DO35" s="690"/>
      <c r="DP35" s="690"/>
      <c r="DQ35" s="690"/>
      <c r="DR35" s="690"/>
      <c r="DS35" s="690"/>
      <c r="DT35" s="690"/>
      <c r="DU35" s="690"/>
      <c r="DV35" s="690"/>
      <c r="DW35" s="690"/>
      <c r="DX35" s="690"/>
      <c r="DY35" s="690"/>
      <c r="DZ35" s="690"/>
      <c r="EA35" s="690"/>
      <c r="EB35" s="690"/>
      <c r="EC35" s="690"/>
      <c r="ED35" s="690"/>
      <c r="EE35" s="690"/>
      <c r="EF35" s="690"/>
      <c r="EG35" s="690"/>
      <c r="EH35" s="690"/>
      <c r="EI35" s="690"/>
      <c r="EJ35" s="690"/>
      <c r="EK35" s="690"/>
      <c r="EL35" s="690"/>
      <c r="EM35" s="690"/>
      <c r="EN35" s="690"/>
      <c r="EO35" s="690"/>
      <c r="EP35" s="690"/>
      <c r="EQ35" s="690"/>
      <c r="ER35" s="690"/>
      <c r="ES35" s="690"/>
      <c r="ET35" s="690"/>
      <c r="EU35" s="690"/>
      <c r="EV35" s="690"/>
      <c r="EW35" s="690"/>
      <c r="EX35" s="690"/>
      <c r="EY35" s="690"/>
      <c r="EZ35" s="690"/>
      <c r="FA35" s="690"/>
      <c r="FB35" s="690"/>
      <c r="FC35" s="690"/>
      <c r="FD35" s="690"/>
      <c r="FE35" s="690"/>
      <c r="FF35" s="690"/>
      <c r="FG35" s="690"/>
      <c r="FH35" s="690"/>
      <c r="FI35" s="690"/>
      <c r="FJ35" s="690"/>
      <c r="FK35" s="690"/>
      <c r="FL35" s="690"/>
      <c r="FM35" s="690"/>
      <c r="FN35" s="690"/>
      <c r="FO35" s="690"/>
      <c r="FP35" s="690"/>
      <c r="FQ35" s="690"/>
      <c r="FR35" s="690"/>
      <c r="FS35" s="690"/>
      <c r="FT35" s="690"/>
      <c r="FU35" s="690"/>
      <c r="FV35" s="690"/>
      <c r="FW35" s="690"/>
      <c r="FX35" s="690"/>
      <c r="FY35" s="690"/>
      <c r="FZ35" s="690"/>
      <c r="GA35" s="690"/>
    </row>
    <row r="36" spans="1:183" ht="12" customHeight="1">
      <c r="A36" s="689" t="s">
        <v>317</v>
      </c>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690"/>
      <c r="CE36" s="690"/>
      <c r="CF36" s="690"/>
      <c r="CG36" s="690"/>
      <c r="CH36" s="690"/>
      <c r="CI36" s="690"/>
      <c r="CJ36" s="690"/>
      <c r="CK36" s="690"/>
      <c r="CL36" s="690"/>
      <c r="CM36" s="690"/>
      <c r="CN36" s="690"/>
      <c r="CO36" s="690"/>
      <c r="CP36" s="690"/>
      <c r="CQ36" s="690"/>
      <c r="CR36" s="690"/>
      <c r="CS36" s="690"/>
      <c r="CT36" s="690"/>
      <c r="CU36" s="690"/>
      <c r="CV36" s="690"/>
      <c r="CW36" s="690"/>
      <c r="CX36" s="690"/>
      <c r="CY36" s="690"/>
      <c r="CZ36" s="690"/>
      <c r="DA36" s="690"/>
      <c r="DB36" s="690"/>
      <c r="DC36" s="690"/>
      <c r="DD36" s="690"/>
      <c r="DE36" s="690"/>
      <c r="DF36" s="690"/>
      <c r="DG36" s="690"/>
      <c r="DH36" s="690"/>
      <c r="DI36" s="690"/>
      <c r="DJ36" s="690"/>
      <c r="DK36" s="690"/>
      <c r="DL36" s="690"/>
      <c r="DM36" s="690"/>
      <c r="DN36" s="690"/>
      <c r="DO36" s="690"/>
      <c r="DP36" s="690"/>
      <c r="DQ36" s="690"/>
      <c r="DR36" s="690"/>
      <c r="DS36" s="690"/>
      <c r="DT36" s="690"/>
      <c r="DU36" s="690"/>
      <c r="DV36" s="690"/>
      <c r="DW36" s="690"/>
      <c r="DX36" s="690"/>
      <c r="DY36" s="690"/>
      <c r="DZ36" s="690"/>
      <c r="EA36" s="690"/>
      <c r="EB36" s="690"/>
      <c r="EC36" s="690"/>
      <c r="ED36" s="690"/>
      <c r="EE36" s="690"/>
      <c r="EF36" s="690"/>
      <c r="EG36" s="690"/>
      <c r="EH36" s="690"/>
      <c r="EI36" s="690"/>
      <c r="EJ36" s="690"/>
      <c r="EK36" s="690"/>
      <c r="EL36" s="690"/>
      <c r="EM36" s="690"/>
      <c r="EN36" s="690"/>
      <c r="EO36" s="690"/>
      <c r="EP36" s="690"/>
      <c r="EQ36" s="690"/>
      <c r="ER36" s="690"/>
      <c r="ES36" s="690"/>
      <c r="ET36" s="690"/>
      <c r="EU36" s="690"/>
      <c r="EV36" s="690"/>
      <c r="EW36" s="690"/>
      <c r="EX36" s="690"/>
      <c r="EY36" s="690"/>
      <c r="EZ36" s="690"/>
      <c r="FA36" s="690"/>
      <c r="FB36" s="690"/>
      <c r="FC36" s="690"/>
      <c r="FD36" s="690"/>
      <c r="FE36" s="690"/>
      <c r="FF36" s="690"/>
      <c r="FG36" s="690"/>
      <c r="FH36" s="690"/>
      <c r="FI36" s="690"/>
      <c r="FJ36" s="690"/>
      <c r="FK36" s="690"/>
      <c r="FL36" s="690"/>
      <c r="FM36" s="690"/>
      <c r="FN36" s="690"/>
      <c r="FO36" s="690"/>
      <c r="FP36" s="690"/>
      <c r="FQ36" s="690"/>
      <c r="FR36" s="690"/>
      <c r="FS36" s="690"/>
      <c r="FT36" s="690"/>
      <c r="FU36" s="690"/>
      <c r="FV36" s="690"/>
      <c r="FW36" s="690"/>
      <c r="FX36" s="690"/>
      <c r="FY36" s="690"/>
      <c r="FZ36" s="690"/>
      <c r="GA36" s="690"/>
    </row>
    <row r="37" spans="1:183" ht="11.25" customHeight="1">
      <c r="A37" s="689" t="s">
        <v>318</v>
      </c>
      <c r="B37" s="690"/>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c r="CI37" s="690"/>
      <c r="CJ37" s="690"/>
      <c r="CK37" s="690"/>
      <c r="CL37" s="690"/>
      <c r="CM37" s="690"/>
      <c r="CN37" s="690"/>
      <c r="CO37" s="690"/>
      <c r="CP37" s="690"/>
      <c r="CQ37" s="690"/>
      <c r="CR37" s="690"/>
      <c r="CS37" s="690"/>
      <c r="CT37" s="690"/>
      <c r="CU37" s="690"/>
      <c r="CV37" s="690"/>
      <c r="CW37" s="690"/>
      <c r="CX37" s="690"/>
      <c r="CY37" s="690"/>
      <c r="CZ37" s="690"/>
      <c r="DA37" s="690"/>
      <c r="DB37" s="690"/>
      <c r="DC37" s="690"/>
      <c r="DD37" s="690"/>
      <c r="DE37" s="690"/>
      <c r="DF37" s="690"/>
      <c r="DG37" s="690"/>
      <c r="DH37" s="690"/>
      <c r="DI37" s="690"/>
      <c r="DJ37" s="690"/>
      <c r="DK37" s="690"/>
      <c r="DL37" s="690"/>
      <c r="DM37" s="690"/>
      <c r="DN37" s="690"/>
      <c r="DO37" s="690"/>
      <c r="DP37" s="690"/>
      <c r="DQ37" s="690"/>
      <c r="DR37" s="690"/>
      <c r="DS37" s="690"/>
      <c r="DT37" s="690"/>
      <c r="DU37" s="690"/>
      <c r="DV37" s="690"/>
      <c r="DW37" s="690"/>
      <c r="DX37" s="690"/>
      <c r="DY37" s="690"/>
      <c r="DZ37" s="690"/>
      <c r="EA37" s="690"/>
      <c r="EB37" s="690"/>
      <c r="EC37" s="690"/>
      <c r="ED37" s="690"/>
      <c r="EE37" s="690"/>
      <c r="EF37" s="690"/>
      <c r="EG37" s="690"/>
      <c r="EH37" s="690"/>
      <c r="EI37" s="690"/>
      <c r="EJ37" s="690"/>
      <c r="EK37" s="690"/>
      <c r="EL37" s="690"/>
      <c r="EM37" s="690"/>
      <c r="EN37" s="690"/>
      <c r="EO37" s="690"/>
      <c r="EP37" s="690"/>
      <c r="EQ37" s="690"/>
      <c r="ER37" s="690"/>
      <c r="ES37" s="690"/>
      <c r="ET37" s="690"/>
      <c r="EU37" s="690"/>
      <c r="EV37" s="690"/>
      <c r="EW37" s="690"/>
      <c r="EX37" s="690"/>
      <c r="EY37" s="690"/>
      <c r="EZ37" s="690"/>
      <c r="FA37" s="690"/>
      <c r="FB37" s="690"/>
      <c r="FC37" s="690"/>
      <c r="FD37" s="690"/>
      <c r="FE37" s="690"/>
      <c r="FF37" s="690"/>
      <c r="FG37" s="690"/>
      <c r="FH37" s="690"/>
      <c r="FI37" s="690"/>
      <c r="FJ37" s="690"/>
      <c r="FK37" s="690"/>
      <c r="FL37" s="690"/>
      <c r="FM37" s="690"/>
      <c r="FN37" s="690"/>
      <c r="FO37" s="690"/>
      <c r="FP37" s="690"/>
      <c r="FQ37" s="690"/>
      <c r="FR37" s="690"/>
      <c r="FS37" s="690"/>
      <c r="FT37" s="690"/>
      <c r="FU37" s="690"/>
      <c r="FV37" s="690"/>
      <c r="FW37" s="690"/>
      <c r="FX37" s="690"/>
      <c r="FY37" s="690"/>
      <c r="FZ37" s="690"/>
      <c r="GA37" s="690"/>
    </row>
    <row r="38" spans="1:183" ht="24" customHeight="1">
      <c r="A38" s="689" t="s">
        <v>319</v>
      </c>
      <c r="B38" s="690"/>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c r="CI38" s="690"/>
      <c r="CJ38" s="690"/>
      <c r="CK38" s="690"/>
      <c r="CL38" s="690"/>
      <c r="CM38" s="690"/>
      <c r="CN38" s="690"/>
      <c r="CO38" s="690"/>
      <c r="CP38" s="690"/>
      <c r="CQ38" s="690"/>
      <c r="CR38" s="690"/>
      <c r="CS38" s="690"/>
      <c r="CT38" s="690"/>
      <c r="CU38" s="690"/>
      <c r="CV38" s="690"/>
      <c r="CW38" s="690"/>
      <c r="CX38" s="690"/>
      <c r="CY38" s="690"/>
      <c r="CZ38" s="690"/>
      <c r="DA38" s="690"/>
      <c r="DB38" s="690"/>
      <c r="DC38" s="690"/>
      <c r="DD38" s="690"/>
      <c r="DE38" s="690"/>
      <c r="DF38" s="690"/>
      <c r="DG38" s="690"/>
      <c r="DH38" s="690"/>
      <c r="DI38" s="690"/>
      <c r="DJ38" s="690"/>
      <c r="DK38" s="690"/>
      <c r="DL38" s="690"/>
      <c r="DM38" s="690"/>
      <c r="DN38" s="690"/>
      <c r="DO38" s="690"/>
      <c r="DP38" s="690"/>
      <c r="DQ38" s="690"/>
      <c r="DR38" s="690"/>
      <c r="DS38" s="690"/>
      <c r="DT38" s="690"/>
      <c r="DU38" s="690"/>
      <c r="DV38" s="690"/>
      <c r="DW38" s="690"/>
      <c r="DX38" s="690"/>
      <c r="DY38" s="690"/>
      <c r="DZ38" s="690"/>
      <c r="EA38" s="690"/>
      <c r="EB38" s="690"/>
      <c r="EC38" s="690"/>
      <c r="ED38" s="690"/>
      <c r="EE38" s="690"/>
      <c r="EF38" s="690"/>
      <c r="EG38" s="690"/>
      <c r="EH38" s="690"/>
      <c r="EI38" s="690"/>
      <c r="EJ38" s="690"/>
      <c r="EK38" s="690"/>
      <c r="EL38" s="690"/>
      <c r="EM38" s="690"/>
      <c r="EN38" s="690"/>
      <c r="EO38" s="690"/>
      <c r="EP38" s="690"/>
      <c r="EQ38" s="690"/>
      <c r="ER38" s="690"/>
      <c r="ES38" s="690"/>
      <c r="ET38" s="690"/>
      <c r="EU38" s="690"/>
      <c r="EV38" s="690"/>
      <c r="EW38" s="690"/>
      <c r="EX38" s="690"/>
      <c r="EY38" s="690"/>
      <c r="EZ38" s="690"/>
      <c r="FA38" s="690"/>
      <c r="FB38" s="690"/>
      <c r="FC38" s="690"/>
      <c r="FD38" s="690"/>
      <c r="FE38" s="690"/>
      <c r="FF38" s="690"/>
      <c r="FG38" s="690"/>
      <c r="FH38" s="690"/>
      <c r="FI38" s="690"/>
      <c r="FJ38" s="690"/>
      <c r="FK38" s="690"/>
      <c r="FL38" s="690"/>
      <c r="FM38" s="690"/>
      <c r="FN38" s="690"/>
      <c r="FO38" s="690"/>
      <c r="FP38" s="690"/>
      <c r="FQ38" s="690"/>
      <c r="FR38" s="690"/>
      <c r="FS38" s="690"/>
      <c r="FT38" s="690"/>
      <c r="FU38" s="690"/>
      <c r="FV38" s="690"/>
      <c r="FW38" s="690"/>
      <c r="FX38" s="690"/>
      <c r="FY38" s="690"/>
      <c r="FZ38" s="690"/>
      <c r="GA38" s="690"/>
    </row>
  </sheetData>
  <mergeCells count="337">
    <mergeCell ref="B1:GZ1"/>
    <mergeCell ref="A3:H5"/>
    <mergeCell ref="I3:CM5"/>
    <mergeCell ref="CN3:CU5"/>
    <mergeCell ref="DF3:DO5"/>
    <mergeCell ref="DP3:HA3"/>
    <mergeCell ref="DP4:DU4"/>
    <mergeCell ref="DV4:DX4"/>
    <mergeCell ref="DY4:EB4"/>
    <mergeCell ref="EC4:EH4"/>
    <mergeCell ref="GO4:HA5"/>
    <mergeCell ref="DP5:EB5"/>
    <mergeCell ref="EC5:EO5"/>
    <mergeCell ref="EP5:FB5"/>
    <mergeCell ref="FC5:FO5"/>
    <mergeCell ref="FP5:GA5"/>
    <mergeCell ref="FI4:FK4"/>
    <mergeCell ref="FL4:FO4"/>
    <mergeCell ref="FP4:FU4"/>
    <mergeCell ref="FV4:FW4"/>
    <mergeCell ref="FX4:GA4"/>
    <mergeCell ref="GB4:GN5"/>
    <mergeCell ref="EI4:EK4"/>
    <mergeCell ref="EL4:EO4"/>
    <mergeCell ref="EP4:EU4"/>
    <mergeCell ref="EV4:EX4"/>
    <mergeCell ref="EY4:FB4"/>
    <mergeCell ref="FC4:FH4"/>
    <mergeCell ref="A7:H7"/>
    <mergeCell ref="I7:CM7"/>
    <mergeCell ref="CN7:CU7"/>
    <mergeCell ref="DF7:DO7"/>
    <mergeCell ref="DP7:EB7"/>
    <mergeCell ref="A6:H6"/>
    <mergeCell ref="I6:CM6"/>
    <mergeCell ref="CN6:CU6"/>
    <mergeCell ref="DF6:DO6"/>
    <mergeCell ref="DP6:EB6"/>
    <mergeCell ref="EC7:EO7"/>
    <mergeCell ref="EP7:FB7"/>
    <mergeCell ref="FC7:FO7"/>
    <mergeCell ref="CV3:DE5"/>
    <mergeCell ref="CV6:DE6"/>
    <mergeCell ref="CV7:DE7"/>
    <mergeCell ref="FP7:GA7"/>
    <mergeCell ref="GB7:GN7"/>
    <mergeCell ref="GO7:HA7"/>
    <mergeCell ref="EP6:FB6"/>
    <mergeCell ref="FC6:FO6"/>
    <mergeCell ref="FP6:GA6"/>
    <mergeCell ref="GB6:GN6"/>
    <mergeCell ref="GO6:HA6"/>
    <mergeCell ref="EC6:EO6"/>
    <mergeCell ref="A9:H9"/>
    <mergeCell ref="I9:CM9"/>
    <mergeCell ref="CN9:CU9"/>
    <mergeCell ref="DF9:DO9"/>
    <mergeCell ref="DP9:EB9"/>
    <mergeCell ref="A8:H8"/>
    <mergeCell ref="I8:CM8"/>
    <mergeCell ref="CN8:CU8"/>
    <mergeCell ref="DF8:DO8"/>
    <mergeCell ref="DP8:EB8"/>
    <mergeCell ref="CV8:DE8"/>
    <mergeCell ref="CV9:DE9"/>
    <mergeCell ref="EC9:EO9"/>
    <mergeCell ref="EP9:FB9"/>
    <mergeCell ref="FC9:FO9"/>
    <mergeCell ref="FP9:GA9"/>
    <mergeCell ref="GB9:GN9"/>
    <mergeCell ref="GO9:HA9"/>
    <mergeCell ref="EP8:FB8"/>
    <mergeCell ref="FC8:FO8"/>
    <mergeCell ref="FP8:GA8"/>
    <mergeCell ref="GB8:GN8"/>
    <mergeCell ref="GO8:HA8"/>
    <mergeCell ref="EC8:EO8"/>
    <mergeCell ref="A13:H13"/>
    <mergeCell ref="I13:CM13"/>
    <mergeCell ref="CN13:CU13"/>
    <mergeCell ref="DF13:DO13"/>
    <mergeCell ref="DP13:EB13"/>
    <mergeCell ref="A10:H10"/>
    <mergeCell ref="I10:CM10"/>
    <mergeCell ref="CN10:CU10"/>
    <mergeCell ref="DF10:DO10"/>
    <mergeCell ref="DP10:EB10"/>
    <mergeCell ref="CV10:DE10"/>
    <mergeCell ref="CV13:DE13"/>
    <mergeCell ref="A12:H12"/>
    <mergeCell ref="I12:CM12"/>
    <mergeCell ref="CN12:CU12"/>
    <mergeCell ref="CV12:DE12"/>
    <mergeCell ref="DF12:DO12"/>
    <mergeCell ref="DP12:EB12"/>
    <mergeCell ref="A11:H11"/>
    <mergeCell ref="I11:CM11"/>
    <mergeCell ref="CN11:CU11"/>
    <mergeCell ref="CV11:DE11"/>
    <mergeCell ref="DF11:DO11"/>
    <mergeCell ref="DP11:EB11"/>
    <mergeCell ref="EC13:EO13"/>
    <mergeCell ref="EP13:FB13"/>
    <mergeCell ref="FC13:FO13"/>
    <mergeCell ref="FP13:GA13"/>
    <mergeCell ref="GB13:GN13"/>
    <mergeCell ref="GO13:HA13"/>
    <mergeCell ref="EP10:FB10"/>
    <mergeCell ref="FC10:FO10"/>
    <mergeCell ref="FP10:GA10"/>
    <mergeCell ref="GB10:GN10"/>
    <mergeCell ref="GO10:HA10"/>
    <mergeCell ref="EC10:EO10"/>
    <mergeCell ref="EC12:EO12"/>
    <mergeCell ref="EP12:FB12"/>
    <mergeCell ref="FC12:FO12"/>
    <mergeCell ref="FP12:GA12"/>
    <mergeCell ref="GB12:GN12"/>
    <mergeCell ref="GO12:HA12"/>
    <mergeCell ref="EC11:EO11"/>
    <mergeCell ref="EP11:FB11"/>
    <mergeCell ref="FC11:FO11"/>
    <mergeCell ref="FP11:GA11"/>
    <mergeCell ref="A15:H15"/>
    <mergeCell ref="I15:CM15"/>
    <mergeCell ref="CN15:CU15"/>
    <mergeCell ref="DF15:DO15"/>
    <mergeCell ref="DP15:EB15"/>
    <mergeCell ref="A14:H14"/>
    <mergeCell ref="I14:CM14"/>
    <mergeCell ref="CN14:CU14"/>
    <mergeCell ref="DF14:DO14"/>
    <mergeCell ref="DP14:EB14"/>
    <mergeCell ref="CV14:DE14"/>
    <mergeCell ref="CV15:DE15"/>
    <mergeCell ref="EC15:EO15"/>
    <mergeCell ref="EP15:FB15"/>
    <mergeCell ref="FC15:FO15"/>
    <mergeCell ref="FP15:GA15"/>
    <mergeCell ref="GB15:GN15"/>
    <mergeCell ref="GO15:HA15"/>
    <mergeCell ref="EP14:FB14"/>
    <mergeCell ref="FC14:FO14"/>
    <mergeCell ref="FP14:GA14"/>
    <mergeCell ref="GB14:GN14"/>
    <mergeCell ref="GO14:HA14"/>
    <mergeCell ref="EC14:EO14"/>
    <mergeCell ref="A17:H17"/>
    <mergeCell ref="I17:CM17"/>
    <mergeCell ref="CN17:CU17"/>
    <mergeCell ref="DF17:DO17"/>
    <mergeCell ref="DP17:EB17"/>
    <mergeCell ref="A16:H16"/>
    <mergeCell ref="I16:CM16"/>
    <mergeCell ref="CN16:CU16"/>
    <mergeCell ref="DF16:DO16"/>
    <mergeCell ref="DP16:EB16"/>
    <mergeCell ref="CV16:DE16"/>
    <mergeCell ref="CV17:DE17"/>
    <mergeCell ref="EC17:EO17"/>
    <mergeCell ref="EP17:FB17"/>
    <mergeCell ref="FC17:FO17"/>
    <mergeCell ref="FP17:GA17"/>
    <mergeCell ref="GB17:GN17"/>
    <mergeCell ref="GO17:HA17"/>
    <mergeCell ref="EP16:FB16"/>
    <mergeCell ref="FC16:FO16"/>
    <mergeCell ref="FP16:GA16"/>
    <mergeCell ref="GB16:GN16"/>
    <mergeCell ref="GO16:HA16"/>
    <mergeCell ref="EC16:EO16"/>
    <mergeCell ref="A19:H19"/>
    <mergeCell ref="I19:CM19"/>
    <mergeCell ref="CN19:CU19"/>
    <mergeCell ref="DF19:DO19"/>
    <mergeCell ref="DP19:EB19"/>
    <mergeCell ref="A18:H18"/>
    <mergeCell ref="I18:CM18"/>
    <mergeCell ref="CN18:CU18"/>
    <mergeCell ref="DF18:DO18"/>
    <mergeCell ref="DP18:EB18"/>
    <mergeCell ref="CV18:DE18"/>
    <mergeCell ref="CV19:DE19"/>
    <mergeCell ref="EC19:EO19"/>
    <mergeCell ref="EP19:FB19"/>
    <mergeCell ref="FC19:FO19"/>
    <mergeCell ref="FP19:GA19"/>
    <mergeCell ref="GB19:GN19"/>
    <mergeCell ref="GO19:HA19"/>
    <mergeCell ref="EP18:FB18"/>
    <mergeCell ref="FC18:FO18"/>
    <mergeCell ref="FP18:GA18"/>
    <mergeCell ref="GB18:GN18"/>
    <mergeCell ref="GO18:HA18"/>
    <mergeCell ref="EC18:EO18"/>
    <mergeCell ref="A21:H21"/>
    <mergeCell ref="I21:CM21"/>
    <mergeCell ref="CN21:CU21"/>
    <mergeCell ref="DF21:DO21"/>
    <mergeCell ref="DP21:EB21"/>
    <mergeCell ref="A20:H20"/>
    <mergeCell ref="I20:CM20"/>
    <mergeCell ref="CN20:CU20"/>
    <mergeCell ref="DF20:DO20"/>
    <mergeCell ref="DP20:EB20"/>
    <mergeCell ref="CV20:DE20"/>
    <mergeCell ref="CV21:DE21"/>
    <mergeCell ref="EC21:EO21"/>
    <mergeCell ref="EP21:FB21"/>
    <mergeCell ref="FC21:FO21"/>
    <mergeCell ref="FP21:GA21"/>
    <mergeCell ref="GB21:GN21"/>
    <mergeCell ref="GO21:HA21"/>
    <mergeCell ref="EP20:FB20"/>
    <mergeCell ref="FC20:FO20"/>
    <mergeCell ref="FP20:GA20"/>
    <mergeCell ref="GB20:GN20"/>
    <mergeCell ref="GO20:HA20"/>
    <mergeCell ref="EC20:EO20"/>
    <mergeCell ref="A23:H23"/>
    <mergeCell ref="I23:CM23"/>
    <mergeCell ref="CN23:CU23"/>
    <mergeCell ref="DF23:DO23"/>
    <mergeCell ref="DP23:EB23"/>
    <mergeCell ref="A22:H22"/>
    <mergeCell ref="I22:CM22"/>
    <mergeCell ref="CN22:CU22"/>
    <mergeCell ref="DF22:DO22"/>
    <mergeCell ref="DP22:EB22"/>
    <mergeCell ref="CV22:DE22"/>
    <mergeCell ref="CV23:DE23"/>
    <mergeCell ref="EC23:EO23"/>
    <mergeCell ref="EP23:FB23"/>
    <mergeCell ref="FC23:FO23"/>
    <mergeCell ref="FP23:GA23"/>
    <mergeCell ref="GB23:GN23"/>
    <mergeCell ref="GO23:HA23"/>
    <mergeCell ref="EP22:FB22"/>
    <mergeCell ref="FC22:FO22"/>
    <mergeCell ref="FP22:GA22"/>
    <mergeCell ref="GB22:GN22"/>
    <mergeCell ref="GO22:HA22"/>
    <mergeCell ref="EC22:EO22"/>
    <mergeCell ref="A25:H25"/>
    <mergeCell ref="I25:CM25"/>
    <mergeCell ref="CN25:CU25"/>
    <mergeCell ref="DF25:DO25"/>
    <mergeCell ref="DP25:EB25"/>
    <mergeCell ref="A24:H24"/>
    <mergeCell ref="I24:CM24"/>
    <mergeCell ref="CN24:CU24"/>
    <mergeCell ref="DF24:DO24"/>
    <mergeCell ref="DP24:EB24"/>
    <mergeCell ref="CV24:DE24"/>
    <mergeCell ref="CV25:DE25"/>
    <mergeCell ref="EC25:EO25"/>
    <mergeCell ref="EP25:FB25"/>
    <mergeCell ref="FC25:FO25"/>
    <mergeCell ref="FP25:GA25"/>
    <mergeCell ref="GB25:GN25"/>
    <mergeCell ref="GO25:HA25"/>
    <mergeCell ref="EP24:FB24"/>
    <mergeCell ref="FC24:FO24"/>
    <mergeCell ref="FP24:GA24"/>
    <mergeCell ref="GB24:GN24"/>
    <mergeCell ref="GO24:HA24"/>
    <mergeCell ref="EC24:EO24"/>
    <mergeCell ref="A27:H27"/>
    <mergeCell ref="I27:CM27"/>
    <mergeCell ref="CN27:CU27"/>
    <mergeCell ref="DF27:DO27"/>
    <mergeCell ref="DP27:EB27"/>
    <mergeCell ref="A26:H26"/>
    <mergeCell ref="I26:CM26"/>
    <mergeCell ref="CN26:CU26"/>
    <mergeCell ref="DF26:DO26"/>
    <mergeCell ref="DP26:EB26"/>
    <mergeCell ref="CV26:DE26"/>
    <mergeCell ref="CV27:DE27"/>
    <mergeCell ref="EC27:EO27"/>
    <mergeCell ref="EP27:FB27"/>
    <mergeCell ref="FC27:FO27"/>
    <mergeCell ref="FP27:GA27"/>
    <mergeCell ref="GB27:GN27"/>
    <mergeCell ref="GO27:HA27"/>
    <mergeCell ref="EP26:FB26"/>
    <mergeCell ref="FC26:FO26"/>
    <mergeCell ref="FP26:GA26"/>
    <mergeCell ref="GB26:GN26"/>
    <mergeCell ref="GO26:HA26"/>
    <mergeCell ref="EC26:EO26"/>
    <mergeCell ref="EP28:FB29"/>
    <mergeCell ref="FC28:FO29"/>
    <mergeCell ref="FP28:GA29"/>
    <mergeCell ref="GB28:GN29"/>
    <mergeCell ref="GO28:HA29"/>
    <mergeCell ref="I29:CM29"/>
    <mergeCell ref="A28:H29"/>
    <mergeCell ref="I28:CM28"/>
    <mergeCell ref="CN28:CU29"/>
    <mergeCell ref="DF28:DO29"/>
    <mergeCell ref="DP28:EB29"/>
    <mergeCell ref="EC28:EO29"/>
    <mergeCell ref="CV28:DE29"/>
    <mergeCell ref="DF31:DO32"/>
    <mergeCell ref="DP31:EB32"/>
    <mergeCell ref="A30:H30"/>
    <mergeCell ref="I30:CM30"/>
    <mergeCell ref="CN30:CU30"/>
    <mergeCell ref="DF30:DO30"/>
    <mergeCell ref="DP30:EB30"/>
    <mergeCell ref="EC30:EO30"/>
    <mergeCell ref="CV30:DE30"/>
    <mergeCell ref="GB11:GN11"/>
    <mergeCell ref="GO11:HA11"/>
    <mergeCell ref="A38:GA38"/>
    <mergeCell ref="I32:CM32"/>
    <mergeCell ref="A33:GA33"/>
    <mergeCell ref="A34:GA34"/>
    <mergeCell ref="A35:GA35"/>
    <mergeCell ref="A36:GA36"/>
    <mergeCell ref="A37:GA37"/>
    <mergeCell ref="EC31:EO32"/>
    <mergeCell ref="EP31:FB32"/>
    <mergeCell ref="FC31:FO32"/>
    <mergeCell ref="FP31:GA32"/>
    <mergeCell ref="CV31:DE32"/>
    <mergeCell ref="GB31:GN32"/>
    <mergeCell ref="GO31:HA32"/>
    <mergeCell ref="EP30:FB30"/>
    <mergeCell ref="FC30:FO30"/>
    <mergeCell ref="FP30:GA30"/>
    <mergeCell ref="GB30:GN30"/>
    <mergeCell ref="GO30:HA30"/>
    <mergeCell ref="A31:H32"/>
    <mergeCell ref="I31:CM31"/>
    <mergeCell ref="CN31:CU32"/>
  </mergeCells>
  <pageMargins left="0.39370078740157483" right="0.39370078740157483" top="0.59055118110236227" bottom="0.39370078740157483" header="0.11811023622047245" footer="0.11811023622047245"/>
  <pageSetup paperSize="9" scale="90" orientation="landscape"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H55"/>
  <sheetViews>
    <sheetView view="pageBreakPreview" zoomScale="90" zoomScaleSheetLayoutView="90" workbookViewId="0">
      <selection activeCell="E21" sqref="E21"/>
    </sheetView>
  </sheetViews>
  <sheetFormatPr defaultRowHeight="13.2"/>
  <cols>
    <col min="1" max="1" width="65.5546875" customWidth="1"/>
    <col min="2" max="2" width="10.6640625" customWidth="1"/>
    <col min="3" max="4" width="18" hidden="1" customWidth="1"/>
    <col min="5" max="5" width="18" customWidth="1"/>
    <col min="6" max="6" width="17.5546875" customWidth="1"/>
    <col min="7" max="7" width="17.6640625" customWidth="1"/>
    <col min="8" max="8" width="19" customWidth="1"/>
  </cols>
  <sheetData>
    <row r="1" spans="1:8">
      <c r="A1" s="746" t="s">
        <v>218</v>
      </c>
      <c r="B1" s="746"/>
      <c r="C1" s="746"/>
      <c r="D1" s="746"/>
      <c r="E1" s="746"/>
      <c r="F1" s="746"/>
      <c r="G1" s="746"/>
      <c r="H1" s="746"/>
    </row>
    <row r="2" spans="1:8">
      <c r="A2" s="747"/>
      <c r="B2" s="747"/>
      <c r="C2" s="747"/>
      <c r="D2" s="747"/>
      <c r="E2" s="747"/>
      <c r="F2" s="747"/>
      <c r="G2" s="747"/>
      <c r="H2" s="747"/>
    </row>
    <row r="3" spans="1:8" ht="39.6">
      <c r="A3" s="5" t="s">
        <v>0</v>
      </c>
      <c r="B3" s="5" t="s">
        <v>219</v>
      </c>
      <c r="C3" s="5" t="s">
        <v>1063</v>
      </c>
      <c r="D3" s="5" t="s">
        <v>1064</v>
      </c>
      <c r="E3" s="5" t="s">
        <v>1115</v>
      </c>
      <c r="F3" s="5" t="s">
        <v>1065</v>
      </c>
      <c r="G3" s="5" t="s">
        <v>1066</v>
      </c>
      <c r="H3" s="5" t="s">
        <v>7</v>
      </c>
    </row>
    <row r="4" spans="1:8">
      <c r="A4" s="6">
        <v>1</v>
      </c>
      <c r="B4" s="6">
        <v>2</v>
      </c>
      <c r="C4" s="7">
        <v>3</v>
      </c>
      <c r="D4" s="7">
        <v>4</v>
      </c>
      <c r="E4" s="7">
        <v>5</v>
      </c>
      <c r="F4" s="7">
        <v>6</v>
      </c>
      <c r="G4" s="7">
        <v>7</v>
      </c>
      <c r="H4" s="7">
        <v>8</v>
      </c>
    </row>
    <row r="5" spans="1:8" ht="39" customHeight="1">
      <c r="A5" s="8" t="s">
        <v>220</v>
      </c>
      <c r="B5" s="9" t="s">
        <v>21</v>
      </c>
      <c r="C5" s="9" t="s">
        <v>21</v>
      </c>
      <c r="D5" s="9" t="s">
        <v>21</v>
      </c>
      <c r="E5" s="9" t="s">
        <v>21</v>
      </c>
      <c r="F5" s="9" t="s">
        <v>21</v>
      </c>
      <c r="G5" s="9" t="s">
        <v>21</v>
      </c>
      <c r="H5" s="9" t="s">
        <v>21</v>
      </c>
    </row>
    <row r="6" spans="1:8" ht="12.75" customHeight="1">
      <c r="A6" s="10" t="s">
        <v>221</v>
      </c>
      <c r="B6" s="11" t="s">
        <v>237</v>
      </c>
      <c r="C6" s="12"/>
      <c r="D6" s="12">
        <f>'стр. 2_8'!DE82</f>
        <v>15545679.709999999</v>
      </c>
      <c r="E6" s="290">
        <f>'стр. 2_8'!DR82</f>
        <v>15330539.9</v>
      </c>
      <c r="F6" s="12"/>
      <c r="G6" s="12"/>
      <c r="H6" s="12"/>
    </row>
    <row r="7" spans="1:8" ht="18.600000000000001" customHeight="1">
      <c r="A7" s="13" t="s">
        <v>223</v>
      </c>
      <c r="B7" s="11" t="s">
        <v>237</v>
      </c>
      <c r="C7" s="14"/>
      <c r="D7" s="14">
        <f>D6-835178.55*12</f>
        <v>5523537.1099999975</v>
      </c>
      <c r="E7" s="14">
        <f>93355.38*12</f>
        <v>1120264.56</v>
      </c>
      <c r="F7" s="14"/>
      <c r="G7" s="14"/>
      <c r="H7" s="14"/>
    </row>
    <row r="8" spans="1:8">
      <c r="A8" s="13" t="s">
        <v>27</v>
      </c>
      <c r="B8" s="11"/>
      <c r="C8" s="12"/>
      <c r="D8" s="12"/>
      <c r="E8" s="12"/>
      <c r="F8" s="12"/>
      <c r="G8" s="12"/>
      <c r="H8" s="12"/>
    </row>
    <row r="9" spans="1:8" ht="34.200000000000003" customHeight="1">
      <c r="A9" s="13" t="s">
        <v>224</v>
      </c>
      <c r="B9" s="11" t="s">
        <v>237</v>
      </c>
      <c r="C9" s="12"/>
      <c r="D9" s="12">
        <f>103000*12</f>
        <v>1236000</v>
      </c>
      <c r="E9" s="12">
        <f>(96310.2+57255.63)*12</f>
        <v>1842789.96</v>
      </c>
      <c r="F9" s="12"/>
      <c r="G9" s="12"/>
      <c r="H9" s="12"/>
    </row>
    <row r="10" spans="1:8">
      <c r="A10" s="13" t="s">
        <v>223</v>
      </c>
      <c r="B10" s="11" t="s">
        <v>237</v>
      </c>
      <c r="C10" s="12"/>
      <c r="D10" s="12">
        <f>D9-69571*12</f>
        <v>401148</v>
      </c>
      <c r="E10" s="14">
        <f>(11964+4978.75)*12</f>
        <v>203313</v>
      </c>
      <c r="F10" s="14"/>
      <c r="G10" s="12"/>
      <c r="H10" s="12"/>
    </row>
    <row r="11" spans="1:8" ht="24" customHeight="1">
      <c r="A11" s="13" t="s">
        <v>225</v>
      </c>
      <c r="B11" s="11" t="s">
        <v>237</v>
      </c>
      <c r="C11" s="12"/>
      <c r="D11" s="12">
        <f>D6-D9</f>
        <v>14309679.709999999</v>
      </c>
      <c r="E11" s="290">
        <f>E6-E9</f>
        <v>13487749.940000001</v>
      </c>
      <c r="F11" s="12"/>
      <c r="G11" s="12"/>
      <c r="H11" s="12"/>
    </row>
    <row r="12" spans="1:8">
      <c r="A12" s="13" t="s">
        <v>223</v>
      </c>
      <c r="B12" s="11" t="s">
        <v>237</v>
      </c>
      <c r="C12" s="12"/>
      <c r="D12" s="12">
        <f>D7-D10</f>
        <v>5122389.1099999975</v>
      </c>
      <c r="E12" s="290">
        <f>E7-E10</f>
        <v>916951.56</v>
      </c>
      <c r="F12" s="12"/>
      <c r="G12" s="12"/>
      <c r="H12" s="12"/>
    </row>
    <row r="13" spans="1:8" ht="39" customHeight="1">
      <c r="A13" s="10" t="s">
        <v>226</v>
      </c>
      <c r="B13" s="11" t="s">
        <v>237</v>
      </c>
      <c r="C13" s="12"/>
      <c r="D13" s="12">
        <f>D15+D16+D17</f>
        <v>15545679.709999999</v>
      </c>
      <c r="E13" s="290">
        <f>E15+E16+E17</f>
        <v>15330539.9</v>
      </c>
      <c r="F13" s="12"/>
      <c r="G13" s="12"/>
      <c r="H13" s="12"/>
    </row>
    <row r="14" spans="1:8" ht="20.399999999999999" customHeight="1">
      <c r="A14" s="13" t="s">
        <v>227</v>
      </c>
      <c r="B14" s="11"/>
      <c r="C14" s="12"/>
      <c r="D14" s="12"/>
      <c r="E14" s="12"/>
      <c r="F14" s="12"/>
      <c r="G14" s="12"/>
      <c r="H14" s="12"/>
    </row>
    <row r="15" spans="1:8">
      <c r="A15" s="13" t="s">
        <v>614</v>
      </c>
      <c r="B15" s="11" t="s">
        <v>237</v>
      </c>
      <c r="C15" s="12"/>
      <c r="D15" s="12">
        <f>D6</f>
        <v>15545679.709999999</v>
      </c>
      <c r="E15" s="290">
        <f>E6</f>
        <v>15330539.9</v>
      </c>
      <c r="F15" s="12"/>
      <c r="G15" s="12"/>
      <c r="H15" s="12"/>
    </row>
    <row r="16" spans="1:8">
      <c r="A16" s="13"/>
      <c r="B16" s="11"/>
      <c r="C16" s="12"/>
      <c r="D16" s="12"/>
      <c r="E16" s="12"/>
      <c r="F16" s="12"/>
      <c r="G16" s="12"/>
      <c r="H16" s="12"/>
    </row>
    <row r="17" spans="1:8">
      <c r="A17" s="13"/>
      <c r="B17" s="11"/>
      <c r="C17" s="12"/>
      <c r="D17" s="12"/>
      <c r="E17" s="12"/>
      <c r="F17" s="12"/>
      <c r="G17" s="12"/>
      <c r="H17" s="12"/>
    </row>
    <row r="18" spans="1:8" ht="19.2" customHeight="1">
      <c r="A18" s="10" t="s">
        <v>228</v>
      </c>
      <c r="B18" s="11" t="s">
        <v>229</v>
      </c>
      <c r="C18" s="21"/>
      <c r="D18" s="21">
        <v>22.5</v>
      </c>
      <c r="E18" s="21">
        <v>25</v>
      </c>
      <c r="F18" s="21"/>
      <c r="G18" s="15"/>
      <c r="H18" s="15"/>
    </row>
    <row r="19" spans="1:8">
      <c r="A19" s="13" t="s">
        <v>27</v>
      </c>
      <c r="B19" s="11"/>
      <c r="C19" s="16"/>
      <c r="D19" s="16"/>
      <c r="E19" s="16"/>
      <c r="F19" s="16"/>
      <c r="G19" s="16"/>
      <c r="H19" s="16"/>
    </row>
    <row r="20" spans="1:8" ht="30" customHeight="1">
      <c r="A20" s="13" t="s">
        <v>230</v>
      </c>
      <c r="B20" s="11" t="s">
        <v>229</v>
      </c>
      <c r="C20" s="22"/>
      <c r="D20" s="22">
        <v>2</v>
      </c>
      <c r="E20" s="22">
        <v>2</v>
      </c>
      <c r="F20" s="22"/>
      <c r="G20" s="22"/>
      <c r="H20" s="22"/>
    </row>
    <row r="21" spans="1:8" ht="30" customHeight="1">
      <c r="A21" s="13" t="s">
        <v>231</v>
      </c>
      <c r="B21" s="11" t="s">
        <v>229</v>
      </c>
      <c r="C21" s="22"/>
      <c r="D21" s="22">
        <f>D18-D20</f>
        <v>20.5</v>
      </c>
      <c r="E21" s="22">
        <v>23</v>
      </c>
      <c r="F21" s="22"/>
      <c r="G21" s="22"/>
      <c r="H21" s="22"/>
    </row>
    <row r="22" spans="1:8" ht="34.200000000000003" customHeight="1">
      <c r="A22" s="10" t="s">
        <v>232</v>
      </c>
      <c r="B22" s="11" t="s">
        <v>229</v>
      </c>
      <c r="C22" s="22"/>
      <c r="D22" s="22">
        <f>D18</f>
        <v>22.5</v>
      </c>
      <c r="E22" s="22">
        <v>25</v>
      </c>
      <c r="F22" s="22"/>
      <c r="G22" s="22"/>
      <c r="H22" s="22"/>
    </row>
    <row r="23" spans="1:8">
      <c r="A23" s="13" t="s">
        <v>27</v>
      </c>
      <c r="B23" s="11"/>
      <c r="C23" s="22"/>
      <c r="D23" s="22"/>
      <c r="E23" s="22"/>
      <c r="F23" s="22"/>
      <c r="G23" s="22"/>
      <c r="H23" s="22"/>
    </row>
    <row r="24" spans="1:8" ht="45.6" customHeight="1">
      <c r="A24" s="13" t="s">
        <v>233</v>
      </c>
      <c r="B24" s="11" t="s">
        <v>229</v>
      </c>
      <c r="C24" s="22"/>
      <c r="D24" s="22">
        <f>D20</f>
        <v>2</v>
      </c>
      <c r="E24" s="22">
        <v>2</v>
      </c>
      <c r="F24" s="22"/>
      <c r="G24" s="22"/>
      <c r="H24" s="22"/>
    </row>
    <row r="25" spans="1:8" ht="38.4" customHeight="1">
      <c r="A25" s="13" t="s">
        <v>234</v>
      </c>
      <c r="B25" s="11" t="s">
        <v>229</v>
      </c>
      <c r="C25" s="22"/>
      <c r="D25" s="22">
        <f>D21</f>
        <v>20.5</v>
      </c>
      <c r="E25" s="22">
        <v>23</v>
      </c>
      <c r="F25" s="22"/>
      <c r="G25" s="22"/>
      <c r="H25" s="22"/>
    </row>
    <row r="26" spans="1:8" ht="43.2" customHeight="1">
      <c r="A26" s="10" t="s">
        <v>235</v>
      </c>
      <c r="B26" s="11" t="s">
        <v>229</v>
      </c>
      <c r="C26" s="22"/>
      <c r="D26" s="22">
        <v>22.5</v>
      </c>
      <c r="E26" s="22">
        <v>25</v>
      </c>
      <c r="F26" s="22"/>
      <c r="G26" s="22"/>
      <c r="H26" s="22"/>
    </row>
    <row r="27" spans="1:8" ht="18" customHeight="1">
      <c r="A27" s="13" t="s">
        <v>227</v>
      </c>
      <c r="B27" s="11"/>
      <c r="C27" s="22"/>
      <c r="D27" s="22"/>
      <c r="E27" s="22"/>
      <c r="F27" s="22"/>
      <c r="G27" s="22"/>
      <c r="H27" s="22"/>
    </row>
    <row r="28" spans="1:8">
      <c r="A28" s="13" t="s">
        <v>614</v>
      </c>
      <c r="B28" s="11"/>
      <c r="C28" s="22"/>
      <c r="D28" s="22">
        <v>22.5</v>
      </c>
      <c r="E28" s="22">
        <v>25</v>
      </c>
      <c r="F28" s="22"/>
      <c r="G28" s="22"/>
      <c r="H28" s="22"/>
    </row>
    <row r="29" spans="1:8">
      <c r="A29" s="13" t="s">
        <v>272</v>
      </c>
      <c r="B29" s="11"/>
      <c r="C29" s="22"/>
      <c r="D29" s="22">
        <v>0</v>
      </c>
      <c r="E29" s="22"/>
      <c r="F29" s="22"/>
      <c r="G29" s="22"/>
      <c r="H29" s="22"/>
    </row>
    <row r="30" spans="1:8" ht="43.8" customHeight="1">
      <c r="A30" s="10" t="s">
        <v>236</v>
      </c>
      <c r="B30" s="11" t="s">
        <v>237</v>
      </c>
      <c r="C30" s="12"/>
      <c r="D30" s="130" t="s">
        <v>1058</v>
      </c>
      <c r="E30" s="130" t="s">
        <v>1058</v>
      </c>
      <c r="F30" s="130"/>
      <c r="G30" s="12"/>
      <c r="H30" s="12"/>
    </row>
    <row r="31" spans="1:8" ht="23.4" customHeight="1">
      <c r="A31" s="10" t="s">
        <v>238</v>
      </c>
      <c r="B31" s="11" t="s">
        <v>237</v>
      </c>
      <c r="C31" s="12"/>
      <c r="D31" s="130">
        <f>D32</f>
        <v>56500</v>
      </c>
      <c r="E31" s="130">
        <f>E32</f>
        <v>56500</v>
      </c>
      <c r="F31" s="130"/>
      <c r="G31" s="12"/>
      <c r="H31" s="12"/>
    </row>
    <row r="32" spans="1:8" ht="40.799999999999997" customHeight="1">
      <c r="A32" s="13" t="s">
        <v>239</v>
      </c>
      <c r="B32" s="11" t="s">
        <v>237</v>
      </c>
      <c r="C32" s="12"/>
      <c r="D32" s="130">
        <f>D33</f>
        <v>56500</v>
      </c>
      <c r="E32" s="130">
        <f>E33</f>
        <v>56500</v>
      </c>
      <c r="F32" s="130"/>
      <c r="G32" s="12"/>
      <c r="H32" s="12"/>
    </row>
    <row r="33" spans="1:8">
      <c r="A33" s="13" t="s">
        <v>614</v>
      </c>
      <c r="B33" s="11" t="s">
        <v>237</v>
      </c>
      <c r="C33" s="12"/>
      <c r="D33" s="12">
        <v>56500</v>
      </c>
      <c r="E33" s="12">
        <v>56500</v>
      </c>
      <c r="F33" s="12"/>
      <c r="G33" s="12"/>
      <c r="H33" s="12"/>
    </row>
    <row r="34" spans="1:8">
      <c r="A34" s="13"/>
      <c r="B34" s="11"/>
      <c r="C34" s="12"/>
      <c r="D34" s="12"/>
      <c r="E34" s="12"/>
      <c r="F34" s="12"/>
      <c r="G34" s="12"/>
      <c r="H34" s="12"/>
    </row>
    <row r="35" spans="1:8" ht="46.2" customHeight="1">
      <c r="A35" s="10" t="s">
        <v>240</v>
      </c>
      <c r="B35" s="11" t="s">
        <v>241</v>
      </c>
      <c r="C35" s="17"/>
      <c r="D35" s="17">
        <f>ROUND(((D9/D20/12)*100/(D11/D21/12)),)</f>
        <v>89</v>
      </c>
      <c r="E35" s="17">
        <f>ROUND(((E9/E20/12)*100/(E11/E21/12)),)</f>
        <v>157</v>
      </c>
      <c r="F35" s="17"/>
      <c r="G35" s="17"/>
      <c r="H35" s="17"/>
    </row>
    <row r="36" spans="1:8" ht="57.6" customHeight="1">
      <c r="A36" s="10" t="s">
        <v>242</v>
      </c>
      <c r="B36" s="11" t="s">
        <v>241</v>
      </c>
      <c r="C36" s="18"/>
      <c r="D36" s="18">
        <f>D38</f>
        <v>100</v>
      </c>
      <c r="E36" s="18">
        <f>E38</f>
        <v>100</v>
      </c>
      <c r="F36" s="18"/>
      <c r="G36" s="18" t="s">
        <v>21</v>
      </c>
      <c r="H36" s="18" t="s">
        <v>21</v>
      </c>
    </row>
    <row r="37" spans="1:8" ht="36" customHeight="1">
      <c r="A37" s="13" t="s">
        <v>239</v>
      </c>
      <c r="B37" s="11"/>
      <c r="C37" s="18"/>
      <c r="D37" s="18">
        <f>D38</f>
        <v>100</v>
      </c>
      <c r="E37" s="18">
        <f>E38</f>
        <v>100</v>
      </c>
      <c r="F37" s="18"/>
      <c r="G37" s="18"/>
      <c r="H37" s="18"/>
    </row>
    <row r="38" spans="1:8">
      <c r="A38" s="13" t="s">
        <v>614</v>
      </c>
      <c r="B38" s="11" t="s">
        <v>241</v>
      </c>
      <c r="C38" s="18"/>
      <c r="D38" s="18">
        <v>100</v>
      </c>
      <c r="E38" s="18">
        <v>100</v>
      </c>
      <c r="F38" s="18"/>
      <c r="G38" s="18"/>
      <c r="H38" s="18"/>
    </row>
    <row r="39" spans="1:8">
      <c r="A39" s="13" t="s">
        <v>272</v>
      </c>
      <c r="B39" s="11" t="s">
        <v>241</v>
      </c>
      <c r="C39" s="18"/>
      <c r="D39" s="18"/>
      <c r="E39" s="18"/>
      <c r="F39" s="18"/>
      <c r="G39" s="18"/>
      <c r="H39" s="18"/>
    </row>
    <row r="40" spans="1:8" ht="20.399999999999999" customHeight="1">
      <c r="A40" s="8" t="s">
        <v>243</v>
      </c>
      <c r="B40" s="9" t="s">
        <v>21</v>
      </c>
      <c r="C40" s="19"/>
      <c r="D40" s="19"/>
      <c r="E40" s="19"/>
      <c r="F40" s="19"/>
      <c r="G40" s="19" t="s">
        <v>21</v>
      </c>
      <c r="H40" s="19" t="s">
        <v>21</v>
      </c>
    </row>
    <row r="41" spans="1:8" ht="26.4">
      <c r="A41" s="10" t="s">
        <v>244</v>
      </c>
      <c r="B41" s="11" t="s">
        <v>245</v>
      </c>
      <c r="C41" s="18"/>
      <c r="D41" s="18"/>
      <c r="E41" s="18"/>
      <c r="F41" s="18"/>
      <c r="G41" s="18"/>
      <c r="H41" s="18"/>
    </row>
    <row r="42" spans="1:8">
      <c r="A42" s="13" t="s">
        <v>27</v>
      </c>
      <c r="B42" s="11"/>
      <c r="C42" s="18"/>
      <c r="D42" s="18"/>
      <c r="E42" s="18"/>
      <c r="F42" s="18"/>
      <c r="G42" s="18"/>
      <c r="H42" s="18"/>
    </row>
    <row r="43" spans="1:8" ht="22.2" customHeight="1">
      <c r="A43" s="13" t="s">
        <v>246</v>
      </c>
      <c r="B43" s="11" t="s">
        <v>245</v>
      </c>
      <c r="C43" s="18"/>
      <c r="D43" s="18"/>
      <c r="E43" s="18"/>
      <c r="F43" s="18"/>
      <c r="G43" s="18"/>
      <c r="H43" s="18"/>
    </row>
    <row r="44" spans="1:8" ht="33.6" customHeight="1">
      <c r="A44" s="13" t="s">
        <v>247</v>
      </c>
      <c r="B44" s="11" t="s">
        <v>245</v>
      </c>
      <c r="C44" s="18"/>
      <c r="D44" s="18"/>
      <c r="E44" s="18"/>
      <c r="F44" s="18"/>
      <c r="G44" s="18"/>
      <c r="H44" s="18"/>
    </row>
    <row r="45" spans="1:8">
      <c r="A45" s="13" t="s">
        <v>248</v>
      </c>
      <c r="B45" s="11" t="s">
        <v>245</v>
      </c>
      <c r="C45" s="18"/>
      <c r="D45" s="18"/>
      <c r="E45" s="18"/>
      <c r="F45" s="18"/>
      <c r="G45" s="18"/>
      <c r="H45" s="18"/>
    </row>
    <row r="46" spans="1:8">
      <c r="A46" s="10" t="s">
        <v>249</v>
      </c>
      <c r="B46" s="11" t="s">
        <v>222</v>
      </c>
      <c r="C46" s="17"/>
      <c r="D46" s="17"/>
      <c r="E46" s="17"/>
      <c r="F46" s="17"/>
      <c r="G46" s="20"/>
      <c r="H46" s="20"/>
    </row>
    <row r="47" spans="1:8">
      <c r="A47" s="13" t="s">
        <v>27</v>
      </c>
      <c r="B47" s="11"/>
      <c r="C47" s="18"/>
      <c r="D47" s="18"/>
      <c r="E47" s="18"/>
      <c r="F47" s="18"/>
      <c r="G47" s="18"/>
      <c r="H47" s="18"/>
    </row>
    <row r="48" spans="1:8" ht="42" customHeight="1">
      <c r="A48" s="13" t="s">
        <v>250</v>
      </c>
      <c r="B48" s="11" t="s">
        <v>222</v>
      </c>
      <c r="C48" s="18"/>
      <c r="D48" s="18"/>
      <c r="E48" s="18"/>
      <c r="F48" s="18"/>
      <c r="G48" s="18"/>
      <c r="H48" s="18"/>
    </row>
    <row r="49" spans="1:8" ht="43.8" customHeight="1">
      <c r="A49" s="10" t="s">
        <v>251</v>
      </c>
      <c r="B49" s="11" t="s">
        <v>252</v>
      </c>
      <c r="C49" s="18"/>
      <c r="D49" s="18"/>
      <c r="E49" s="18"/>
      <c r="F49" s="18"/>
      <c r="G49" s="18"/>
      <c r="H49" s="18"/>
    </row>
    <row r="50" spans="1:8" ht="57" customHeight="1">
      <c r="A50" s="10" t="s">
        <v>253</v>
      </c>
      <c r="B50" s="11" t="s">
        <v>252</v>
      </c>
      <c r="C50" s="18"/>
      <c r="D50" s="18"/>
      <c r="E50" s="18"/>
      <c r="F50" s="18"/>
      <c r="G50" s="18"/>
      <c r="H50" s="18"/>
    </row>
    <row r="51" spans="1:8" ht="69" customHeight="1">
      <c r="A51" s="10" t="s">
        <v>254</v>
      </c>
      <c r="B51" s="11" t="s">
        <v>252</v>
      </c>
      <c r="C51" s="18"/>
      <c r="D51" s="18"/>
      <c r="E51" s="18"/>
      <c r="F51" s="18"/>
      <c r="G51" s="18"/>
      <c r="H51" s="18"/>
    </row>
    <row r="52" spans="1:8">
      <c r="A52" s="13" t="s">
        <v>27</v>
      </c>
      <c r="B52" s="11"/>
      <c r="C52" s="18"/>
      <c r="D52" s="18"/>
      <c r="E52" s="18"/>
      <c r="F52" s="18"/>
      <c r="G52" s="18"/>
      <c r="H52" s="18"/>
    </row>
    <row r="53" spans="1:8">
      <c r="A53" s="13" t="s">
        <v>272</v>
      </c>
      <c r="B53" s="11"/>
      <c r="C53" s="11"/>
      <c r="D53" s="11"/>
      <c r="E53" s="11"/>
      <c r="F53" s="11"/>
      <c r="G53" s="11"/>
      <c r="H53" s="11"/>
    </row>
    <row r="54" spans="1:8">
      <c r="A54" s="45"/>
      <c r="B54" s="46"/>
      <c r="C54" s="46"/>
      <c r="D54" s="46"/>
      <c r="E54" s="46"/>
      <c r="F54" s="46"/>
      <c r="G54" s="46"/>
      <c r="H54" s="46"/>
    </row>
    <row r="55" spans="1:8">
      <c r="A55" s="23"/>
      <c r="B55" s="23"/>
      <c r="C55" s="23"/>
      <c r="D55" s="23"/>
      <c r="E55" s="23"/>
      <c r="F55" s="23"/>
      <c r="G55" s="23"/>
      <c r="H55" s="23"/>
    </row>
  </sheetData>
  <mergeCells count="1">
    <mergeCell ref="A1:H2"/>
  </mergeCells>
  <pageMargins left="0.70866141732283472" right="0.70866141732283472" top="0.39370078740157483" bottom="0.39370078740157483" header="0.31496062992125984" footer="0.31496062992125984"/>
  <pageSetup paperSize="9" scale="90" fitToHeight="3" orientation="landscape" blackAndWhite="1" r:id="rId1"/>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F31"/>
  <sheetViews>
    <sheetView view="pageBreakPreview" topLeftCell="A4" zoomScaleSheetLayoutView="100" workbookViewId="0">
      <selection activeCell="I27" sqref="I27"/>
    </sheetView>
  </sheetViews>
  <sheetFormatPr defaultRowHeight="13.2"/>
  <cols>
    <col min="1" max="1" width="35.109375" customWidth="1"/>
    <col min="2" max="2" width="18.5546875" customWidth="1"/>
    <col min="3" max="3" width="27" customWidth="1"/>
    <col min="4" max="4" width="22" customWidth="1"/>
    <col min="5" max="5" width="14.33203125" customWidth="1"/>
    <col min="6" max="6" width="12.109375" customWidth="1"/>
  </cols>
  <sheetData>
    <row r="1" spans="1:6">
      <c r="A1" s="750" t="s">
        <v>320</v>
      </c>
      <c r="B1" s="750"/>
      <c r="C1" s="750"/>
      <c r="D1" s="750"/>
    </row>
    <row r="2" spans="1:6">
      <c r="A2" s="751"/>
      <c r="B2" s="751"/>
      <c r="C2" s="751"/>
      <c r="D2" s="751"/>
    </row>
    <row r="3" spans="1:6">
      <c r="A3" s="751" t="s">
        <v>1119</v>
      </c>
      <c r="B3" s="758"/>
      <c r="C3" s="758"/>
      <c r="D3" s="758"/>
    </row>
    <row r="4" spans="1:6">
      <c r="A4" s="42"/>
      <c r="B4" s="42"/>
      <c r="C4" s="42"/>
      <c r="D4" s="42"/>
    </row>
    <row r="5" spans="1:6" ht="65.25" customHeight="1">
      <c r="A5" s="24" t="s">
        <v>255</v>
      </c>
      <c r="B5" s="24" t="s">
        <v>256</v>
      </c>
      <c r="C5" s="24" t="s">
        <v>257</v>
      </c>
      <c r="D5" s="24" t="s">
        <v>258</v>
      </c>
    </row>
    <row r="6" spans="1:6" ht="39.6">
      <c r="A6" s="25" t="s">
        <v>321</v>
      </c>
      <c r="B6" s="191" t="s">
        <v>1025</v>
      </c>
      <c r="C6" s="24" t="s">
        <v>885</v>
      </c>
      <c r="D6" s="213">
        <v>94.89</v>
      </c>
      <c r="E6" t="s">
        <v>884</v>
      </c>
      <c r="F6">
        <f>12000+5500</f>
        <v>17500</v>
      </c>
    </row>
    <row r="7" spans="1:6" ht="39.6">
      <c r="A7" s="25" t="s">
        <v>259</v>
      </c>
      <c r="B7" s="51"/>
      <c r="C7" s="51"/>
      <c r="D7" s="192"/>
      <c r="E7" t="s">
        <v>1048</v>
      </c>
      <c r="F7">
        <v>10000</v>
      </c>
    </row>
    <row r="8" spans="1:6" ht="33.6" customHeight="1">
      <c r="A8" s="25" t="s">
        <v>260</v>
      </c>
      <c r="B8" s="51"/>
      <c r="C8" s="52"/>
      <c r="D8" s="192"/>
      <c r="E8" t="s">
        <v>1047</v>
      </c>
      <c r="F8">
        <v>37000</v>
      </c>
    </row>
    <row r="9" spans="1:6" ht="26.4">
      <c r="A9" s="25" t="s">
        <v>261</v>
      </c>
      <c r="B9" s="51"/>
      <c r="C9" s="51"/>
      <c r="D9" s="192"/>
      <c r="E9" t="s">
        <v>979</v>
      </c>
      <c r="F9">
        <v>30390</v>
      </c>
    </row>
    <row r="10" spans="1:6">
      <c r="A10" s="27" t="s">
        <v>262</v>
      </c>
      <c r="B10" s="28" t="s">
        <v>21</v>
      </c>
      <c r="C10" s="28" t="s">
        <v>21</v>
      </c>
      <c r="D10" s="214">
        <f>D9+D8+D7+D6</f>
        <v>94.89</v>
      </c>
      <c r="F10">
        <f>SUM(F6:F9)</f>
        <v>94890</v>
      </c>
    </row>
    <row r="11" spans="1:6">
      <c r="A11" s="26"/>
      <c r="B11" s="26"/>
      <c r="C11" s="26"/>
      <c r="D11" s="26"/>
    </row>
    <row r="13" spans="1:6" ht="13.8">
      <c r="A13" s="47" t="s">
        <v>1116</v>
      </c>
      <c r="B13" s="48"/>
      <c r="C13" s="47"/>
      <c r="D13" s="50" t="s">
        <v>1117</v>
      </c>
    </row>
    <row r="14" spans="1:6" ht="13.8">
      <c r="A14" s="47"/>
      <c r="B14" s="129" t="s">
        <v>17</v>
      </c>
      <c r="C14" s="26"/>
      <c r="D14" s="129" t="s">
        <v>18</v>
      </c>
    </row>
    <row r="15" spans="1:6" ht="13.8">
      <c r="A15" s="47"/>
      <c r="B15" s="47"/>
      <c r="C15" s="47"/>
      <c r="D15" s="47"/>
    </row>
    <row r="16" spans="1:6" ht="13.8">
      <c r="A16" s="47" t="s">
        <v>181</v>
      </c>
      <c r="B16" s="48"/>
      <c r="C16" s="47"/>
      <c r="D16" s="50" t="s">
        <v>1118</v>
      </c>
    </row>
    <row r="17" spans="1:4" ht="13.8">
      <c r="A17" s="47"/>
      <c r="B17" s="129" t="s">
        <v>17</v>
      </c>
      <c r="C17" s="26"/>
      <c r="D17" s="129" t="s">
        <v>18</v>
      </c>
    </row>
    <row r="18" spans="1:4" ht="13.8">
      <c r="A18" s="48" t="s">
        <v>380</v>
      </c>
      <c r="B18" s="47"/>
      <c r="C18" s="47"/>
      <c r="D18" s="47"/>
    </row>
    <row r="19" spans="1:4" ht="13.8">
      <c r="A19" s="49"/>
      <c r="B19" s="47"/>
      <c r="C19" s="47"/>
      <c r="D19" s="47"/>
    </row>
    <row r="20" spans="1:4" ht="13.8">
      <c r="A20" s="193">
        <v>44284</v>
      </c>
      <c r="B20" s="47"/>
      <c r="C20" s="47"/>
      <c r="D20" s="47"/>
    </row>
    <row r="21" spans="1:4">
      <c r="A21" s="26"/>
      <c r="B21" s="26"/>
      <c r="C21" s="26"/>
      <c r="D21" s="26"/>
    </row>
    <row r="22" spans="1:4">
      <c r="A22" s="32" t="s">
        <v>263</v>
      </c>
      <c r="B22" s="33"/>
      <c r="C22" s="34"/>
      <c r="D22" s="26"/>
    </row>
    <row r="23" spans="1:4">
      <c r="A23" s="38"/>
      <c r="B23" s="30"/>
      <c r="C23" s="39"/>
      <c r="D23" s="26"/>
    </row>
    <row r="24" spans="1:4">
      <c r="A24" s="752" t="s">
        <v>970</v>
      </c>
      <c r="B24" s="659"/>
      <c r="C24" s="660"/>
      <c r="D24" s="26"/>
    </row>
    <row r="25" spans="1:4" ht="23.25" customHeight="1">
      <c r="A25" s="753" t="s">
        <v>322</v>
      </c>
      <c r="B25" s="754"/>
      <c r="C25" s="755"/>
      <c r="D25" s="26"/>
    </row>
    <row r="26" spans="1:4">
      <c r="A26" s="35"/>
      <c r="B26" s="36"/>
      <c r="C26" s="37"/>
      <c r="D26" s="26"/>
    </row>
    <row r="27" spans="1:4">
      <c r="A27" s="53" t="s">
        <v>323</v>
      </c>
      <c r="B27" s="756" t="s">
        <v>967</v>
      </c>
      <c r="C27" s="757"/>
      <c r="D27" s="31"/>
    </row>
    <row r="28" spans="1:4">
      <c r="A28" s="54" t="s">
        <v>17</v>
      </c>
      <c r="B28" s="748" t="s">
        <v>18</v>
      </c>
      <c r="C28" s="749"/>
      <c r="D28" s="26"/>
    </row>
    <row r="29" spans="1:4">
      <c r="A29" s="38"/>
      <c r="B29" s="30"/>
      <c r="C29" s="39"/>
      <c r="D29" s="26"/>
    </row>
    <row r="30" spans="1:4">
      <c r="A30" s="41"/>
      <c r="B30" s="29"/>
      <c r="C30" s="40"/>
      <c r="D30" s="26"/>
    </row>
    <row r="31" spans="1:4">
      <c r="A31" s="26"/>
      <c r="B31" s="26"/>
      <c r="C31" s="26"/>
      <c r="D31" s="26"/>
    </row>
  </sheetData>
  <mergeCells count="6">
    <mergeCell ref="B28:C28"/>
    <mergeCell ref="A1:D2"/>
    <mergeCell ref="A24:C24"/>
    <mergeCell ref="A25:C25"/>
    <mergeCell ref="B27:C27"/>
    <mergeCell ref="A3:D3"/>
  </mergeCells>
  <pageMargins left="0.70866141732283472" right="0.70866141732283472" top="0.74803149606299213" bottom="0.74803149606299213" header="0.31496062992125984" footer="0.31496062992125984"/>
  <pageSetup paperSize="9" scale="86" orientation="portrait" blackAndWhite="1" r:id="rId1"/>
</worksheet>
</file>

<file path=xl/worksheets/sheet6.xml><?xml version="1.0" encoding="utf-8"?>
<worksheet xmlns="http://schemas.openxmlformats.org/spreadsheetml/2006/main" xmlns:r="http://schemas.openxmlformats.org/officeDocument/2006/relationships">
  <sheetPr>
    <tabColor theme="9" tint="0.39997558519241921"/>
  </sheetPr>
  <dimension ref="A1:Y24"/>
  <sheetViews>
    <sheetView view="pageBreakPreview" topLeftCell="A4" zoomScale="85" zoomScaleSheetLayoutView="85" workbookViewId="0">
      <selection activeCell="Q25" sqref="Q25"/>
    </sheetView>
  </sheetViews>
  <sheetFormatPr defaultRowHeight="13.2"/>
  <cols>
    <col min="1" max="11" width="3.88671875" customWidth="1"/>
    <col min="12" max="12" width="2.33203125" customWidth="1"/>
    <col min="13" max="13" width="1.77734375" hidden="1" customWidth="1"/>
    <col min="14" max="14" width="13" customWidth="1"/>
    <col min="15" max="15" width="14.44140625" customWidth="1"/>
    <col min="16" max="20" width="12.6640625" customWidth="1"/>
    <col min="21" max="23" width="16.44140625" customWidth="1"/>
    <col min="25" max="25" width="23.5546875" customWidth="1"/>
  </cols>
  <sheetData>
    <row r="1" spans="1:25" s="766" customFormat="1"/>
    <row r="2" spans="1:25" ht="13.8">
      <c r="A2" s="775" t="s">
        <v>339</v>
      </c>
      <c r="B2" s="776"/>
      <c r="C2" s="776"/>
      <c r="D2" s="776"/>
      <c r="E2" s="776"/>
      <c r="F2" s="776"/>
      <c r="G2" s="776"/>
      <c r="H2" s="776"/>
      <c r="I2" s="776"/>
      <c r="J2" s="776"/>
      <c r="K2" s="776"/>
      <c r="L2" s="776"/>
      <c r="M2" s="776"/>
      <c r="N2" s="776"/>
      <c r="O2" s="776"/>
      <c r="P2" s="776"/>
      <c r="Q2" s="776"/>
      <c r="R2" s="776"/>
      <c r="S2" s="776"/>
      <c r="T2" s="776"/>
      <c r="U2" s="776"/>
      <c r="V2" s="776"/>
      <c r="W2" s="776"/>
    </row>
    <row r="3" spans="1:25" ht="29.25" customHeight="1">
      <c r="A3" s="777" t="s">
        <v>338</v>
      </c>
      <c r="B3" s="777"/>
      <c r="C3" s="777"/>
      <c r="D3" s="777"/>
      <c r="E3" s="777"/>
      <c r="F3" s="777"/>
      <c r="G3" s="777"/>
      <c r="H3" s="777"/>
      <c r="I3" s="777"/>
      <c r="J3" s="777"/>
      <c r="K3" s="777"/>
      <c r="L3" s="777"/>
      <c r="M3" s="777"/>
      <c r="N3" s="778" t="s">
        <v>1</v>
      </c>
      <c r="O3" s="780" t="s">
        <v>337</v>
      </c>
      <c r="P3" s="781"/>
      <c r="Q3" s="781"/>
      <c r="R3" s="780" t="s">
        <v>336</v>
      </c>
      <c r="S3" s="781"/>
      <c r="T3" s="781"/>
      <c r="U3" s="780" t="s">
        <v>335</v>
      </c>
      <c r="V3" s="781"/>
      <c r="W3" s="782"/>
    </row>
    <row r="4" spans="1:25" ht="78" customHeight="1">
      <c r="A4" s="777"/>
      <c r="B4" s="777"/>
      <c r="C4" s="777"/>
      <c r="D4" s="777"/>
      <c r="E4" s="777"/>
      <c r="F4" s="777"/>
      <c r="G4" s="777"/>
      <c r="H4" s="777"/>
      <c r="I4" s="777"/>
      <c r="J4" s="777"/>
      <c r="K4" s="777"/>
      <c r="L4" s="777"/>
      <c r="M4" s="777"/>
      <c r="N4" s="779"/>
      <c r="O4" s="283" t="s">
        <v>1129</v>
      </c>
      <c r="P4" s="283" t="s">
        <v>1060</v>
      </c>
      <c r="Q4" s="283" t="s">
        <v>1061</v>
      </c>
      <c r="R4" s="283" t="s">
        <v>1129</v>
      </c>
      <c r="S4" s="283" t="s">
        <v>1060</v>
      </c>
      <c r="T4" s="283" t="s">
        <v>1061</v>
      </c>
      <c r="U4" s="283" t="s">
        <v>1129</v>
      </c>
      <c r="V4" s="283" t="s">
        <v>1060</v>
      </c>
      <c r="W4" s="282" t="s">
        <v>1061</v>
      </c>
    </row>
    <row r="5" spans="1:25" ht="14.4" thickBot="1">
      <c r="A5" s="773">
        <v>1</v>
      </c>
      <c r="B5" s="773"/>
      <c r="C5" s="773"/>
      <c r="D5" s="773"/>
      <c r="E5" s="773"/>
      <c r="F5" s="773"/>
      <c r="G5" s="773"/>
      <c r="H5" s="773"/>
      <c r="I5" s="773"/>
      <c r="J5" s="773"/>
      <c r="K5" s="773"/>
      <c r="L5" s="773"/>
      <c r="M5" s="773"/>
      <c r="N5" s="61">
        <v>2</v>
      </c>
      <c r="O5" s="62">
        <v>3</v>
      </c>
      <c r="P5" s="62">
        <v>4</v>
      </c>
      <c r="Q5" s="62">
        <v>5</v>
      </c>
      <c r="R5" s="62">
        <v>6</v>
      </c>
      <c r="S5" s="62">
        <v>7</v>
      </c>
      <c r="T5" s="62">
        <v>8</v>
      </c>
      <c r="U5" s="62">
        <v>9</v>
      </c>
      <c r="V5" s="62">
        <v>10</v>
      </c>
      <c r="W5" s="63">
        <v>11</v>
      </c>
    </row>
    <row r="6" spans="1:25" ht="18.600000000000001" customHeight="1">
      <c r="A6" s="768" t="s">
        <v>1126</v>
      </c>
      <c r="B6" s="769"/>
      <c r="C6" s="769"/>
      <c r="D6" s="769"/>
      <c r="E6" s="769"/>
      <c r="F6" s="769"/>
      <c r="G6" s="769"/>
      <c r="H6" s="769"/>
      <c r="I6" s="769"/>
      <c r="J6" s="769"/>
      <c r="K6" s="769"/>
      <c r="L6" s="769"/>
      <c r="M6" s="769"/>
      <c r="N6" s="263" t="s">
        <v>20</v>
      </c>
      <c r="O6" s="258">
        <v>82040.429999999993</v>
      </c>
      <c r="P6" s="258"/>
      <c r="Q6" s="258"/>
      <c r="R6" s="272">
        <v>107</v>
      </c>
      <c r="S6" s="272"/>
      <c r="T6" s="272"/>
      <c r="U6" s="264">
        <f t="shared" ref="U6:U14" si="0">O6*R6</f>
        <v>8778326.0099999998</v>
      </c>
      <c r="V6" s="264">
        <f t="shared" ref="V6:V14" si="1">P6*S6</f>
        <v>0</v>
      </c>
      <c r="W6" s="265">
        <f t="shared" ref="W6:W14" si="2">Q6*T6</f>
        <v>0</v>
      </c>
    </row>
    <row r="7" spans="1:25" ht="52.8" customHeight="1">
      <c r="A7" s="770" t="s">
        <v>1127</v>
      </c>
      <c r="B7" s="770"/>
      <c r="C7" s="770"/>
      <c r="D7" s="770"/>
      <c r="E7" s="770"/>
      <c r="F7" s="770"/>
      <c r="G7" s="770"/>
      <c r="H7" s="770"/>
      <c r="I7" s="770"/>
      <c r="J7" s="770"/>
      <c r="K7" s="770"/>
      <c r="L7" s="770"/>
      <c r="M7" s="768"/>
      <c r="N7" s="266" t="s">
        <v>22</v>
      </c>
      <c r="O7" s="60">
        <v>1093705.48</v>
      </c>
      <c r="P7" s="60"/>
      <c r="Q7" s="60"/>
      <c r="R7" s="59">
        <v>14</v>
      </c>
      <c r="S7" s="59"/>
      <c r="T7" s="59"/>
      <c r="U7" s="64">
        <f t="shared" si="0"/>
        <v>15311876.719999999</v>
      </c>
      <c r="V7" s="64">
        <f t="shared" si="1"/>
        <v>0</v>
      </c>
      <c r="W7" s="267">
        <f t="shared" si="2"/>
        <v>0</v>
      </c>
      <c r="Y7">
        <v>24635202.949999999</v>
      </c>
    </row>
    <row r="8" spans="1:25" ht="37.200000000000003" customHeight="1">
      <c r="A8" s="768" t="s">
        <v>1128</v>
      </c>
      <c r="B8" s="769"/>
      <c r="C8" s="769"/>
      <c r="D8" s="769"/>
      <c r="E8" s="769"/>
      <c r="F8" s="769"/>
      <c r="G8" s="769"/>
      <c r="H8" s="769"/>
      <c r="I8" s="769"/>
      <c r="J8" s="769"/>
      <c r="K8" s="769"/>
      <c r="L8" s="769"/>
      <c r="M8" s="769"/>
      <c r="N8" s="266" t="s">
        <v>334</v>
      </c>
      <c r="O8" s="60">
        <v>545000.22</v>
      </c>
      <c r="P8" s="60"/>
      <c r="Q8" s="60"/>
      <c r="R8" s="59">
        <v>1</v>
      </c>
      <c r="S8" s="59"/>
      <c r="T8" s="59"/>
      <c r="U8" s="64">
        <f t="shared" si="0"/>
        <v>545000.22</v>
      </c>
      <c r="V8" s="64">
        <f t="shared" si="1"/>
        <v>0</v>
      </c>
      <c r="W8" s="267">
        <f t="shared" si="2"/>
        <v>0</v>
      </c>
    </row>
    <row r="9" spans="1:25" ht="13.8">
      <c r="A9" s="770"/>
      <c r="B9" s="770"/>
      <c r="C9" s="770"/>
      <c r="D9" s="770"/>
      <c r="E9" s="770"/>
      <c r="F9" s="770"/>
      <c r="G9" s="770"/>
      <c r="H9" s="770"/>
      <c r="I9" s="770"/>
      <c r="J9" s="770"/>
      <c r="K9" s="770"/>
      <c r="L9" s="770"/>
      <c r="M9" s="768"/>
      <c r="N9" s="266" t="s">
        <v>333</v>
      </c>
      <c r="O9" s="60"/>
      <c r="P9" s="60"/>
      <c r="Q9" s="60"/>
      <c r="R9" s="59"/>
      <c r="S9" s="59"/>
      <c r="T9" s="59"/>
      <c r="U9" s="64">
        <f t="shared" si="0"/>
        <v>0</v>
      </c>
      <c r="V9" s="64">
        <f t="shared" si="1"/>
        <v>0</v>
      </c>
      <c r="W9" s="267">
        <f t="shared" si="2"/>
        <v>0</v>
      </c>
    </row>
    <row r="10" spans="1:25" ht="13.8">
      <c r="A10" s="768"/>
      <c r="B10" s="769"/>
      <c r="C10" s="769"/>
      <c r="D10" s="769"/>
      <c r="E10" s="769"/>
      <c r="F10" s="769"/>
      <c r="G10" s="769"/>
      <c r="H10" s="769"/>
      <c r="I10" s="769"/>
      <c r="J10" s="769"/>
      <c r="K10" s="769"/>
      <c r="L10" s="769"/>
      <c r="M10" s="769"/>
      <c r="N10" s="266" t="s">
        <v>332</v>
      </c>
      <c r="O10" s="60"/>
      <c r="P10" s="60"/>
      <c r="Q10" s="60"/>
      <c r="R10" s="59"/>
      <c r="S10" s="59"/>
      <c r="T10" s="59"/>
      <c r="U10" s="64">
        <f t="shared" si="0"/>
        <v>0</v>
      </c>
      <c r="V10" s="64">
        <f t="shared" si="1"/>
        <v>0</v>
      </c>
      <c r="W10" s="267">
        <f t="shared" si="2"/>
        <v>0</v>
      </c>
    </row>
    <row r="11" spans="1:25" ht="13.8">
      <c r="A11" s="770"/>
      <c r="B11" s="770"/>
      <c r="C11" s="770"/>
      <c r="D11" s="770"/>
      <c r="E11" s="770"/>
      <c r="F11" s="770"/>
      <c r="G11" s="770"/>
      <c r="H11" s="770"/>
      <c r="I11" s="770"/>
      <c r="J11" s="770"/>
      <c r="K11" s="770"/>
      <c r="L11" s="770"/>
      <c r="M11" s="768"/>
      <c r="N11" s="266" t="s">
        <v>331</v>
      </c>
      <c r="O11" s="60"/>
      <c r="P11" s="60"/>
      <c r="Q11" s="60"/>
      <c r="R11" s="59"/>
      <c r="S11" s="59"/>
      <c r="T11" s="59"/>
      <c r="U11" s="64">
        <f t="shared" si="0"/>
        <v>0</v>
      </c>
      <c r="V11" s="64">
        <f t="shared" si="1"/>
        <v>0</v>
      </c>
      <c r="W11" s="267">
        <f t="shared" si="2"/>
        <v>0</v>
      </c>
    </row>
    <row r="12" spans="1:25" ht="13.8">
      <c r="A12" s="768"/>
      <c r="B12" s="769"/>
      <c r="C12" s="769"/>
      <c r="D12" s="769"/>
      <c r="E12" s="769"/>
      <c r="F12" s="769"/>
      <c r="G12" s="769"/>
      <c r="H12" s="769"/>
      <c r="I12" s="769"/>
      <c r="J12" s="769"/>
      <c r="K12" s="769"/>
      <c r="L12" s="769"/>
      <c r="M12" s="769"/>
      <c r="N12" s="266" t="s">
        <v>330</v>
      </c>
      <c r="O12" s="60"/>
      <c r="P12" s="60"/>
      <c r="Q12" s="60"/>
      <c r="R12" s="59"/>
      <c r="S12" s="59"/>
      <c r="T12" s="59"/>
      <c r="U12" s="64">
        <f t="shared" si="0"/>
        <v>0</v>
      </c>
      <c r="V12" s="64">
        <f t="shared" si="1"/>
        <v>0</v>
      </c>
      <c r="W12" s="267">
        <f t="shared" si="2"/>
        <v>0</v>
      </c>
      <c r="Y12" t="e">
        <f>Y7/P6</f>
        <v>#DIV/0!</v>
      </c>
    </row>
    <row r="13" spans="1:25" ht="13.8">
      <c r="A13" s="773"/>
      <c r="B13" s="773"/>
      <c r="C13" s="773"/>
      <c r="D13" s="773"/>
      <c r="E13" s="773"/>
      <c r="F13" s="773"/>
      <c r="G13" s="773"/>
      <c r="H13" s="773"/>
      <c r="I13" s="773"/>
      <c r="J13" s="773"/>
      <c r="K13" s="773"/>
      <c r="L13" s="773"/>
      <c r="M13" s="774"/>
      <c r="N13" s="266" t="s">
        <v>329</v>
      </c>
      <c r="O13" s="60"/>
      <c r="P13" s="60"/>
      <c r="Q13" s="60"/>
      <c r="R13" s="59"/>
      <c r="S13" s="59"/>
      <c r="T13" s="59"/>
      <c r="U13" s="64">
        <f t="shared" si="0"/>
        <v>0</v>
      </c>
      <c r="V13" s="64">
        <f t="shared" si="1"/>
        <v>0</v>
      </c>
      <c r="W13" s="267">
        <f t="shared" si="2"/>
        <v>0</v>
      </c>
    </row>
    <row r="14" spans="1:25" ht="13.8">
      <c r="A14" s="773"/>
      <c r="B14" s="773"/>
      <c r="C14" s="773"/>
      <c r="D14" s="773"/>
      <c r="E14" s="773"/>
      <c r="F14" s="773"/>
      <c r="G14" s="773"/>
      <c r="H14" s="773"/>
      <c r="I14" s="773"/>
      <c r="J14" s="773"/>
      <c r="K14" s="773"/>
      <c r="L14" s="773"/>
      <c r="M14" s="774"/>
      <c r="N14" s="266" t="s">
        <v>328</v>
      </c>
      <c r="O14" s="59"/>
      <c r="P14" s="59"/>
      <c r="Q14" s="59"/>
      <c r="R14" s="59"/>
      <c r="S14" s="59"/>
      <c r="T14" s="59"/>
      <c r="U14" s="64">
        <f t="shared" si="0"/>
        <v>0</v>
      </c>
      <c r="V14" s="64">
        <f t="shared" si="1"/>
        <v>0</v>
      </c>
      <c r="W14" s="267">
        <f t="shared" si="2"/>
        <v>0</v>
      </c>
    </row>
    <row r="15" spans="1:25" ht="14.4" thickBot="1">
      <c r="A15" s="771" t="s">
        <v>327</v>
      </c>
      <c r="B15" s="772"/>
      <c r="C15" s="772"/>
      <c r="D15" s="772"/>
      <c r="E15" s="772"/>
      <c r="F15" s="772"/>
      <c r="G15" s="772"/>
      <c r="H15" s="772"/>
      <c r="I15" s="772"/>
      <c r="J15" s="772"/>
      <c r="K15" s="772"/>
      <c r="L15" s="772"/>
      <c r="M15" s="772"/>
      <c r="N15" s="65">
        <v>9000</v>
      </c>
      <c r="O15" s="66" t="s">
        <v>21</v>
      </c>
      <c r="P15" s="66" t="s">
        <v>21</v>
      </c>
      <c r="Q15" s="66" t="s">
        <v>21</v>
      </c>
      <c r="R15" s="66" t="s">
        <v>21</v>
      </c>
      <c r="S15" s="66" t="s">
        <v>21</v>
      </c>
      <c r="T15" s="66" t="s">
        <v>21</v>
      </c>
      <c r="U15" s="67">
        <f>SUM(U6:U14)</f>
        <v>24635202.949999996</v>
      </c>
      <c r="V15" s="67">
        <f>SUM(V6:V14)</f>
        <v>0</v>
      </c>
      <c r="W15" s="273">
        <f>SUM(W6:W14)</f>
        <v>0</v>
      </c>
    </row>
    <row r="17" spans="1:23" ht="13.8">
      <c r="A17" s="767" t="s">
        <v>340</v>
      </c>
      <c r="B17" s="767"/>
      <c r="C17" s="767"/>
      <c r="D17" s="767"/>
      <c r="E17" s="767"/>
      <c r="F17" s="767"/>
      <c r="G17" s="767"/>
      <c r="H17" s="767"/>
      <c r="I17" s="767"/>
      <c r="J17" s="767"/>
      <c r="K17" s="767"/>
      <c r="L17" s="767"/>
      <c r="M17" s="767"/>
      <c r="N17" s="767"/>
      <c r="O17" s="767"/>
      <c r="P17" s="767"/>
      <c r="Q17" s="767"/>
      <c r="R17" s="767"/>
      <c r="S17" s="767"/>
      <c r="T17" s="767"/>
      <c r="U17" s="767"/>
      <c r="V17" s="767"/>
      <c r="W17" s="767"/>
    </row>
    <row r="18" spans="1:23" ht="13.8">
      <c r="A18" s="58"/>
      <c r="B18" s="58"/>
      <c r="C18" s="58"/>
      <c r="D18" s="58"/>
      <c r="E18" s="58"/>
      <c r="F18" s="58"/>
      <c r="G18" s="58"/>
      <c r="H18" s="58"/>
      <c r="I18" s="58"/>
      <c r="J18" s="58"/>
      <c r="K18" s="58"/>
      <c r="L18" s="58"/>
      <c r="M18" s="58"/>
      <c r="N18" s="58"/>
      <c r="O18" s="58"/>
      <c r="P18" s="58"/>
      <c r="Q18" s="58"/>
      <c r="R18" s="58"/>
      <c r="S18" s="58"/>
      <c r="T18" s="58"/>
      <c r="U18" s="58"/>
      <c r="V18" s="58"/>
      <c r="W18" s="58"/>
    </row>
    <row r="19" spans="1:23" ht="13.8">
      <c r="A19" s="759" t="s">
        <v>326</v>
      </c>
      <c r="B19" s="759"/>
      <c r="C19" s="759"/>
      <c r="D19" s="759"/>
      <c r="E19" s="759"/>
      <c r="F19" s="759" t="s">
        <v>325</v>
      </c>
      <c r="G19" s="759"/>
      <c r="H19" s="759"/>
      <c r="I19" s="759"/>
      <c r="J19" s="759"/>
      <c r="K19" s="759"/>
      <c r="L19" s="759"/>
      <c r="M19" s="759"/>
      <c r="N19" s="759" t="s">
        <v>324</v>
      </c>
      <c r="O19" s="759"/>
      <c r="P19" s="759"/>
      <c r="Q19" s="759"/>
      <c r="R19" s="759"/>
      <c r="S19" s="57"/>
      <c r="T19" s="57"/>
      <c r="U19" s="57"/>
      <c r="V19" s="57"/>
      <c r="W19" s="57"/>
    </row>
    <row r="20" spans="1:23" ht="13.8">
      <c r="A20" s="760">
        <v>1</v>
      </c>
      <c r="B20" s="760"/>
      <c r="C20" s="760"/>
      <c r="D20" s="760"/>
      <c r="E20" s="760"/>
      <c r="F20" s="760">
        <v>2</v>
      </c>
      <c r="G20" s="760"/>
      <c r="H20" s="760"/>
      <c r="I20" s="760"/>
      <c r="J20" s="760"/>
      <c r="K20" s="760"/>
      <c r="L20" s="760"/>
      <c r="M20" s="760"/>
      <c r="N20" s="760">
        <v>3</v>
      </c>
      <c r="O20" s="760"/>
      <c r="P20" s="760"/>
      <c r="Q20" s="760"/>
      <c r="R20" s="760"/>
      <c r="S20" s="56"/>
      <c r="T20" s="56"/>
      <c r="U20" s="56"/>
      <c r="V20" s="56"/>
      <c r="W20" s="56"/>
    </row>
    <row r="21" spans="1:23" ht="47.4" customHeight="1">
      <c r="A21" s="762" t="s">
        <v>894</v>
      </c>
      <c r="B21" s="762"/>
      <c r="C21" s="762"/>
      <c r="D21" s="762"/>
      <c r="E21" s="762"/>
      <c r="F21" s="763" t="s">
        <v>1067</v>
      </c>
      <c r="G21" s="764"/>
      <c r="H21" s="764"/>
      <c r="I21" s="764"/>
      <c r="J21" s="764"/>
      <c r="K21" s="764"/>
      <c r="L21" s="764"/>
      <c r="M21" s="765"/>
      <c r="N21" s="761" t="s">
        <v>959</v>
      </c>
      <c r="O21" s="761"/>
      <c r="P21" s="761"/>
      <c r="Q21" s="761"/>
      <c r="R21" s="761"/>
      <c r="S21" s="55"/>
      <c r="T21" s="55"/>
      <c r="U21" s="55"/>
      <c r="V21" s="55"/>
      <c r="W21" s="55"/>
    </row>
    <row r="22" spans="1:23" ht="13.8" customHeight="1">
      <c r="A22" s="762"/>
      <c r="B22" s="762"/>
      <c r="C22" s="762"/>
      <c r="D22" s="762"/>
      <c r="E22" s="762"/>
      <c r="F22" s="763"/>
      <c r="G22" s="764"/>
      <c r="H22" s="764"/>
      <c r="I22" s="764"/>
      <c r="J22" s="764"/>
      <c r="K22" s="764"/>
      <c r="L22" s="764"/>
      <c r="M22" s="765"/>
      <c r="N22" s="761"/>
      <c r="O22" s="761"/>
      <c r="P22" s="761"/>
      <c r="Q22" s="761"/>
      <c r="R22" s="761"/>
      <c r="S22" s="55"/>
      <c r="T22" s="55"/>
      <c r="U22" s="55"/>
      <c r="V22" s="55"/>
      <c r="W22" s="55"/>
    </row>
    <row r="23" spans="1:23" ht="13.8">
      <c r="A23" s="762"/>
      <c r="B23" s="762"/>
      <c r="C23" s="762"/>
      <c r="D23" s="762"/>
      <c r="E23" s="762"/>
      <c r="F23" s="762"/>
      <c r="G23" s="762"/>
      <c r="H23" s="762"/>
      <c r="I23" s="762"/>
      <c r="J23" s="762"/>
      <c r="K23" s="762"/>
      <c r="L23" s="762"/>
      <c r="M23" s="762"/>
      <c r="N23" s="761"/>
      <c r="O23" s="761"/>
      <c r="P23" s="761"/>
      <c r="Q23" s="761"/>
      <c r="R23" s="761"/>
      <c r="S23" s="55"/>
      <c r="T23" s="55"/>
      <c r="U23" s="55"/>
      <c r="V23" s="55"/>
      <c r="W23" s="55"/>
    </row>
    <row r="24" spans="1:23" ht="13.8">
      <c r="A24" s="762"/>
      <c r="B24" s="762"/>
      <c r="C24" s="762"/>
      <c r="D24" s="762"/>
      <c r="E24" s="762"/>
      <c r="F24" s="762"/>
      <c r="G24" s="762"/>
      <c r="H24" s="762"/>
      <c r="I24" s="762"/>
      <c r="J24" s="762"/>
      <c r="K24" s="762"/>
      <c r="L24" s="762"/>
      <c r="M24" s="762"/>
      <c r="N24" s="761"/>
      <c r="O24" s="761"/>
      <c r="P24" s="761"/>
      <c r="Q24" s="761"/>
      <c r="R24" s="761"/>
      <c r="S24" s="55"/>
      <c r="T24" s="55"/>
      <c r="U24" s="55"/>
      <c r="V24" s="55"/>
      <c r="W24" s="55"/>
    </row>
  </sheetData>
  <mergeCells count="37">
    <mergeCell ref="A3:M4"/>
    <mergeCell ref="N3:N4"/>
    <mergeCell ref="O3:Q3"/>
    <mergeCell ref="R3:T3"/>
    <mergeCell ref="U3:W3"/>
    <mergeCell ref="A1:XFD1"/>
    <mergeCell ref="A17:W17"/>
    <mergeCell ref="A19:E19"/>
    <mergeCell ref="F19:M19"/>
    <mergeCell ref="A10:M10"/>
    <mergeCell ref="A11:M11"/>
    <mergeCell ref="A8:M8"/>
    <mergeCell ref="A9:M9"/>
    <mergeCell ref="A15:M15"/>
    <mergeCell ref="A14:M14"/>
    <mergeCell ref="A12:M12"/>
    <mergeCell ref="A13:M13"/>
    <mergeCell ref="A7:M7"/>
    <mergeCell ref="A6:M6"/>
    <mergeCell ref="A5:M5"/>
    <mergeCell ref="A2:W2"/>
    <mergeCell ref="A22:E22"/>
    <mergeCell ref="F22:M22"/>
    <mergeCell ref="A20:E20"/>
    <mergeCell ref="F20:M20"/>
    <mergeCell ref="A21:E21"/>
    <mergeCell ref="F21:M21"/>
    <mergeCell ref="N24:R24"/>
    <mergeCell ref="A24:E24"/>
    <mergeCell ref="F24:M24"/>
    <mergeCell ref="A23:E23"/>
    <mergeCell ref="F23:M23"/>
    <mergeCell ref="N19:R19"/>
    <mergeCell ref="N20:R20"/>
    <mergeCell ref="N21:R21"/>
    <mergeCell ref="N22:R22"/>
    <mergeCell ref="N23:R23"/>
  </mergeCells>
  <pageMargins left="0.70866141732283472" right="0.70866141732283472" top="0.74803149606299213" bottom="0.74803149606299213" header="0.31496062992125984" footer="0.31496062992125984"/>
  <pageSetup paperSize="9" scale="72" orientation="landscape" r:id="rId1"/>
  <legacyDrawing r:id="rId2"/>
</worksheet>
</file>

<file path=xl/worksheets/sheet7.xml><?xml version="1.0" encoding="utf-8"?>
<worksheet xmlns="http://schemas.openxmlformats.org/spreadsheetml/2006/main" xmlns:r="http://schemas.openxmlformats.org/officeDocument/2006/relationships">
  <sheetPr>
    <tabColor theme="9" tint="0.59999389629810485"/>
  </sheetPr>
  <dimension ref="A1:O25"/>
  <sheetViews>
    <sheetView view="pageBreakPreview" zoomScale="85" zoomScaleNormal="85" zoomScaleSheetLayoutView="85" workbookViewId="0">
      <selection activeCell="G4" sqref="G4:O4"/>
    </sheetView>
  </sheetViews>
  <sheetFormatPr defaultRowHeight="13.2"/>
  <cols>
    <col min="5" max="5" width="6.88671875" customWidth="1"/>
    <col min="6" max="15" width="17.33203125" customWidth="1"/>
  </cols>
  <sheetData>
    <row r="1" spans="1:15" ht="13.8">
      <c r="A1" s="775" t="s">
        <v>341</v>
      </c>
      <c r="B1" s="776"/>
      <c r="C1" s="776"/>
      <c r="D1" s="776"/>
      <c r="E1" s="776"/>
      <c r="F1" s="776"/>
      <c r="G1" s="776"/>
      <c r="H1" s="776"/>
      <c r="I1" s="776"/>
      <c r="J1" s="776"/>
      <c r="K1" s="776"/>
      <c r="L1" s="776"/>
      <c r="M1" s="776"/>
      <c r="N1" s="776"/>
      <c r="O1" s="776"/>
    </row>
    <row r="2" spans="1:15" ht="13.8">
      <c r="A2" s="68"/>
      <c r="B2" s="68"/>
      <c r="C2" s="68"/>
      <c r="D2" s="68"/>
      <c r="E2" s="68"/>
      <c r="F2" s="68"/>
      <c r="G2" s="68"/>
      <c r="H2" s="68"/>
      <c r="I2" s="68"/>
      <c r="J2" s="68"/>
      <c r="K2" s="68"/>
      <c r="L2" s="68"/>
      <c r="M2" s="68"/>
      <c r="N2" s="68"/>
      <c r="O2" s="68"/>
    </row>
    <row r="3" spans="1:15" ht="31.5" customHeight="1">
      <c r="A3" s="782" t="s">
        <v>338</v>
      </c>
      <c r="B3" s="777"/>
      <c r="C3" s="777"/>
      <c r="D3" s="777"/>
      <c r="E3" s="780"/>
      <c r="F3" s="777" t="s">
        <v>1</v>
      </c>
      <c r="G3" s="777" t="s">
        <v>337</v>
      </c>
      <c r="H3" s="777"/>
      <c r="I3" s="777"/>
      <c r="J3" s="777" t="s">
        <v>336</v>
      </c>
      <c r="K3" s="777"/>
      <c r="L3" s="777"/>
      <c r="M3" s="777" t="s">
        <v>335</v>
      </c>
      <c r="N3" s="777"/>
      <c r="O3" s="777"/>
    </row>
    <row r="4" spans="1:15" ht="66" customHeight="1">
      <c r="A4" s="782"/>
      <c r="B4" s="777"/>
      <c r="C4" s="777"/>
      <c r="D4" s="777"/>
      <c r="E4" s="780"/>
      <c r="F4" s="777"/>
      <c r="G4" s="283" t="s">
        <v>1129</v>
      </c>
      <c r="H4" s="283" t="s">
        <v>1060</v>
      </c>
      <c r="I4" s="283" t="s">
        <v>1061</v>
      </c>
      <c r="J4" s="283" t="s">
        <v>1129</v>
      </c>
      <c r="K4" s="283" t="s">
        <v>1060</v>
      </c>
      <c r="L4" s="283" t="s">
        <v>1061</v>
      </c>
      <c r="M4" s="283" t="s">
        <v>1129</v>
      </c>
      <c r="N4" s="283" t="s">
        <v>1060</v>
      </c>
      <c r="O4" s="282" t="s">
        <v>1061</v>
      </c>
    </row>
    <row r="5" spans="1:15" ht="14.4" thickBot="1">
      <c r="A5" s="786">
        <v>1</v>
      </c>
      <c r="B5" s="787"/>
      <c r="C5" s="787"/>
      <c r="D5" s="787"/>
      <c r="E5" s="788"/>
      <c r="F5" s="261">
        <v>2</v>
      </c>
      <c r="G5" s="262">
        <v>3</v>
      </c>
      <c r="H5" s="262">
        <v>4</v>
      </c>
      <c r="I5" s="262">
        <v>5</v>
      </c>
      <c r="J5" s="262">
        <v>6</v>
      </c>
      <c r="K5" s="262">
        <v>7</v>
      </c>
      <c r="L5" s="262">
        <v>8</v>
      </c>
      <c r="M5" s="262">
        <v>9</v>
      </c>
      <c r="N5" s="262">
        <v>10</v>
      </c>
      <c r="O5" s="262">
        <v>11</v>
      </c>
    </row>
    <row r="6" spans="1:15" ht="13.8">
      <c r="A6" s="789" t="s">
        <v>888</v>
      </c>
      <c r="B6" s="789"/>
      <c r="C6" s="789"/>
      <c r="D6" s="789"/>
      <c r="E6" s="789"/>
      <c r="F6" s="263" t="s">
        <v>20</v>
      </c>
      <c r="G6" s="258">
        <v>4000</v>
      </c>
      <c r="H6" s="258"/>
      <c r="I6" s="258"/>
      <c r="J6" s="258">
        <v>25</v>
      </c>
      <c r="K6" s="258"/>
      <c r="L6" s="258"/>
      <c r="M6" s="264">
        <f t="shared" ref="M6:O11" si="0">G6*J6</f>
        <v>100000</v>
      </c>
      <c r="N6" s="264">
        <f t="shared" si="0"/>
        <v>0</v>
      </c>
      <c r="O6" s="265">
        <f t="shared" si="0"/>
        <v>0</v>
      </c>
    </row>
    <row r="7" spans="1:15" ht="15" customHeight="1">
      <c r="A7" s="790" t="s">
        <v>889</v>
      </c>
      <c r="B7" s="790"/>
      <c r="C7" s="790"/>
      <c r="D7" s="790"/>
      <c r="E7" s="790"/>
      <c r="F7" s="266" t="s">
        <v>22</v>
      </c>
      <c r="G7" s="60">
        <v>5000</v>
      </c>
      <c r="H7" s="60"/>
      <c r="I7" s="60"/>
      <c r="J7" s="60">
        <v>40</v>
      </c>
      <c r="K7" s="60"/>
      <c r="L7" s="60"/>
      <c r="M7" s="64">
        <f t="shared" si="0"/>
        <v>200000</v>
      </c>
      <c r="N7" s="64">
        <f t="shared" si="0"/>
        <v>0</v>
      </c>
      <c r="O7" s="267">
        <f t="shared" si="0"/>
        <v>0</v>
      </c>
    </row>
    <row r="8" spans="1:15" ht="13.8">
      <c r="A8" s="791"/>
      <c r="B8" s="773"/>
      <c r="C8" s="773"/>
      <c r="D8" s="773"/>
      <c r="E8" s="774"/>
      <c r="F8" s="266" t="s">
        <v>334</v>
      </c>
      <c r="G8" s="60"/>
      <c r="H8" s="60"/>
      <c r="I8" s="60"/>
      <c r="J8" s="60"/>
      <c r="K8" s="60"/>
      <c r="L8" s="60"/>
      <c r="M8" s="64">
        <f t="shared" si="0"/>
        <v>0</v>
      </c>
      <c r="N8" s="64">
        <f t="shared" si="0"/>
        <v>0</v>
      </c>
      <c r="O8" s="267">
        <f t="shared" si="0"/>
        <v>0</v>
      </c>
    </row>
    <row r="9" spans="1:15" ht="13.8">
      <c r="A9" s="789"/>
      <c r="B9" s="789"/>
      <c r="C9" s="789"/>
      <c r="D9" s="789"/>
      <c r="E9" s="789"/>
      <c r="F9" s="266" t="s">
        <v>333</v>
      </c>
      <c r="G9" s="60"/>
      <c r="H9" s="60"/>
      <c r="I9" s="60"/>
      <c r="J9" s="60"/>
      <c r="K9" s="60"/>
      <c r="L9" s="60"/>
      <c r="M9" s="64">
        <f t="shared" si="0"/>
        <v>0</v>
      </c>
      <c r="N9" s="64">
        <f t="shared" si="0"/>
        <v>0</v>
      </c>
      <c r="O9" s="267">
        <f t="shared" si="0"/>
        <v>0</v>
      </c>
    </row>
    <row r="10" spans="1:15" ht="13.8">
      <c r="A10" s="791"/>
      <c r="B10" s="773"/>
      <c r="C10" s="773"/>
      <c r="D10" s="773"/>
      <c r="E10" s="774"/>
      <c r="F10" s="266" t="s">
        <v>332</v>
      </c>
      <c r="G10" s="60"/>
      <c r="H10" s="60"/>
      <c r="I10" s="60"/>
      <c r="J10" s="60"/>
      <c r="K10" s="60"/>
      <c r="L10" s="60"/>
      <c r="M10" s="64">
        <f t="shared" si="0"/>
        <v>0</v>
      </c>
      <c r="N10" s="64">
        <f t="shared" si="0"/>
        <v>0</v>
      </c>
      <c r="O10" s="267">
        <f t="shared" si="0"/>
        <v>0</v>
      </c>
    </row>
    <row r="11" spans="1:15" ht="13.8">
      <c r="A11" s="791"/>
      <c r="B11" s="773"/>
      <c r="C11" s="773"/>
      <c r="D11" s="773"/>
      <c r="E11" s="774"/>
      <c r="F11" s="266" t="s">
        <v>331</v>
      </c>
      <c r="G11" s="60"/>
      <c r="H11" s="60"/>
      <c r="I11" s="60"/>
      <c r="J11" s="60"/>
      <c r="K11" s="60"/>
      <c r="L11" s="60"/>
      <c r="M11" s="64">
        <f t="shared" si="0"/>
        <v>0</v>
      </c>
      <c r="N11" s="64">
        <f t="shared" si="0"/>
        <v>0</v>
      </c>
      <c r="O11" s="267">
        <f t="shared" si="0"/>
        <v>0</v>
      </c>
    </row>
    <row r="12" spans="1:15" ht="14.4" thickBot="1">
      <c r="A12" s="771" t="s">
        <v>327</v>
      </c>
      <c r="B12" s="772"/>
      <c r="C12" s="772"/>
      <c r="D12" s="772"/>
      <c r="E12" s="772"/>
      <c r="F12" s="268">
        <v>9000</v>
      </c>
      <c r="G12" s="269" t="s">
        <v>21</v>
      </c>
      <c r="H12" s="269" t="s">
        <v>21</v>
      </c>
      <c r="I12" s="269" t="s">
        <v>21</v>
      </c>
      <c r="J12" s="269" t="s">
        <v>21</v>
      </c>
      <c r="K12" s="269" t="s">
        <v>21</v>
      </c>
      <c r="L12" s="269" t="s">
        <v>21</v>
      </c>
      <c r="M12" s="270">
        <f>SUM(M6:M11)</f>
        <v>300000</v>
      </c>
      <c r="N12" s="270">
        <f>SUM(N6:N11)</f>
        <v>0</v>
      </c>
      <c r="O12" s="271">
        <f>SUM(O6:O11)</f>
        <v>0</v>
      </c>
    </row>
    <row r="13" spans="1:15" ht="13.8">
      <c r="A13" s="69"/>
      <c r="B13" s="70"/>
      <c r="C13" s="70"/>
      <c r="D13" s="70"/>
      <c r="E13" s="70"/>
      <c r="F13" s="70"/>
      <c r="G13" s="70"/>
      <c r="H13" s="70"/>
      <c r="I13" s="70"/>
      <c r="J13" s="70"/>
      <c r="K13" s="70"/>
      <c r="L13" s="70"/>
      <c r="M13" s="70"/>
      <c r="N13" s="70"/>
      <c r="O13" s="70"/>
    </row>
    <row r="14" spans="1:15" ht="13.8">
      <c r="A14" s="767" t="s">
        <v>340</v>
      </c>
      <c r="B14" s="767"/>
      <c r="C14" s="767"/>
      <c r="D14" s="767"/>
      <c r="E14" s="767"/>
      <c r="F14" s="767"/>
      <c r="G14" s="767"/>
      <c r="H14" s="767"/>
      <c r="I14" s="767"/>
      <c r="J14" s="767"/>
      <c r="K14" s="767"/>
      <c r="L14" s="767"/>
      <c r="M14" s="767"/>
      <c r="N14" s="767"/>
      <c r="O14" s="767"/>
    </row>
    <row r="15" spans="1:15" ht="13.8">
      <c r="A15" s="58"/>
      <c r="B15" s="58"/>
      <c r="C15" s="58"/>
      <c r="D15" s="58"/>
      <c r="E15" s="58"/>
      <c r="F15" s="58"/>
      <c r="G15" s="58"/>
      <c r="H15" s="58"/>
      <c r="I15" s="58"/>
      <c r="J15" s="58"/>
      <c r="K15" s="58"/>
      <c r="L15" s="58"/>
      <c r="M15" s="58"/>
      <c r="N15" s="58"/>
      <c r="O15" s="58"/>
    </row>
    <row r="16" spans="1:15" ht="13.8">
      <c r="A16" s="792" t="s">
        <v>326</v>
      </c>
      <c r="B16" s="792"/>
      <c r="C16" s="792"/>
      <c r="D16" s="792"/>
      <c r="E16" s="793"/>
      <c r="F16" s="759" t="s">
        <v>324</v>
      </c>
      <c r="G16" s="759"/>
      <c r="H16" s="759"/>
      <c r="I16" s="759"/>
      <c r="J16" s="759"/>
      <c r="K16" s="759"/>
      <c r="L16" s="759"/>
      <c r="M16" s="759"/>
      <c r="N16" s="759"/>
      <c r="O16" s="759"/>
    </row>
    <row r="17" spans="1:15" ht="13.8">
      <c r="A17" s="783">
        <v>1</v>
      </c>
      <c r="B17" s="783"/>
      <c r="C17" s="783"/>
      <c r="D17" s="783"/>
      <c r="E17" s="784"/>
      <c r="F17" s="785">
        <v>3</v>
      </c>
      <c r="G17" s="785"/>
      <c r="H17" s="785"/>
      <c r="I17" s="785"/>
      <c r="J17" s="785"/>
      <c r="K17" s="785"/>
      <c r="L17" s="785"/>
      <c r="M17" s="785"/>
      <c r="N17" s="785"/>
      <c r="O17" s="785"/>
    </row>
    <row r="18" spans="1:15" ht="32.4" customHeight="1">
      <c r="A18" s="794" t="s">
        <v>887</v>
      </c>
      <c r="B18" s="795"/>
      <c r="C18" s="795"/>
      <c r="D18" s="795"/>
      <c r="E18" s="796"/>
      <c r="F18" s="797" t="s">
        <v>886</v>
      </c>
      <c r="G18" s="798"/>
      <c r="H18" s="798"/>
      <c r="I18" s="798"/>
      <c r="J18" s="798"/>
      <c r="K18" s="798"/>
      <c r="L18" s="798"/>
      <c r="M18" s="798"/>
      <c r="N18" s="798"/>
      <c r="O18" s="799"/>
    </row>
    <row r="19" spans="1:15" ht="13.8">
      <c r="A19" s="762"/>
      <c r="B19" s="762"/>
      <c r="C19" s="762"/>
      <c r="D19" s="762"/>
      <c r="E19" s="762"/>
      <c r="F19" s="762"/>
      <c r="G19" s="762"/>
      <c r="H19" s="762"/>
      <c r="I19" s="762"/>
      <c r="J19" s="762"/>
      <c r="K19" s="762"/>
      <c r="L19" s="762"/>
      <c r="M19" s="762"/>
      <c r="N19" s="762"/>
      <c r="O19" s="762"/>
    </row>
    <row r="20" spans="1:15" ht="13.8">
      <c r="A20" s="762"/>
      <c r="B20" s="762"/>
      <c r="C20" s="762"/>
      <c r="D20" s="762"/>
      <c r="E20" s="762"/>
      <c r="F20" s="762"/>
      <c r="G20" s="762"/>
      <c r="H20" s="762"/>
      <c r="I20" s="762"/>
      <c r="J20" s="762"/>
      <c r="K20" s="762"/>
      <c r="L20" s="762"/>
      <c r="M20" s="762"/>
      <c r="N20" s="762"/>
      <c r="O20" s="762"/>
    </row>
    <row r="21" spans="1:15" ht="13.8">
      <c r="A21" s="762"/>
      <c r="B21" s="762"/>
      <c r="C21" s="762"/>
      <c r="D21" s="762"/>
      <c r="E21" s="762"/>
      <c r="F21" s="762"/>
      <c r="G21" s="762"/>
      <c r="H21" s="762"/>
      <c r="I21" s="762"/>
      <c r="J21" s="762"/>
      <c r="K21" s="762"/>
      <c r="L21" s="762"/>
      <c r="M21" s="762"/>
      <c r="N21" s="762"/>
      <c r="O21" s="762"/>
    </row>
    <row r="22" spans="1:15" ht="13.8">
      <c r="A22" s="762"/>
      <c r="B22" s="762"/>
      <c r="C22" s="762"/>
      <c r="D22" s="762"/>
      <c r="E22" s="762"/>
      <c r="F22" s="762"/>
      <c r="G22" s="762"/>
      <c r="H22" s="762"/>
      <c r="I22" s="762"/>
      <c r="J22" s="762"/>
      <c r="K22" s="762"/>
      <c r="L22" s="762"/>
      <c r="M22" s="762"/>
      <c r="N22" s="762"/>
      <c r="O22" s="762"/>
    </row>
    <row r="23" spans="1:15" ht="13.8">
      <c r="A23" s="762"/>
      <c r="B23" s="762"/>
      <c r="C23" s="762"/>
      <c r="D23" s="762"/>
      <c r="E23" s="762"/>
      <c r="F23" s="762"/>
      <c r="G23" s="762"/>
      <c r="H23" s="762"/>
      <c r="I23" s="762"/>
      <c r="J23" s="762"/>
      <c r="K23" s="762"/>
      <c r="L23" s="762"/>
      <c r="M23" s="762"/>
      <c r="N23" s="762"/>
      <c r="O23" s="762"/>
    </row>
    <row r="24" spans="1:15" ht="13.8">
      <c r="A24" s="762"/>
      <c r="B24" s="762"/>
      <c r="C24" s="762"/>
      <c r="D24" s="762"/>
      <c r="E24" s="762"/>
      <c r="F24" s="762"/>
      <c r="G24" s="762"/>
      <c r="H24" s="762"/>
      <c r="I24" s="762"/>
      <c r="J24" s="762"/>
      <c r="K24" s="762"/>
      <c r="L24" s="762"/>
      <c r="M24" s="762"/>
      <c r="N24" s="762"/>
      <c r="O24" s="762"/>
    </row>
    <row r="25" spans="1:15">
      <c r="A25" s="71"/>
      <c r="B25" s="71"/>
      <c r="C25" s="71"/>
      <c r="D25" s="71"/>
      <c r="E25" s="71"/>
      <c r="F25" s="71"/>
      <c r="G25" s="71"/>
      <c r="H25" s="71"/>
      <c r="I25" s="71"/>
      <c r="J25" s="71"/>
      <c r="K25" s="71"/>
      <c r="L25" s="71"/>
      <c r="M25" s="71"/>
      <c r="N25" s="71"/>
      <c r="O25" s="71"/>
    </row>
  </sheetData>
  <mergeCells count="33">
    <mergeCell ref="A24:E24"/>
    <mergeCell ref="F24:O24"/>
    <mergeCell ref="A21:E21"/>
    <mergeCell ref="F21:O21"/>
    <mergeCell ref="A22:E22"/>
    <mergeCell ref="F22:O22"/>
    <mergeCell ref="A23:E23"/>
    <mergeCell ref="F23:O23"/>
    <mergeCell ref="A18:E18"/>
    <mergeCell ref="F18:O18"/>
    <mergeCell ref="A19:E19"/>
    <mergeCell ref="F19:O19"/>
    <mergeCell ref="A20:E20"/>
    <mergeCell ref="F20:O20"/>
    <mergeCell ref="A17:E17"/>
    <mergeCell ref="F17:O17"/>
    <mergeCell ref="A5:E5"/>
    <mergeCell ref="A6:E6"/>
    <mergeCell ref="A7:E7"/>
    <mergeCell ref="A8:E8"/>
    <mergeCell ref="A9:E9"/>
    <mergeCell ref="A10:E10"/>
    <mergeCell ref="A11:E11"/>
    <mergeCell ref="A12:E12"/>
    <mergeCell ref="A14:O14"/>
    <mergeCell ref="A16:E16"/>
    <mergeCell ref="F16:O16"/>
    <mergeCell ref="A1:O1"/>
    <mergeCell ref="A3:E4"/>
    <mergeCell ref="F3:F4"/>
    <mergeCell ref="G3:I3"/>
    <mergeCell ref="J3:L3"/>
    <mergeCell ref="M3:O3"/>
  </mergeCells>
  <pageMargins left="0.70866141732283472" right="0.70866141732283472" top="0.74803149606299213" bottom="0.74803149606299213"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sheetPr>
    <tabColor theme="9" tint="0.39997558519241921"/>
  </sheetPr>
  <dimension ref="A1:W25"/>
  <sheetViews>
    <sheetView view="pageBreakPreview" zoomScaleSheetLayoutView="100" workbookViewId="0">
      <selection activeCell="C21" sqref="C21"/>
    </sheetView>
  </sheetViews>
  <sheetFormatPr defaultRowHeight="13.2"/>
  <cols>
    <col min="1" max="1" width="70" customWidth="1"/>
    <col min="2" max="2" width="18.109375" customWidth="1"/>
    <col min="3" max="3" width="22.77734375" customWidth="1"/>
    <col min="4" max="4" width="23.33203125" customWidth="1"/>
    <col min="5" max="5" width="21.5546875" customWidth="1"/>
  </cols>
  <sheetData>
    <row r="1" spans="1:23" ht="36" customHeight="1">
      <c r="A1" s="801" t="s">
        <v>895</v>
      </c>
      <c r="B1" s="801"/>
      <c r="C1" s="801"/>
      <c r="D1" s="801"/>
      <c r="E1" s="801"/>
    </row>
    <row r="2" spans="1:23" ht="15.6" customHeight="1">
      <c r="A2" s="780" t="s">
        <v>342</v>
      </c>
      <c r="B2" s="777" t="s">
        <v>343</v>
      </c>
      <c r="C2" s="777" t="s">
        <v>344</v>
      </c>
      <c r="D2" s="777"/>
      <c r="E2" s="777"/>
      <c r="F2" s="71"/>
      <c r="G2" s="71"/>
      <c r="H2" s="71"/>
      <c r="I2" s="71"/>
      <c r="J2" s="71"/>
      <c r="K2" s="71"/>
      <c r="L2" s="71"/>
      <c r="M2" s="71"/>
      <c r="N2" s="71"/>
      <c r="O2" s="71"/>
      <c r="P2" s="71"/>
      <c r="Q2" s="71"/>
      <c r="R2" s="71"/>
      <c r="S2" s="71"/>
      <c r="T2" s="71"/>
      <c r="U2" s="71"/>
      <c r="V2" s="71"/>
      <c r="W2" s="71"/>
    </row>
    <row r="3" spans="1:23" ht="49.2" customHeight="1">
      <c r="A3" s="780"/>
      <c r="B3" s="777"/>
      <c r="C3" s="283" t="s">
        <v>1129</v>
      </c>
      <c r="D3" s="283" t="s">
        <v>1060</v>
      </c>
      <c r="E3" s="283" t="s">
        <v>1061</v>
      </c>
      <c r="F3" s="71"/>
      <c r="G3" s="71"/>
      <c r="H3" s="71"/>
      <c r="I3" s="71"/>
      <c r="J3" s="71"/>
      <c r="K3" s="71"/>
      <c r="L3" s="71"/>
      <c r="M3" s="71"/>
      <c r="N3" s="71"/>
      <c r="O3" s="71"/>
      <c r="P3" s="71"/>
      <c r="Q3" s="71"/>
      <c r="R3" s="71"/>
      <c r="S3" s="71"/>
      <c r="T3" s="71"/>
      <c r="U3" s="71"/>
      <c r="V3" s="71"/>
      <c r="W3" s="71"/>
    </row>
    <row r="4" spans="1:23" ht="14.4" thickBot="1">
      <c r="A4" s="217">
        <v>1</v>
      </c>
      <c r="B4" s="256" t="s">
        <v>10</v>
      </c>
      <c r="C4" s="256" t="s">
        <v>11</v>
      </c>
      <c r="D4" s="256" t="s">
        <v>12</v>
      </c>
      <c r="E4" s="256" t="s">
        <v>13</v>
      </c>
      <c r="F4" s="71"/>
      <c r="G4" s="71"/>
      <c r="H4" s="71"/>
      <c r="I4" s="71"/>
      <c r="J4" s="71"/>
      <c r="K4" s="71"/>
      <c r="L4" s="71"/>
      <c r="M4" s="71"/>
      <c r="N4" s="71"/>
      <c r="O4" s="71"/>
      <c r="P4" s="71"/>
      <c r="Q4" s="71"/>
      <c r="R4" s="71"/>
      <c r="S4" s="71"/>
      <c r="T4" s="71"/>
      <c r="U4" s="71"/>
      <c r="V4" s="71"/>
      <c r="W4" s="71"/>
    </row>
    <row r="5" spans="1:23" ht="27.6" customHeight="1">
      <c r="A5" s="221" t="s">
        <v>891</v>
      </c>
      <c r="B5" s="257" t="s">
        <v>345</v>
      </c>
      <c r="C5" s="258">
        <v>500000</v>
      </c>
      <c r="D5" s="258"/>
      <c r="E5" s="259"/>
      <c r="F5" s="71"/>
      <c r="G5" s="71"/>
      <c r="H5" s="71"/>
      <c r="I5" s="71"/>
      <c r="J5" s="71"/>
      <c r="K5" s="71"/>
      <c r="L5" s="71"/>
      <c r="M5" s="71"/>
      <c r="N5" s="71"/>
      <c r="O5" s="71"/>
      <c r="P5" s="71"/>
      <c r="Q5" s="71"/>
      <c r="R5" s="71"/>
      <c r="S5" s="71"/>
      <c r="T5" s="71"/>
      <c r="U5" s="71"/>
      <c r="V5" s="71"/>
      <c r="W5" s="71"/>
    </row>
    <row r="6" spans="1:23" ht="21" customHeight="1">
      <c r="A6" s="221" t="s">
        <v>1042</v>
      </c>
      <c r="B6" s="225" t="s">
        <v>346</v>
      </c>
      <c r="C6" s="60">
        <v>122000</v>
      </c>
      <c r="D6" s="60"/>
      <c r="E6" s="226"/>
      <c r="F6" s="71"/>
      <c r="G6" s="71"/>
      <c r="H6" s="71"/>
      <c r="I6" s="71"/>
      <c r="J6" s="71"/>
      <c r="K6" s="71"/>
      <c r="L6" s="71"/>
      <c r="M6" s="71"/>
      <c r="N6" s="71"/>
      <c r="O6" s="71"/>
      <c r="P6" s="71"/>
      <c r="Q6" s="71"/>
      <c r="R6" s="71"/>
      <c r="S6" s="71"/>
      <c r="T6" s="71"/>
      <c r="U6" s="71"/>
      <c r="V6" s="71"/>
      <c r="W6" s="71"/>
    </row>
    <row r="7" spans="1:23" ht="26.4" customHeight="1">
      <c r="A7" s="221" t="s">
        <v>892</v>
      </c>
      <c r="B7" s="225" t="s">
        <v>347</v>
      </c>
      <c r="C7" s="60">
        <v>378625</v>
      </c>
      <c r="D7" s="60"/>
      <c r="E7" s="226"/>
      <c r="F7" s="71"/>
      <c r="G7" s="71"/>
      <c r="H7" s="71"/>
      <c r="I7" s="71"/>
      <c r="J7" s="71"/>
      <c r="K7" s="71"/>
      <c r="L7" s="71"/>
      <c r="M7" s="71"/>
      <c r="N7" s="71"/>
      <c r="O7" s="71"/>
      <c r="P7" s="71"/>
      <c r="Q7" s="71"/>
      <c r="R7" s="71"/>
      <c r="S7" s="71"/>
      <c r="T7" s="71"/>
      <c r="U7" s="71"/>
      <c r="V7" s="71"/>
      <c r="W7" s="71"/>
    </row>
    <row r="8" spans="1:23" ht="24.6" customHeight="1">
      <c r="A8" s="222" t="s">
        <v>893</v>
      </c>
      <c r="B8" s="225" t="s">
        <v>348</v>
      </c>
      <c r="C8" s="60">
        <v>8000</v>
      </c>
      <c r="D8" s="60"/>
      <c r="E8" s="226"/>
      <c r="F8" s="71"/>
      <c r="G8" s="71"/>
      <c r="H8" s="71"/>
      <c r="I8" s="71"/>
      <c r="J8" s="71"/>
      <c r="K8" s="71"/>
      <c r="L8" s="71"/>
      <c r="M8" s="71"/>
      <c r="N8" s="71"/>
      <c r="O8" s="71"/>
      <c r="P8" s="71"/>
      <c r="Q8" s="71"/>
      <c r="R8" s="71"/>
      <c r="S8" s="71"/>
      <c r="T8" s="71"/>
      <c r="U8" s="71"/>
      <c r="V8" s="71"/>
      <c r="W8" s="71"/>
    </row>
    <row r="9" spans="1:23" ht="24" customHeight="1">
      <c r="A9" s="224" t="s">
        <v>921</v>
      </c>
      <c r="B9" s="225" t="s">
        <v>349</v>
      </c>
      <c r="C9" s="60">
        <v>1473000</v>
      </c>
      <c r="D9" s="60"/>
      <c r="E9" s="226"/>
      <c r="F9" s="71"/>
      <c r="G9" s="71"/>
      <c r="H9" s="71"/>
      <c r="I9" s="71"/>
      <c r="J9" s="71"/>
      <c r="K9" s="71"/>
      <c r="L9" s="71"/>
      <c r="M9" s="71"/>
      <c r="N9" s="71"/>
      <c r="O9" s="71"/>
      <c r="P9" s="71"/>
      <c r="Q9" s="71"/>
      <c r="R9" s="71"/>
      <c r="S9" s="71"/>
      <c r="T9" s="71"/>
      <c r="U9" s="71"/>
      <c r="V9" s="71"/>
      <c r="W9" s="71"/>
    </row>
    <row r="10" spans="1:23" ht="26.4" customHeight="1">
      <c r="A10" s="224" t="s">
        <v>1044</v>
      </c>
      <c r="B10" s="225" t="s">
        <v>350</v>
      </c>
      <c r="C10" s="60">
        <f>21800+14000</f>
        <v>35800</v>
      </c>
      <c r="D10" s="60"/>
      <c r="E10" s="226"/>
      <c r="F10" s="71"/>
      <c r="G10" s="71"/>
      <c r="H10" s="71"/>
      <c r="I10" s="71"/>
      <c r="J10" s="71"/>
      <c r="K10" s="71"/>
      <c r="L10" s="71"/>
      <c r="M10" s="71"/>
      <c r="N10" s="71"/>
      <c r="O10" s="71"/>
      <c r="P10" s="71"/>
      <c r="Q10" s="71"/>
      <c r="R10" s="71"/>
      <c r="S10" s="71"/>
      <c r="T10" s="71"/>
      <c r="U10" s="71"/>
      <c r="V10" s="71"/>
      <c r="W10" s="71"/>
    </row>
    <row r="11" spans="1:23" ht="26.4" customHeight="1">
      <c r="A11" s="291" t="s">
        <v>1130</v>
      </c>
      <c r="B11" s="225" t="s">
        <v>351</v>
      </c>
      <c r="C11" s="60">
        <v>504082</v>
      </c>
      <c r="D11" s="60"/>
      <c r="E11" s="226"/>
      <c r="F11" s="71"/>
      <c r="G11" s="71"/>
      <c r="H11" s="71"/>
      <c r="I11" s="71"/>
      <c r="J11" s="71"/>
      <c r="K11" s="71"/>
      <c r="L11" s="71"/>
      <c r="M11" s="71"/>
      <c r="N11" s="71"/>
      <c r="O11" s="71"/>
      <c r="P11" s="71"/>
      <c r="Q11" s="71"/>
      <c r="R11" s="71"/>
      <c r="S11" s="71"/>
      <c r="T11" s="71"/>
      <c r="U11" s="71"/>
      <c r="V11" s="71"/>
      <c r="W11" s="71"/>
    </row>
    <row r="12" spans="1:23" ht="31.2" customHeight="1">
      <c r="A12" s="292" t="s">
        <v>1131</v>
      </c>
      <c r="B12" s="225" t="s">
        <v>352</v>
      </c>
      <c r="C12" s="60">
        <v>216343.9</v>
      </c>
      <c r="D12" s="60"/>
      <c r="E12" s="226"/>
      <c r="F12" s="71"/>
      <c r="G12" s="71"/>
      <c r="H12" s="71"/>
      <c r="I12" s="71"/>
      <c r="J12" s="71"/>
      <c r="K12" s="71"/>
      <c r="L12" s="71"/>
      <c r="M12" s="71"/>
      <c r="N12" s="71"/>
      <c r="O12" s="71"/>
      <c r="P12" s="71"/>
      <c r="Q12" s="71"/>
      <c r="R12" s="71"/>
      <c r="S12" s="71"/>
      <c r="T12" s="71"/>
      <c r="U12" s="71"/>
      <c r="V12" s="71"/>
      <c r="W12" s="71"/>
    </row>
    <row r="13" spans="1:23" ht="29.4" hidden="1" customHeight="1">
      <c r="A13" s="221"/>
      <c r="B13" s="227" t="s">
        <v>353</v>
      </c>
      <c r="C13" s="60"/>
      <c r="D13" s="60"/>
      <c r="E13" s="226"/>
      <c r="F13" s="71"/>
      <c r="G13" s="71"/>
      <c r="H13" s="71"/>
      <c r="I13" s="71"/>
      <c r="J13" s="71"/>
      <c r="K13" s="71"/>
      <c r="L13" s="71"/>
      <c r="M13" s="71"/>
      <c r="N13" s="71"/>
      <c r="O13" s="71"/>
      <c r="P13" s="71"/>
      <c r="Q13" s="71"/>
      <c r="R13" s="71"/>
      <c r="S13" s="71"/>
      <c r="T13" s="71"/>
      <c r="U13" s="71"/>
      <c r="V13" s="71"/>
      <c r="W13" s="71"/>
    </row>
    <row r="14" spans="1:23" ht="42.6" hidden="1" customHeight="1">
      <c r="A14" s="223"/>
      <c r="B14" s="225" t="s">
        <v>354</v>
      </c>
      <c r="C14" s="60"/>
      <c r="D14" s="60"/>
      <c r="E14" s="226"/>
      <c r="F14" s="71"/>
      <c r="G14" s="71"/>
      <c r="H14" s="71"/>
      <c r="I14" s="71"/>
      <c r="J14" s="71"/>
      <c r="K14" s="71"/>
      <c r="L14" s="71"/>
      <c r="M14" s="71"/>
      <c r="N14" s="71"/>
      <c r="O14" s="71"/>
      <c r="P14" s="71"/>
      <c r="Q14" s="71"/>
      <c r="R14" s="71"/>
      <c r="S14" s="71"/>
      <c r="T14" s="71"/>
      <c r="U14" s="71"/>
      <c r="V14" s="71"/>
      <c r="W14" s="71"/>
    </row>
    <row r="15" spans="1:23" ht="13.8" hidden="1">
      <c r="A15" s="224"/>
      <c r="B15" s="225" t="s">
        <v>980</v>
      </c>
      <c r="C15" s="60"/>
      <c r="D15" s="60"/>
      <c r="E15" s="228"/>
      <c r="F15" s="71"/>
      <c r="G15" s="71"/>
      <c r="H15" s="71"/>
      <c r="I15" s="71"/>
      <c r="J15" s="71"/>
      <c r="K15" s="71"/>
      <c r="L15" s="71"/>
      <c r="M15" s="71"/>
      <c r="N15" s="71"/>
      <c r="O15" s="71"/>
      <c r="P15" s="71"/>
      <c r="Q15" s="71"/>
      <c r="R15" s="71"/>
      <c r="S15" s="71"/>
      <c r="T15" s="71"/>
      <c r="U15" s="71"/>
      <c r="V15" s="71"/>
      <c r="W15" s="71"/>
    </row>
    <row r="16" spans="1:23" ht="13.8" hidden="1">
      <c r="A16" s="224"/>
      <c r="B16" s="225" t="s">
        <v>1050</v>
      </c>
      <c r="C16" s="60"/>
      <c r="D16" s="60"/>
      <c r="E16" s="228"/>
      <c r="F16" s="71"/>
      <c r="G16" s="71"/>
      <c r="H16" s="71"/>
      <c r="I16" s="71"/>
      <c r="J16" s="71"/>
      <c r="K16" s="71"/>
      <c r="L16" s="71"/>
      <c r="M16" s="71"/>
      <c r="N16" s="71"/>
      <c r="O16" s="71"/>
      <c r="P16" s="71"/>
      <c r="Q16" s="71"/>
      <c r="R16" s="71"/>
      <c r="S16" s="71"/>
      <c r="T16" s="71"/>
      <c r="U16" s="71"/>
      <c r="V16" s="71"/>
      <c r="W16" s="71"/>
    </row>
    <row r="17" spans="1:23" ht="31.8" hidden="1" customHeight="1">
      <c r="A17" s="224"/>
      <c r="B17" s="225" t="s">
        <v>1051</v>
      </c>
      <c r="C17" s="60"/>
      <c r="D17" s="60"/>
      <c r="E17" s="228"/>
      <c r="F17" s="71"/>
      <c r="G17" s="71"/>
      <c r="H17" s="71"/>
      <c r="I17" s="71"/>
      <c r="J17" s="71"/>
      <c r="K17" s="71"/>
      <c r="L17" s="71"/>
      <c r="M17" s="71"/>
      <c r="N17" s="71"/>
      <c r="O17" s="71"/>
      <c r="P17" s="71"/>
      <c r="Q17" s="71"/>
      <c r="R17" s="71"/>
      <c r="S17" s="71"/>
      <c r="T17" s="71"/>
      <c r="U17" s="71"/>
      <c r="V17" s="71"/>
      <c r="W17" s="71"/>
    </row>
    <row r="18" spans="1:23" ht="14.4" thickBot="1">
      <c r="A18" s="72" t="s">
        <v>327</v>
      </c>
      <c r="B18" s="260" t="s">
        <v>355</v>
      </c>
      <c r="C18" s="229">
        <f>SUM(C5:C17)</f>
        <v>3237850.9</v>
      </c>
      <c r="D18" s="229">
        <f>SUM(D5:D17)</f>
        <v>0</v>
      </c>
      <c r="E18" s="230">
        <f>SUM(E5:E17)</f>
        <v>0</v>
      </c>
      <c r="F18" s="71"/>
      <c r="G18" s="71"/>
      <c r="H18" s="71"/>
      <c r="I18" s="71"/>
      <c r="J18" s="71"/>
      <c r="K18" s="71"/>
      <c r="L18" s="71"/>
      <c r="M18" s="71"/>
      <c r="N18" s="71"/>
      <c r="O18" s="71"/>
      <c r="P18" s="71"/>
      <c r="Q18" s="71"/>
      <c r="R18" s="71"/>
      <c r="S18" s="71"/>
      <c r="T18" s="71"/>
      <c r="U18" s="71"/>
      <c r="V18" s="71"/>
      <c r="W18" s="71"/>
    </row>
    <row r="19" spans="1:23" ht="5.4" customHeight="1">
      <c r="A19" s="71"/>
      <c r="B19" s="71"/>
      <c r="C19" s="71"/>
      <c r="D19" s="71"/>
      <c r="E19" s="71"/>
      <c r="F19" s="71"/>
      <c r="G19" s="71"/>
      <c r="H19" s="71"/>
      <c r="I19" s="71"/>
      <c r="J19" s="71"/>
      <c r="K19" s="71"/>
      <c r="L19" s="71"/>
      <c r="M19" s="71"/>
      <c r="N19" s="71"/>
      <c r="O19" s="71"/>
      <c r="P19" s="71"/>
      <c r="Q19" s="71"/>
      <c r="R19" s="71"/>
      <c r="S19" s="71"/>
      <c r="T19" s="71"/>
      <c r="U19" s="71"/>
      <c r="V19" s="71"/>
      <c r="W19" s="71"/>
    </row>
    <row r="20" spans="1:23" ht="13.8">
      <c r="A20" s="767" t="s">
        <v>890</v>
      </c>
      <c r="B20" s="767"/>
      <c r="C20" s="767"/>
      <c r="D20" s="767"/>
      <c r="E20" s="767"/>
      <c r="F20" s="767"/>
      <c r="G20" s="767"/>
      <c r="H20" s="767"/>
      <c r="I20" s="767"/>
      <c r="J20" s="767"/>
      <c r="K20" s="767"/>
      <c r="L20" s="767"/>
      <c r="M20" s="767"/>
      <c r="N20" s="767"/>
      <c r="O20" s="767"/>
      <c r="P20" s="767"/>
      <c r="Q20" s="767"/>
      <c r="R20" s="767"/>
      <c r="S20" s="767"/>
      <c r="T20" s="767"/>
      <c r="U20" s="767"/>
      <c r="V20" s="767"/>
      <c r="W20" s="767"/>
    </row>
    <row r="21" spans="1:23" ht="8.4" customHeight="1">
      <c r="A21" s="58"/>
      <c r="B21" s="58"/>
      <c r="C21" s="58"/>
      <c r="D21" s="58"/>
      <c r="E21" s="58"/>
      <c r="F21" s="58"/>
      <c r="G21" s="58"/>
      <c r="H21" s="58"/>
      <c r="I21" s="58"/>
      <c r="J21" s="58"/>
      <c r="K21" s="58"/>
      <c r="L21" s="58"/>
      <c r="M21" s="58"/>
      <c r="N21" s="58"/>
      <c r="O21" s="58"/>
      <c r="P21" s="58"/>
      <c r="Q21" s="58"/>
      <c r="R21" s="58"/>
      <c r="S21" s="58"/>
      <c r="T21" s="58"/>
      <c r="U21" s="58"/>
      <c r="V21" s="58"/>
      <c r="W21" s="58"/>
    </row>
    <row r="22" spans="1:23" ht="13.8">
      <c r="A22" s="246" t="s">
        <v>356</v>
      </c>
      <c r="B22" s="246" t="s">
        <v>325</v>
      </c>
      <c r="C22" s="759" t="s">
        <v>324</v>
      </c>
      <c r="D22" s="759"/>
      <c r="E22" s="759"/>
      <c r="F22" s="57"/>
      <c r="G22" s="57"/>
      <c r="H22" s="57"/>
      <c r="I22" s="71"/>
      <c r="J22" s="71"/>
      <c r="K22" s="71"/>
      <c r="L22" s="71"/>
      <c r="M22" s="71"/>
      <c r="N22" s="71"/>
      <c r="O22" s="71"/>
      <c r="P22" s="71"/>
      <c r="Q22" s="71"/>
      <c r="R22" s="71"/>
      <c r="S22" s="71"/>
      <c r="T22" s="71"/>
      <c r="U22" s="71"/>
      <c r="V22" s="71"/>
      <c r="W22" s="71"/>
    </row>
    <row r="23" spans="1:23" ht="13.8">
      <c r="A23" s="247">
        <v>1</v>
      </c>
      <c r="B23" s="247">
        <v>2</v>
      </c>
      <c r="C23" s="760">
        <v>3</v>
      </c>
      <c r="D23" s="760"/>
      <c r="E23" s="760"/>
      <c r="F23" s="56"/>
      <c r="G23" s="56"/>
      <c r="H23" s="56"/>
      <c r="I23" s="71"/>
      <c r="J23" s="71"/>
      <c r="K23" s="71"/>
      <c r="L23" s="71"/>
      <c r="M23" s="71"/>
      <c r="N23" s="71"/>
      <c r="O23" s="71"/>
      <c r="P23" s="71"/>
      <c r="Q23" s="71"/>
      <c r="R23" s="71"/>
      <c r="S23" s="71"/>
      <c r="T23" s="71"/>
      <c r="U23" s="71"/>
      <c r="V23" s="71"/>
      <c r="W23" s="71"/>
    </row>
    <row r="24" spans="1:23" ht="62.4" customHeight="1">
      <c r="A24" s="254" t="s">
        <v>894</v>
      </c>
      <c r="B24" s="194" t="s">
        <v>1052</v>
      </c>
      <c r="C24" s="800" t="s">
        <v>1049</v>
      </c>
      <c r="D24" s="800"/>
      <c r="E24" s="800"/>
      <c r="F24" s="55"/>
      <c r="G24" s="55"/>
      <c r="H24" s="55"/>
      <c r="I24" s="71"/>
      <c r="J24" s="71"/>
      <c r="K24" s="71"/>
      <c r="L24" s="71"/>
      <c r="M24" s="71"/>
      <c r="N24" s="71"/>
      <c r="O24" s="71"/>
      <c r="P24" s="71"/>
      <c r="Q24" s="71"/>
      <c r="R24" s="71"/>
      <c r="S24" s="71"/>
      <c r="T24" s="71"/>
      <c r="U24" s="71"/>
      <c r="V24" s="71"/>
      <c r="W24" s="71"/>
    </row>
    <row r="25" spans="1:23" ht="18.600000000000001" customHeight="1">
      <c r="A25" s="245"/>
      <c r="B25" s="194"/>
      <c r="C25" s="800"/>
      <c r="D25" s="800"/>
      <c r="E25" s="800"/>
      <c r="F25" s="55"/>
      <c r="G25" s="55"/>
      <c r="H25" s="55"/>
      <c r="I25" s="71"/>
      <c r="J25" s="71"/>
      <c r="K25" s="71"/>
      <c r="L25" s="71"/>
      <c r="M25" s="71"/>
      <c r="N25" s="71"/>
      <c r="O25" s="71"/>
      <c r="P25" s="71"/>
      <c r="Q25" s="71"/>
      <c r="R25" s="71"/>
      <c r="S25" s="71"/>
      <c r="T25" s="71"/>
      <c r="U25" s="71"/>
      <c r="V25" s="71"/>
      <c r="W25" s="71"/>
    </row>
  </sheetData>
  <mergeCells count="9">
    <mergeCell ref="C22:E22"/>
    <mergeCell ref="C23:E23"/>
    <mergeCell ref="C24:E24"/>
    <mergeCell ref="C25:E25"/>
    <mergeCell ref="A1:E1"/>
    <mergeCell ref="A2:A3"/>
    <mergeCell ref="B2:B3"/>
    <mergeCell ref="C2:E2"/>
    <mergeCell ref="A20:W20"/>
  </mergeCells>
  <pageMargins left="0.70866141732283472" right="0.70866141732283472" top="0.47244094488188981" bottom="0.31496062992125984" header="0" footer="0"/>
  <pageSetup paperSize="9" scale="84" orientation="landscape" blackAndWhite="1" r:id="rId1"/>
</worksheet>
</file>

<file path=xl/worksheets/sheet9.xml><?xml version="1.0" encoding="utf-8"?>
<worksheet xmlns="http://schemas.openxmlformats.org/spreadsheetml/2006/main" xmlns:r="http://schemas.openxmlformats.org/officeDocument/2006/relationships">
  <sheetPr>
    <tabColor theme="9" tint="0.39997558519241921"/>
  </sheetPr>
  <dimension ref="A1:EK187"/>
  <sheetViews>
    <sheetView view="pageBreakPreview" zoomScaleSheetLayoutView="100" workbookViewId="0">
      <selection activeCell="AG30" sqref="AG30:AT30"/>
    </sheetView>
  </sheetViews>
  <sheetFormatPr defaultColWidth="1.109375" defaultRowHeight="15.6"/>
  <cols>
    <col min="1" max="19" width="1.109375" style="79"/>
    <col min="20" max="20" width="4.44140625" style="79" customWidth="1"/>
    <col min="21" max="108" width="1.109375" style="79"/>
    <col min="109" max="109" width="1.44140625" style="79" customWidth="1"/>
    <col min="110" max="125" width="1.109375" style="79"/>
    <col min="126" max="126" width="0.44140625" style="79" customWidth="1"/>
    <col min="127" max="127" width="1.109375" style="79" hidden="1" customWidth="1"/>
    <col min="128" max="128" width="0.33203125" style="79" customWidth="1"/>
    <col min="129" max="129" width="0.6640625" style="79" hidden="1" customWidth="1"/>
    <col min="130" max="133" width="1.109375" style="79" hidden="1" customWidth="1"/>
    <col min="134" max="134" width="15" style="79" customWidth="1"/>
    <col min="135" max="135" width="14.109375" style="79" customWidth="1"/>
    <col min="136" max="136" width="14.88671875" style="79" customWidth="1"/>
    <col min="137" max="137" width="17.109375" style="79" customWidth="1"/>
    <col min="138" max="138" width="7.88671875" style="79" customWidth="1"/>
    <col min="139" max="140" width="1.109375" style="79"/>
    <col min="141" max="141" width="17.33203125" style="79" hidden="1" customWidth="1"/>
    <col min="142" max="275" width="1.109375" style="79"/>
    <col min="276" max="276" width="4.44140625" style="79" customWidth="1"/>
    <col min="277" max="364" width="1.109375" style="79"/>
    <col min="365" max="365" width="1.44140625" style="79" customWidth="1"/>
    <col min="366" max="381" width="1.109375" style="79"/>
    <col min="382" max="382" width="0.44140625" style="79" customWidth="1"/>
    <col min="383" max="383" width="0" style="79" hidden="1" customWidth="1"/>
    <col min="384" max="384" width="0.33203125" style="79" customWidth="1"/>
    <col min="385" max="389" width="0" style="79" hidden="1" customWidth="1"/>
    <col min="390" max="390" width="15" style="79" customWidth="1"/>
    <col min="391" max="391" width="14.109375" style="79" customWidth="1"/>
    <col min="392" max="392" width="14.88671875" style="79" customWidth="1"/>
    <col min="393" max="393" width="10.6640625" style="79" customWidth="1"/>
    <col min="394" max="394" width="7.88671875" style="79" customWidth="1"/>
    <col min="395" max="396" width="1.109375" style="79"/>
    <col min="397" max="397" width="0" style="79" hidden="1" customWidth="1"/>
    <col min="398" max="531" width="1.109375" style="79"/>
    <col min="532" max="532" width="4.44140625" style="79" customWidth="1"/>
    <col min="533" max="620" width="1.109375" style="79"/>
    <col min="621" max="621" width="1.44140625" style="79" customWidth="1"/>
    <col min="622" max="637" width="1.109375" style="79"/>
    <col min="638" max="638" width="0.44140625" style="79" customWidth="1"/>
    <col min="639" max="639" width="0" style="79" hidden="1" customWidth="1"/>
    <col min="640" max="640" width="0.33203125" style="79" customWidth="1"/>
    <col min="641" max="645" width="0" style="79" hidden="1" customWidth="1"/>
    <col min="646" max="646" width="15" style="79" customWidth="1"/>
    <col min="647" max="647" width="14.109375" style="79" customWidth="1"/>
    <col min="648" max="648" width="14.88671875" style="79" customWidth="1"/>
    <col min="649" max="649" width="10.6640625" style="79" customWidth="1"/>
    <col min="650" max="650" width="7.88671875" style="79" customWidth="1"/>
    <col min="651" max="652" width="1.109375" style="79"/>
    <col min="653" max="653" width="0" style="79" hidden="1" customWidth="1"/>
    <col min="654" max="787" width="1.109375" style="79"/>
    <col min="788" max="788" width="4.44140625" style="79" customWidth="1"/>
    <col min="789" max="876" width="1.109375" style="79"/>
    <col min="877" max="877" width="1.44140625" style="79" customWidth="1"/>
    <col min="878" max="893" width="1.109375" style="79"/>
    <col min="894" max="894" width="0.44140625" style="79" customWidth="1"/>
    <col min="895" max="895" width="0" style="79" hidden="1" customWidth="1"/>
    <col min="896" max="896" width="0.33203125" style="79" customWidth="1"/>
    <col min="897" max="901" width="0" style="79" hidden="1" customWidth="1"/>
    <col min="902" max="902" width="15" style="79" customWidth="1"/>
    <col min="903" max="903" width="14.109375" style="79" customWidth="1"/>
    <col min="904" max="904" width="14.88671875" style="79" customWidth="1"/>
    <col min="905" max="905" width="10.6640625" style="79" customWidth="1"/>
    <col min="906" max="906" width="7.88671875" style="79" customWidth="1"/>
    <col min="907" max="908" width="1.109375" style="79"/>
    <col min="909" max="909" width="0" style="79" hidden="1" customWidth="1"/>
    <col min="910" max="1043" width="1.109375" style="79"/>
    <col min="1044" max="1044" width="4.44140625" style="79" customWidth="1"/>
    <col min="1045" max="1132" width="1.109375" style="79"/>
    <col min="1133" max="1133" width="1.44140625" style="79" customWidth="1"/>
    <col min="1134" max="1149" width="1.109375" style="79"/>
    <col min="1150" max="1150" width="0.44140625" style="79" customWidth="1"/>
    <col min="1151" max="1151" width="0" style="79" hidden="1" customWidth="1"/>
    <col min="1152" max="1152" width="0.33203125" style="79" customWidth="1"/>
    <col min="1153" max="1157" width="0" style="79" hidden="1" customWidth="1"/>
    <col min="1158" max="1158" width="15" style="79" customWidth="1"/>
    <col min="1159" max="1159" width="14.109375" style="79" customWidth="1"/>
    <col min="1160" max="1160" width="14.88671875" style="79" customWidth="1"/>
    <col min="1161" max="1161" width="10.6640625" style="79" customWidth="1"/>
    <col min="1162" max="1162" width="7.88671875" style="79" customWidth="1"/>
    <col min="1163" max="1164" width="1.109375" style="79"/>
    <col min="1165" max="1165" width="0" style="79" hidden="1" customWidth="1"/>
    <col min="1166" max="1299" width="1.109375" style="79"/>
    <col min="1300" max="1300" width="4.44140625" style="79" customWidth="1"/>
    <col min="1301" max="1388" width="1.109375" style="79"/>
    <col min="1389" max="1389" width="1.44140625" style="79" customWidth="1"/>
    <col min="1390" max="1405" width="1.109375" style="79"/>
    <col min="1406" max="1406" width="0.44140625" style="79" customWidth="1"/>
    <col min="1407" max="1407" width="0" style="79" hidden="1" customWidth="1"/>
    <col min="1408" max="1408" width="0.33203125" style="79" customWidth="1"/>
    <col min="1409" max="1413" width="0" style="79" hidden="1" customWidth="1"/>
    <col min="1414" max="1414" width="15" style="79" customWidth="1"/>
    <col min="1415" max="1415" width="14.109375" style="79" customWidth="1"/>
    <col min="1416" max="1416" width="14.88671875" style="79" customWidth="1"/>
    <col min="1417" max="1417" width="10.6640625" style="79" customWidth="1"/>
    <col min="1418" max="1418" width="7.88671875" style="79" customWidth="1"/>
    <col min="1419" max="1420" width="1.109375" style="79"/>
    <col min="1421" max="1421" width="0" style="79" hidden="1" customWidth="1"/>
    <col min="1422" max="1555" width="1.109375" style="79"/>
    <col min="1556" max="1556" width="4.44140625" style="79" customWidth="1"/>
    <col min="1557" max="1644" width="1.109375" style="79"/>
    <col min="1645" max="1645" width="1.44140625" style="79" customWidth="1"/>
    <col min="1646" max="1661" width="1.109375" style="79"/>
    <col min="1662" max="1662" width="0.44140625" style="79" customWidth="1"/>
    <col min="1663" max="1663" width="0" style="79" hidden="1" customWidth="1"/>
    <col min="1664" max="1664" width="0.33203125" style="79" customWidth="1"/>
    <col min="1665" max="1669" width="0" style="79" hidden="1" customWidth="1"/>
    <col min="1670" max="1670" width="15" style="79" customWidth="1"/>
    <col min="1671" max="1671" width="14.109375" style="79" customWidth="1"/>
    <col min="1672" max="1672" width="14.88671875" style="79" customWidth="1"/>
    <col min="1673" max="1673" width="10.6640625" style="79" customWidth="1"/>
    <col min="1674" max="1674" width="7.88671875" style="79" customWidth="1"/>
    <col min="1675" max="1676" width="1.109375" style="79"/>
    <col min="1677" max="1677" width="0" style="79" hidden="1" customWidth="1"/>
    <col min="1678" max="1811" width="1.109375" style="79"/>
    <col min="1812" max="1812" width="4.44140625" style="79" customWidth="1"/>
    <col min="1813" max="1900" width="1.109375" style="79"/>
    <col min="1901" max="1901" width="1.44140625" style="79" customWidth="1"/>
    <col min="1902" max="1917" width="1.109375" style="79"/>
    <col min="1918" max="1918" width="0.44140625" style="79" customWidth="1"/>
    <col min="1919" max="1919" width="0" style="79" hidden="1" customWidth="1"/>
    <col min="1920" max="1920" width="0.33203125" style="79" customWidth="1"/>
    <col min="1921" max="1925" width="0" style="79" hidden="1" customWidth="1"/>
    <col min="1926" max="1926" width="15" style="79" customWidth="1"/>
    <col min="1927" max="1927" width="14.109375" style="79" customWidth="1"/>
    <col min="1928" max="1928" width="14.88671875" style="79" customWidth="1"/>
    <col min="1929" max="1929" width="10.6640625" style="79" customWidth="1"/>
    <col min="1930" max="1930" width="7.88671875" style="79" customWidth="1"/>
    <col min="1931" max="1932" width="1.109375" style="79"/>
    <col min="1933" max="1933" width="0" style="79" hidden="1" customWidth="1"/>
    <col min="1934" max="2067" width="1.109375" style="79"/>
    <col min="2068" max="2068" width="4.44140625" style="79" customWidth="1"/>
    <col min="2069" max="2156" width="1.109375" style="79"/>
    <col min="2157" max="2157" width="1.44140625" style="79" customWidth="1"/>
    <col min="2158" max="2173" width="1.109375" style="79"/>
    <col min="2174" max="2174" width="0.44140625" style="79" customWidth="1"/>
    <col min="2175" max="2175" width="0" style="79" hidden="1" customWidth="1"/>
    <col min="2176" max="2176" width="0.33203125" style="79" customWidth="1"/>
    <col min="2177" max="2181" width="0" style="79" hidden="1" customWidth="1"/>
    <col min="2182" max="2182" width="15" style="79" customWidth="1"/>
    <col min="2183" max="2183" width="14.109375" style="79" customWidth="1"/>
    <col min="2184" max="2184" width="14.88671875" style="79" customWidth="1"/>
    <col min="2185" max="2185" width="10.6640625" style="79" customWidth="1"/>
    <col min="2186" max="2186" width="7.88671875" style="79" customWidth="1"/>
    <col min="2187" max="2188" width="1.109375" style="79"/>
    <col min="2189" max="2189" width="0" style="79" hidden="1" customWidth="1"/>
    <col min="2190" max="2323" width="1.109375" style="79"/>
    <col min="2324" max="2324" width="4.44140625" style="79" customWidth="1"/>
    <col min="2325" max="2412" width="1.109375" style="79"/>
    <col min="2413" max="2413" width="1.44140625" style="79" customWidth="1"/>
    <col min="2414" max="2429" width="1.109375" style="79"/>
    <col min="2430" max="2430" width="0.44140625" style="79" customWidth="1"/>
    <col min="2431" max="2431" width="0" style="79" hidden="1" customWidth="1"/>
    <col min="2432" max="2432" width="0.33203125" style="79" customWidth="1"/>
    <col min="2433" max="2437" width="0" style="79" hidden="1" customWidth="1"/>
    <col min="2438" max="2438" width="15" style="79" customWidth="1"/>
    <col min="2439" max="2439" width="14.109375" style="79" customWidth="1"/>
    <col min="2440" max="2440" width="14.88671875" style="79" customWidth="1"/>
    <col min="2441" max="2441" width="10.6640625" style="79" customWidth="1"/>
    <col min="2442" max="2442" width="7.88671875" style="79" customWidth="1"/>
    <col min="2443" max="2444" width="1.109375" style="79"/>
    <col min="2445" max="2445" width="0" style="79" hidden="1" customWidth="1"/>
    <col min="2446" max="2579" width="1.109375" style="79"/>
    <col min="2580" max="2580" width="4.44140625" style="79" customWidth="1"/>
    <col min="2581" max="2668" width="1.109375" style="79"/>
    <col min="2669" max="2669" width="1.44140625" style="79" customWidth="1"/>
    <col min="2670" max="2685" width="1.109375" style="79"/>
    <col min="2686" max="2686" width="0.44140625" style="79" customWidth="1"/>
    <col min="2687" max="2687" width="0" style="79" hidden="1" customWidth="1"/>
    <col min="2688" max="2688" width="0.33203125" style="79" customWidth="1"/>
    <col min="2689" max="2693" width="0" style="79" hidden="1" customWidth="1"/>
    <col min="2694" max="2694" width="15" style="79" customWidth="1"/>
    <col min="2695" max="2695" width="14.109375" style="79" customWidth="1"/>
    <col min="2696" max="2696" width="14.88671875" style="79" customWidth="1"/>
    <col min="2697" max="2697" width="10.6640625" style="79" customWidth="1"/>
    <col min="2698" max="2698" width="7.88671875" style="79" customWidth="1"/>
    <col min="2699" max="2700" width="1.109375" style="79"/>
    <col min="2701" max="2701" width="0" style="79" hidden="1" customWidth="1"/>
    <col min="2702" max="2835" width="1.109375" style="79"/>
    <col min="2836" max="2836" width="4.44140625" style="79" customWidth="1"/>
    <col min="2837" max="2924" width="1.109375" style="79"/>
    <col min="2925" max="2925" width="1.44140625" style="79" customWidth="1"/>
    <col min="2926" max="2941" width="1.109375" style="79"/>
    <col min="2942" max="2942" width="0.44140625" style="79" customWidth="1"/>
    <col min="2943" max="2943" width="0" style="79" hidden="1" customWidth="1"/>
    <col min="2944" max="2944" width="0.33203125" style="79" customWidth="1"/>
    <col min="2945" max="2949" width="0" style="79" hidden="1" customWidth="1"/>
    <col min="2950" max="2950" width="15" style="79" customWidth="1"/>
    <col min="2951" max="2951" width="14.109375" style="79" customWidth="1"/>
    <col min="2952" max="2952" width="14.88671875" style="79" customWidth="1"/>
    <col min="2953" max="2953" width="10.6640625" style="79" customWidth="1"/>
    <col min="2954" max="2954" width="7.88671875" style="79" customWidth="1"/>
    <col min="2955" max="2956" width="1.109375" style="79"/>
    <col min="2957" max="2957" width="0" style="79" hidden="1" customWidth="1"/>
    <col min="2958" max="3091" width="1.109375" style="79"/>
    <col min="3092" max="3092" width="4.44140625" style="79" customWidth="1"/>
    <col min="3093" max="3180" width="1.109375" style="79"/>
    <col min="3181" max="3181" width="1.44140625" style="79" customWidth="1"/>
    <col min="3182" max="3197" width="1.109375" style="79"/>
    <col min="3198" max="3198" width="0.44140625" style="79" customWidth="1"/>
    <col min="3199" max="3199" width="0" style="79" hidden="1" customWidth="1"/>
    <col min="3200" max="3200" width="0.33203125" style="79" customWidth="1"/>
    <col min="3201" max="3205" width="0" style="79" hidden="1" customWidth="1"/>
    <col min="3206" max="3206" width="15" style="79" customWidth="1"/>
    <col min="3207" max="3207" width="14.109375" style="79" customWidth="1"/>
    <col min="3208" max="3208" width="14.88671875" style="79" customWidth="1"/>
    <col min="3209" max="3209" width="10.6640625" style="79" customWidth="1"/>
    <col min="3210" max="3210" width="7.88671875" style="79" customWidth="1"/>
    <col min="3211" max="3212" width="1.109375" style="79"/>
    <col min="3213" max="3213" width="0" style="79" hidden="1" customWidth="1"/>
    <col min="3214" max="3347" width="1.109375" style="79"/>
    <col min="3348" max="3348" width="4.44140625" style="79" customWidth="1"/>
    <col min="3349" max="3436" width="1.109375" style="79"/>
    <col min="3437" max="3437" width="1.44140625" style="79" customWidth="1"/>
    <col min="3438" max="3453" width="1.109375" style="79"/>
    <col min="3454" max="3454" width="0.44140625" style="79" customWidth="1"/>
    <col min="3455" max="3455" width="0" style="79" hidden="1" customWidth="1"/>
    <col min="3456" max="3456" width="0.33203125" style="79" customWidth="1"/>
    <col min="3457" max="3461" width="0" style="79" hidden="1" customWidth="1"/>
    <col min="3462" max="3462" width="15" style="79" customWidth="1"/>
    <col min="3463" max="3463" width="14.109375" style="79" customWidth="1"/>
    <col min="3464" max="3464" width="14.88671875" style="79" customWidth="1"/>
    <col min="3465" max="3465" width="10.6640625" style="79" customWidth="1"/>
    <col min="3466" max="3466" width="7.88671875" style="79" customWidth="1"/>
    <col min="3467" max="3468" width="1.109375" style="79"/>
    <col min="3469" max="3469" width="0" style="79" hidden="1" customWidth="1"/>
    <col min="3470" max="3603" width="1.109375" style="79"/>
    <col min="3604" max="3604" width="4.44140625" style="79" customWidth="1"/>
    <col min="3605" max="3692" width="1.109375" style="79"/>
    <col min="3693" max="3693" width="1.44140625" style="79" customWidth="1"/>
    <col min="3694" max="3709" width="1.109375" style="79"/>
    <col min="3710" max="3710" width="0.44140625" style="79" customWidth="1"/>
    <col min="3711" max="3711" width="0" style="79" hidden="1" customWidth="1"/>
    <col min="3712" max="3712" width="0.33203125" style="79" customWidth="1"/>
    <col min="3713" max="3717" width="0" style="79" hidden="1" customWidth="1"/>
    <col min="3718" max="3718" width="15" style="79" customWidth="1"/>
    <col min="3719" max="3719" width="14.109375" style="79" customWidth="1"/>
    <col min="3720" max="3720" width="14.88671875" style="79" customWidth="1"/>
    <col min="3721" max="3721" width="10.6640625" style="79" customWidth="1"/>
    <col min="3722" max="3722" width="7.88671875" style="79" customWidth="1"/>
    <col min="3723" max="3724" width="1.109375" style="79"/>
    <col min="3725" max="3725" width="0" style="79" hidden="1" customWidth="1"/>
    <col min="3726" max="3859" width="1.109375" style="79"/>
    <col min="3860" max="3860" width="4.44140625" style="79" customWidth="1"/>
    <col min="3861" max="3948" width="1.109375" style="79"/>
    <col min="3949" max="3949" width="1.44140625" style="79" customWidth="1"/>
    <col min="3950" max="3965" width="1.109375" style="79"/>
    <col min="3966" max="3966" width="0.44140625" style="79" customWidth="1"/>
    <col min="3967" max="3967" width="0" style="79" hidden="1" customWidth="1"/>
    <col min="3968" max="3968" width="0.33203125" style="79" customWidth="1"/>
    <col min="3969" max="3973" width="0" style="79" hidden="1" customWidth="1"/>
    <col min="3974" max="3974" width="15" style="79" customWidth="1"/>
    <col min="3975" max="3975" width="14.109375" style="79" customWidth="1"/>
    <col min="3976" max="3976" width="14.88671875" style="79" customWidth="1"/>
    <col min="3977" max="3977" width="10.6640625" style="79" customWidth="1"/>
    <col min="3978" max="3978" width="7.88671875" style="79" customWidth="1"/>
    <col min="3979" max="3980" width="1.109375" style="79"/>
    <col min="3981" max="3981" width="0" style="79" hidden="1" customWidth="1"/>
    <col min="3982" max="4115" width="1.109375" style="79"/>
    <col min="4116" max="4116" width="4.44140625" style="79" customWidth="1"/>
    <col min="4117" max="4204" width="1.109375" style="79"/>
    <col min="4205" max="4205" width="1.44140625" style="79" customWidth="1"/>
    <col min="4206" max="4221" width="1.109375" style="79"/>
    <col min="4222" max="4222" width="0.44140625" style="79" customWidth="1"/>
    <col min="4223" max="4223" width="0" style="79" hidden="1" customWidth="1"/>
    <col min="4224" max="4224" width="0.33203125" style="79" customWidth="1"/>
    <col min="4225" max="4229" width="0" style="79" hidden="1" customWidth="1"/>
    <col min="4230" max="4230" width="15" style="79" customWidth="1"/>
    <col min="4231" max="4231" width="14.109375" style="79" customWidth="1"/>
    <col min="4232" max="4232" width="14.88671875" style="79" customWidth="1"/>
    <col min="4233" max="4233" width="10.6640625" style="79" customWidth="1"/>
    <col min="4234" max="4234" width="7.88671875" style="79" customWidth="1"/>
    <col min="4235" max="4236" width="1.109375" style="79"/>
    <col min="4237" max="4237" width="0" style="79" hidden="1" customWidth="1"/>
    <col min="4238" max="4371" width="1.109375" style="79"/>
    <col min="4372" max="4372" width="4.44140625" style="79" customWidth="1"/>
    <col min="4373" max="4460" width="1.109375" style="79"/>
    <col min="4461" max="4461" width="1.44140625" style="79" customWidth="1"/>
    <col min="4462" max="4477" width="1.109375" style="79"/>
    <col min="4478" max="4478" width="0.44140625" style="79" customWidth="1"/>
    <col min="4479" max="4479" width="0" style="79" hidden="1" customWidth="1"/>
    <col min="4480" max="4480" width="0.33203125" style="79" customWidth="1"/>
    <col min="4481" max="4485" width="0" style="79" hidden="1" customWidth="1"/>
    <col min="4486" max="4486" width="15" style="79" customWidth="1"/>
    <col min="4487" max="4487" width="14.109375" style="79" customWidth="1"/>
    <col min="4488" max="4488" width="14.88671875" style="79" customWidth="1"/>
    <col min="4489" max="4489" width="10.6640625" style="79" customWidth="1"/>
    <col min="4490" max="4490" width="7.88671875" style="79" customWidth="1"/>
    <col min="4491" max="4492" width="1.109375" style="79"/>
    <col min="4493" max="4493" width="0" style="79" hidden="1" customWidth="1"/>
    <col min="4494" max="4627" width="1.109375" style="79"/>
    <col min="4628" max="4628" width="4.44140625" style="79" customWidth="1"/>
    <col min="4629" max="4716" width="1.109375" style="79"/>
    <col min="4717" max="4717" width="1.44140625" style="79" customWidth="1"/>
    <col min="4718" max="4733" width="1.109375" style="79"/>
    <col min="4734" max="4734" width="0.44140625" style="79" customWidth="1"/>
    <col min="4735" max="4735" width="0" style="79" hidden="1" customWidth="1"/>
    <col min="4736" max="4736" width="0.33203125" style="79" customWidth="1"/>
    <col min="4737" max="4741" width="0" style="79" hidden="1" customWidth="1"/>
    <col min="4742" max="4742" width="15" style="79" customWidth="1"/>
    <col min="4743" max="4743" width="14.109375" style="79" customWidth="1"/>
    <col min="4744" max="4744" width="14.88671875" style="79" customWidth="1"/>
    <col min="4745" max="4745" width="10.6640625" style="79" customWidth="1"/>
    <col min="4746" max="4746" width="7.88671875" style="79" customWidth="1"/>
    <col min="4747" max="4748" width="1.109375" style="79"/>
    <col min="4749" max="4749" width="0" style="79" hidden="1" customWidth="1"/>
    <col min="4750" max="4883" width="1.109375" style="79"/>
    <col min="4884" max="4884" width="4.44140625" style="79" customWidth="1"/>
    <col min="4885" max="4972" width="1.109375" style="79"/>
    <col min="4973" max="4973" width="1.44140625" style="79" customWidth="1"/>
    <col min="4974" max="4989" width="1.109375" style="79"/>
    <col min="4990" max="4990" width="0.44140625" style="79" customWidth="1"/>
    <col min="4991" max="4991" width="0" style="79" hidden="1" customWidth="1"/>
    <col min="4992" max="4992" width="0.33203125" style="79" customWidth="1"/>
    <col min="4993" max="4997" width="0" style="79" hidden="1" customWidth="1"/>
    <col min="4998" max="4998" width="15" style="79" customWidth="1"/>
    <col min="4999" max="4999" width="14.109375" style="79" customWidth="1"/>
    <col min="5000" max="5000" width="14.88671875" style="79" customWidth="1"/>
    <col min="5001" max="5001" width="10.6640625" style="79" customWidth="1"/>
    <col min="5002" max="5002" width="7.88671875" style="79" customWidth="1"/>
    <col min="5003" max="5004" width="1.109375" style="79"/>
    <col min="5005" max="5005" width="0" style="79" hidden="1" customWidth="1"/>
    <col min="5006" max="5139" width="1.109375" style="79"/>
    <col min="5140" max="5140" width="4.44140625" style="79" customWidth="1"/>
    <col min="5141" max="5228" width="1.109375" style="79"/>
    <col min="5229" max="5229" width="1.44140625" style="79" customWidth="1"/>
    <col min="5230" max="5245" width="1.109375" style="79"/>
    <col min="5246" max="5246" width="0.44140625" style="79" customWidth="1"/>
    <col min="5247" max="5247" width="0" style="79" hidden="1" customWidth="1"/>
    <col min="5248" max="5248" width="0.33203125" style="79" customWidth="1"/>
    <col min="5249" max="5253" width="0" style="79" hidden="1" customWidth="1"/>
    <col min="5254" max="5254" width="15" style="79" customWidth="1"/>
    <col min="5255" max="5255" width="14.109375" style="79" customWidth="1"/>
    <col min="5256" max="5256" width="14.88671875" style="79" customWidth="1"/>
    <col min="5257" max="5257" width="10.6640625" style="79" customWidth="1"/>
    <col min="5258" max="5258" width="7.88671875" style="79" customWidth="1"/>
    <col min="5259" max="5260" width="1.109375" style="79"/>
    <col min="5261" max="5261" width="0" style="79" hidden="1" customWidth="1"/>
    <col min="5262" max="5395" width="1.109375" style="79"/>
    <col min="5396" max="5396" width="4.44140625" style="79" customWidth="1"/>
    <col min="5397" max="5484" width="1.109375" style="79"/>
    <col min="5485" max="5485" width="1.44140625" style="79" customWidth="1"/>
    <col min="5486" max="5501" width="1.109375" style="79"/>
    <col min="5502" max="5502" width="0.44140625" style="79" customWidth="1"/>
    <col min="5503" max="5503" width="0" style="79" hidden="1" customWidth="1"/>
    <col min="5504" max="5504" width="0.33203125" style="79" customWidth="1"/>
    <col min="5505" max="5509" width="0" style="79" hidden="1" customWidth="1"/>
    <col min="5510" max="5510" width="15" style="79" customWidth="1"/>
    <col min="5511" max="5511" width="14.109375" style="79" customWidth="1"/>
    <col min="5512" max="5512" width="14.88671875" style="79" customWidth="1"/>
    <col min="5513" max="5513" width="10.6640625" style="79" customWidth="1"/>
    <col min="5514" max="5514" width="7.88671875" style="79" customWidth="1"/>
    <col min="5515" max="5516" width="1.109375" style="79"/>
    <col min="5517" max="5517" width="0" style="79" hidden="1" customWidth="1"/>
    <col min="5518" max="5651" width="1.109375" style="79"/>
    <col min="5652" max="5652" width="4.44140625" style="79" customWidth="1"/>
    <col min="5653" max="5740" width="1.109375" style="79"/>
    <col min="5741" max="5741" width="1.44140625" style="79" customWidth="1"/>
    <col min="5742" max="5757" width="1.109375" style="79"/>
    <col min="5758" max="5758" width="0.44140625" style="79" customWidth="1"/>
    <col min="5759" max="5759" width="0" style="79" hidden="1" customWidth="1"/>
    <col min="5760" max="5760" width="0.33203125" style="79" customWidth="1"/>
    <col min="5761" max="5765" width="0" style="79" hidden="1" customWidth="1"/>
    <col min="5766" max="5766" width="15" style="79" customWidth="1"/>
    <col min="5767" max="5767" width="14.109375" style="79" customWidth="1"/>
    <col min="5768" max="5768" width="14.88671875" style="79" customWidth="1"/>
    <col min="5769" max="5769" width="10.6640625" style="79" customWidth="1"/>
    <col min="5770" max="5770" width="7.88671875" style="79" customWidth="1"/>
    <col min="5771" max="5772" width="1.109375" style="79"/>
    <col min="5773" max="5773" width="0" style="79" hidden="1" customWidth="1"/>
    <col min="5774" max="5907" width="1.109375" style="79"/>
    <col min="5908" max="5908" width="4.44140625" style="79" customWidth="1"/>
    <col min="5909" max="5996" width="1.109375" style="79"/>
    <col min="5997" max="5997" width="1.44140625" style="79" customWidth="1"/>
    <col min="5998" max="6013" width="1.109375" style="79"/>
    <col min="6014" max="6014" width="0.44140625" style="79" customWidth="1"/>
    <col min="6015" max="6015" width="0" style="79" hidden="1" customWidth="1"/>
    <col min="6016" max="6016" width="0.33203125" style="79" customWidth="1"/>
    <col min="6017" max="6021" width="0" style="79" hidden="1" customWidth="1"/>
    <col min="6022" max="6022" width="15" style="79" customWidth="1"/>
    <col min="6023" max="6023" width="14.109375" style="79" customWidth="1"/>
    <col min="6024" max="6024" width="14.88671875" style="79" customWidth="1"/>
    <col min="6025" max="6025" width="10.6640625" style="79" customWidth="1"/>
    <col min="6026" max="6026" width="7.88671875" style="79" customWidth="1"/>
    <col min="6027" max="6028" width="1.109375" style="79"/>
    <col min="6029" max="6029" width="0" style="79" hidden="1" customWidth="1"/>
    <col min="6030" max="6163" width="1.109375" style="79"/>
    <col min="6164" max="6164" width="4.44140625" style="79" customWidth="1"/>
    <col min="6165" max="6252" width="1.109375" style="79"/>
    <col min="6253" max="6253" width="1.44140625" style="79" customWidth="1"/>
    <col min="6254" max="6269" width="1.109375" style="79"/>
    <col min="6270" max="6270" width="0.44140625" style="79" customWidth="1"/>
    <col min="6271" max="6271" width="0" style="79" hidden="1" customWidth="1"/>
    <col min="6272" max="6272" width="0.33203125" style="79" customWidth="1"/>
    <col min="6273" max="6277" width="0" style="79" hidden="1" customWidth="1"/>
    <col min="6278" max="6278" width="15" style="79" customWidth="1"/>
    <col min="6279" max="6279" width="14.109375" style="79" customWidth="1"/>
    <col min="6280" max="6280" width="14.88671875" style="79" customWidth="1"/>
    <col min="6281" max="6281" width="10.6640625" style="79" customWidth="1"/>
    <col min="6282" max="6282" width="7.88671875" style="79" customWidth="1"/>
    <col min="6283" max="6284" width="1.109375" style="79"/>
    <col min="6285" max="6285" width="0" style="79" hidden="1" customWidth="1"/>
    <col min="6286" max="6419" width="1.109375" style="79"/>
    <col min="6420" max="6420" width="4.44140625" style="79" customWidth="1"/>
    <col min="6421" max="6508" width="1.109375" style="79"/>
    <col min="6509" max="6509" width="1.44140625" style="79" customWidth="1"/>
    <col min="6510" max="6525" width="1.109375" style="79"/>
    <col min="6526" max="6526" width="0.44140625" style="79" customWidth="1"/>
    <col min="6527" max="6527" width="0" style="79" hidden="1" customWidth="1"/>
    <col min="6528" max="6528" width="0.33203125" style="79" customWidth="1"/>
    <col min="6529" max="6533" width="0" style="79" hidden="1" customWidth="1"/>
    <col min="6534" max="6534" width="15" style="79" customWidth="1"/>
    <col min="6535" max="6535" width="14.109375" style="79" customWidth="1"/>
    <col min="6536" max="6536" width="14.88671875" style="79" customWidth="1"/>
    <col min="6537" max="6537" width="10.6640625" style="79" customWidth="1"/>
    <col min="6538" max="6538" width="7.88671875" style="79" customWidth="1"/>
    <col min="6539" max="6540" width="1.109375" style="79"/>
    <col min="6541" max="6541" width="0" style="79" hidden="1" customWidth="1"/>
    <col min="6542" max="6675" width="1.109375" style="79"/>
    <col min="6676" max="6676" width="4.44140625" style="79" customWidth="1"/>
    <col min="6677" max="6764" width="1.109375" style="79"/>
    <col min="6765" max="6765" width="1.44140625" style="79" customWidth="1"/>
    <col min="6766" max="6781" width="1.109375" style="79"/>
    <col min="6782" max="6782" width="0.44140625" style="79" customWidth="1"/>
    <col min="6783" max="6783" width="0" style="79" hidden="1" customWidth="1"/>
    <col min="6784" max="6784" width="0.33203125" style="79" customWidth="1"/>
    <col min="6785" max="6789" width="0" style="79" hidden="1" customWidth="1"/>
    <col min="6790" max="6790" width="15" style="79" customWidth="1"/>
    <col min="6791" max="6791" width="14.109375" style="79" customWidth="1"/>
    <col min="6792" max="6792" width="14.88671875" style="79" customWidth="1"/>
    <col min="6793" max="6793" width="10.6640625" style="79" customWidth="1"/>
    <col min="6794" max="6794" width="7.88671875" style="79" customWidth="1"/>
    <col min="6795" max="6796" width="1.109375" style="79"/>
    <col min="6797" max="6797" width="0" style="79" hidden="1" customWidth="1"/>
    <col min="6798" max="6931" width="1.109375" style="79"/>
    <col min="6932" max="6932" width="4.44140625" style="79" customWidth="1"/>
    <col min="6933" max="7020" width="1.109375" style="79"/>
    <col min="7021" max="7021" width="1.44140625" style="79" customWidth="1"/>
    <col min="7022" max="7037" width="1.109375" style="79"/>
    <col min="7038" max="7038" width="0.44140625" style="79" customWidth="1"/>
    <col min="7039" max="7039" width="0" style="79" hidden="1" customWidth="1"/>
    <col min="7040" max="7040" width="0.33203125" style="79" customWidth="1"/>
    <col min="7041" max="7045" width="0" style="79" hidden="1" customWidth="1"/>
    <col min="7046" max="7046" width="15" style="79" customWidth="1"/>
    <col min="7047" max="7047" width="14.109375" style="79" customWidth="1"/>
    <col min="7048" max="7048" width="14.88671875" style="79" customWidth="1"/>
    <col min="7049" max="7049" width="10.6640625" style="79" customWidth="1"/>
    <col min="7050" max="7050" width="7.88671875" style="79" customWidth="1"/>
    <col min="7051" max="7052" width="1.109375" style="79"/>
    <col min="7053" max="7053" width="0" style="79" hidden="1" customWidth="1"/>
    <col min="7054" max="7187" width="1.109375" style="79"/>
    <col min="7188" max="7188" width="4.44140625" style="79" customWidth="1"/>
    <col min="7189" max="7276" width="1.109375" style="79"/>
    <col min="7277" max="7277" width="1.44140625" style="79" customWidth="1"/>
    <col min="7278" max="7293" width="1.109375" style="79"/>
    <col min="7294" max="7294" width="0.44140625" style="79" customWidth="1"/>
    <col min="7295" max="7295" width="0" style="79" hidden="1" customWidth="1"/>
    <col min="7296" max="7296" width="0.33203125" style="79" customWidth="1"/>
    <col min="7297" max="7301" width="0" style="79" hidden="1" customWidth="1"/>
    <col min="7302" max="7302" width="15" style="79" customWidth="1"/>
    <col min="7303" max="7303" width="14.109375" style="79" customWidth="1"/>
    <col min="7304" max="7304" width="14.88671875" style="79" customWidth="1"/>
    <col min="7305" max="7305" width="10.6640625" style="79" customWidth="1"/>
    <col min="7306" max="7306" width="7.88671875" style="79" customWidth="1"/>
    <col min="7307" max="7308" width="1.109375" style="79"/>
    <col min="7309" max="7309" width="0" style="79" hidden="1" customWidth="1"/>
    <col min="7310" max="7443" width="1.109375" style="79"/>
    <col min="7444" max="7444" width="4.44140625" style="79" customWidth="1"/>
    <col min="7445" max="7532" width="1.109375" style="79"/>
    <col min="7533" max="7533" width="1.44140625" style="79" customWidth="1"/>
    <col min="7534" max="7549" width="1.109375" style="79"/>
    <col min="7550" max="7550" width="0.44140625" style="79" customWidth="1"/>
    <col min="7551" max="7551" width="0" style="79" hidden="1" customWidth="1"/>
    <col min="7552" max="7552" width="0.33203125" style="79" customWidth="1"/>
    <col min="7553" max="7557" width="0" style="79" hidden="1" customWidth="1"/>
    <col min="7558" max="7558" width="15" style="79" customWidth="1"/>
    <col min="7559" max="7559" width="14.109375" style="79" customWidth="1"/>
    <col min="7560" max="7560" width="14.88671875" style="79" customWidth="1"/>
    <col min="7561" max="7561" width="10.6640625" style="79" customWidth="1"/>
    <col min="7562" max="7562" width="7.88671875" style="79" customWidth="1"/>
    <col min="7563" max="7564" width="1.109375" style="79"/>
    <col min="7565" max="7565" width="0" style="79" hidden="1" customWidth="1"/>
    <col min="7566" max="7699" width="1.109375" style="79"/>
    <col min="7700" max="7700" width="4.44140625" style="79" customWidth="1"/>
    <col min="7701" max="7788" width="1.109375" style="79"/>
    <col min="7789" max="7789" width="1.44140625" style="79" customWidth="1"/>
    <col min="7790" max="7805" width="1.109375" style="79"/>
    <col min="7806" max="7806" width="0.44140625" style="79" customWidth="1"/>
    <col min="7807" max="7807" width="0" style="79" hidden="1" customWidth="1"/>
    <col min="7808" max="7808" width="0.33203125" style="79" customWidth="1"/>
    <col min="7809" max="7813" width="0" style="79" hidden="1" customWidth="1"/>
    <col min="7814" max="7814" width="15" style="79" customWidth="1"/>
    <col min="7815" max="7815" width="14.109375" style="79" customWidth="1"/>
    <col min="7816" max="7816" width="14.88671875" style="79" customWidth="1"/>
    <col min="7817" max="7817" width="10.6640625" style="79" customWidth="1"/>
    <col min="7818" max="7818" width="7.88671875" style="79" customWidth="1"/>
    <col min="7819" max="7820" width="1.109375" style="79"/>
    <col min="7821" max="7821" width="0" style="79" hidden="1" customWidth="1"/>
    <col min="7822" max="7955" width="1.109375" style="79"/>
    <col min="7956" max="7956" width="4.44140625" style="79" customWidth="1"/>
    <col min="7957" max="8044" width="1.109375" style="79"/>
    <col min="8045" max="8045" width="1.44140625" style="79" customWidth="1"/>
    <col min="8046" max="8061" width="1.109375" style="79"/>
    <col min="8062" max="8062" width="0.44140625" style="79" customWidth="1"/>
    <col min="8063" max="8063" width="0" style="79" hidden="1" customWidth="1"/>
    <col min="8064" max="8064" width="0.33203125" style="79" customWidth="1"/>
    <col min="8065" max="8069" width="0" style="79" hidden="1" customWidth="1"/>
    <col min="8070" max="8070" width="15" style="79" customWidth="1"/>
    <col min="8071" max="8071" width="14.109375" style="79" customWidth="1"/>
    <col min="8072" max="8072" width="14.88671875" style="79" customWidth="1"/>
    <col min="8073" max="8073" width="10.6640625" style="79" customWidth="1"/>
    <col min="8074" max="8074" width="7.88671875" style="79" customWidth="1"/>
    <col min="8075" max="8076" width="1.109375" style="79"/>
    <col min="8077" max="8077" width="0" style="79" hidden="1" customWidth="1"/>
    <col min="8078" max="8211" width="1.109375" style="79"/>
    <col min="8212" max="8212" width="4.44140625" style="79" customWidth="1"/>
    <col min="8213" max="8300" width="1.109375" style="79"/>
    <col min="8301" max="8301" width="1.44140625" style="79" customWidth="1"/>
    <col min="8302" max="8317" width="1.109375" style="79"/>
    <col min="8318" max="8318" width="0.44140625" style="79" customWidth="1"/>
    <col min="8319" max="8319" width="0" style="79" hidden="1" customWidth="1"/>
    <col min="8320" max="8320" width="0.33203125" style="79" customWidth="1"/>
    <col min="8321" max="8325" width="0" style="79" hidden="1" customWidth="1"/>
    <col min="8326" max="8326" width="15" style="79" customWidth="1"/>
    <col min="8327" max="8327" width="14.109375" style="79" customWidth="1"/>
    <col min="8328" max="8328" width="14.88671875" style="79" customWidth="1"/>
    <col min="8329" max="8329" width="10.6640625" style="79" customWidth="1"/>
    <col min="8330" max="8330" width="7.88671875" style="79" customWidth="1"/>
    <col min="8331" max="8332" width="1.109375" style="79"/>
    <col min="8333" max="8333" width="0" style="79" hidden="1" customWidth="1"/>
    <col min="8334" max="8467" width="1.109375" style="79"/>
    <col min="8468" max="8468" width="4.44140625" style="79" customWidth="1"/>
    <col min="8469" max="8556" width="1.109375" style="79"/>
    <col min="8557" max="8557" width="1.44140625" style="79" customWidth="1"/>
    <col min="8558" max="8573" width="1.109375" style="79"/>
    <col min="8574" max="8574" width="0.44140625" style="79" customWidth="1"/>
    <col min="8575" max="8575" width="0" style="79" hidden="1" customWidth="1"/>
    <col min="8576" max="8576" width="0.33203125" style="79" customWidth="1"/>
    <col min="8577" max="8581" width="0" style="79" hidden="1" customWidth="1"/>
    <col min="8582" max="8582" width="15" style="79" customWidth="1"/>
    <col min="8583" max="8583" width="14.109375" style="79" customWidth="1"/>
    <col min="8584" max="8584" width="14.88671875" style="79" customWidth="1"/>
    <col min="8585" max="8585" width="10.6640625" style="79" customWidth="1"/>
    <col min="8586" max="8586" width="7.88671875" style="79" customWidth="1"/>
    <col min="8587" max="8588" width="1.109375" style="79"/>
    <col min="8589" max="8589" width="0" style="79" hidden="1" customWidth="1"/>
    <col min="8590" max="8723" width="1.109375" style="79"/>
    <col min="8724" max="8724" width="4.44140625" style="79" customWidth="1"/>
    <col min="8725" max="8812" width="1.109375" style="79"/>
    <col min="8813" max="8813" width="1.44140625" style="79" customWidth="1"/>
    <col min="8814" max="8829" width="1.109375" style="79"/>
    <col min="8830" max="8830" width="0.44140625" style="79" customWidth="1"/>
    <col min="8831" max="8831" width="0" style="79" hidden="1" customWidth="1"/>
    <col min="8832" max="8832" width="0.33203125" style="79" customWidth="1"/>
    <col min="8833" max="8837" width="0" style="79" hidden="1" customWidth="1"/>
    <col min="8838" max="8838" width="15" style="79" customWidth="1"/>
    <col min="8839" max="8839" width="14.109375" style="79" customWidth="1"/>
    <col min="8840" max="8840" width="14.88671875" style="79" customWidth="1"/>
    <col min="8841" max="8841" width="10.6640625" style="79" customWidth="1"/>
    <col min="8842" max="8842" width="7.88671875" style="79" customWidth="1"/>
    <col min="8843" max="8844" width="1.109375" style="79"/>
    <col min="8845" max="8845" width="0" style="79" hidden="1" customWidth="1"/>
    <col min="8846" max="8979" width="1.109375" style="79"/>
    <col min="8980" max="8980" width="4.44140625" style="79" customWidth="1"/>
    <col min="8981" max="9068" width="1.109375" style="79"/>
    <col min="9069" max="9069" width="1.44140625" style="79" customWidth="1"/>
    <col min="9070" max="9085" width="1.109375" style="79"/>
    <col min="9086" max="9086" width="0.44140625" style="79" customWidth="1"/>
    <col min="9087" max="9087" width="0" style="79" hidden="1" customWidth="1"/>
    <col min="9088" max="9088" width="0.33203125" style="79" customWidth="1"/>
    <col min="9089" max="9093" width="0" style="79" hidden="1" customWidth="1"/>
    <col min="9094" max="9094" width="15" style="79" customWidth="1"/>
    <col min="9095" max="9095" width="14.109375" style="79" customWidth="1"/>
    <col min="9096" max="9096" width="14.88671875" style="79" customWidth="1"/>
    <col min="9097" max="9097" width="10.6640625" style="79" customWidth="1"/>
    <col min="9098" max="9098" width="7.88671875" style="79" customWidth="1"/>
    <col min="9099" max="9100" width="1.109375" style="79"/>
    <col min="9101" max="9101" width="0" style="79" hidden="1" customWidth="1"/>
    <col min="9102" max="9235" width="1.109375" style="79"/>
    <col min="9236" max="9236" width="4.44140625" style="79" customWidth="1"/>
    <col min="9237" max="9324" width="1.109375" style="79"/>
    <col min="9325" max="9325" width="1.44140625" style="79" customWidth="1"/>
    <col min="9326" max="9341" width="1.109375" style="79"/>
    <col min="9342" max="9342" width="0.44140625" style="79" customWidth="1"/>
    <col min="9343" max="9343" width="0" style="79" hidden="1" customWidth="1"/>
    <col min="9344" max="9344" width="0.33203125" style="79" customWidth="1"/>
    <col min="9345" max="9349" width="0" style="79" hidden="1" customWidth="1"/>
    <col min="9350" max="9350" width="15" style="79" customWidth="1"/>
    <col min="9351" max="9351" width="14.109375" style="79" customWidth="1"/>
    <col min="9352" max="9352" width="14.88671875" style="79" customWidth="1"/>
    <col min="9353" max="9353" width="10.6640625" style="79" customWidth="1"/>
    <col min="9354" max="9354" width="7.88671875" style="79" customWidth="1"/>
    <col min="9355" max="9356" width="1.109375" style="79"/>
    <col min="9357" max="9357" width="0" style="79" hidden="1" customWidth="1"/>
    <col min="9358" max="9491" width="1.109375" style="79"/>
    <col min="9492" max="9492" width="4.44140625" style="79" customWidth="1"/>
    <col min="9493" max="9580" width="1.109375" style="79"/>
    <col min="9581" max="9581" width="1.44140625" style="79" customWidth="1"/>
    <col min="9582" max="9597" width="1.109375" style="79"/>
    <col min="9598" max="9598" width="0.44140625" style="79" customWidth="1"/>
    <col min="9599" max="9599" width="0" style="79" hidden="1" customWidth="1"/>
    <col min="9600" max="9600" width="0.33203125" style="79" customWidth="1"/>
    <col min="9601" max="9605" width="0" style="79" hidden="1" customWidth="1"/>
    <col min="9606" max="9606" width="15" style="79" customWidth="1"/>
    <col min="9607" max="9607" width="14.109375" style="79" customWidth="1"/>
    <col min="9608" max="9608" width="14.88671875" style="79" customWidth="1"/>
    <col min="9609" max="9609" width="10.6640625" style="79" customWidth="1"/>
    <col min="9610" max="9610" width="7.88671875" style="79" customWidth="1"/>
    <col min="9611" max="9612" width="1.109375" style="79"/>
    <col min="9613" max="9613" width="0" style="79" hidden="1" customWidth="1"/>
    <col min="9614" max="9747" width="1.109375" style="79"/>
    <col min="9748" max="9748" width="4.44140625" style="79" customWidth="1"/>
    <col min="9749" max="9836" width="1.109375" style="79"/>
    <col min="9837" max="9837" width="1.44140625" style="79" customWidth="1"/>
    <col min="9838" max="9853" width="1.109375" style="79"/>
    <col min="9854" max="9854" width="0.44140625" style="79" customWidth="1"/>
    <col min="9855" max="9855" width="0" style="79" hidden="1" customWidth="1"/>
    <col min="9856" max="9856" width="0.33203125" style="79" customWidth="1"/>
    <col min="9857" max="9861" width="0" style="79" hidden="1" customWidth="1"/>
    <col min="9862" max="9862" width="15" style="79" customWidth="1"/>
    <col min="9863" max="9863" width="14.109375" style="79" customWidth="1"/>
    <col min="9864" max="9864" width="14.88671875" style="79" customWidth="1"/>
    <col min="9865" max="9865" width="10.6640625" style="79" customWidth="1"/>
    <col min="9866" max="9866" width="7.88671875" style="79" customWidth="1"/>
    <col min="9867" max="9868" width="1.109375" style="79"/>
    <col min="9869" max="9869" width="0" style="79" hidden="1" customWidth="1"/>
    <col min="9870" max="10003" width="1.109375" style="79"/>
    <col min="10004" max="10004" width="4.44140625" style="79" customWidth="1"/>
    <col min="10005" max="10092" width="1.109375" style="79"/>
    <col min="10093" max="10093" width="1.44140625" style="79" customWidth="1"/>
    <col min="10094" max="10109" width="1.109375" style="79"/>
    <col min="10110" max="10110" width="0.44140625" style="79" customWidth="1"/>
    <col min="10111" max="10111" width="0" style="79" hidden="1" customWidth="1"/>
    <col min="10112" max="10112" width="0.33203125" style="79" customWidth="1"/>
    <col min="10113" max="10117" width="0" style="79" hidden="1" customWidth="1"/>
    <col min="10118" max="10118" width="15" style="79" customWidth="1"/>
    <col min="10119" max="10119" width="14.109375" style="79" customWidth="1"/>
    <col min="10120" max="10120" width="14.88671875" style="79" customWidth="1"/>
    <col min="10121" max="10121" width="10.6640625" style="79" customWidth="1"/>
    <col min="10122" max="10122" width="7.88671875" style="79" customWidth="1"/>
    <col min="10123" max="10124" width="1.109375" style="79"/>
    <col min="10125" max="10125" width="0" style="79" hidden="1" customWidth="1"/>
    <col min="10126" max="10259" width="1.109375" style="79"/>
    <col min="10260" max="10260" width="4.44140625" style="79" customWidth="1"/>
    <col min="10261" max="10348" width="1.109375" style="79"/>
    <col min="10349" max="10349" width="1.44140625" style="79" customWidth="1"/>
    <col min="10350" max="10365" width="1.109375" style="79"/>
    <col min="10366" max="10366" width="0.44140625" style="79" customWidth="1"/>
    <col min="10367" max="10367" width="0" style="79" hidden="1" customWidth="1"/>
    <col min="10368" max="10368" width="0.33203125" style="79" customWidth="1"/>
    <col min="10369" max="10373" width="0" style="79" hidden="1" customWidth="1"/>
    <col min="10374" max="10374" width="15" style="79" customWidth="1"/>
    <col min="10375" max="10375" width="14.109375" style="79" customWidth="1"/>
    <col min="10376" max="10376" width="14.88671875" style="79" customWidth="1"/>
    <col min="10377" max="10377" width="10.6640625" style="79" customWidth="1"/>
    <col min="10378" max="10378" width="7.88671875" style="79" customWidth="1"/>
    <col min="10379" max="10380" width="1.109375" style="79"/>
    <col min="10381" max="10381" width="0" style="79" hidden="1" customWidth="1"/>
    <col min="10382" max="10515" width="1.109375" style="79"/>
    <col min="10516" max="10516" width="4.44140625" style="79" customWidth="1"/>
    <col min="10517" max="10604" width="1.109375" style="79"/>
    <col min="10605" max="10605" width="1.44140625" style="79" customWidth="1"/>
    <col min="10606" max="10621" width="1.109375" style="79"/>
    <col min="10622" max="10622" width="0.44140625" style="79" customWidth="1"/>
    <col min="10623" max="10623" width="0" style="79" hidden="1" customWidth="1"/>
    <col min="10624" max="10624" width="0.33203125" style="79" customWidth="1"/>
    <col min="10625" max="10629" width="0" style="79" hidden="1" customWidth="1"/>
    <col min="10630" max="10630" width="15" style="79" customWidth="1"/>
    <col min="10631" max="10631" width="14.109375" style="79" customWidth="1"/>
    <col min="10632" max="10632" width="14.88671875" style="79" customWidth="1"/>
    <col min="10633" max="10633" width="10.6640625" style="79" customWidth="1"/>
    <col min="10634" max="10634" width="7.88671875" style="79" customWidth="1"/>
    <col min="10635" max="10636" width="1.109375" style="79"/>
    <col min="10637" max="10637" width="0" style="79" hidden="1" customWidth="1"/>
    <col min="10638" max="10771" width="1.109375" style="79"/>
    <col min="10772" max="10772" width="4.44140625" style="79" customWidth="1"/>
    <col min="10773" max="10860" width="1.109375" style="79"/>
    <col min="10861" max="10861" width="1.44140625" style="79" customWidth="1"/>
    <col min="10862" max="10877" width="1.109375" style="79"/>
    <col min="10878" max="10878" width="0.44140625" style="79" customWidth="1"/>
    <col min="10879" max="10879" width="0" style="79" hidden="1" customWidth="1"/>
    <col min="10880" max="10880" width="0.33203125" style="79" customWidth="1"/>
    <col min="10881" max="10885" width="0" style="79" hidden="1" customWidth="1"/>
    <col min="10886" max="10886" width="15" style="79" customWidth="1"/>
    <col min="10887" max="10887" width="14.109375" style="79" customWidth="1"/>
    <col min="10888" max="10888" width="14.88671875" style="79" customWidth="1"/>
    <col min="10889" max="10889" width="10.6640625" style="79" customWidth="1"/>
    <col min="10890" max="10890" width="7.88671875" style="79" customWidth="1"/>
    <col min="10891" max="10892" width="1.109375" style="79"/>
    <col min="10893" max="10893" width="0" style="79" hidden="1" customWidth="1"/>
    <col min="10894" max="11027" width="1.109375" style="79"/>
    <col min="11028" max="11028" width="4.44140625" style="79" customWidth="1"/>
    <col min="11029" max="11116" width="1.109375" style="79"/>
    <col min="11117" max="11117" width="1.44140625" style="79" customWidth="1"/>
    <col min="11118" max="11133" width="1.109375" style="79"/>
    <col min="11134" max="11134" width="0.44140625" style="79" customWidth="1"/>
    <col min="11135" max="11135" width="0" style="79" hidden="1" customWidth="1"/>
    <col min="11136" max="11136" width="0.33203125" style="79" customWidth="1"/>
    <col min="11137" max="11141" width="0" style="79" hidden="1" customWidth="1"/>
    <col min="11142" max="11142" width="15" style="79" customWidth="1"/>
    <col min="11143" max="11143" width="14.109375" style="79" customWidth="1"/>
    <col min="11144" max="11144" width="14.88671875" style="79" customWidth="1"/>
    <col min="11145" max="11145" width="10.6640625" style="79" customWidth="1"/>
    <col min="11146" max="11146" width="7.88671875" style="79" customWidth="1"/>
    <col min="11147" max="11148" width="1.109375" style="79"/>
    <col min="11149" max="11149" width="0" style="79" hidden="1" customWidth="1"/>
    <col min="11150" max="11283" width="1.109375" style="79"/>
    <col min="11284" max="11284" width="4.44140625" style="79" customWidth="1"/>
    <col min="11285" max="11372" width="1.109375" style="79"/>
    <col min="11373" max="11373" width="1.44140625" style="79" customWidth="1"/>
    <col min="11374" max="11389" width="1.109375" style="79"/>
    <col min="11390" max="11390" width="0.44140625" style="79" customWidth="1"/>
    <col min="11391" max="11391" width="0" style="79" hidden="1" customWidth="1"/>
    <col min="11392" max="11392" width="0.33203125" style="79" customWidth="1"/>
    <col min="11393" max="11397" width="0" style="79" hidden="1" customWidth="1"/>
    <col min="11398" max="11398" width="15" style="79" customWidth="1"/>
    <col min="11399" max="11399" width="14.109375" style="79" customWidth="1"/>
    <col min="11400" max="11400" width="14.88671875" style="79" customWidth="1"/>
    <col min="11401" max="11401" width="10.6640625" style="79" customWidth="1"/>
    <col min="11402" max="11402" width="7.88671875" style="79" customWidth="1"/>
    <col min="11403" max="11404" width="1.109375" style="79"/>
    <col min="11405" max="11405" width="0" style="79" hidden="1" customWidth="1"/>
    <col min="11406" max="11539" width="1.109375" style="79"/>
    <col min="11540" max="11540" width="4.44140625" style="79" customWidth="1"/>
    <col min="11541" max="11628" width="1.109375" style="79"/>
    <col min="11629" max="11629" width="1.44140625" style="79" customWidth="1"/>
    <col min="11630" max="11645" width="1.109375" style="79"/>
    <col min="11646" max="11646" width="0.44140625" style="79" customWidth="1"/>
    <col min="11647" max="11647" width="0" style="79" hidden="1" customWidth="1"/>
    <col min="11648" max="11648" width="0.33203125" style="79" customWidth="1"/>
    <col min="11649" max="11653" width="0" style="79" hidden="1" customWidth="1"/>
    <col min="11654" max="11654" width="15" style="79" customWidth="1"/>
    <col min="11655" max="11655" width="14.109375" style="79" customWidth="1"/>
    <col min="11656" max="11656" width="14.88671875" style="79" customWidth="1"/>
    <col min="11657" max="11657" width="10.6640625" style="79" customWidth="1"/>
    <col min="11658" max="11658" width="7.88671875" style="79" customWidth="1"/>
    <col min="11659" max="11660" width="1.109375" style="79"/>
    <col min="11661" max="11661" width="0" style="79" hidden="1" customWidth="1"/>
    <col min="11662" max="11795" width="1.109375" style="79"/>
    <col min="11796" max="11796" width="4.44140625" style="79" customWidth="1"/>
    <col min="11797" max="11884" width="1.109375" style="79"/>
    <col min="11885" max="11885" width="1.44140625" style="79" customWidth="1"/>
    <col min="11886" max="11901" width="1.109375" style="79"/>
    <col min="11902" max="11902" width="0.44140625" style="79" customWidth="1"/>
    <col min="11903" max="11903" width="0" style="79" hidden="1" customWidth="1"/>
    <col min="11904" max="11904" width="0.33203125" style="79" customWidth="1"/>
    <col min="11905" max="11909" width="0" style="79" hidden="1" customWidth="1"/>
    <col min="11910" max="11910" width="15" style="79" customWidth="1"/>
    <col min="11911" max="11911" width="14.109375" style="79" customWidth="1"/>
    <col min="11912" max="11912" width="14.88671875" style="79" customWidth="1"/>
    <col min="11913" max="11913" width="10.6640625" style="79" customWidth="1"/>
    <col min="11914" max="11914" width="7.88671875" style="79" customWidth="1"/>
    <col min="11915" max="11916" width="1.109375" style="79"/>
    <col min="11917" max="11917" width="0" style="79" hidden="1" customWidth="1"/>
    <col min="11918" max="12051" width="1.109375" style="79"/>
    <col min="12052" max="12052" width="4.44140625" style="79" customWidth="1"/>
    <col min="12053" max="12140" width="1.109375" style="79"/>
    <col min="12141" max="12141" width="1.44140625" style="79" customWidth="1"/>
    <col min="12142" max="12157" width="1.109375" style="79"/>
    <col min="12158" max="12158" width="0.44140625" style="79" customWidth="1"/>
    <col min="12159" max="12159" width="0" style="79" hidden="1" customWidth="1"/>
    <col min="12160" max="12160" width="0.33203125" style="79" customWidth="1"/>
    <col min="12161" max="12165" width="0" style="79" hidden="1" customWidth="1"/>
    <col min="12166" max="12166" width="15" style="79" customWidth="1"/>
    <col min="12167" max="12167" width="14.109375" style="79" customWidth="1"/>
    <col min="12168" max="12168" width="14.88671875" style="79" customWidth="1"/>
    <col min="12169" max="12169" width="10.6640625" style="79" customWidth="1"/>
    <col min="12170" max="12170" width="7.88671875" style="79" customWidth="1"/>
    <col min="12171" max="12172" width="1.109375" style="79"/>
    <col min="12173" max="12173" width="0" style="79" hidden="1" customWidth="1"/>
    <col min="12174" max="12307" width="1.109375" style="79"/>
    <col min="12308" max="12308" width="4.44140625" style="79" customWidth="1"/>
    <col min="12309" max="12396" width="1.109375" style="79"/>
    <col min="12397" max="12397" width="1.44140625" style="79" customWidth="1"/>
    <col min="12398" max="12413" width="1.109375" style="79"/>
    <col min="12414" max="12414" width="0.44140625" style="79" customWidth="1"/>
    <col min="12415" max="12415" width="0" style="79" hidden="1" customWidth="1"/>
    <col min="12416" max="12416" width="0.33203125" style="79" customWidth="1"/>
    <col min="12417" max="12421" width="0" style="79" hidden="1" customWidth="1"/>
    <col min="12422" max="12422" width="15" style="79" customWidth="1"/>
    <col min="12423" max="12423" width="14.109375" style="79" customWidth="1"/>
    <col min="12424" max="12424" width="14.88671875" style="79" customWidth="1"/>
    <col min="12425" max="12425" width="10.6640625" style="79" customWidth="1"/>
    <col min="12426" max="12426" width="7.88671875" style="79" customWidth="1"/>
    <col min="12427" max="12428" width="1.109375" style="79"/>
    <col min="12429" max="12429" width="0" style="79" hidden="1" customWidth="1"/>
    <col min="12430" max="12563" width="1.109375" style="79"/>
    <col min="12564" max="12564" width="4.44140625" style="79" customWidth="1"/>
    <col min="12565" max="12652" width="1.109375" style="79"/>
    <col min="12653" max="12653" width="1.44140625" style="79" customWidth="1"/>
    <col min="12654" max="12669" width="1.109375" style="79"/>
    <col min="12670" max="12670" width="0.44140625" style="79" customWidth="1"/>
    <col min="12671" max="12671" width="0" style="79" hidden="1" customWidth="1"/>
    <col min="12672" max="12672" width="0.33203125" style="79" customWidth="1"/>
    <col min="12673" max="12677" width="0" style="79" hidden="1" customWidth="1"/>
    <col min="12678" max="12678" width="15" style="79" customWidth="1"/>
    <col min="12679" max="12679" width="14.109375" style="79" customWidth="1"/>
    <col min="12680" max="12680" width="14.88671875" style="79" customWidth="1"/>
    <col min="12681" max="12681" width="10.6640625" style="79" customWidth="1"/>
    <col min="12682" max="12682" width="7.88671875" style="79" customWidth="1"/>
    <col min="12683" max="12684" width="1.109375" style="79"/>
    <col min="12685" max="12685" width="0" style="79" hidden="1" customWidth="1"/>
    <col min="12686" max="12819" width="1.109375" style="79"/>
    <col min="12820" max="12820" width="4.44140625" style="79" customWidth="1"/>
    <col min="12821" max="12908" width="1.109375" style="79"/>
    <col min="12909" max="12909" width="1.44140625" style="79" customWidth="1"/>
    <col min="12910" max="12925" width="1.109375" style="79"/>
    <col min="12926" max="12926" width="0.44140625" style="79" customWidth="1"/>
    <col min="12927" max="12927" width="0" style="79" hidden="1" customWidth="1"/>
    <col min="12928" max="12928" width="0.33203125" style="79" customWidth="1"/>
    <col min="12929" max="12933" width="0" style="79" hidden="1" customWidth="1"/>
    <col min="12934" max="12934" width="15" style="79" customWidth="1"/>
    <col min="12935" max="12935" width="14.109375" style="79" customWidth="1"/>
    <col min="12936" max="12936" width="14.88671875" style="79" customWidth="1"/>
    <col min="12937" max="12937" width="10.6640625" style="79" customWidth="1"/>
    <col min="12938" max="12938" width="7.88671875" style="79" customWidth="1"/>
    <col min="12939" max="12940" width="1.109375" style="79"/>
    <col min="12941" max="12941" width="0" style="79" hidden="1" customWidth="1"/>
    <col min="12942" max="13075" width="1.109375" style="79"/>
    <col min="13076" max="13076" width="4.44140625" style="79" customWidth="1"/>
    <col min="13077" max="13164" width="1.109375" style="79"/>
    <col min="13165" max="13165" width="1.44140625" style="79" customWidth="1"/>
    <col min="13166" max="13181" width="1.109375" style="79"/>
    <col min="13182" max="13182" width="0.44140625" style="79" customWidth="1"/>
    <col min="13183" max="13183" width="0" style="79" hidden="1" customWidth="1"/>
    <col min="13184" max="13184" width="0.33203125" style="79" customWidth="1"/>
    <col min="13185" max="13189" width="0" style="79" hidden="1" customWidth="1"/>
    <col min="13190" max="13190" width="15" style="79" customWidth="1"/>
    <col min="13191" max="13191" width="14.109375" style="79" customWidth="1"/>
    <col min="13192" max="13192" width="14.88671875" style="79" customWidth="1"/>
    <col min="13193" max="13193" width="10.6640625" style="79" customWidth="1"/>
    <col min="13194" max="13194" width="7.88671875" style="79" customWidth="1"/>
    <col min="13195" max="13196" width="1.109375" style="79"/>
    <col min="13197" max="13197" width="0" style="79" hidden="1" customWidth="1"/>
    <col min="13198" max="13331" width="1.109375" style="79"/>
    <col min="13332" max="13332" width="4.44140625" style="79" customWidth="1"/>
    <col min="13333" max="13420" width="1.109375" style="79"/>
    <col min="13421" max="13421" width="1.44140625" style="79" customWidth="1"/>
    <col min="13422" max="13437" width="1.109375" style="79"/>
    <col min="13438" max="13438" width="0.44140625" style="79" customWidth="1"/>
    <col min="13439" max="13439" width="0" style="79" hidden="1" customWidth="1"/>
    <col min="13440" max="13440" width="0.33203125" style="79" customWidth="1"/>
    <col min="13441" max="13445" width="0" style="79" hidden="1" customWidth="1"/>
    <col min="13446" max="13446" width="15" style="79" customWidth="1"/>
    <col min="13447" max="13447" width="14.109375" style="79" customWidth="1"/>
    <col min="13448" max="13448" width="14.88671875" style="79" customWidth="1"/>
    <col min="13449" max="13449" width="10.6640625" style="79" customWidth="1"/>
    <col min="13450" max="13450" width="7.88671875" style="79" customWidth="1"/>
    <col min="13451" max="13452" width="1.109375" style="79"/>
    <col min="13453" max="13453" width="0" style="79" hidden="1" customWidth="1"/>
    <col min="13454" max="13587" width="1.109375" style="79"/>
    <col min="13588" max="13588" width="4.44140625" style="79" customWidth="1"/>
    <col min="13589" max="13676" width="1.109375" style="79"/>
    <col min="13677" max="13677" width="1.44140625" style="79" customWidth="1"/>
    <col min="13678" max="13693" width="1.109375" style="79"/>
    <col min="13694" max="13694" width="0.44140625" style="79" customWidth="1"/>
    <col min="13695" max="13695" width="0" style="79" hidden="1" customWidth="1"/>
    <col min="13696" max="13696" width="0.33203125" style="79" customWidth="1"/>
    <col min="13697" max="13701" width="0" style="79" hidden="1" customWidth="1"/>
    <col min="13702" max="13702" width="15" style="79" customWidth="1"/>
    <col min="13703" max="13703" width="14.109375" style="79" customWidth="1"/>
    <col min="13704" max="13704" width="14.88671875" style="79" customWidth="1"/>
    <col min="13705" max="13705" width="10.6640625" style="79" customWidth="1"/>
    <col min="13706" max="13706" width="7.88671875" style="79" customWidth="1"/>
    <col min="13707" max="13708" width="1.109375" style="79"/>
    <col min="13709" max="13709" width="0" style="79" hidden="1" customWidth="1"/>
    <col min="13710" max="13843" width="1.109375" style="79"/>
    <col min="13844" max="13844" width="4.44140625" style="79" customWidth="1"/>
    <col min="13845" max="13932" width="1.109375" style="79"/>
    <col min="13933" max="13933" width="1.44140625" style="79" customWidth="1"/>
    <col min="13934" max="13949" width="1.109375" style="79"/>
    <col min="13950" max="13950" width="0.44140625" style="79" customWidth="1"/>
    <col min="13951" max="13951" width="0" style="79" hidden="1" customWidth="1"/>
    <col min="13952" max="13952" width="0.33203125" style="79" customWidth="1"/>
    <col min="13953" max="13957" width="0" style="79" hidden="1" customWidth="1"/>
    <col min="13958" max="13958" width="15" style="79" customWidth="1"/>
    <col min="13959" max="13959" width="14.109375" style="79" customWidth="1"/>
    <col min="13960" max="13960" width="14.88671875" style="79" customWidth="1"/>
    <col min="13961" max="13961" width="10.6640625" style="79" customWidth="1"/>
    <col min="13962" max="13962" width="7.88671875" style="79" customWidth="1"/>
    <col min="13963" max="13964" width="1.109375" style="79"/>
    <col min="13965" max="13965" width="0" style="79" hidden="1" customWidth="1"/>
    <col min="13966" max="14099" width="1.109375" style="79"/>
    <col min="14100" max="14100" width="4.44140625" style="79" customWidth="1"/>
    <col min="14101" max="14188" width="1.109375" style="79"/>
    <col min="14189" max="14189" width="1.44140625" style="79" customWidth="1"/>
    <col min="14190" max="14205" width="1.109375" style="79"/>
    <col min="14206" max="14206" width="0.44140625" style="79" customWidth="1"/>
    <col min="14207" max="14207" width="0" style="79" hidden="1" customWidth="1"/>
    <col min="14208" max="14208" width="0.33203125" style="79" customWidth="1"/>
    <col min="14209" max="14213" width="0" style="79" hidden="1" customWidth="1"/>
    <col min="14214" max="14214" width="15" style="79" customWidth="1"/>
    <col min="14215" max="14215" width="14.109375" style="79" customWidth="1"/>
    <col min="14216" max="14216" width="14.88671875" style="79" customWidth="1"/>
    <col min="14217" max="14217" width="10.6640625" style="79" customWidth="1"/>
    <col min="14218" max="14218" width="7.88671875" style="79" customWidth="1"/>
    <col min="14219" max="14220" width="1.109375" style="79"/>
    <col min="14221" max="14221" width="0" style="79" hidden="1" customWidth="1"/>
    <col min="14222" max="14355" width="1.109375" style="79"/>
    <col min="14356" max="14356" width="4.44140625" style="79" customWidth="1"/>
    <col min="14357" max="14444" width="1.109375" style="79"/>
    <col min="14445" max="14445" width="1.44140625" style="79" customWidth="1"/>
    <col min="14446" max="14461" width="1.109375" style="79"/>
    <col min="14462" max="14462" width="0.44140625" style="79" customWidth="1"/>
    <col min="14463" max="14463" width="0" style="79" hidden="1" customWidth="1"/>
    <col min="14464" max="14464" width="0.33203125" style="79" customWidth="1"/>
    <col min="14465" max="14469" width="0" style="79" hidden="1" customWidth="1"/>
    <col min="14470" max="14470" width="15" style="79" customWidth="1"/>
    <col min="14471" max="14471" width="14.109375" style="79" customWidth="1"/>
    <col min="14472" max="14472" width="14.88671875" style="79" customWidth="1"/>
    <col min="14473" max="14473" width="10.6640625" style="79" customWidth="1"/>
    <col min="14474" max="14474" width="7.88671875" style="79" customWidth="1"/>
    <col min="14475" max="14476" width="1.109375" style="79"/>
    <col min="14477" max="14477" width="0" style="79" hidden="1" customWidth="1"/>
    <col min="14478" max="14611" width="1.109375" style="79"/>
    <col min="14612" max="14612" width="4.44140625" style="79" customWidth="1"/>
    <col min="14613" max="14700" width="1.109375" style="79"/>
    <col min="14701" max="14701" width="1.44140625" style="79" customWidth="1"/>
    <col min="14702" max="14717" width="1.109375" style="79"/>
    <col min="14718" max="14718" width="0.44140625" style="79" customWidth="1"/>
    <col min="14719" max="14719" width="0" style="79" hidden="1" customWidth="1"/>
    <col min="14720" max="14720" width="0.33203125" style="79" customWidth="1"/>
    <col min="14721" max="14725" width="0" style="79" hidden="1" customWidth="1"/>
    <col min="14726" max="14726" width="15" style="79" customWidth="1"/>
    <col min="14727" max="14727" width="14.109375" style="79" customWidth="1"/>
    <col min="14728" max="14728" width="14.88671875" style="79" customWidth="1"/>
    <col min="14729" max="14729" width="10.6640625" style="79" customWidth="1"/>
    <col min="14730" max="14730" width="7.88671875" style="79" customWidth="1"/>
    <col min="14731" max="14732" width="1.109375" style="79"/>
    <col min="14733" max="14733" width="0" style="79" hidden="1" customWidth="1"/>
    <col min="14734" max="14867" width="1.109375" style="79"/>
    <col min="14868" max="14868" width="4.44140625" style="79" customWidth="1"/>
    <col min="14869" max="14956" width="1.109375" style="79"/>
    <col min="14957" max="14957" width="1.44140625" style="79" customWidth="1"/>
    <col min="14958" max="14973" width="1.109375" style="79"/>
    <col min="14974" max="14974" width="0.44140625" style="79" customWidth="1"/>
    <col min="14975" max="14975" width="0" style="79" hidden="1" customWidth="1"/>
    <col min="14976" max="14976" width="0.33203125" style="79" customWidth="1"/>
    <col min="14977" max="14981" width="0" style="79" hidden="1" customWidth="1"/>
    <col min="14982" max="14982" width="15" style="79" customWidth="1"/>
    <col min="14983" max="14983" width="14.109375" style="79" customWidth="1"/>
    <col min="14984" max="14984" width="14.88671875" style="79" customWidth="1"/>
    <col min="14985" max="14985" width="10.6640625" style="79" customWidth="1"/>
    <col min="14986" max="14986" width="7.88671875" style="79" customWidth="1"/>
    <col min="14987" max="14988" width="1.109375" style="79"/>
    <col min="14989" max="14989" width="0" style="79" hidden="1" customWidth="1"/>
    <col min="14990" max="15123" width="1.109375" style="79"/>
    <col min="15124" max="15124" width="4.44140625" style="79" customWidth="1"/>
    <col min="15125" max="15212" width="1.109375" style="79"/>
    <col min="15213" max="15213" width="1.44140625" style="79" customWidth="1"/>
    <col min="15214" max="15229" width="1.109375" style="79"/>
    <col min="15230" max="15230" width="0.44140625" style="79" customWidth="1"/>
    <col min="15231" max="15231" width="0" style="79" hidden="1" customWidth="1"/>
    <col min="15232" max="15232" width="0.33203125" style="79" customWidth="1"/>
    <col min="15233" max="15237" width="0" style="79" hidden="1" customWidth="1"/>
    <col min="15238" max="15238" width="15" style="79" customWidth="1"/>
    <col min="15239" max="15239" width="14.109375" style="79" customWidth="1"/>
    <col min="15240" max="15240" width="14.88671875" style="79" customWidth="1"/>
    <col min="15241" max="15241" width="10.6640625" style="79" customWidth="1"/>
    <col min="15242" max="15242" width="7.88671875" style="79" customWidth="1"/>
    <col min="15243" max="15244" width="1.109375" style="79"/>
    <col min="15245" max="15245" width="0" style="79" hidden="1" customWidth="1"/>
    <col min="15246" max="15379" width="1.109375" style="79"/>
    <col min="15380" max="15380" width="4.44140625" style="79" customWidth="1"/>
    <col min="15381" max="15468" width="1.109375" style="79"/>
    <col min="15469" max="15469" width="1.44140625" style="79" customWidth="1"/>
    <col min="15470" max="15485" width="1.109375" style="79"/>
    <col min="15486" max="15486" width="0.44140625" style="79" customWidth="1"/>
    <col min="15487" max="15487" width="0" style="79" hidden="1" customWidth="1"/>
    <col min="15488" max="15488" width="0.33203125" style="79" customWidth="1"/>
    <col min="15489" max="15493" width="0" style="79" hidden="1" customWidth="1"/>
    <col min="15494" max="15494" width="15" style="79" customWidth="1"/>
    <col min="15495" max="15495" width="14.109375" style="79" customWidth="1"/>
    <col min="15496" max="15496" width="14.88671875" style="79" customWidth="1"/>
    <col min="15497" max="15497" width="10.6640625" style="79" customWidth="1"/>
    <col min="15498" max="15498" width="7.88671875" style="79" customWidth="1"/>
    <col min="15499" max="15500" width="1.109375" style="79"/>
    <col min="15501" max="15501" width="0" style="79" hidden="1" customWidth="1"/>
    <col min="15502" max="15635" width="1.109375" style="79"/>
    <col min="15636" max="15636" width="4.44140625" style="79" customWidth="1"/>
    <col min="15637" max="15724" width="1.109375" style="79"/>
    <col min="15725" max="15725" width="1.44140625" style="79" customWidth="1"/>
    <col min="15726" max="15741" width="1.109375" style="79"/>
    <col min="15742" max="15742" width="0.44140625" style="79" customWidth="1"/>
    <col min="15743" max="15743" width="0" style="79" hidden="1" customWidth="1"/>
    <col min="15744" max="15744" width="0.33203125" style="79" customWidth="1"/>
    <col min="15745" max="15749" width="0" style="79" hidden="1" customWidth="1"/>
    <col min="15750" max="15750" width="15" style="79" customWidth="1"/>
    <col min="15751" max="15751" width="14.109375" style="79" customWidth="1"/>
    <col min="15752" max="15752" width="14.88671875" style="79" customWidth="1"/>
    <col min="15753" max="15753" width="10.6640625" style="79" customWidth="1"/>
    <col min="15754" max="15754" width="7.88671875" style="79" customWidth="1"/>
    <col min="15755" max="15756" width="1.109375" style="79"/>
    <col min="15757" max="15757" width="0" style="79" hidden="1" customWidth="1"/>
    <col min="15758" max="15891" width="1.109375" style="79"/>
    <col min="15892" max="15892" width="4.44140625" style="79" customWidth="1"/>
    <col min="15893" max="15980" width="1.109375" style="79"/>
    <col min="15981" max="15981" width="1.44140625" style="79" customWidth="1"/>
    <col min="15982" max="15997" width="1.109375" style="79"/>
    <col min="15998" max="15998" width="0.44140625" style="79" customWidth="1"/>
    <col min="15999" max="15999" width="0" style="79" hidden="1" customWidth="1"/>
    <col min="16000" max="16000" width="0.33203125" style="79" customWidth="1"/>
    <col min="16001" max="16005" width="0" style="79" hidden="1" customWidth="1"/>
    <col min="16006" max="16006" width="15" style="79" customWidth="1"/>
    <col min="16007" max="16007" width="14.109375" style="79" customWidth="1"/>
    <col min="16008" max="16008" width="14.88671875" style="79" customWidth="1"/>
    <col min="16009" max="16009" width="10.6640625" style="79" customWidth="1"/>
    <col min="16010" max="16010" width="7.88671875" style="79" customWidth="1"/>
    <col min="16011" max="16012" width="1.109375" style="79"/>
    <col min="16013" max="16013" width="0" style="79" hidden="1" customWidth="1"/>
    <col min="16014" max="16147" width="1.109375" style="79"/>
    <col min="16148" max="16148" width="4.44140625" style="79" customWidth="1"/>
    <col min="16149" max="16236" width="1.109375" style="79"/>
    <col min="16237" max="16237" width="1.44140625" style="79" customWidth="1"/>
    <col min="16238" max="16253" width="1.109375" style="79"/>
    <col min="16254" max="16254" width="0.44140625" style="79" customWidth="1"/>
    <col min="16255" max="16255" width="0" style="79" hidden="1" customWidth="1"/>
    <col min="16256" max="16256" width="0.33203125" style="79" customWidth="1"/>
    <col min="16257" max="16261" width="0" style="79" hidden="1" customWidth="1"/>
    <col min="16262" max="16262" width="15" style="79" customWidth="1"/>
    <col min="16263" max="16263" width="14.109375" style="79" customWidth="1"/>
    <col min="16264" max="16264" width="14.88671875" style="79" customWidth="1"/>
    <col min="16265" max="16265" width="10.6640625" style="79" customWidth="1"/>
    <col min="16266" max="16266" width="7.88671875" style="79" customWidth="1"/>
    <col min="16267" max="16268" width="1.109375" style="79"/>
    <col min="16269" max="16269" width="0" style="79" hidden="1" customWidth="1"/>
    <col min="16270" max="16384" width="1.109375" style="79"/>
  </cols>
  <sheetData>
    <row r="1" spans="1:137" s="74" customFormat="1">
      <c r="DS1" s="75"/>
    </row>
    <row r="3" spans="1:137" s="76" customFormat="1">
      <c r="A3" s="827" t="s">
        <v>381</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c r="CG3" s="827"/>
      <c r="CH3" s="827"/>
      <c r="CI3" s="827"/>
      <c r="CJ3" s="827"/>
      <c r="CK3" s="827"/>
      <c r="CL3" s="827"/>
      <c r="CM3" s="827"/>
      <c r="CN3" s="827"/>
      <c r="CO3" s="827"/>
      <c r="CP3" s="827"/>
      <c r="CQ3" s="827"/>
      <c r="CR3" s="827"/>
      <c r="CS3" s="827"/>
      <c r="CT3" s="827"/>
      <c r="CU3" s="827"/>
      <c r="CV3" s="827"/>
      <c r="CW3" s="827"/>
      <c r="CX3" s="827"/>
      <c r="CY3" s="827"/>
      <c r="CZ3" s="827"/>
      <c r="DA3" s="827"/>
      <c r="DB3" s="827"/>
      <c r="DC3" s="827"/>
      <c r="DD3" s="827"/>
      <c r="DE3" s="827"/>
      <c r="DF3" s="827"/>
      <c r="DG3" s="827"/>
      <c r="DH3" s="827"/>
      <c r="DI3" s="827"/>
      <c r="DJ3" s="827"/>
      <c r="DK3" s="827"/>
      <c r="DL3" s="827"/>
      <c r="DM3" s="827"/>
      <c r="DN3" s="827"/>
      <c r="DO3" s="827"/>
      <c r="DP3" s="827"/>
      <c r="DQ3" s="827"/>
      <c r="DR3" s="827"/>
      <c r="DS3" s="827"/>
    </row>
    <row r="4" spans="1:137" s="78" customFormat="1" ht="7.8">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row>
    <row r="5" spans="1:137" s="76" customFormat="1">
      <c r="A5" s="827" t="s">
        <v>382</v>
      </c>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c r="AM5" s="827"/>
      <c r="AN5" s="827"/>
      <c r="AO5" s="827"/>
      <c r="AP5" s="827"/>
      <c r="AQ5" s="827"/>
      <c r="AR5" s="827"/>
      <c r="AS5" s="827"/>
      <c r="AT5" s="827"/>
      <c r="AU5" s="827"/>
      <c r="AV5" s="827"/>
      <c r="AW5" s="827"/>
      <c r="AX5" s="827"/>
      <c r="AY5" s="827"/>
      <c r="AZ5" s="827"/>
      <c r="BA5" s="827"/>
      <c r="BB5" s="827"/>
      <c r="BC5" s="827"/>
      <c r="BD5" s="827"/>
      <c r="BE5" s="827"/>
      <c r="BF5" s="827"/>
      <c r="BG5" s="827"/>
      <c r="BH5" s="827"/>
      <c r="BI5" s="827"/>
      <c r="BJ5" s="827"/>
      <c r="BK5" s="827"/>
      <c r="BL5" s="827"/>
      <c r="BM5" s="827"/>
      <c r="BN5" s="827"/>
      <c r="BO5" s="827"/>
      <c r="BP5" s="827"/>
      <c r="BQ5" s="827"/>
      <c r="BR5" s="827"/>
      <c r="BS5" s="827"/>
      <c r="BT5" s="827"/>
      <c r="BU5" s="827"/>
      <c r="BV5" s="827"/>
      <c r="BW5" s="827"/>
      <c r="BX5" s="827"/>
      <c r="BY5" s="827"/>
      <c r="BZ5" s="827"/>
      <c r="CA5" s="827"/>
      <c r="CB5" s="827"/>
      <c r="CC5" s="827"/>
      <c r="CD5" s="827"/>
      <c r="CE5" s="827"/>
      <c r="CF5" s="827"/>
      <c r="CG5" s="827"/>
      <c r="CH5" s="827"/>
      <c r="CI5" s="827"/>
      <c r="CJ5" s="827"/>
      <c r="CK5" s="827"/>
      <c r="CL5" s="827"/>
      <c r="CM5" s="827"/>
      <c r="CN5" s="827"/>
      <c r="CO5" s="827"/>
      <c r="CP5" s="827"/>
      <c r="CQ5" s="827"/>
      <c r="CR5" s="827"/>
      <c r="CS5" s="827"/>
      <c r="CT5" s="827"/>
      <c r="CU5" s="827"/>
      <c r="CV5" s="827"/>
      <c r="CW5" s="827"/>
      <c r="CX5" s="827"/>
      <c r="CY5" s="827"/>
      <c r="CZ5" s="827"/>
      <c r="DA5" s="827"/>
      <c r="DB5" s="827"/>
      <c r="DC5" s="827"/>
      <c r="DD5" s="827"/>
      <c r="DE5" s="827"/>
      <c r="DF5" s="827"/>
      <c r="DG5" s="827"/>
      <c r="DH5" s="827"/>
      <c r="DI5" s="827"/>
      <c r="DJ5" s="827"/>
      <c r="DK5" s="827"/>
      <c r="DL5" s="827"/>
      <c r="DM5" s="827"/>
      <c r="DN5" s="827"/>
      <c r="DO5" s="827"/>
      <c r="DP5" s="827"/>
      <c r="DQ5" s="827"/>
      <c r="DR5" s="827"/>
      <c r="DS5" s="827"/>
    </row>
    <row r="6" spans="1:137" s="190" customFormat="1" ht="13.2"/>
    <row r="7" spans="1:137">
      <c r="A7" s="76" t="s">
        <v>383</v>
      </c>
      <c r="T7" s="830" t="s">
        <v>574</v>
      </c>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c r="AZ7" s="830"/>
      <c r="BA7" s="830"/>
      <c r="BB7" s="830"/>
      <c r="BC7" s="830"/>
      <c r="BD7" s="830"/>
      <c r="BE7" s="830"/>
      <c r="BF7" s="830"/>
      <c r="BG7" s="830"/>
      <c r="BH7" s="830"/>
      <c r="BI7" s="830"/>
      <c r="BJ7" s="830"/>
      <c r="BK7" s="830"/>
      <c r="BL7" s="830"/>
      <c r="BM7" s="830"/>
      <c r="BN7" s="830"/>
      <c r="BO7" s="830"/>
      <c r="BP7" s="830"/>
      <c r="BQ7" s="830"/>
      <c r="BR7" s="830"/>
      <c r="BS7" s="830"/>
      <c r="BT7" s="830"/>
      <c r="BU7" s="830"/>
      <c r="BV7" s="830"/>
      <c r="BW7" s="830"/>
      <c r="BX7" s="830"/>
      <c r="BY7" s="830"/>
      <c r="BZ7" s="830"/>
      <c r="CA7" s="830"/>
      <c r="CB7" s="830"/>
      <c r="CC7" s="830"/>
      <c r="CD7" s="830"/>
      <c r="CE7" s="830"/>
      <c r="CF7" s="830"/>
      <c r="CG7" s="830"/>
      <c r="CH7" s="830"/>
      <c r="CI7" s="830"/>
      <c r="CJ7" s="830"/>
      <c r="CK7" s="830"/>
      <c r="CL7" s="830"/>
      <c r="CM7" s="830"/>
      <c r="CN7" s="830"/>
      <c r="CO7" s="830"/>
      <c r="CP7" s="830"/>
      <c r="CQ7" s="830"/>
      <c r="CR7" s="830"/>
      <c r="CS7" s="830"/>
      <c r="CT7" s="830"/>
      <c r="CU7" s="830"/>
      <c r="CV7" s="830"/>
      <c r="CW7" s="830"/>
      <c r="CX7" s="830"/>
      <c r="CY7" s="830"/>
      <c r="CZ7" s="830"/>
      <c r="DA7" s="830"/>
      <c r="DB7" s="830"/>
      <c r="DC7" s="830"/>
      <c r="DD7" s="830"/>
      <c r="DE7" s="830"/>
      <c r="DF7" s="830"/>
      <c r="DG7" s="830"/>
      <c r="DH7" s="830"/>
      <c r="DI7" s="830"/>
      <c r="DJ7" s="830"/>
      <c r="DK7" s="830"/>
      <c r="DL7" s="830"/>
      <c r="DM7" s="830"/>
      <c r="DN7" s="830"/>
      <c r="DO7" s="830"/>
      <c r="DP7" s="830"/>
      <c r="DQ7" s="830"/>
      <c r="DR7" s="830"/>
      <c r="DS7" s="830"/>
    </row>
    <row r="8" spans="1:137" s="80" customFormat="1" ht="7.8">
      <c r="A8" s="78"/>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row>
    <row r="9" spans="1:137">
      <c r="A9" s="76" t="s">
        <v>385</v>
      </c>
      <c r="AH9" s="826" t="s">
        <v>386</v>
      </c>
      <c r="AI9" s="826"/>
      <c r="AJ9" s="826"/>
      <c r="AK9" s="826"/>
      <c r="AL9" s="826"/>
      <c r="AM9" s="826"/>
      <c r="AN9" s="826"/>
      <c r="AO9" s="826"/>
      <c r="AP9" s="826"/>
      <c r="AQ9" s="826"/>
      <c r="AR9" s="826"/>
      <c r="AS9" s="826"/>
      <c r="AT9" s="826"/>
      <c r="AU9" s="826"/>
      <c r="AV9" s="826"/>
      <c r="AW9" s="826"/>
      <c r="AX9" s="826"/>
      <c r="AY9" s="826"/>
      <c r="AZ9" s="826"/>
      <c r="BA9" s="826"/>
      <c r="BB9" s="826"/>
      <c r="BC9" s="826"/>
      <c r="BD9" s="826"/>
      <c r="BE9" s="826"/>
      <c r="BF9" s="826"/>
      <c r="BG9" s="826"/>
      <c r="BH9" s="826"/>
      <c r="BI9" s="826"/>
      <c r="BJ9" s="826"/>
      <c r="BK9" s="826"/>
      <c r="BL9" s="826"/>
      <c r="BM9" s="826"/>
      <c r="BN9" s="826"/>
      <c r="BO9" s="826"/>
      <c r="BP9" s="826"/>
      <c r="BQ9" s="826"/>
      <c r="BR9" s="826"/>
      <c r="BS9" s="826"/>
      <c r="BT9" s="826"/>
      <c r="BU9" s="826"/>
      <c r="BV9" s="826"/>
      <c r="BW9" s="826"/>
      <c r="BX9" s="826"/>
      <c r="BY9" s="826"/>
      <c r="BZ9" s="826"/>
      <c r="CA9" s="826"/>
      <c r="CB9" s="826"/>
      <c r="CC9" s="826"/>
      <c r="CD9" s="826"/>
      <c r="CE9" s="826"/>
      <c r="CF9" s="826"/>
      <c r="CG9" s="826"/>
      <c r="CH9" s="826"/>
      <c r="CI9" s="826"/>
      <c r="CJ9" s="826"/>
      <c r="CK9" s="826"/>
      <c r="CL9" s="826"/>
      <c r="CM9" s="826"/>
      <c r="CN9" s="826"/>
      <c r="CO9" s="826"/>
      <c r="CP9" s="826"/>
      <c r="CQ9" s="826"/>
      <c r="CR9" s="826"/>
      <c r="CS9" s="826"/>
      <c r="CT9" s="826"/>
      <c r="CU9" s="826"/>
      <c r="CV9" s="826"/>
      <c r="CW9" s="826"/>
      <c r="CX9" s="826"/>
      <c r="CY9" s="826"/>
      <c r="CZ9" s="826"/>
      <c r="DA9" s="826"/>
      <c r="DB9" s="826"/>
      <c r="DC9" s="826"/>
      <c r="DD9" s="826"/>
      <c r="DE9" s="826"/>
      <c r="DF9" s="826"/>
      <c r="DG9" s="826"/>
      <c r="DH9" s="826"/>
      <c r="DI9" s="826"/>
      <c r="DJ9" s="826"/>
      <c r="DK9" s="826"/>
      <c r="DL9" s="826"/>
      <c r="DM9" s="826"/>
      <c r="DN9" s="826"/>
      <c r="DO9" s="826"/>
      <c r="DP9" s="826"/>
      <c r="DQ9" s="826"/>
      <c r="DR9" s="826"/>
      <c r="DS9" s="826"/>
    </row>
    <row r="10" spans="1:137">
      <c r="EE10" s="79">
        <f>(66583.19)*EF13/20</f>
        <v>1731.1629400000002</v>
      </c>
      <c r="EG10" s="79" t="s">
        <v>398</v>
      </c>
    </row>
    <row r="11" spans="1:137">
      <c r="A11" s="827" t="s">
        <v>387</v>
      </c>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7"/>
      <c r="AY11" s="827"/>
      <c r="AZ11" s="827"/>
      <c r="BA11" s="827"/>
      <c r="BB11" s="827"/>
      <c r="BC11" s="827"/>
      <c r="BD11" s="827"/>
      <c r="BE11" s="827"/>
      <c r="BF11" s="827"/>
      <c r="BG11" s="827"/>
      <c r="BH11" s="827"/>
      <c r="BI11" s="827"/>
      <c r="BJ11" s="827"/>
      <c r="BK11" s="827"/>
      <c r="BL11" s="827"/>
      <c r="BM11" s="827"/>
      <c r="BN11" s="827"/>
      <c r="BO11" s="827"/>
      <c r="BP11" s="827"/>
      <c r="BQ11" s="827"/>
      <c r="BR11" s="827"/>
      <c r="BS11" s="827"/>
      <c r="BT11" s="827"/>
      <c r="BU11" s="827"/>
      <c r="BV11" s="827"/>
      <c r="BW11" s="827"/>
      <c r="BX11" s="827"/>
      <c r="BY11" s="827"/>
      <c r="BZ11" s="827"/>
      <c r="CA11" s="827"/>
      <c r="CB11" s="827"/>
      <c r="CC11" s="827"/>
      <c r="CD11" s="827"/>
      <c r="CE11" s="827"/>
      <c r="CF11" s="827"/>
      <c r="CG11" s="827"/>
      <c r="CH11" s="827"/>
      <c r="CI11" s="827"/>
      <c r="CJ11" s="827"/>
      <c r="CK11" s="827"/>
      <c r="CL11" s="827"/>
      <c r="CM11" s="827"/>
      <c r="CN11" s="827"/>
      <c r="CO11" s="827"/>
      <c r="CP11" s="827"/>
      <c r="CQ11" s="827"/>
      <c r="CR11" s="827"/>
      <c r="CS11" s="827"/>
      <c r="CT11" s="827"/>
      <c r="CU11" s="827"/>
      <c r="CV11" s="827"/>
      <c r="CW11" s="827"/>
      <c r="CX11" s="827"/>
      <c r="CY11" s="827"/>
      <c r="CZ11" s="827"/>
      <c r="DA11" s="827"/>
      <c r="DB11" s="827"/>
      <c r="DC11" s="827"/>
      <c r="DD11" s="827"/>
      <c r="DE11" s="827"/>
      <c r="DF11" s="827"/>
      <c r="DG11" s="827"/>
      <c r="DH11" s="827"/>
      <c r="DI11" s="827"/>
      <c r="DJ11" s="827"/>
      <c r="DK11" s="827"/>
      <c r="DL11" s="827"/>
      <c r="DM11" s="827"/>
      <c r="DN11" s="827"/>
      <c r="DO11" s="827"/>
      <c r="DP11" s="827"/>
      <c r="DQ11" s="827"/>
      <c r="DR11" s="827"/>
      <c r="DS11" s="827"/>
      <c r="EG11" s="84">
        <f>ED23+ED32</f>
        <v>19960301.050000001</v>
      </c>
    </row>
    <row r="12" spans="1:137" s="190" customFormat="1" ht="13.2">
      <c r="ED12" s="248" t="s">
        <v>1053</v>
      </c>
      <c r="EE12" s="82">
        <v>246982.51</v>
      </c>
      <c r="EF12" s="82"/>
      <c r="EG12" s="82" t="s">
        <v>1054</v>
      </c>
    </row>
    <row r="13" spans="1:137" s="190" customFormat="1" ht="13.2">
      <c r="A13" s="823" t="s">
        <v>388</v>
      </c>
      <c r="B13" s="824"/>
      <c r="C13" s="824"/>
      <c r="D13" s="825"/>
      <c r="E13" s="823" t="s">
        <v>389</v>
      </c>
      <c r="F13" s="824"/>
      <c r="G13" s="824"/>
      <c r="H13" s="824"/>
      <c r="I13" s="824"/>
      <c r="J13" s="824"/>
      <c r="K13" s="824"/>
      <c r="L13" s="824"/>
      <c r="M13" s="824"/>
      <c r="N13" s="824"/>
      <c r="O13" s="824"/>
      <c r="P13" s="824"/>
      <c r="Q13" s="824"/>
      <c r="R13" s="824"/>
      <c r="S13" s="824"/>
      <c r="T13" s="825"/>
      <c r="U13" s="823" t="s">
        <v>390</v>
      </c>
      <c r="V13" s="824"/>
      <c r="W13" s="824"/>
      <c r="X13" s="824"/>
      <c r="Y13" s="824"/>
      <c r="Z13" s="824"/>
      <c r="AA13" s="824"/>
      <c r="AB13" s="824"/>
      <c r="AC13" s="824"/>
      <c r="AD13" s="824"/>
      <c r="AE13" s="824"/>
      <c r="AF13" s="825"/>
      <c r="AG13" s="817" t="s">
        <v>391</v>
      </c>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c r="BM13" s="818"/>
      <c r="BN13" s="818"/>
      <c r="BO13" s="818"/>
      <c r="BP13" s="818"/>
      <c r="BQ13" s="818"/>
      <c r="BR13" s="818"/>
      <c r="BS13" s="818"/>
      <c r="BT13" s="818"/>
      <c r="BU13" s="818"/>
      <c r="BV13" s="818"/>
      <c r="BW13" s="818"/>
      <c r="BX13" s="818"/>
      <c r="BY13" s="818"/>
      <c r="BZ13" s="818"/>
      <c r="CA13" s="818"/>
      <c r="CB13" s="818"/>
      <c r="CC13" s="818"/>
      <c r="CD13" s="818"/>
      <c r="CE13" s="818"/>
      <c r="CF13" s="818"/>
      <c r="CG13" s="818"/>
      <c r="CH13" s="818"/>
      <c r="CI13" s="818"/>
      <c r="CJ13" s="819"/>
      <c r="CK13" s="823" t="s">
        <v>392</v>
      </c>
      <c r="CL13" s="824"/>
      <c r="CM13" s="824"/>
      <c r="CN13" s="824"/>
      <c r="CO13" s="824"/>
      <c r="CP13" s="824"/>
      <c r="CQ13" s="824"/>
      <c r="CR13" s="824"/>
      <c r="CS13" s="824"/>
      <c r="CT13" s="824"/>
      <c r="CU13" s="825"/>
      <c r="CV13" s="823" t="s">
        <v>393</v>
      </c>
      <c r="CW13" s="824"/>
      <c r="CX13" s="824"/>
      <c r="CY13" s="824"/>
      <c r="CZ13" s="824"/>
      <c r="DA13" s="824"/>
      <c r="DB13" s="824"/>
      <c r="DC13" s="824"/>
      <c r="DD13" s="824"/>
      <c r="DE13" s="825"/>
      <c r="DF13" s="823" t="s">
        <v>394</v>
      </c>
      <c r="DG13" s="824"/>
      <c r="DH13" s="824"/>
      <c r="DI13" s="824"/>
      <c r="DJ13" s="824"/>
      <c r="DK13" s="824"/>
      <c r="DL13" s="824"/>
      <c r="DM13" s="824"/>
      <c r="DN13" s="824"/>
      <c r="DO13" s="824"/>
      <c r="DP13" s="824"/>
      <c r="DQ13" s="824"/>
      <c r="DR13" s="824"/>
      <c r="DS13" s="825"/>
      <c r="ED13" s="248" t="s">
        <v>1055</v>
      </c>
      <c r="EE13" s="190">
        <f>EE12*EF13</f>
        <v>128430.90520000001</v>
      </c>
      <c r="EF13" s="190">
        <v>0.52</v>
      </c>
      <c r="EG13" s="190">
        <f>9945000+523422+8709780.95</f>
        <v>19178202.949999999</v>
      </c>
    </row>
    <row r="14" spans="1:137" s="190" customFormat="1" ht="13.2">
      <c r="A14" s="820" t="s">
        <v>395</v>
      </c>
      <c r="B14" s="821"/>
      <c r="C14" s="821"/>
      <c r="D14" s="822"/>
      <c r="E14" s="820" t="s">
        <v>396</v>
      </c>
      <c r="F14" s="821"/>
      <c r="G14" s="821"/>
      <c r="H14" s="821"/>
      <c r="I14" s="821"/>
      <c r="J14" s="821"/>
      <c r="K14" s="821"/>
      <c r="L14" s="821"/>
      <c r="M14" s="821"/>
      <c r="N14" s="821"/>
      <c r="O14" s="821"/>
      <c r="P14" s="821"/>
      <c r="Q14" s="821"/>
      <c r="R14" s="821"/>
      <c r="S14" s="821"/>
      <c r="T14" s="822"/>
      <c r="U14" s="820" t="s">
        <v>397</v>
      </c>
      <c r="V14" s="821"/>
      <c r="W14" s="821"/>
      <c r="X14" s="821"/>
      <c r="Y14" s="821"/>
      <c r="Z14" s="821"/>
      <c r="AA14" s="821"/>
      <c r="AB14" s="821"/>
      <c r="AC14" s="821"/>
      <c r="AD14" s="821"/>
      <c r="AE14" s="821"/>
      <c r="AF14" s="822"/>
      <c r="AG14" s="823" t="s">
        <v>398</v>
      </c>
      <c r="AH14" s="824"/>
      <c r="AI14" s="824"/>
      <c r="AJ14" s="824"/>
      <c r="AK14" s="824"/>
      <c r="AL14" s="824"/>
      <c r="AM14" s="824"/>
      <c r="AN14" s="824"/>
      <c r="AO14" s="824"/>
      <c r="AP14" s="824"/>
      <c r="AQ14" s="824"/>
      <c r="AR14" s="824"/>
      <c r="AS14" s="824"/>
      <c r="AT14" s="825"/>
      <c r="AU14" s="817" t="s">
        <v>27</v>
      </c>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8"/>
      <c r="BX14" s="818"/>
      <c r="BY14" s="818"/>
      <c r="BZ14" s="818"/>
      <c r="CA14" s="818"/>
      <c r="CB14" s="818"/>
      <c r="CC14" s="818"/>
      <c r="CD14" s="818"/>
      <c r="CE14" s="818"/>
      <c r="CF14" s="818"/>
      <c r="CG14" s="818"/>
      <c r="CH14" s="818"/>
      <c r="CI14" s="818"/>
      <c r="CJ14" s="819"/>
      <c r="CK14" s="820" t="s">
        <v>399</v>
      </c>
      <c r="CL14" s="821"/>
      <c r="CM14" s="821"/>
      <c r="CN14" s="821"/>
      <c r="CO14" s="821"/>
      <c r="CP14" s="821"/>
      <c r="CQ14" s="821"/>
      <c r="CR14" s="821"/>
      <c r="CS14" s="821"/>
      <c r="CT14" s="821"/>
      <c r="CU14" s="822"/>
      <c r="CV14" s="820" t="s">
        <v>400</v>
      </c>
      <c r="CW14" s="821"/>
      <c r="CX14" s="821"/>
      <c r="CY14" s="821"/>
      <c r="CZ14" s="821"/>
      <c r="DA14" s="821"/>
      <c r="DB14" s="821"/>
      <c r="DC14" s="821"/>
      <c r="DD14" s="821"/>
      <c r="DE14" s="822"/>
      <c r="DF14" s="820" t="s">
        <v>401</v>
      </c>
      <c r="DG14" s="821"/>
      <c r="DH14" s="821"/>
      <c r="DI14" s="821"/>
      <c r="DJ14" s="821"/>
      <c r="DK14" s="821"/>
      <c r="DL14" s="821"/>
      <c r="DM14" s="821"/>
      <c r="DN14" s="821"/>
      <c r="DO14" s="821"/>
      <c r="DP14" s="821"/>
      <c r="DQ14" s="821"/>
      <c r="DR14" s="821"/>
      <c r="DS14" s="822"/>
      <c r="ED14" s="248" t="s">
        <v>1056</v>
      </c>
      <c r="EE14" s="190">
        <f>EE13/20</f>
        <v>6421.5452600000008</v>
      </c>
    </row>
    <row r="15" spans="1:137" s="190" customFormat="1" ht="13.2">
      <c r="A15" s="820"/>
      <c r="B15" s="821"/>
      <c r="C15" s="821"/>
      <c r="D15" s="822"/>
      <c r="E15" s="820" t="s">
        <v>402</v>
      </c>
      <c r="F15" s="821"/>
      <c r="G15" s="821"/>
      <c r="H15" s="821"/>
      <c r="I15" s="821"/>
      <c r="J15" s="821"/>
      <c r="K15" s="821"/>
      <c r="L15" s="821"/>
      <c r="M15" s="821"/>
      <c r="N15" s="821"/>
      <c r="O15" s="821"/>
      <c r="P15" s="821"/>
      <c r="Q15" s="821"/>
      <c r="R15" s="821"/>
      <c r="S15" s="821"/>
      <c r="T15" s="822"/>
      <c r="U15" s="820" t="s">
        <v>403</v>
      </c>
      <c r="V15" s="821"/>
      <c r="W15" s="821"/>
      <c r="X15" s="821"/>
      <c r="Y15" s="821"/>
      <c r="Z15" s="821"/>
      <c r="AA15" s="821"/>
      <c r="AB15" s="821"/>
      <c r="AC15" s="821"/>
      <c r="AD15" s="821"/>
      <c r="AE15" s="821"/>
      <c r="AF15" s="822"/>
      <c r="AG15" s="820"/>
      <c r="AH15" s="821"/>
      <c r="AI15" s="821"/>
      <c r="AJ15" s="821"/>
      <c r="AK15" s="821"/>
      <c r="AL15" s="821"/>
      <c r="AM15" s="821"/>
      <c r="AN15" s="821"/>
      <c r="AO15" s="821"/>
      <c r="AP15" s="821"/>
      <c r="AQ15" s="821"/>
      <c r="AR15" s="821"/>
      <c r="AS15" s="821"/>
      <c r="AT15" s="822"/>
      <c r="AU15" s="823" t="s">
        <v>404</v>
      </c>
      <c r="AV15" s="824"/>
      <c r="AW15" s="824"/>
      <c r="AX15" s="824"/>
      <c r="AY15" s="824"/>
      <c r="AZ15" s="824"/>
      <c r="BA15" s="824"/>
      <c r="BB15" s="824"/>
      <c r="BC15" s="824"/>
      <c r="BD15" s="824"/>
      <c r="BE15" s="824"/>
      <c r="BF15" s="824"/>
      <c r="BG15" s="824"/>
      <c r="BH15" s="825"/>
      <c r="BI15" s="823" t="s">
        <v>405</v>
      </c>
      <c r="BJ15" s="824"/>
      <c r="BK15" s="824"/>
      <c r="BL15" s="824"/>
      <c r="BM15" s="824"/>
      <c r="BN15" s="824"/>
      <c r="BO15" s="824"/>
      <c r="BP15" s="824"/>
      <c r="BQ15" s="824"/>
      <c r="BR15" s="824"/>
      <c r="BS15" s="824"/>
      <c r="BT15" s="824"/>
      <c r="BU15" s="824"/>
      <c r="BV15" s="825"/>
      <c r="BW15" s="823" t="s">
        <v>405</v>
      </c>
      <c r="BX15" s="824"/>
      <c r="BY15" s="824"/>
      <c r="BZ15" s="824"/>
      <c r="CA15" s="824"/>
      <c r="CB15" s="824"/>
      <c r="CC15" s="824"/>
      <c r="CD15" s="824"/>
      <c r="CE15" s="824"/>
      <c r="CF15" s="824"/>
      <c r="CG15" s="824"/>
      <c r="CH15" s="824"/>
      <c r="CI15" s="824"/>
      <c r="CJ15" s="825"/>
      <c r="CK15" s="820" t="s">
        <v>406</v>
      </c>
      <c r="CL15" s="821"/>
      <c r="CM15" s="821"/>
      <c r="CN15" s="821"/>
      <c r="CO15" s="821"/>
      <c r="CP15" s="821"/>
      <c r="CQ15" s="821"/>
      <c r="CR15" s="821"/>
      <c r="CS15" s="821"/>
      <c r="CT15" s="821"/>
      <c r="CU15" s="822"/>
      <c r="CV15" s="820" t="s">
        <v>407</v>
      </c>
      <c r="CW15" s="821"/>
      <c r="CX15" s="821"/>
      <c r="CY15" s="821"/>
      <c r="CZ15" s="821"/>
      <c r="DA15" s="821"/>
      <c r="DB15" s="821"/>
      <c r="DC15" s="821"/>
      <c r="DD15" s="821"/>
      <c r="DE15" s="822"/>
      <c r="DF15" s="820" t="s">
        <v>408</v>
      </c>
      <c r="DG15" s="821"/>
      <c r="DH15" s="821"/>
      <c r="DI15" s="821"/>
      <c r="DJ15" s="821"/>
      <c r="DK15" s="821"/>
      <c r="DL15" s="821"/>
      <c r="DM15" s="821"/>
      <c r="DN15" s="821"/>
      <c r="DO15" s="821"/>
      <c r="DP15" s="821"/>
      <c r="DQ15" s="821"/>
      <c r="DR15" s="821"/>
      <c r="DS15" s="822"/>
      <c r="EE15" s="190">
        <f>(93355.38-66583.19)*EF13/7</f>
        <v>1988.7912571428574</v>
      </c>
    </row>
    <row r="16" spans="1:137" s="190" customFormat="1" ht="13.2">
      <c r="A16" s="820"/>
      <c r="B16" s="821"/>
      <c r="C16" s="821"/>
      <c r="D16" s="822"/>
      <c r="E16" s="820"/>
      <c r="F16" s="821"/>
      <c r="G16" s="821"/>
      <c r="H16" s="821"/>
      <c r="I16" s="821"/>
      <c r="J16" s="821"/>
      <c r="K16" s="821"/>
      <c r="L16" s="821"/>
      <c r="M16" s="821"/>
      <c r="N16" s="821"/>
      <c r="O16" s="821"/>
      <c r="P16" s="821"/>
      <c r="Q16" s="821"/>
      <c r="R16" s="821"/>
      <c r="S16" s="821"/>
      <c r="T16" s="822"/>
      <c r="U16" s="820"/>
      <c r="V16" s="821"/>
      <c r="W16" s="821"/>
      <c r="X16" s="821"/>
      <c r="Y16" s="821"/>
      <c r="Z16" s="821"/>
      <c r="AA16" s="821"/>
      <c r="AB16" s="821"/>
      <c r="AC16" s="821"/>
      <c r="AD16" s="821"/>
      <c r="AE16" s="821"/>
      <c r="AF16" s="822"/>
      <c r="AG16" s="820"/>
      <c r="AH16" s="821"/>
      <c r="AI16" s="821"/>
      <c r="AJ16" s="821"/>
      <c r="AK16" s="821"/>
      <c r="AL16" s="821"/>
      <c r="AM16" s="821"/>
      <c r="AN16" s="821"/>
      <c r="AO16" s="821"/>
      <c r="AP16" s="821"/>
      <c r="AQ16" s="821"/>
      <c r="AR16" s="821"/>
      <c r="AS16" s="821"/>
      <c r="AT16" s="822"/>
      <c r="AU16" s="820" t="s">
        <v>406</v>
      </c>
      <c r="AV16" s="821"/>
      <c r="AW16" s="821"/>
      <c r="AX16" s="821"/>
      <c r="AY16" s="821"/>
      <c r="AZ16" s="821"/>
      <c r="BA16" s="821"/>
      <c r="BB16" s="821"/>
      <c r="BC16" s="821"/>
      <c r="BD16" s="821"/>
      <c r="BE16" s="821"/>
      <c r="BF16" s="821"/>
      <c r="BG16" s="821"/>
      <c r="BH16" s="822"/>
      <c r="BI16" s="820" t="s">
        <v>409</v>
      </c>
      <c r="BJ16" s="821"/>
      <c r="BK16" s="821"/>
      <c r="BL16" s="821"/>
      <c r="BM16" s="821"/>
      <c r="BN16" s="821"/>
      <c r="BO16" s="821"/>
      <c r="BP16" s="821"/>
      <c r="BQ16" s="821"/>
      <c r="BR16" s="821"/>
      <c r="BS16" s="821"/>
      <c r="BT16" s="821"/>
      <c r="BU16" s="821"/>
      <c r="BV16" s="822"/>
      <c r="BW16" s="820" t="s">
        <v>410</v>
      </c>
      <c r="BX16" s="821"/>
      <c r="BY16" s="821"/>
      <c r="BZ16" s="821"/>
      <c r="CA16" s="821"/>
      <c r="CB16" s="821"/>
      <c r="CC16" s="821"/>
      <c r="CD16" s="821"/>
      <c r="CE16" s="821"/>
      <c r="CF16" s="821"/>
      <c r="CG16" s="821"/>
      <c r="CH16" s="821"/>
      <c r="CI16" s="821"/>
      <c r="CJ16" s="822"/>
      <c r="CK16" s="820" t="s">
        <v>411</v>
      </c>
      <c r="CL16" s="821"/>
      <c r="CM16" s="821"/>
      <c r="CN16" s="821"/>
      <c r="CO16" s="821"/>
      <c r="CP16" s="821"/>
      <c r="CQ16" s="821"/>
      <c r="CR16" s="821"/>
      <c r="CS16" s="821"/>
      <c r="CT16" s="821"/>
      <c r="CU16" s="822"/>
      <c r="CV16" s="820" t="s">
        <v>412</v>
      </c>
      <c r="CW16" s="821"/>
      <c r="CX16" s="821"/>
      <c r="CY16" s="821"/>
      <c r="CZ16" s="821"/>
      <c r="DA16" s="821"/>
      <c r="DB16" s="821"/>
      <c r="DC16" s="821"/>
      <c r="DD16" s="821"/>
      <c r="DE16" s="822"/>
      <c r="DF16" s="820" t="s">
        <v>413</v>
      </c>
      <c r="DG16" s="821"/>
      <c r="DH16" s="821"/>
      <c r="DI16" s="821"/>
      <c r="DJ16" s="821"/>
      <c r="DK16" s="821"/>
      <c r="DL16" s="821"/>
      <c r="DM16" s="821"/>
      <c r="DN16" s="821"/>
      <c r="DO16" s="821"/>
      <c r="DP16" s="821"/>
      <c r="DQ16" s="821"/>
      <c r="DR16" s="821"/>
      <c r="DS16" s="822"/>
      <c r="ED16" s="248" t="s">
        <v>1057</v>
      </c>
      <c r="EE16" s="82">
        <f>343862.51-EE12</f>
        <v>96880</v>
      </c>
    </row>
    <row r="17" spans="1:141" s="190" customFormat="1" ht="13.2">
      <c r="A17" s="820"/>
      <c r="B17" s="821"/>
      <c r="C17" s="821"/>
      <c r="D17" s="822"/>
      <c r="E17" s="820"/>
      <c r="F17" s="821"/>
      <c r="G17" s="821"/>
      <c r="H17" s="821"/>
      <c r="I17" s="821"/>
      <c r="J17" s="821"/>
      <c r="K17" s="821"/>
      <c r="L17" s="821"/>
      <c r="M17" s="821"/>
      <c r="N17" s="821"/>
      <c r="O17" s="821"/>
      <c r="P17" s="821"/>
      <c r="Q17" s="821"/>
      <c r="R17" s="821"/>
      <c r="S17" s="821"/>
      <c r="T17" s="822"/>
      <c r="U17" s="820"/>
      <c r="V17" s="821"/>
      <c r="W17" s="821"/>
      <c r="X17" s="821"/>
      <c r="Y17" s="821"/>
      <c r="Z17" s="821"/>
      <c r="AA17" s="821"/>
      <c r="AB17" s="821"/>
      <c r="AC17" s="821"/>
      <c r="AD17" s="821"/>
      <c r="AE17" s="821"/>
      <c r="AF17" s="822"/>
      <c r="AG17" s="820"/>
      <c r="AH17" s="821"/>
      <c r="AI17" s="821"/>
      <c r="AJ17" s="821"/>
      <c r="AK17" s="821"/>
      <c r="AL17" s="821"/>
      <c r="AM17" s="821"/>
      <c r="AN17" s="821"/>
      <c r="AO17" s="821"/>
      <c r="AP17" s="821"/>
      <c r="AQ17" s="821"/>
      <c r="AR17" s="821"/>
      <c r="AS17" s="821"/>
      <c r="AT17" s="822"/>
      <c r="AU17" s="820" t="s">
        <v>414</v>
      </c>
      <c r="AV17" s="821"/>
      <c r="AW17" s="821"/>
      <c r="AX17" s="821"/>
      <c r="AY17" s="821"/>
      <c r="AZ17" s="821"/>
      <c r="BA17" s="821"/>
      <c r="BB17" s="821"/>
      <c r="BC17" s="821"/>
      <c r="BD17" s="821"/>
      <c r="BE17" s="821"/>
      <c r="BF17" s="821"/>
      <c r="BG17" s="821"/>
      <c r="BH17" s="822"/>
      <c r="BI17" s="820" t="s">
        <v>415</v>
      </c>
      <c r="BJ17" s="821"/>
      <c r="BK17" s="821"/>
      <c r="BL17" s="821"/>
      <c r="BM17" s="821"/>
      <c r="BN17" s="821"/>
      <c r="BO17" s="821"/>
      <c r="BP17" s="821"/>
      <c r="BQ17" s="821"/>
      <c r="BR17" s="821"/>
      <c r="BS17" s="821"/>
      <c r="BT17" s="821"/>
      <c r="BU17" s="821"/>
      <c r="BV17" s="822"/>
      <c r="BW17" s="820" t="s">
        <v>415</v>
      </c>
      <c r="BX17" s="821"/>
      <c r="BY17" s="821"/>
      <c r="BZ17" s="821"/>
      <c r="CA17" s="821"/>
      <c r="CB17" s="821"/>
      <c r="CC17" s="821"/>
      <c r="CD17" s="821"/>
      <c r="CE17" s="821"/>
      <c r="CF17" s="821"/>
      <c r="CG17" s="821"/>
      <c r="CH17" s="821"/>
      <c r="CI17" s="821"/>
      <c r="CJ17" s="822"/>
      <c r="CK17" s="820"/>
      <c r="CL17" s="821"/>
      <c r="CM17" s="821"/>
      <c r="CN17" s="821"/>
      <c r="CO17" s="821"/>
      <c r="CP17" s="821"/>
      <c r="CQ17" s="821"/>
      <c r="CR17" s="821"/>
      <c r="CS17" s="821"/>
      <c r="CT17" s="821"/>
      <c r="CU17" s="822"/>
      <c r="CV17" s="820"/>
      <c r="CW17" s="821"/>
      <c r="CX17" s="821"/>
      <c r="CY17" s="821"/>
      <c r="CZ17" s="821"/>
      <c r="DA17" s="821"/>
      <c r="DB17" s="821"/>
      <c r="DC17" s="821"/>
      <c r="DD17" s="821"/>
      <c r="DE17" s="822"/>
      <c r="DF17" s="820" t="s">
        <v>416</v>
      </c>
      <c r="DG17" s="821"/>
      <c r="DH17" s="821"/>
      <c r="DI17" s="821"/>
      <c r="DJ17" s="821"/>
      <c r="DK17" s="821"/>
      <c r="DL17" s="821"/>
      <c r="DM17" s="821"/>
      <c r="DN17" s="821"/>
      <c r="DO17" s="821"/>
      <c r="DP17" s="821"/>
      <c r="DQ17" s="821"/>
      <c r="DR17" s="821"/>
      <c r="DS17" s="822"/>
      <c r="ED17" s="248" t="s">
        <v>1055</v>
      </c>
      <c r="EE17" s="190">
        <f>EE16*EF13</f>
        <v>50377.599999999999</v>
      </c>
    </row>
    <row r="18" spans="1:141" s="190" customFormat="1" ht="13.2">
      <c r="A18" s="817">
        <v>1</v>
      </c>
      <c r="B18" s="818"/>
      <c r="C18" s="818"/>
      <c r="D18" s="819"/>
      <c r="E18" s="817">
        <v>2</v>
      </c>
      <c r="F18" s="818"/>
      <c r="G18" s="818"/>
      <c r="H18" s="818"/>
      <c r="I18" s="818"/>
      <c r="J18" s="818"/>
      <c r="K18" s="818"/>
      <c r="L18" s="818"/>
      <c r="M18" s="818"/>
      <c r="N18" s="818"/>
      <c r="O18" s="818"/>
      <c r="P18" s="818"/>
      <c r="Q18" s="818"/>
      <c r="R18" s="818"/>
      <c r="S18" s="818"/>
      <c r="T18" s="819"/>
      <c r="U18" s="817">
        <v>3</v>
      </c>
      <c r="V18" s="818"/>
      <c r="W18" s="818"/>
      <c r="X18" s="818"/>
      <c r="Y18" s="818"/>
      <c r="Z18" s="818"/>
      <c r="AA18" s="818"/>
      <c r="AB18" s="818"/>
      <c r="AC18" s="818"/>
      <c r="AD18" s="818"/>
      <c r="AE18" s="818"/>
      <c r="AF18" s="819"/>
      <c r="AG18" s="817">
        <v>4</v>
      </c>
      <c r="AH18" s="818"/>
      <c r="AI18" s="818"/>
      <c r="AJ18" s="818"/>
      <c r="AK18" s="818"/>
      <c r="AL18" s="818"/>
      <c r="AM18" s="818"/>
      <c r="AN18" s="818"/>
      <c r="AO18" s="818"/>
      <c r="AP18" s="818"/>
      <c r="AQ18" s="818"/>
      <c r="AR18" s="818"/>
      <c r="AS18" s="818"/>
      <c r="AT18" s="819"/>
      <c r="AU18" s="817">
        <v>5</v>
      </c>
      <c r="AV18" s="818"/>
      <c r="AW18" s="818"/>
      <c r="AX18" s="818"/>
      <c r="AY18" s="818"/>
      <c r="AZ18" s="818"/>
      <c r="BA18" s="818"/>
      <c r="BB18" s="818"/>
      <c r="BC18" s="818"/>
      <c r="BD18" s="818"/>
      <c r="BE18" s="818"/>
      <c r="BF18" s="818"/>
      <c r="BG18" s="818"/>
      <c r="BH18" s="819"/>
      <c r="BI18" s="817">
        <v>6</v>
      </c>
      <c r="BJ18" s="818"/>
      <c r="BK18" s="818"/>
      <c r="BL18" s="818"/>
      <c r="BM18" s="818"/>
      <c r="BN18" s="818"/>
      <c r="BO18" s="818"/>
      <c r="BP18" s="818"/>
      <c r="BQ18" s="818"/>
      <c r="BR18" s="818"/>
      <c r="BS18" s="818"/>
      <c r="BT18" s="818"/>
      <c r="BU18" s="818"/>
      <c r="BV18" s="819"/>
      <c r="BW18" s="817">
        <v>7</v>
      </c>
      <c r="BX18" s="818"/>
      <c r="BY18" s="818"/>
      <c r="BZ18" s="818"/>
      <c r="CA18" s="818"/>
      <c r="CB18" s="818"/>
      <c r="CC18" s="818"/>
      <c r="CD18" s="818"/>
      <c r="CE18" s="818"/>
      <c r="CF18" s="818"/>
      <c r="CG18" s="818"/>
      <c r="CH18" s="818"/>
      <c r="CI18" s="818"/>
      <c r="CJ18" s="819"/>
      <c r="CK18" s="817">
        <v>8</v>
      </c>
      <c r="CL18" s="818"/>
      <c r="CM18" s="818"/>
      <c r="CN18" s="818"/>
      <c r="CO18" s="818"/>
      <c r="CP18" s="818"/>
      <c r="CQ18" s="818"/>
      <c r="CR18" s="818"/>
      <c r="CS18" s="818"/>
      <c r="CT18" s="818"/>
      <c r="CU18" s="819"/>
      <c r="CV18" s="817">
        <v>9</v>
      </c>
      <c r="CW18" s="818"/>
      <c r="CX18" s="818"/>
      <c r="CY18" s="818"/>
      <c r="CZ18" s="818"/>
      <c r="DA18" s="818"/>
      <c r="DB18" s="818"/>
      <c r="DC18" s="818"/>
      <c r="DD18" s="818"/>
      <c r="DE18" s="819"/>
      <c r="DF18" s="817">
        <v>10</v>
      </c>
      <c r="DG18" s="818"/>
      <c r="DH18" s="818"/>
      <c r="DI18" s="818"/>
      <c r="DJ18" s="818"/>
      <c r="DK18" s="818"/>
      <c r="DL18" s="818"/>
      <c r="DM18" s="818"/>
      <c r="DN18" s="818"/>
      <c r="DO18" s="818"/>
      <c r="DP18" s="818"/>
      <c r="DQ18" s="818"/>
      <c r="DR18" s="818"/>
      <c r="DS18" s="819"/>
      <c r="ED18" s="248" t="s">
        <v>1056</v>
      </c>
      <c r="EE18" s="190">
        <f>EE17/7</f>
        <v>7196.8</v>
      </c>
    </row>
    <row r="19" spans="1:141" s="190" customFormat="1" ht="12.75" customHeight="1">
      <c r="A19" s="802">
        <v>1</v>
      </c>
      <c r="B19" s="803"/>
      <c r="C19" s="803"/>
      <c r="D19" s="804"/>
      <c r="E19" s="805" t="s">
        <v>420</v>
      </c>
      <c r="F19" s="806"/>
      <c r="G19" s="806"/>
      <c r="H19" s="806"/>
      <c r="I19" s="806"/>
      <c r="J19" s="806"/>
      <c r="K19" s="806"/>
      <c r="L19" s="806"/>
      <c r="M19" s="806"/>
      <c r="N19" s="806"/>
      <c r="O19" s="806"/>
      <c r="P19" s="806"/>
      <c r="Q19" s="806"/>
      <c r="R19" s="806"/>
      <c r="S19" s="806"/>
      <c r="T19" s="807"/>
      <c r="U19" s="839">
        <f>19*0+20</f>
        <v>20</v>
      </c>
      <c r="V19" s="840"/>
      <c r="W19" s="840"/>
      <c r="X19" s="840"/>
      <c r="Y19" s="840"/>
      <c r="Z19" s="840"/>
      <c r="AA19" s="840"/>
      <c r="AB19" s="840"/>
      <c r="AC19" s="840"/>
      <c r="AD19" s="840"/>
      <c r="AE19" s="840"/>
      <c r="AF19" s="841"/>
      <c r="AG19" s="834">
        <f>AU19+BI19+BW19</f>
        <v>7931.71</v>
      </c>
      <c r="AH19" s="835"/>
      <c r="AI19" s="835"/>
      <c r="AJ19" s="835"/>
      <c r="AK19" s="835"/>
      <c r="AL19" s="835"/>
      <c r="AM19" s="835"/>
      <c r="AN19" s="835"/>
      <c r="AO19" s="835"/>
      <c r="AP19" s="835"/>
      <c r="AQ19" s="835"/>
      <c r="AR19" s="835"/>
      <c r="AS19" s="835"/>
      <c r="AT19" s="836"/>
      <c r="AU19" s="831">
        <v>6421.55</v>
      </c>
      <c r="AV19" s="832"/>
      <c r="AW19" s="832"/>
      <c r="AX19" s="832"/>
      <c r="AY19" s="832"/>
      <c r="AZ19" s="832"/>
      <c r="BA19" s="832"/>
      <c r="BB19" s="832"/>
      <c r="BC19" s="832"/>
      <c r="BD19" s="832"/>
      <c r="BE19" s="832"/>
      <c r="BF19" s="832"/>
      <c r="BG19" s="832"/>
      <c r="BH19" s="833"/>
      <c r="BI19" s="811">
        <v>0</v>
      </c>
      <c r="BJ19" s="812"/>
      <c r="BK19" s="812"/>
      <c r="BL19" s="812"/>
      <c r="BM19" s="812"/>
      <c r="BN19" s="812"/>
      <c r="BO19" s="812"/>
      <c r="BP19" s="812"/>
      <c r="BQ19" s="812"/>
      <c r="BR19" s="812"/>
      <c r="BS19" s="812"/>
      <c r="BT19" s="812"/>
      <c r="BU19" s="812"/>
      <c r="BV19" s="813"/>
      <c r="BW19" s="831">
        <f>1731.16-250+29</f>
        <v>1510.16</v>
      </c>
      <c r="BX19" s="832"/>
      <c r="BY19" s="832"/>
      <c r="BZ19" s="832"/>
      <c r="CA19" s="832"/>
      <c r="CB19" s="832"/>
      <c r="CC19" s="832"/>
      <c r="CD19" s="832"/>
      <c r="CE19" s="832"/>
      <c r="CF19" s="832"/>
      <c r="CG19" s="832"/>
      <c r="CH19" s="832"/>
      <c r="CI19" s="832"/>
      <c r="CJ19" s="833"/>
      <c r="CK19" s="842">
        <v>25</v>
      </c>
      <c r="CL19" s="843"/>
      <c r="CM19" s="843"/>
      <c r="CN19" s="843"/>
      <c r="CO19" s="843"/>
      <c r="CP19" s="843"/>
      <c r="CQ19" s="843"/>
      <c r="CR19" s="843"/>
      <c r="CS19" s="843"/>
      <c r="CT19" s="843"/>
      <c r="CU19" s="844"/>
      <c r="CV19" s="842">
        <v>2.2999999999999998</v>
      </c>
      <c r="CW19" s="843"/>
      <c r="CX19" s="843"/>
      <c r="CY19" s="843"/>
      <c r="CZ19" s="843"/>
      <c r="DA19" s="843"/>
      <c r="DB19" s="843"/>
      <c r="DC19" s="843"/>
      <c r="DD19" s="843"/>
      <c r="DE19" s="844"/>
      <c r="DF19" s="834">
        <f>ROUND(U19*AG19*(1+CK19/100)*CV19*12,2)+180.1</f>
        <v>5473060</v>
      </c>
      <c r="DG19" s="835"/>
      <c r="DH19" s="835"/>
      <c r="DI19" s="835"/>
      <c r="DJ19" s="835"/>
      <c r="DK19" s="835"/>
      <c r="DL19" s="835"/>
      <c r="DM19" s="835"/>
      <c r="DN19" s="835"/>
      <c r="DO19" s="835"/>
      <c r="DP19" s="835"/>
      <c r="DQ19" s="835"/>
      <c r="DR19" s="835"/>
      <c r="DS19" s="836"/>
      <c r="ED19" s="82"/>
      <c r="EE19" s="82"/>
      <c r="EF19" s="82"/>
      <c r="EG19" s="82"/>
    </row>
    <row r="20" spans="1:141" s="190" customFormat="1" ht="12.75" customHeight="1">
      <c r="A20" s="802">
        <v>2</v>
      </c>
      <c r="B20" s="803"/>
      <c r="C20" s="803"/>
      <c r="D20" s="804"/>
      <c r="E20" s="805" t="s">
        <v>417</v>
      </c>
      <c r="F20" s="806"/>
      <c r="G20" s="806"/>
      <c r="H20" s="806"/>
      <c r="I20" s="806"/>
      <c r="J20" s="806"/>
      <c r="K20" s="806"/>
      <c r="L20" s="806"/>
      <c r="M20" s="806"/>
      <c r="N20" s="806"/>
      <c r="O20" s="806"/>
      <c r="P20" s="806"/>
      <c r="Q20" s="806"/>
      <c r="R20" s="806"/>
      <c r="S20" s="806"/>
      <c r="T20" s="807"/>
      <c r="U20" s="808">
        <v>7</v>
      </c>
      <c r="V20" s="809"/>
      <c r="W20" s="809"/>
      <c r="X20" s="809"/>
      <c r="Y20" s="809"/>
      <c r="Z20" s="809"/>
      <c r="AA20" s="809"/>
      <c r="AB20" s="809"/>
      <c r="AC20" s="809"/>
      <c r="AD20" s="809"/>
      <c r="AE20" s="809"/>
      <c r="AF20" s="810"/>
      <c r="AG20" s="834">
        <f>AU20+BI20+BW20</f>
        <v>8965.59</v>
      </c>
      <c r="AH20" s="835"/>
      <c r="AI20" s="835"/>
      <c r="AJ20" s="835"/>
      <c r="AK20" s="835"/>
      <c r="AL20" s="835"/>
      <c r="AM20" s="835"/>
      <c r="AN20" s="835"/>
      <c r="AO20" s="835"/>
      <c r="AP20" s="835"/>
      <c r="AQ20" s="835"/>
      <c r="AR20" s="835"/>
      <c r="AS20" s="835"/>
      <c r="AT20" s="836"/>
      <c r="AU20" s="811">
        <v>7196.8</v>
      </c>
      <c r="AV20" s="812"/>
      <c r="AW20" s="812"/>
      <c r="AX20" s="812"/>
      <c r="AY20" s="812"/>
      <c r="AZ20" s="812"/>
      <c r="BA20" s="812"/>
      <c r="BB20" s="812"/>
      <c r="BC20" s="812"/>
      <c r="BD20" s="812"/>
      <c r="BE20" s="812"/>
      <c r="BF20" s="812"/>
      <c r="BG20" s="812"/>
      <c r="BH20" s="813"/>
      <c r="BI20" s="811">
        <v>0</v>
      </c>
      <c r="BJ20" s="812"/>
      <c r="BK20" s="812"/>
      <c r="BL20" s="812"/>
      <c r="BM20" s="812"/>
      <c r="BN20" s="812"/>
      <c r="BO20" s="812"/>
      <c r="BP20" s="812"/>
      <c r="BQ20" s="812"/>
      <c r="BR20" s="812"/>
      <c r="BS20" s="812"/>
      <c r="BT20" s="812"/>
      <c r="BU20" s="812"/>
      <c r="BV20" s="813"/>
      <c r="BW20" s="831">
        <f>1988.79-250+30</f>
        <v>1768.79</v>
      </c>
      <c r="BX20" s="832"/>
      <c r="BY20" s="832"/>
      <c r="BZ20" s="832"/>
      <c r="CA20" s="832"/>
      <c r="CB20" s="832"/>
      <c r="CC20" s="832"/>
      <c r="CD20" s="832"/>
      <c r="CE20" s="832"/>
      <c r="CF20" s="832"/>
      <c r="CG20" s="832"/>
      <c r="CH20" s="832"/>
      <c r="CI20" s="832"/>
      <c r="CJ20" s="833"/>
      <c r="CK20" s="842">
        <v>25</v>
      </c>
      <c r="CL20" s="843"/>
      <c r="CM20" s="843"/>
      <c r="CN20" s="843"/>
      <c r="CO20" s="843"/>
      <c r="CP20" s="843"/>
      <c r="CQ20" s="843"/>
      <c r="CR20" s="843"/>
      <c r="CS20" s="843"/>
      <c r="CT20" s="843"/>
      <c r="CU20" s="844"/>
      <c r="CV20" s="842">
        <v>2.2999999999999998</v>
      </c>
      <c r="CW20" s="843"/>
      <c r="CX20" s="843"/>
      <c r="CY20" s="843"/>
      <c r="CZ20" s="843"/>
      <c r="DA20" s="843"/>
      <c r="DB20" s="843"/>
      <c r="DC20" s="843"/>
      <c r="DD20" s="843"/>
      <c r="DE20" s="844"/>
      <c r="DF20" s="834">
        <f>ROUND(U20*AG20*(1+CK20/100)*CV20*12,2)+0.01</f>
        <v>2165190</v>
      </c>
      <c r="DG20" s="835"/>
      <c r="DH20" s="835"/>
      <c r="DI20" s="835"/>
      <c r="DJ20" s="835"/>
      <c r="DK20" s="835"/>
      <c r="DL20" s="835"/>
      <c r="DM20" s="835"/>
      <c r="DN20" s="835"/>
      <c r="DO20" s="835"/>
      <c r="DP20" s="835"/>
      <c r="DQ20" s="835"/>
      <c r="DR20" s="835"/>
      <c r="DS20" s="836"/>
      <c r="ED20" s="82"/>
      <c r="EE20" s="82"/>
      <c r="EF20" s="195"/>
      <c r="EG20" s="82"/>
      <c r="EK20" s="82"/>
    </row>
    <row r="21" spans="1:141" s="190" customFormat="1" ht="13.2">
      <c r="A21" s="808" t="s">
        <v>262</v>
      </c>
      <c r="B21" s="809"/>
      <c r="C21" s="809"/>
      <c r="D21" s="809"/>
      <c r="E21" s="809"/>
      <c r="F21" s="809"/>
      <c r="G21" s="809"/>
      <c r="H21" s="809"/>
      <c r="I21" s="809"/>
      <c r="J21" s="809"/>
      <c r="K21" s="809"/>
      <c r="L21" s="809"/>
      <c r="M21" s="809"/>
      <c r="N21" s="809"/>
      <c r="O21" s="809"/>
      <c r="P21" s="809"/>
      <c r="Q21" s="809"/>
      <c r="R21" s="809"/>
      <c r="S21" s="809"/>
      <c r="T21" s="810"/>
      <c r="U21" s="802" t="s">
        <v>21</v>
      </c>
      <c r="V21" s="803"/>
      <c r="W21" s="803"/>
      <c r="X21" s="803"/>
      <c r="Y21" s="803"/>
      <c r="Z21" s="803"/>
      <c r="AA21" s="803"/>
      <c r="AB21" s="803"/>
      <c r="AC21" s="803"/>
      <c r="AD21" s="803"/>
      <c r="AE21" s="803"/>
      <c r="AF21" s="804"/>
      <c r="AG21" s="834">
        <f>SUM(AG19:AT20)</f>
        <v>16897.3</v>
      </c>
      <c r="AH21" s="835"/>
      <c r="AI21" s="835"/>
      <c r="AJ21" s="835"/>
      <c r="AK21" s="835"/>
      <c r="AL21" s="835"/>
      <c r="AM21" s="835"/>
      <c r="AN21" s="835"/>
      <c r="AO21" s="835"/>
      <c r="AP21" s="835"/>
      <c r="AQ21" s="835"/>
      <c r="AR21" s="835"/>
      <c r="AS21" s="835"/>
      <c r="AT21" s="836"/>
      <c r="AU21" s="845" t="s">
        <v>21</v>
      </c>
      <c r="AV21" s="846"/>
      <c r="AW21" s="846"/>
      <c r="AX21" s="846"/>
      <c r="AY21" s="846"/>
      <c r="AZ21" s="846"/>
      <c r="BA21" s="846"/>
      <c r="BB21" s="846"/>
      <c r="BC21" s="846"/>
      <c r="BD21" s="846"/>
      <c r="BE21" s="846"/>
      <c r="BF21" s="846"/>
      <c r="BG21" s="846"/>
      <c r="BH21" s="847"/>
      <c r="BI21" s="845" t="s">
        <v>21</v>
      </c>
      <c r="BJ21" s="846"/>
      <c r="BK21" s="846"/>
      <c r="BL21" s="846"/>
      <c r="BM21" s="846"/>
      <c r="BN21" s="846"/>
      <c r="BO21" s="846"/>
      <c r="BP21" s="846"/>
      <c r="BQ21" s="846"/>
      <c r="BR21" s="846"/>
      <c r="BS21" s="846"/>
      <c r="BT21" s="846"/>
      <c r="BU21" s="846"/>
      <c r="BV21" s="847"/>
      <c r="BW21" s="845" t="s">
        <v>21</v>
      </c>
      <c r="BX21" s="846"/>
      <c r="BY21" s="846"/>
      <c r="BZ21" s="846"/>
      <c r="CA21" s="846"/>
      <c r="CB21" s="846"/>
      <c r="CC21" s="846"/>
      <c r="CD21" s="846"/>
      <c r="CE21" s="846"/>
      <c r="CF21" s="846"/>
      <c r="CG21" s="846"/>
      <c r="CH21" s="846"/>
      <c r="CI21" s="846"/>
      <c r="CJ21" s="847"/>
      <c r="CK21" s="848" t="s">
        <v>21</v>
      </c>
      <c r="CL21" s="849"/>
      <c r="CM21" s="849"/>
      <c r="CN21" s="849"/>
      <c r="CO21" s="849"/>
      <c r="CP21" s="849"/>
      <c r="CQ21" s="849"/>
      <c r="CR21" s="849"/>
      <c r="CS21" s="849"/>
      <c r="CT21" s="849"/>
      <c r="CU21" s="850"/>
      <c r="CV21" s="845" t="s">
        <v>21</v>
      </c>
      <c r="CW21" s="846"/>
      <c r="CX21" s="846"/>
      <c r="CY21" s="846"/>
      <c r="CZ21" s="846"/>
      <c r="DA21" s="846"/>
      <c r="DB21" s="846"/>
      <c r="DC21" s="846"/>
      <c r="DD21" s="846"/>
      <c r="DE21" s="847"/>
      <c r="DF21" s="834">
        <f>SUM(DF19:DS20)</f>
        <v>7638250</v>
      </c>
      <c r="DG21" s="835"/>
      <c r="DH21" s="835"/>
      <c r="DI21" s="835"/>
      <c r="DJ21" s="835"/>
      <c r="DK21" s="835"/>
      <c r="DL21" s="835"/>
      <c r="DM21" s="835"/>
      <c r="DN21" s="835"/>
      <c r="DO21" s="835"/>
      <c r="DP21" s="835"/>
      <c r="DQ21" s="835"/>
      <c r="DR21" s="835"/>
      <c r="DS21" s="836"/>
      <c r="ED21" s="82"/>
      <c r="EE21" s="82"/>
      <c r="EF21" s="82"/>
      <c r="EG21" s="82"/>
      <c r="EK21" s="82"/>
    </row>
    <row r="22" spans="1:141" s="190" customFormat="1" ht="13.2">
      <c r="ED22" s="248"/>
      <c r="EE22" s="248">
        <v>111</v>
      </c>
      <c r="EF22" s="248">
        <v>119</v>
      </c>
      <c r="EG22" s="248">
        <v>321</v>
      </c>
    </row>
    <row r="23" spans="1:141">
      <c r="A23" s="76" t="s">
        <v>383</v>
      </c>
      <c r="T23" s="830" t="s">
        <v>384</v>
      </c>
      <c r="U23" s="830"/>
      <c r="V23" s="830"/>
      <c r="W23" s="830"/>
      <c r="X23" s="830"/>
      <c r="Y23" s="830"/>
      <c r="Z23" s="830"/>
      <c r="AA23" s="830"/>
      <c r="AB23" s="830"/>
      <c r="AC23" s="830"/>
      <c r="AD23" s="830"/>
      <c r="AE23" s="830"/>
      <c r="AF23" s="830"/>
      <c r="AG23" s="830"/>
      <c r="AH23" s="830"/>
      <c r="AI23" s="830"/>
      <c r="AJ23" s="830"/>
      <c r="AK23" s="830"/>
      <c r="AL23" s="830"/>
      <c r="AM23" s="830"/>
      <c r="AN23" s="830"/>
      <c r="AO23" s="830"/>
      <c r="AP23" s="830"/>
      <c r="AQ23" s="830"/>
      <c r="AR23" s="830"/>
      <c r="AS23" s="830"/>
      <c r="AT23" s="830"/>
      <c r="AU23" s="830"/>
      <c r="AV23" s="830"/>
      <c r="AW23" s="830"/>
      <c r="AX23" s="830"/>
      <c r="AY23" s="830"/>
      <c r="AZ23" s="830"/>
      <c r="BA23" s="830"/>
      <c r="BB23" s="830"/>
      <c r="BC23" s="830"/>
      <c r="BD23" s="830"/>
      <c r="BE23" s="830"/>
      <c r="BF23" s="830"/>
      <c r="BG23" s="830"/>
      <c r="BH23" s="830"/>
      <c r="BI23" s="830"/>
      <c r="BJ23" s="830"/>
      <c r="BK23" s="830"/>
      <c r="BL23" s="830"/>
      <c r="BM23" s="830"/>
      <c r="BN23" s="830"/>
      <c r="BO23" s="830"/>
      <c r="BP23" s="830"/>
      <c r="BQ23" s="830"/>
      <c r="BR23" s="830"/>
      <c r="BS23" s="830"/>
      <c r="BT23" s="830"/>
      <c r="BU23" s="830"/>
      <c r="BV23" s="830"/>
      <c r="BW23" s="830"/>
      <c r="BX23" s="830"/>
      <c r="BY23" s="830"/>
      <c r="BZ23" s="830"/>
      <c r="CA23" s="830"/>
      <c r="CB23" s="830"/>
      <c r="CC23" s="830"/>
      <c r="CD23" s="830"/>
      <c r="CE23" s="830"/>
      <c r="CF23" s="830"/>
      <c r="CG23" s="830"/>
      <c r="CH23" s="830"/>
      <c r="CI23" s="830"/>
      <c r="CJ23" s="830"/>
      <c r="CK23" s="830"/>
      <c r="CL23" s="830"/>
      <c r="CM23" s="830"/>
      <c r="CN23" s="830"/>
      <c r="CO23" s="830"/>
      <c r="CP23" s="830"/>
      <c r="CQ23" s="830"/>
      <c r="CR23" s="830"/>
      <c r="CS23" s="830"/>
      <c r="CT23" s="830"/>
      <c r="CU23" s="830"/>
      <c r="CV23" s="830"/>
      <c r="CW23" s="830"/>
      <c r="CX23" s="830"/>
      <c r="CY23" s="830"/>
      <c r="CZ23" s="830"/>
      <c r="DA23" s="830"/>
      <c r="DB23" s="830"/>
      <c r="DC23" s="830"/>
      <c r="DD23" s="830"/>
      <c r="DE23" s="830"/>
      <c r="DF23" s="830"/>
      <c r="DG23" s="830"/>
      <c r="DH23" s="830"/>
      <c r="DI23" s="830"/>
      <c r="DJ23" s="830"/>
      <c r="DK23" s="830"/>
      <c r="DL23" s="830"/>
      <c r="DM23" s="830"/>
      <c r="DN23" s="830"/>
      <c r="DO23" s="830"/>
      <c r="DP23" s="830"/>
      <c r="DQ23" s="830"/>
      <c r="DR23" s="830"/>
      <c r="DS23" s="830"/>
      <c r="ED23" s="82">
        <f>EE23+EF23+EG23</f>
        <v>9945000</v>
      </c>
      <c r="EE23" s="82">
        <v>7638250</v>
      </c>
      <c r="EF23" s="82">
        <v>2306750</v>
      </c>
      <c r="EG23" s="82">
        <v>0</v>
      </c>
    </row>
    <row r="24" spans="1:141" s="80" customFormat="1" ht="13.2">
      <c r="A24" s="78"/>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ED24" s="82"/>
      <c r="EE24" s="82"/>
      <c r="EF24" s="195"/>
      <c r="EG24" s="82"/>
    </row>
    <row r="25" spans="1:141">
      <c r="A25" s="76" t="s">
        <v>385</v>
      </c>
      <c r="AH25" s="826" t="s">
        <v>418</v>
      </c>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826"/>
      <c r="BK25" s="826"/>
      <c r="BL25" s="826"/>
      <c r="BM25" s="826"/>
      <c r="BN25" s="826"/>
      <c r="BO25" s="826"/>
      <c r="BP25" s="826"/>
      <c r="BQ25" s="826"/>
      <c r="BR25" s="826"/>
      <c r="BS25" s="826"/>
      <c r="BT25" s="826"/>
      <c r="BU25" s="826"/>
      <c r="BV25" s="826"/>
      <c r="BW25" s="826"/>
      <c r="BX25" s="826"/>
      <c r="BY25" s="826"/>
      <c r="BZ25" s="826"/>
      <c r="CA25" s="826"/>
      <c r="CB25" s="826"/>
      <c r="CC25" s="826"/>
      <c r="CD25" s="826"/>
      <c r="CE25" s="826"/>
      <c r="CF25" s="826"/>
      <c r="CG25" s="826"/>
      <c r="CH25" s="826"/>
      <c r="CI25" s="826"/>
      <c r="CJ25" s="826"/>
      <c r="CK25" s="826"/>
      <c r="CL25" s="826"/>
      <c r="CM25" s="826"/>
      <c r="CN25" s="826"/>
      <c r="CO25" s="826"/>
      <c r="CP25" s="826"/>
      <c r="CQ25" s="826"/>
      <c r="CR25" s="826"/>
      <c r="CS25" s="826"/>
      <c r="CT25" s="826"/>
      <c r="CU25" s="826"/>
      <c r="CV25" s="826"/>
      <c r="CW25" s="826"/>
      <c r="CX25" s="826"/>
      <c r="CY25" s="826"/>
      <c r="CZ25" s="826"/>
      <c r="DA25" s="826"/>
      <c r="DB25" s="826"/>
      <c r="DC25" s="826"/>
      <c r="DD25" s="826"/>
      <c r="DE25" s="826"/>
      <c r="DF25" s="826"/>
      <c r="DG25" s="826"/>
      <c r="DH25" s="826"/>
      <c r="DI25" s="826"/>
      <c r="DJ25" s="826"/>
      <c r="DK25" s="826"/>
      <c r="DL25" s="826"/>
      <c r="DM25" s="826"/>
      <c r="DN25" s="826"/>
      <c r="DO25" s="826"/>
      <c r="DP25" s="826"/>
      <c r="DQ25" s="826"/>
      <c r="DR25" s="826"/>
      <c r="DS25" s="826"/>
    </row>
    <row r="26" spans="1:141">
      <c r="EG26" s="79">
        <f>1-EF13</f>
        <v>0.48</v>
      </c>
    </row>
    <row r="27" spans="1:141">
      <c r="A27" s="827" t="s">
        <v>387</v>
      </c>
      <c r="B27" s="827"/>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827"/>
      <c r="AZ27" s="827"/>
      <c r="BA27" s="827"/>
      <c r="BB27" s="827"/>
      <c r="BC27" s="827"/>
      <c r="BD27" s="827"/>
      <c r="BE27" s="827"/>
      <c r="BF27" s="827"/>
      <c r="BG27" s="827"/>
      <c r="BH27" s="827"/>
      <c r="BI27" s="827"/>
      <c r="BJ27" s="827"/>
      <c r="BK27" s="827"/>
      <c r="BL27" s="827"/>
      <c r="BM27" s="827"/>
      <c r="BN27" s="827"/>
      <c r="BO27" s="827"/>
      <c r="BP27" s="827"/>
      <c r="BQ27" s="827"/>
      <c r="BR27" s="827"/>
      <c r="BS27" s="827"/>
      <c r="BT27" s="827"/>
      <c r="BU27" s="827"/>
      <c r="BV27" s="827"/>
      <c r="BW27" s="827"/>
      <c r="BX27" s="827"/>
      <c r="BY27" s="827"/>
      <c r="BZ27" s="827"/>
      <c r="CA27" s="827"/>
      <c r="CB27" s="827"/>
      <c r="CC27" s="827"/>
      <c r="CD27" s="827"/>
      <c r="CE27" s="827"/>
      <c r="CF27" s="827"/>
      <c r="CG27" s="827"/>
      <c r="CH27" s="827"/>
      <c r="CI27" s="827"/>
      <c r="CJ27" s="827"/>
      <c r="CK27" s="827"/>
      <c r="CL27" s="827"/>
      <c r="CM27" s="827"/>
      <c r="CN27" s="827"/>
      <c r="CO27" s="827"/>
      <c r="CP27" s="827"/>
      <c r="CQ27" s="827"/>
      <c r="CR27" s="827"/>
      <c r="CS27" s="827"/>
      <c r="CT27" s="827"/>
      <c r="CU27" s="827"/>
      <c r="CV27" s="827"/>
      <c r="CW27" s="827"/>
      <c r="CX27" s="827"/>
      <c r="CY27" s="827"/>
      <c r="CZ27" s="827"/>
      <c r="DA27" s="827"/>
      <c r="DB27" s="827"/>
      <c r="DC27" s="827"/>
      <c r="DD27" s="827"/>
      <c r="DE27" s="827"/>
      <c r="DF27" s="827"/>
      <c r="DG27" s="827"/>
      <c r="DH27" s="827"/>
      <c r="DI27" s="827"/>
      <c r="DJ27" s="827"/>
      <c r="DK27" s="827"/>
      <c r="DL27" s="827"/>
      <c r="DM27" s="827"/>
      <c r="DN27" s="827"/>
      <c r="DO27" s="827"/>
      <c r="DP27" s="827"/>
      <c r="DQ27" s="827"/>
      <c r="DR27" s="827"/>
      <c r="DS27" s="827"/>
    </row>
    <row r="28" spans="1:141" s="190" customFormat="1" ht="13.2"/>
    <row r="29" spans="1:141" s="190" customFormat="1" ht="13.2">
      <c r="A29" s="823" t="s">
        <v>388</v>
      </c>
      <c r="B29" s="824"/>
      <c r="C29" s="824"/>
      <c r="D29" s="825"/>
      <c r="E29" s="823" t="s">
        <v>389</v>
      </c>
      <c r="F29" s="824"/>
      <c r="G29" s="824"/>
      <c r="H29" s="824"/>
      <c r="I29" s="824"/>
      <c r="J29" s="824"/>
      <c r="K29" s="824"/>
      <c r="L29" s="824"/>
      <c r="M29" s="824"/>
      <c r="N29" s="824"/>
      <c r="O29" s="824"/>
      <c r="P29" s="824"/>
      <c r="Q29" s="824"/>
      <c r="R29" s="824"/>
      <c r="S29" s="824"/>
      <c r="T29" s="825"/>
      <c r="U29" s="823" t="s">
        <v>390</v>
      </c>
      <c r="V29" s="824"/>
      <c r="W29" s="824"/>
      <c r="X29" s="824"/>
      <c r="Y29" s="824"/>
      <c r="Z29" s="824"/>
      <c r="AA29" s="824"/>
      <c r="AB29" s="824"/>
      <c r="AC29" s="824"/>
      <c r="AD29" s="824"/>
      <c r="AE29" s="824"/>
      <c r="AF29" s="825"/>
      <c r="AG29" s="817" t="s">
        <v>391</v>
      </c>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818"/>
      <c r="BD29" s="818"/>
      <c r="BE29" s="818"/>
      <c r="BF29" s="818"/>
      <c r="BG29" s="818"/>
      <c r="BH29" s="818"/>
      <c r="BI29" s="818"/>
      <c r="BJ29" s="818"/>
      <c r="BK29" s="818"/>
      <c r="BL29" s="818"/>
      <c r="BM29" s="818"/>
      <c r="BN29" s="818"/>
      <c r="BO29" s="818"/>
      <c r="BP29" s="818"/>
      <c r="BQ29" s="818"/>
      <c r="BR29" s="818"/>
      <c r="BS29" s="818"/>
      <c r="BT29" s="818"/>
      <c r="BU29" s="818"/>
      <c r="BV29" s="818"/>
      <c r="BW29" s="818"/>
      <c r="BX29" s="818"/>
      <c r="BY29" s="818"/>
      <c r="BZ29" s="818"/>
      <c r="CA29" s="818"/>
      <c r="CB29" s="818"/>
      <c r="CC29" s="818"/>
      <c r="CD29" s="818"/>
      <c r="CE29" s="818"/>
      <c r="CF29" s="818"/>
      <c r="CG29" s="818"/>
      <c r="CH29" s="818"/>
      <c r="CI29" s="818"/>
      <c r="CJ29" s="819"/>
      <c r="CK29" s="823" t="s">
        <v>392</v>
      </c>
      <c r="CL29" s="824"/>
      <c r="CM29" s="824"/>
      <c r="CN29" s="824"/>
      <c r="CO29" s="824"/>
      <c r="CP29" s="824"/>
      <c r="CQ29" s="824"/>
      <c r="CR29" s="824"/>
      <c r="CS29" s="824"/>
      <c r="CT29" s="824"/>
      <c r="CU29" s="825"/>
      <c r="CV29" s="823" t="s">
        <v>393</v>
      </c>
      <c r="CW29" s="824"/>
      <c r="CX29" s="824"/>
      <c r="CY29" s="824"/>
      <c r="CZ29" s="824"/>
      <c r="DA29" s="824"/>
      <c r="DB29" s="824"/>
      <c r="DC29" s="824"/>
      <c r="DD29" s="824"/>
      <c r="DE29" s="825"/>
      <c r="DF29" s="823" t="s">
        <v>394</v>
      </c>
      <c r="DG29" s="824"/>
      <c r="DH29" s="824"/>
      <c r="DI29" s="824"/>
      <c r="DJ29" s="824"/>
      <c r="DK29" s="824"/>
      <c r="DL29" s="824"/>
      <c r="DM29" s="824"/>
      <c r="DN29" s="824"/>
      <c r="DO29" s="824"/>
      <c r="DP29" s="824"/>
      <c r="DQ29" s="824"/>
      <c r="DR29" s="824"/>
      <c r="DS29" s="825"/>
      <c r="ED29" s="82"/>
      <c r="EE29" s="82"/>
      <c r="EF29" s="82"/>
      <c r="EG29" s="82"/>
    </row>
    <row r="30" spans="1:141" s="190" customFormat="1" ht="13.2">
      <c r="A30" s="820" t="s">
        <v>395</v>
      </c>
      <c r="B30" s="821"/>
      <c r="C30" s="821"/>
      <c r="D30" s="822"/>
      <c r="E30" s="820" t="s">
        <v>396</v>
      </c>
      <c r="F30" s="821"/>
      <c r="G30" s="821"/>
      <c r="H30" s="821"/>
      <c r="I30" s="821"/>
      <c r="J30" s="821"/>
      <c r="K30" s="821"/>
      <c r="L30" s="821"/>
      <c r="M30" s="821"/>
      <c r="N30" s="821"/>
      <c r="O30" s="821"/>
      <c r="P30" s="821"/>
      <c r="Q30" s="821"/>
      <c r="R30" s="821"/>
      <c r="S30" s="821"/>
      <c r="T30" s="822"/>
      <c r="U30" s="820" t="s">
        <v>397</v>
      </c>
      <c r="V30" s="821"/>
      <c r="W30" s="821"/>
      <c r="X30" s="821"/>
      <c r="Y30" s="821"/>
      <c r="Z30" s="821"/>
      <c r="AA30" s="821"/>
      <c r="AB30" s="821"/>
      <c r="AC30" s="821"/>
      <c r="AD30" s="821"/>
      <c r="AE30" s="821"/>
      <c r="AF30" s="822"/>
      <c r="AG30" s="823" t="s">
        <v>398</v>
      </c>
      <c r="AH30" s="824"/>
      <c r="AI30" s="824"/>
      <c r="AJ30" s="824"/>
      <c r="AK30" s="824"/>
      <c r="AL30" s="824"/>
      <c r="AM30" s="824"/>
      <c r="AN30" s="824"/>
      <c r="AO30" s="824"/>
      <c r="AP30" s="824"/>
      <c r="AQ30" s="824"/>
      <c r="AR30" s="824"/>
      <c r="AS30" s="824"/>
      <c r="AT30" s="825"/>
      <c r="AU30" s="817" t="s">
        <v>27</v>
      </c>
      <c r="AV30" s="818"/>
      <c r="AW30" s="818"/>
      <c r="AX30" s="818"/>
      <c r="AY30" s="818"/>
      <c r="AZ30" s="818"/>
      <c r="BA30" s="818"/>
      <c r="BB30" s="818"/>
      <c r="BC30" s="818"/>
      <c r="BD30" s="818"/>
      <c r="BE30" s="818"/>
      <c r="BF30" s="818"/>
      <c r="BG30" s="818"/>
      <c r="BH30" s="818"/>
      <c r="BI30" s="818"/>
      <c r="BJ30" s="818"/>
      <c r="BK30" s="818"/>
      <c r="BL30" s="818"/>
      <c r="BM30" s="818"/>
      <c r="BN30" s="818"/>
      <c r="BO30" s="818"/>
      <c r="BP30" s="818"/>
      <c r="BQ30" s="818"/>
      <c r="BR30" s="818"/>
      <c r="BS30" s="818"/>
      <c r="BT30" s="818"/>
      <c r="BU30" s="818"/>
      <c r="BV30" s="818"/>
      <c r="BW30" s="818"/>
      <c r="BX30" s="818"/>
      <c r="BY30" s="818"/>
      <c r="BZ30" s="818"/>
      <c r="CA30" s="818"/>
      <c r="CB30" s="818"/>
      <c r="CC30" s="818"/>
      <c r="CD30" s="818"/>
      <c r="CE30" s="818"/>
      <c r="CF30" s="818"/>
      <c r="CG30" s="818"/>
      <c r="CH30" s="818"/>
      <c r="CI30" s="818"/>
      <c r="CJ30" s="819"/>
      <c r="CK30" s="820" t="s">
        <v>399</v>
      </c>
      <c r="CL30" s="821"/>
      <c r="CM30" s="821"/>
      <c r="CN30" s="821"/>
      <c r="CO30" s="821"/>
      <c r="CP30" s="821"/>
      <c r="CQ30" s="821"/>
      <c r="CR30" s="821"/>
      <c r="CS30" s="821"/>
      <c r="CT30" s="821"/>
      <c r="CU30" s="822"/>
      <c r="CV30" s="820" t="s">
        <v>419</v>
      </c>
      <c r="CW30" s="821"/>
      <c r="CX30" s="821"/>
      <c r="CY30" s="821"/>
      <c r="CZ30" s="821"/>
      <c r="DA30" s="821"/>
      <c r="DB30" s="821"/>
      <c r="DC30" s="821"/>
      <c r="DD30" s="821"/>
      <c r="DE30" s="822"/>
      <c r="DF30" s="820" t="s">
        <v>401</v>
      </c>
      <c r="DG30" s="821"/>
      <c r="DH30" s="821"/>
      <c r="DI30" s="821"/>
      <c r="DJ30" s="821"/>
      <c r="DK30" s="821"/>
      <c r="DL30" s="821"/>
      <c r="DM30" s="821"/>
      <c r="DN30" s="821"/>
      <c r="DO30" s="821"/>
      <c r="DP30" s="821"/>
      <c r="DQ30" s="821"/>
      <c r="DR30" s="821"/>
      <c r="DS30" s="822"/>
      <c r="ED30" s="82"/>
      <c r="EE30" s="82"/>
      <c r="EF30" s="82"/>
      <c r="EG30" s="82"/>
      <c r="EH30" s="196"/>
    </row>
    <row r="31" spans="1:141" s="190" customFormat="1" ht="13.2">
      <c r="A31" s="820"/>
      <c r="B31" s="821"/>
      <c r="C31" s="821"/>
      <c r="D31" s="822"/>
      <c r="E31" s="820" t="s">
        <v>402</v>
      </c>
      <c r="F31" s="821"/>
      <c r="G31" s="821"/>
      <c r="H31" s="821"/>
      <c r="I31" s="821"/>
      <c r="J31" s="821"/>
      <c r="K31" s="821"/>
      <c r="L31" s="821"/>
      <c r="M31" s="821"/>
      <c r="N31" s="821"/>
      <c r="O31" s="821"/>
      <c r="P31" s="821"/>
      <c r="Q31" s="821"/>
      <c r="R31" s="821"/>
      <c r="S31" s="821"/>
      <c r="T31" s="822"/>
      <c r="U31" s="820" t="s">
        <v>403</v>
      </c>
      <c r="V31" s="821"/>
      <c r="W31" s="821"/>
      <c r="X31" s="821"/>
      <c r="Y31" s="821"/>
      <c r="Z31" s="821"/>
      <c r="AA31" s="821"/>
      <c r="AB31" s="821"/>
      <c r="AC31" s="821"/>
      <c r="AD31" s="821"/>
      <c r="AE31" s="821"/>
      <c r="AF31" s="822"/>
      <c r="AG31" s="820"/>
      <c r="AH31" s="821"/>
      <c r="AI31" s="821"/>
      <c r="AJ31" s="821"/>
      <c r="AK31" s="821"/>
      <c r="AL31" s="821"/>
      <c r="AM31" s="821"/>
      <c r="AN31" s="821"/>
      <c r="AO31" s="821"/>
      <c r="AP31" s="821"/>
      <c r="AQ31" s="821"/>
      <c r="AR31" s="821"/>
      <c r="AS31" s="821"/>
      <c r="AT31" s="822"/>
      <c r="AU31" s="823" t="s">
        <v>404</v>
      </c>
      <c r="AV31" s="824"/>
      <c r="AW31" s="824"/>
      <c r="AX31" s="824"/>
      <c r="AY31" s="824"/>
      <c r="AZ31" s="824"/>
      <c r="BA31" s="824"/>
      <c r="BB31" s="824"/>
      <c r="BC31" s="824"/>
      <c r="BD31" s="824"/>
      <c r="BE31" s="824"/>
      <c r="BF31" s="824"/>
      <c r="BG31" s="824"/>
      <c r="BH31" s="825"/>
      <c r="BI31" s="823" t="s">
        <v>405</v>
      </c>
      <c r="BJ31" s="824"/>
      <c r="BK31" s="824"/>
      <c r="BL31" s="824"/>
      <c r="BM31" s="824"/>
      <c r="BN31" s="824"/>
      <c r="BO31" s="824"/>
      <c r="BP31" s="824"/>
      <c r="BQ31" s="824"/>
      <c r="BR31" s="824"/>
      <c r="BS31" s="824"/>
      <c r="BT31" s="824"/>
      <c r="BU31" s="824"/>
      <c r="BV31" s="825"/>
      <c r="BW31" s="823" t="s">
        <v>405</v>
      </c>
      <c r="BX31" s="824"/>
      <c r="BY31" s="824"/>
      <c r="BZ31" s="824"/>
      <c r="CA31" s="824"/>
      <c r="CB31" s="824"/>
      <c r="CC31" s="824"/>
      <c r="CD31" s="824"/>
      <c r="CE31" s="824"/>
      <c r="CF31" s="824"/>
      <c r="CG31" s="824"/>
      <c r="CH31" s="824"/>
      <c r="CI31" s="824"/>
      <c r="CJ31" s="825"/>
      <c r="CK31" s="820" t="s">
        <v>406</v>
      </c>
      <c r="CL31" s="821"/>
      <c r="CM31" s="821"/>
      <c r="CN31" s="821"/>
      <c r="CO31" s="821"/>
      <c r="CP31" s="821"/>
      <c r="CQ31" s="821"/>
      <c r="CR31" s="821"/>
      <c r="CS31" s="821"/>
      <c r="CT31" s="821"/>
      <c r="CU31" s="822"/>
      <c r="CV31" s="820"/>
      <c r="CW31" s="821"/>
      <c r="CX31" s="821"/>
      <c r="CY31" s="821"/>
      <c r="CZ31" s="821"/>
      <c r="DA31" s="821"/>
      <c r="DB31" s="821"/>
      <c r="DC31" s="821"/>
      <c r="DD31" s="821"/>
      <c r="DE31" s="822"/>
      <c r="DF31" s="820" t="s">
        <v>408</v>
      </c>
      <c r="DG31" s="821"/>
      <c r="DH31" s="821"/>
      <c r="DI31" s="821"/>
      <c r="DJ31" s="821"/>
      <c r="DK31" s="821"/>
      <c r="DL31" s="821"/>
      <c r="DM31" s="821"/>
      <c r="DN31" s="821"/>
      <c r="DO31" s="821"/>
      <c r="DP31" s="821"/>
      <c r="DQ31" s="821"/>
      <c r="DR31" s="821"/>
      <c r="DS31" s="822"/>
      <c r="ED31" s="248"/>
      <c r="EE31" s="248">
        <v>111</v>
      </c>
      <c r="EF31" s="248">
        <v>119</v>
      </c>
      <c r="EG31" s="248">
        <v>321</v>
      </c>
      <c r="EH31" s="196"/>
    </row>
    <row r="32" spans="1:141" s="190" customFormat="1" ht="13.2">
      <c r="A32" s="820"/>
      <c r="B32" s="821"/>
      <c r="C32" s="821"/>
      <c r="D32" s="822"/>
      <c r="E32" s="820"/>
      <c r="F32" s="821"/>
      <c r="G32" s="821"/>
      <c r="H32" s="821"/>
      <c r="I32" s="821"/>
      <c r="J32" s="821"/>
      <c r="K32" s="821"/>
      <c r="L32" s="821"/>
      <c r="M32" s="821"/>
      <c r="N32" s="821"/>
      <c r="O32" s="821"/>
      <c r="P32" s="821"/>
      <c r="Q32" s="821"/>
      <c r="R32" s="821"/>
      <c r="S32" s="821"/>
      <c r="T32" s="822"/>
      <c r="U32" s="820"/>
      <c r="V32" s="821"/>
      <c r="W32" s="821"/>
      <c r="X32" s="821"/>
      <c r="Y32" s="821"/>
      <c r="Z32" s="821"/>
      <c r="AA32" s="821"/>
      <c r="AB32" s="821"/>
      <c r="AC32" s="821"/>
      <c r="AD32" s="821"/>
      <c r="AE32" s="821"/>
      <c r="AF32" s="822"/>
      <c r="AG32" s="820"/>
      <c r="AH32" s="821"/>
      <c r="AI32" s="821"/>
      <c r="AJ32" s="821"/>
      <c r="AK32" s="821"/>
      <c r="AL32" s="821"/>
      <c r="AM32" s="821"/>
      <c r="AN32" s="821"/>
      <c r="AO32" s="821"/>
      <c r="AP32" s="821"/>
      <c r="AQ32" s="821"/>
      <c r="AR32" s="821"/>
      <c r="AS32" s="821"/>
      <c r="AT32" s="822"/>
      <c r="AU32" s="820" t="s">
        <v>406</v>
      </c>
      <c r="AV32" s="821"/>
      <c r="AW32" s="821"/>
      <c r="AX32" s="821"/>
      <c r="AY32" s="821"/>
      <c r="AZ32" s="821"/>
      <c r="BA32" s="821"/>
      <c r="BB32" s="821"/>
      <c r="BC32" s="821"/>
      <c r="BD32" s="821"/>
      <c r="BE32" s="821"/>
      <c r="BF32" s="821"/>
      <c r="BG32" s="821"/>
      <c r="BH32" s="822"/>
      <c r="BI32" s="820" t="s">
        <v>409</v>
      </c>
      <c r="BJ32" s="821"/>
      <c r="BK32" s="821"/>
      <c r="BL32" s="821"/>
      <c r="BM32" s="821"/>
      <c r="BN32" s="821"/>
      <c r="BO32" s="821"/>
      <c r="BP32" s="821"/>
      <c r="BQ32" s="821"/>
      <c r="BR32" s="821"/>
      <c r="BS32" s="821"/>
      <c r="BT32" s="821"/>
      <c r="BU32" s="821"/>
      <c r="BV32" s="822"/>
      <c r="BW32" s="820" t="s">
        <v>410</v>
      </c>
      <c r="BX32" s="821"/>
      <c r="BY32" s="821"/>
      <c r="BZ32" s="821"/>
      <c r="CA32" s="821"/>
      <c r="CB32" s="821"/>
      <c r="CC32" s="821"/>
      <c r="CD32" s="821"/>
      <c r="CE32" s="821"/>
      <c r="CF32" s="821"/>
      <c r="CG32" s="821"/>
      <c r="CH32" s="821"/>
      <c r="CI32" s="821"/>
      <c r="CJ32" s="822"/>
      <c r="CK32" s="820" t="s">
        <v>411</v>
      </c>
      <c r="CL32" s="821"/>
      <c r="CM32" s="821"/>
      <c r="CN32" s="821"/>
      <c r="CO32" s="821"/>
      <c r="CP32" s="821"/>
      <c r="CQ32" s="821"/>
      <c r="CR32" s="821"/>
      <c r="CS32" s="821"/>
      <c r="CT32" s="821"/>
      <c r="CU32" s="822"/>
      <c r="CV32" s="820"/>
      <c r="CW32" s="821"/>
      <c r="CX32" s="821"/>
      <c r="CY32" s="821"/>
      <c r="CZ32" s="821"/>
      <c r="DA32" s="821"/>
      <c r="DB32" s="821"/>
      <c r="DC32" s="821"/>
      <c r="DD32" s="821"/>
      <c r="DE32" s="822"/>
      <c r="DF32" s="820" t="s">
        <v>413</v>
      </c>
      <c r="DG32" s="821"/>
      <c r="DH32" s="821"/>
      <c r="DI32" s="821"/>
      <c r="DJ32" s="821"/>
      <c r="DK32" s="821"/>
      <c r="DL32" s="821"/>
      <c r="DM32" s="821"/>
      <c r="DN32" s="821"/>
      <c r="DO32" s="821"/>
      <c r="DP32" s="821"/>
      <c r="DQ32" s="821"/>
      <c r="DR32" s="821"/>
      <c r="DS32" s="822"/>
      <c r="ED32" s="82">
        <f>EE32+EF32+EG32</f>
        <v>10015301.050000001</v>
      </c>
      <c r="EE32" s="82">
        <f>402050+7290239.9</f>
        <v>7692289.9000000004</v>
      </c>
      <c r="EF32" s="82">
        <f>121372+2201639.15</f>
        <v>2323011.15</v>
      </c>
      <c r="EG32" s="82">
        <v>0</v>
      </c>
    </row>
    <row r="33" spans="1:137" s="190" customFormat="1" ht="13.2">
      <c r="A33" s="820"/>
      <c r="B33" s="821"/>
      <c r="C33" s="821"/>
      <c r="D33" s="822"/>
      <c r="E33" s="820"/>
      <c r="F33" s="821"/>
      <c r="G33" s="821"/>
      <c r="H33" s="821"/>
      <c r="I33" s="821"/>
      <c r="J33" s="821"/>
      <c r="K33" s="821"/>
      <c r="L33" s="821"/>
      <c r="M33" s="821"/>
      <c r="N33" s="821"/>
      <c r="O33" s="821"/>
      <c r="P33" s="821"/>
      <c r="Q33" s="821"/>
      <c r="R33" s="821"/>
      <c r="S33" s="821"/>
      <c r="T33" s="822"/>
      <c r="U33" s="820"/>
      <c r="V33" s="821"/>
      <c r="W33" s="821"/>
      <c r="X33" s="821"/>
      <c r="Y33" s="821"/>
      <c r="Z33" s="821"/>
      <c r="AA33" s="821"/>
      <c r="AB33" s="821"/>
      <c r="AC33" s="821"/>
      <c r="AD33" s="821"/>
      <c r="AE33" s="821"/>
      <c r="AF33" s="822"/>
      <c r="AG33" s="820"/>
      <c r="AH33" s="821"/>
      <c r="AI33" s="821"/>
      <c r="AJ33" s="821"/>
      <c r="AK33" s="821"/>
      <c r="AL33" s="821"/>
      <c r="AM33" s="821"/>
      <c r="AN33" s="821"/>
      <c r="AO33" s="821"/>
      <c r="AP33" s="821"/>
      <c r="AQ33" s="821"/>
      <c r="AR33" s="821"/>
      <c r="AS33" s="821"/>
      <c r="AT33" s="822"/>
      <c r="AU33" s="820" t="s">
        <v>414</v>
      </c>
      <c r="AV33" s="821"/>
      <c r="AW33" s="821"/>
      <c r="AX33" s="821"/>
      <c r="AY33" s="821"/>
      <c r="AZ33" s="821"/>
      <c r="BA33" s="821"/>
      <c r="BB33" s="821"/>
      <c r="BC33" s="821"/>
      <c r="BD33" s="821"/>
      <c r="BE33" s="821"/>
      <c r="BF33" s="821"/>
      <c r="BG33" s="821"/>
      <c r="BH33" s="822"/>
      <c r="BI33" s="820" t="s">
        <v>415</v>
      </c>
      <c r="BJ33" s="821"/>
      <c r="BK33" s="821"/>
      <c r="BL33" s="821"/>
      <c r="BM33" s="821"/>
      <c r="BN33" s="821"/>
      <c r="BO33" s="821"/>
      <c r="BP33" s="821"/>
      <c r="BQ33" s="821"/>
      <c r="BR33" s="821"/>
      <c r="BS33" s="821"/>
      <c r="BT33" s="821"/>
      <c r="BU33" s="821"/>
      <c r="BV33" s="822"/>
      <c r="BW33" s="820" t="s">
        <v>415</v>
      </c>
      <c r="BX33" s="821"/>
      <c r="BY33" s="821"/>
      <c r="BZ33" s="821"/>
      <c r="CA33" s="821"/>
      <c r="CB33" s="821"/>
      <c r="CC33" s="821"/>
      <c r="CD33" s="821"/>
      <c r="CE33" s="821"/>
      <c r="CF33" s="821"/>
      <c r="CG33" s="821"/>
      <c r="CH33" s="821"/>
      <c r="CI33" s="821"/>
      <c r="CJ33" s="822"/>
      <c r="CK33" s="820"/>
      <c r="CL33" s="821"/>
      <c r="CM33" s="821"/>
      <c r="CN33" s="821"/>
      <c r="CO33" s="821"/>
      <c r="CP33" s="821"/>
      <c r="CQ33" s="821"/>
      <c r="CR33" s="821"/>
      <c r="CS33" s="821"/>
      <c r="CT33" s="821"/>
      <c r="CU33" s="822"/>
      <c r="CV33" s="820"/>
      <c r="CW33" s="821"/>
      <c r="CX33" s="821"/>
      <c r="CY33" s="821"/>
      <c r="CZ33" s="821"/>
      <c r="DA33" s="821"/>
      <c r="DB33" s="821"/>
      <c r="DC33" s="821"/>
      <c r="DD33" s="821"/>
      <c r="DE33" s="822"/>
      <c r="DF33" s="820" t="s">
        <v>416</v>
      </c>
      <c r="DG33" s="821"/>
      <c r="DH33" s="821"/>
      <c r="DI33" s="821"/>
      <c r="DJ33" s="821"/>
      <c r="DK33" s="821"/>
      <c r="DL33" s="821"/>
      <c r="DM33" s="821"/>
      <c r="DN33" s="821"/>
      <c r="DO33" s="821"/>
      <c r="DP33" s="821"/>
      <c r="DQ33" s="821"/>
      <c r="DR33" s="821"/>
      <c r="DS33" s="822"/>
      <c r="ED33" s="82"/>
      <c r="EE33" s="82"/>
      <c r="EF33" s="82"/>
      <c r="EG33" s="82"/>
    </row>
    <row r="34" spans="1:137" s="190" customFormat="1" ht="13.2">
      <c r="A34" s="817">
        <v>1</v>
      </c>
      <c r="B34" s="818"/>
      <c r="C34" s="818"/>
      <c r="D34" s="819"/>
      <c r="E34" s="817">
        <v>2</v>
      </c>
      <c r="F34" s="818"/>
      <c r="G34" s="818"/>
      <c r="H34" s="818"/>
      <c r="I34" s="818"/>
      <c r="J34" s="818"/>
      <c r="K34" s="818"/>
      <c r="L34" s="818"/>
      <c r="M34" s="818"/>
      <c r="N34" s="818"/>
      <c r="O34" s="818"/>
      <c r="P34" s="818"/>
      <c r="Q34" s="818"/>
      <c r="R34" s="818"/>
      <c r="S34" s="818"/>
      <c r="T34" s="819"/>
      <c r="U34" s="817">
        <v>3</v>
      </c>
      <c r="V34" s="818"/>
      <c r="W34" s="818"/>
      <c r="X34" s="818"/>
      <c r="Y34" s="818"/>
      <c r="Z34" s="818"/>
      <c r="AA34" s="818"/>
      <c r="AB34" s="818"/>
      <c r="AC34" s="818"/>
      <c r="AD34" s="818"/>
      <c r="AE34" s="818"/>
      <c r="AF34" s="819"/>
      <c r="AG34" s="817">
        <v>4</v>
      </c>
      <c r="AH34" s="818"/>
      <c r="AI34" s="818"/>
      <c r="AJ34" s="818"/>
      <c r="AK34" s="818"/>
      <c r="AL34" s="818"/>
      <c r="AM34" s="818"/>
      <c r="AN34" s="818"/>
      <c r="AO34" s="818"/>
      <c r="AP34" s="818"/>
      <c r="AQ34" s="818"/>
      <c r="AR34" s="818"/>
      <c r="AS34" s="818"/>
      <c r="AT34" s="819"/>
      <c r="AU34" s="817">
        <v>5</v>
      </c>
      <c r="AV34" s="818"/>
      <c r="AW34" s="818"/>
      <c r="AX34" s="818"/>
      <c r="AY34" s="818"/>
      <c r="AZ34" s="818"/>
      <c r="BA34" s="818"/>
      <c r="BB34" s="818"/>
      <c r="BC34" s="818"/>
      <c r="BD34" s="818"/>
      <c r="BE34" s="818"/>
      <c r="BF34" s="818"/>
      <c r="BG34" s="818"/>
      <c r="BH34" s="819"/>
      <c r="BI34" s="817">
        <v>6</v>
      </c>
      <c r="BJ34" s="818"/>
      <c r="BK34" s="818"/>
      <c r="BL34" s="818"/>
      <c r="BM34" s="818"/>
      <c r="BN34" s="818"/>
      <c r="BO34" s="818"/>
      <c r="BP34" s="818"/>
      <c r="BQ34" s="818"/>
      <c r="BR34" s="818"/>
      <c r="BS34" s="818"/>
      <c r="BT34" s="818"/>
      <c r="BU34" s="818"/>
      <c r="BV34" s="819"/>
      <c r="BW34" s="817">
        <v>7</v>
      </c>
      <c r="BX34" s="818"/>
      <c r="BY34" s="818"/>
      <c r="BZ34" s="818"/>
      <c r="CA34" s="818"/>
      <c r="CB34" s="818"/>
      <c r="CC34" s="818"/>
      <c r="CD34" s="818"/>
      <c r="CE34" s="818"/>
      <c r="CF34" s="818"/>
      <c r="CG34" s="818"/>
      <c r="CH34" s="818"/>
      <c r="CI34" s="818"/>
      <c r="CJ34" s="819"/>
      <c r="CK34" s="817">
        <v>8</v>
      </c>
      <c r="CL34" s="818"/>
      <c r="CM34" s="818"/>
      <c r="CN34" s="818"/>
      <c r="CO34" s="818"/>
      <c r="CP34" s="818"/>
      <c r="CQ34" s="818"/>
      <c r="CR34" s="818"/>
      <c r="CS34" s="818"/>
      <c r="CT34" s="818"/>
      <c r="CU34" s="819"/>
      <c r="CV34" s="817">
        <v>9</v>
      </c>
      <c r="CW34" s="818"/>
      <c r="CX34" s="818"/>
      <c r="CY34" s="818"/>
      <c r="CZ34" s="818"/>
      <c r="DA34" s="818"/>
      <c r="DB34" s="818"/>
      <c r="DC34" s="818"/>
      <c r="DD34" s="818"/>
      <c r="DE34" s="819"/>
      <c r="DF34" s="817">
        <v>10</v>
      </c>
      <c r="DG34" s="818"/>
      <c r="DH34" s="818"/>
      <c r="DI34" s="818"/>
      <c r="DJ34" s="818"/>
      <c r="DK34" s="818"/>
      <c r="DL34" s="818"/>
      <c r="DM34" s="818"/>
      <c r="DN34" s="818"/>
      <c r="DO34" s="818"/>
      <c r="DP34" s="818"/>
      <c r="DQ34" s="818"/>
      <c r="DR34" s="818"/>
      <c r="DS34" s="819"/>
      <c r="ED34" s="82"/>
    </row>
    <row r="35" spans="1:137" s="190" customFormat="1" ht="12.75" customHeight="1">
      <c r="A35" s="802">
        <v>1</v>
      </c>
      <c r="B35" s="803"/>
      <c r="C35" s="803"/>
      <c r="D35" s="804"/>
      <c r="E35" s="805" t="s">
        <v>420</v>
      </c>
      <c r="F35" s="806"/>
      <c r="G35" s="806"/>
      <c r="H35" s="806"/>
      <c r="I35" s="806"/>
      <c r="J35" s="806"/>
      <c r="K35" s="806"/>
      <c r="L35" s="806"/>
      <c r="M35" s="806"/>
      <c r="N35" s="806"/>
      <c r="O35" s="806"/>
      <c r="P35" s="806"/>
      <c r="Q35" s="806"/>
      <c r="R35" s="806"/>
      <c r="S35" s="806"/>
      <c r="T35" s="807"/>
      <c r="U35" s="839">
        <f>19*0+20</f>
        <v>20</v>
      </c>
      <c r="V35" s="840"/>
      <c r="W35" s="840"/>
      <c r="X35" s="840"/>
      <c r="Y35" s="840"/>
      <c r="Z35" s="840"/>
      <c r="AA35" s="840"/>
      <c r="AB35" s="840"/>
      <c r="AC35" s="840"/>
      <c r="AD35" s="840"/>
      <c r="AE35" s="840"/>
      <c r="AF35" s="841"/>
      <c r="AG35" s="834">
        <f>AU35+BI35+BW35</f>
        <v>8010.57</v>
      </c>
      <c r="AH35" s="835"/>
      <c r="AI35" s="835"/>
      <c r="AJ35" s="835"/>
      <c r="AK35" s="835"/>
      <c r="AL35" s="835"/>
      <c r="AM35" s="835"/>
      <c r="AN35" s="835"/>
      <c r="AO35" s="835"/>
      <c r="AP35" s="835"/>
      <c r="AQ35" s="835"/>
      <c r="AR35" s="835"/>
      <c r="AS35" s="835"/>
      <c r="AT35" s="836"/>
      <c r="AU35" s="831">
        <v>5927.58</v>
      </c>
      <c r="AV35" s="832"/>
      <c r="AW35" s="832"/>
      <c r="AX35" s="832"/>
      <c r="AY35" s="832"/>
      <c r="AZ35" s="832"/>
      <c r="BA35" s="832"/>
      <c r="BB35" s="832"/>
      <c r="BC35" s="832"/>
      <c r="BD35" s="832"/>
      <c r="BE35" s="832"/>
      <c r="BF35" s="832"/>
      <c r="BG35" s="832"/>
      <c r="BH35" s="833"/>
      <c r="BI35" s="811">
        <v>0</v>
      </c>
      <c r="BJ35" s="812"/>
      <c r="BK35" s="812"/>
      <c r="BL35" s="812"/>
      <c r="BM35" s="812"/>
      <c r="BN35" s="812"/>
      <c r="BO35" s="812"/>
      <c r="BP35" s="812"/>
      <c r="BQ35" s="812"/>
      <c r="BR35" s="812"/>
      <c r="BS35" s="812"/>
      <c r="BT35" s="812"/>
      <c r="BU35" s="812"/>
      <c r="BV35" s="813"/>
      <c r="BW35" s="831">
        <f>1393.99+500+200-11</f>
        <v>2082.9899999999998</v>
      </c>
      <c r="BX35" s="832"/>
      <c r="BY35" s="832"/>
      <c r="BZ35" s="832"/>
      <c r="CA35" s="832"/>
      <c r="CB35" s="832"/>
      <c r="CC35" s="832"/>
      <c r="CD35" s="832"/>
      <c r="CE35" s="832"/>
      <c r="CF35" s="832"/>
      <c r="CG35" s="832"/>
      <c r="CH35" s="832"/>
      <c r="CI35" s="832"/>
      <c r="CJ35" s="833"/>
      <c r="CK35" s="808">
        <v>25</v>
      </c>
      <c r="CL35" s="809"/>
      <c r="CM35" s="809"/>
      <c r="CN35" s="809"/>
      <c r="CO35" s="809"/>
      <c r="CP35" s="809"/>
      <c r="CQ35" s="809"/>
      <c r="CR35" s="809"/>
      <c r="CS35" s="809"/>
      <c r="CT35" s="809"/>
      <c r="CU35" s="810"/>
      <c r="CV35" s="808">
        <v>2.2999999999999998</v>
      </c>
      <c r="CW35" s="809"/>
      <c r="CX35" s="809"/>
      <c r="CY35" s="809"/>
      <c r="CZ35" s="809"/>
      <c r="DA35" s="809"/>
      <c r="DB35" s="809"/>
      <c r="DC35" s="809"/>
      <c r="DD35" s="809"/>
      <c r="DE35" s="810"/>
      <c r="DF35" s="834">
        <f>ROUND(U35*AG35*(1+CK35/100)*CV35*12,2)-34</f>
        <v>5527259.2999999998</v>
      </c>
      <c r="DG35" s="835"/>
      <c r="DH35" s="835"/>
      <c r="DI35" s="835"/>
      <c r="DJ35" s="835"/>
      <c r="DK35" s="835"/>
      <c r="DL35" s="835"/>
      <c r="DM35" s="835"/>
      <c r="DN35" s="835"/>
      <c r="DO35" s="835"/>
      <c r="DP35" s="835"/>
      <c r="DQ35" s="835"/>
      <c r="DR35" s="835"/>
      <c r="DS35" s="836"/>
      <c r="EG35" s="82"/>
    </row>
    <row r="36" spans="1:137" s="190" customFormat="1" ht="12.75" customHeight="1">
      <c r="A36" s="802">
        <v>2</v>
      </c>
      <c r="B36" s="803"/>
      <c r="C36" s="803"/>
      <c r="D36" s="804"/>
      <c r="E36" s="805" t="s">
        <v>417</v>
      </c>
      <c r="F36" s="806"/>
      <c r="G36" s="806"/>
      <c r="H36" s="806"/>
      <c r="I36" s="806"/>
      <c r="J36" s="806"/>
      <c r="K36" s="806"/>
      <c r="L36" s="806"/>
      <c r="M36" s="806"/>
      <c r="N36" s="806"/>
      <c r="O36" s="806"/>
      <c r="P36" s="806"/>
      <c r="Q36" s="806"/>
      <c r="R36" s="806"/>
      <c r="S36" s="806"/>
      <c r="T36" s="807"/>
      <c r="U36" s="808">
        <v>7</v>
      </c>
      <c r="V36" s="809"/>
      <c r="W36" s="809"/>
      <c r="X36" s="809"/>
      <c r="Y36" s="809"/>
      <c r="Z36" s="809"/>
      <c r="AA36" s="809"/>
      <c r="AB36" s="809"/>
      <c r="AC36" s="809"/>
      <c r="AD36" s="809"/>
      <c r="AE36" s="809"/>
      <c r="AF36" s="810"/>
      <c r="AG36" s="834">
        <f>AU36+BI36+BW36</f>
        <v>8964.93</v>
      </c>
      <c r="AH36" s="835"/>
      <c r="AI36" s="835"/>
      <c r="AJ36" s="835"/>
      <c r="AK36" s="835"/>
      <c r="AL36" s="835"/>
      <c r="AM36" s="835"/>
      <c r="AN36" s="835"/>
      <c r="AO36" s="835"/>
      <c r="AP36" s="835"/>
      <c r="AQ36" s="835"/>
      <c r="AR36" s="835"/>
      <c r="AS36" s="835"/>
      <c r="AT36" s="836"/>
      <c r="AU36" s="831">
        <v>6643.2</v>
      </c>
      <c r="AV36" s="832"/>
      <c r="AW36" s="832"/>
      <c r="AX36" s="832"/>
      <c r="AY36" s="832"/>
      <c r="AZ36" s="832"/>
      <c r="BA36" s="832"/>
      <c r="BB36" s="832"/>
      <c r="BC36" s="832"/>
      <c r="BD36" s="832"/>
      <c r="BE36" s="832"/>
      <c r="BF36" s="832"/>
      <c r="BG36" s="832"/>
      <c r="BH36" s="833"/>
      <c r="BI36" s="811">
        <v>0</v>
      </c>
      <c r="BJ36" s="812"/>
      <c r="BK36" s="812"/>
      <c r="BL36" s="812"/>
      <c r="BM36" s="812"/>
      <c r="BN36" s="812"/>
      <c r="BO36" s="812"/>
      <c r="BP36" s="812"/>
      <c r="BQ36" s="812"/>
      <c r="BR36" s="812"/>
      <c r="BS36" s="812"/>
      <c r="BT36" s="812"/>
      <c r="BU36" s="812"/>
      <c r="BV36" s="813"/>
      <c r="BW36" s="831">
        <f>1632.73+500+200-11</f>
        <v>2321.73</v>
      </c>
      <c r="BX36" s="832"/>
      <c r="BY36" s="832"/>
      <c r="BZ36" s="832"/>
      <c r="CA36" s="832"/>
      <c r="CB36" s="832"/>
      <c r="CC36" s="832"/>
      <c r="CD36" s="832"/>
      <c r="CE36" s="832"/>
      <c r="CF36" s="832"/>
      <c r="CG36" s="832"/>
      <c r="CH36" s="832"/>
      <c r="CI36" s="832"/>
      <c r="CJ36" s="833"/>
      <c r="CK36" s="808">
        <v>25</v>
      </c>
      <c r="CL36" s="809"/>
      <c r="CM36" s="809"/>
      <c r="CN36" s="809"/>
      <c r="CO36" s="809"/>
      <c r="CP36" s="809"/>
      <c r="CQ36" s="809"/>
      <c r="CR36" s="809"/>
      <c r="CS36" s="809"/>
      <c r="CT36" s="809"/>
      <c r="CU36" s="810"/>
      <c r="CV36" s="808">
        <v>2.2999999999999998</v>
      </c>
      <c r="CW36" s="809"/>
      <c r="CX36" s="809"/>
      <c r="CY36" s="809"/>
      <c r="CZ36" s="809"/>
      <c r="DA36" s="809"/>
      <c r="DB36" s="809"/>
      <c r="DC36" s="809"/>
      <c r="DD36" s="809"/>
      <c r="DE36" s="810"/>
      <c r="DF36" s="834">
        <f>ROUND(U36*AG36*(1+CK36/100)*CV36*12,2)</f>
        <v>2165030.6</v>
      </c>
      <c r="DG36" s="835"/>
      <c r="DH36" s="835"/>
      <c r="DI36" s="835"/>
      <c r="DJ36" s="835"/>
      <c r="DK36" s="835"/>
      <c r="DL36" s="835"/>
      <c r="DM36" s="835"/>
      <c r="DN36" s="835"/>
      <c r="DO36" s="835"/>
      <c r="DP36" s="835"/>
      <c r="DQ36" s="835"/>
      <c r="DR36" s="835"/>
      <c r="DS36" s="836"/>
      <c r="ED36" s="82"/>
      <c r="EG36" s="82"/>
    </row>
    <row r="37" spans="1:137" s="190" customFormat="1" ht="13.2">
      <c r="A37" s="808" t="s">
        <v>262</v>
      </c>
      <c r="B37" s="809"/>
      <c r="C37" s="809"/>
      <c r="D37" s="809"/>
      <c r="E37" s="809"/>
      <c r="F37" s="809"/>
      <c r="G37" s="809"/>
      <c r="H37" s="809"/>
      <c r="I37" s="809"/>
      <c r="J37" s="809"/>
      <c r="K37" s="809"/>
      <c r="L37" s="809"/>
      <c r="M37" s="809"/>
      <c r="N37" s="809"/>
      <c r="O37" s="809"/>
      <c r="P37" s="809"/>
      <c r="Q37" s="809"/>
      <c r="R37" s="809"/>
      <c r="S37" s="809"/>
      <c r="T37" s="810"/>
      <c r="U37" s="802" t="s">
        <v>21</v>
      </c>
      <c r="V37" s="803"/>
      <c r="W37" s="803"/>
      <c r="X37" s="803"/>
      <c r="Y37" s="803"/>
      <c r="Z37" s="803"/>
      <c r="AA37" s="803"/>
      <c r="AB37" s="803"/>
      <c r="AC37" s="803"/>
      <c r="AD37" s="803"/>
      <c r="AE37" s="803"/>
      <c r="AF37" s="804"/>
      <c r="AG37" s="834">
        <f>SUM(AG35:AT36)</f>
        <v>16975.5</v>
      </c>
      <c r="AH37" s="837"/>
      <c r="AI37" s="837"/>
      <c r="AJ37" s="837"/>
      <c r="AK37" s="837"/>
      <c r="AL37" s="837"/>
      <c r="AM37" s="837"/>
      <c r="AN37" s="837"/>
      <c r="AO37" s="837"/>
      <c r="AP37" s="837"/>
      <c r="AQ37" s="837"/>
      <c r="AR37" s="837"/>
      <c r="AS37" s="837"/>
      <c r="AT37" s="838"/>
      <c r="AU37" s="802" t="s">
        <v>21</v>
      </c>
      <c r="AV37" s="803"/>
      <c r="AW37" s="803"/>
      <c r="AX37" s="803"/>
      <c r="AY37" s="803"/>
      <c r="AZ37" s="803"/>
      <c r="BA37" s="803"/>
      <c r="BB37" s="803"/>
      <c r="BC37" s="803"/>
      <c r="BD37" s="803"/>
      <c r="BE37" s="803"/>
      <c r="BF37" s="803"/>
      <c r="BG37" s="803"/>
      <c r="BH37" s="804"/>
      <c r="BI37" s="802" t="s">
        <v>21</v>
      </c>
      <c r="BJ37" s="803"/>
      <c r="BK37" s="803"/>
      <c r="BL37" s="803"/>
      <c r="BM37" s="803"/>
      <c r="BN37" s="803"/>
      <c r="BO37" s="803"/>
      <c r="BP37" s="803"/>
      <c r="BQ37" s="803"/>
      <c r="BR37" s="803"/>
      <c r="BS37" s="803"/>
      <c r="BT37" s="803"/>
      <c r="BU37" s="803"/>
      <c r="BV37" s="804"/>
      <c r="BW37" s="802" t="s">
        <v>21</v>
      </c>
      <c r="BX37" s="803"/>
      <c r="BY37" s="803"/>
      <c r="BZ37" s="803"/>
      <c r="CA37" s="803"/>
      <c r="CB37" s="803"/>
      <c r="CC37" s="803"/>
      <c r="CD37" s="803"/>
      <c r="CE37" s="803"/>
      <c r="CF37" s="803"/>
      <c r="CG37" s="803"/>
      <c r="CH37" s="803"/>
      <c r="CI37" s="803"/>
      <c r="CJ37" s="804"/>
      <c r="CK37" s="814" t="s">
        <v>21</v>
      </c>
      <c r="CL37" s="815"/>
      <c r="CM37" s="815"/>
      <c r="CN37" s="815"/>
      <c r="CO37" s="815"/>
      <c r="CP37" s="815"/>
      <c r="CQ37" s="815"/>
      <c r="CR37" s="815"/>
      <c r="CS37" s="815"/>
      <c r="CT37" s="815"/>
      <c r="CU37" s="816"/>
      <c r="CV37" s="802" t="s">
        <v>21</v>
      </c>
      <c r="CW37" s="803"/>
      <c r="CX37" s="803"/>
      <c r="CY37" s="803"/>
      <c r="CZ37" s="803"/>
      <c r="DA37" s="803"/>
      <c r="DB37" s="803"/>
      <c r="DC37" s="803"/>
      <c r="DD37" s="803"/>
      <c r="DE37" s="804"/>
      <c r="DF37" s="834">
        <f>SUM(DF35:DS36)</f>
        <v>7692289.9000000004</v>
      </c>
      <c r="DG37" s="835"/>
      <c r="DH37" s="835"/>
      <c r="DI37" s="835"/>
      <c r="DJ37" s="835"/>
      <c r="DK37" s="835"/>
      <c r="DL37" s="835"/>
      <c r="DM37" s="835"/>
      <c r="DN37" s="835"/>
      <c r="DO37" s="835"/>
      <c r="DP37" s="835"/>
      <c r="DQ37" s="835"/>
      <c r="DR37" s="835"/>
      <c r="DS37" s="836"/>
      <c r="ED37" s="111"/>
      <c r="EE37" s="82"/>
      <c r="EF37" s="82"/>
    </row>
    <row r="38" spans="1:137" s="190" customFormat="1" ht="13.2">
      <c r="ED38" s="82"/>
      <c r="EF38" s="82"/>
      <c r="EG38" s="197"/>
    </row>
    <row r="39" spans="1:137" s="190" customFormat="1" ht="13.2">
      <c r="A39" s="828" t="s">
        <v>1046</v>
      </c>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828"/>
      <c r="BA39" s="828"/>
      <c r="BB39" s="828"/>
      <c r="BC39" s="828"/>
      <c r="BD39" s="828"/>
      <c r="BE39" s="828"/>
      <c r="BF39" s="828"/>
      <c r="BG39" s="828"/>
      <c r="BH39" s="828"/>
      <c r="BI39" s="828"/>
      <c r="BJ39" s="828"/>
      <c r="BK39" s="828"/>
      <c r="BL39" s="828"/>
      <c r="BM39" s="828"/>
      <c r="BN39" s="828"/>
      <c r="BO39" s="828"/>
      <c r="BP39" s="828"/>
      <c r="BQ39" s="828"/>
      <c r="BR39" s="828"/>
      <c r="BS39" s="828"/>
      <c r="BT39" s="828"/>
      <c r="BU39" s="828"/>
      <c r="BV39" s="828"/>
      <c r="BW39" s="828"/>
      <c r="BX39" s="828"/>
      <c r="BY39" s="828"/>
      <c r="BZ39" s="828"/>
      <c r="CA39" s="828"/>
      <c r="CB39" s="828"/>
      <c r="CC39" s="828"/>
      <c r="CD39" s="828"/>
      <c r="CE39" s="828"/>
      <c r="CF39" s="828"/>
      <c r="CG39" s="828"/>
      <c r="CH39" s="828"/>
      <c r="CI39" s="828"/>
      <c r="CJ39" s="828"/>
      <c r="CK39" s="828"/>
      <c r="CL39" s="828"/>
      <c r="CM39" s="828"/>
      <c r="CN39" s="828"/>
      <c r="CO39" s="828"/>
      <c r="CP39" s="828"/>
      <c r="CQ39" s="828"/>
      <c r="CR39" s="828"/>
      <c r="CS39" s="828"/>
      <c r="CT39" s="828"/>
      <c r="CU39" s="828"/>
      <c r="CV39" s="828"/>
      <c r="CW39" s="828"/>
      <c r="CX39" s="828"/>
      <c r="CY39" s="828"/>
      <c r="CZ39" s="828"/>
      <c r="DA39" s="828"/>
      <c r="DB39" s="828"/>
      <c r="DC39" s="828"/>
      <c r="DD39" s="828"/>
      <c r="DE39" s="828"/>
      <c r="DF39" s="828"/>
      <c r="DG39" s="828"/>
      <c r="DH39" s="828"/>
      <c r="DI39" s="828"/>
      <c r="DJ39" s="828"/>
      <c r="DK39" s="828"/>
      <c r="DL39" s="828"/>
      <c r="DM39" s="828"/>
      <c r="DN39" s="828"/>
      <c r="DO39" s="828"/>
      <c r="DP39" s="828"/>
      <c r="DQ39" s="828"/>
      <c r="DR39" s="828"/>
      <c r="DS39" s="828"/>
      <c r="ED39" s="82"/>
      <c r="EE39" s="82"/>
      <c r="EG39" s="82"/>
    </row>
    <row r="40" spans="1:137" s="190" customFormat="1" ht="13.2">
      <c r="ED40" s="82"/>
      <c r="EF40" s="82"/>
    </row>
    <row r="41" spans="1:137" s="190" customFormat="1" ht="13.2">
      <c r="DG41" s="829"/>
      <c r="DH41" s="829"/>
      <c r="DI41" s="829"/>
      <c r="DJ41" s="829"/>
      <c r="DK41" s="829"/>
      <c r="DL41" s="829"/>
      <c r="DM41" s="829"/>
      <c r="DN41" s="829"/>
      <c r="DO41" s="829"/>
      <c r="DP41" s="829"/>
      <c r="DQ41" s="829"/>
      <c r="DR41" s="829"/>
      <c r="DS41" s="829"/>
      <c r="ED41" s="82"/>
      <c r="EF41" s="82"/>
    </row>
    <row r="42" spans="1:137" s="190" customFormat="1">
      <c r="A42" s="76" t="s">
        <v>383</v>
      </c>
      <c r="B42" s="79"/>
      <c r="C42" s="79"/>
      <c r="D42" s="79"/>
      <c r="E42" s="79"/>
      <c r="F42" s="79"/>
      <c r="G42" s="79"/>
      <c r="H42" s="79"/>
      <c r="I42" s="79"/>
      <c r="J42" s="79"/>
      <c r="K42" s="79"/>
      <c r="L42" s="79"/>
      <c r="M42" s="79"/>
      <c r="N42" s="79"/>
      <c r="O42" s="79"/>
      <c r="P42" s="79"/>
      <c r="Q42" s="79"/>
      <c r="R42" s="79"/>
      <c r="S42" s="79"/>
      <c r="T42" s="830" t="s">
        <v>384</v>
      </c>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0"/>
      <c r="BC42" s="830"/>
      <c r="BD42" s="830"/>
      <c r="BE42" s="830"/>
      <c r="BF42" s="830"/>
      <c r="BG42" s="830"/>
      <c r="BH42" s="830"/>
      <c r="BI42" s="830"/>
      <c r="BJ42" s="830"/>
      <c r="BK42" s="830"/>
      <c r="BL42" s="830"/>
      <c r="BM42" s="830"/>
      <c r="BN42" s="830"/>
      <c r="BO42" s="830"/>
      <c r="BP42" s="830"/>
      <c r="BQ42" s="830"/>
      <c r="BR42" s="830"/>
      <c r="BS42" s="830"/>
      <c r="BT42" s="830"/>
      <c r="BU42" s="830"/>
      <c r="BV42" s="830"/>
      <c r="BW42" s="830"/>
      <c r="BX42" s="830"/>
      <c r="BY42" s="830"/>
      <c r="BZ42" s="830"/>
      <c r="CA42" s="830"/>
      <c r="CB42" s="830"/>
      <c r="CC42" s="830"/>
      <c r="CD42" s="830"/>
      <c r="CE42" s="830"/>
      <c r="CF42" s="830"/>
      <c r="CG42" s="830"/>
      <c r="CH42" s="830"/>
      <c r="CI42" s="830"/>
      <c r="CJ42" s="830"/>
      <c r="CK42" s="830"/>
      <c r="CL42" s="830"/>
      <c r="CM42" s="830"/>
      <c r="CN42" s="830"/>
      <c r="CO42" s="830"/>
      <c r="CP42" s="830"/>
      <c r="CQ42" s="830"/>
      <c r="CR42" s="830"/>
      <c r="CS42" s="830"/>
      <c r="CT42" s="830"/>
      <c r="CU42" s="830"/>
      <c r="CV42" s="830"/>
      <c r="CW42" s="830"/>
      <c r="CX42" s="830"/>
      <c r="CY42" s="830"/>
      <c r="CZ42" s="830"/>
      <c r="DA42" s="830"/>
      <c r="DB42" s="830"/>
      <c r="DC42" s="830"/>
      <c r="DD42" s="830"/>
      <c r="DE42" s="830"/>
      <c r="DF42" s="830"/>
      <c r="DG42" s="830"/>
      <c r="DH42" s="830"/>
      <c r="DI42" s="830"/>
      <c r="DJ42" s="830"/>
      <c r="DK42" s="830"/>
      <c r="DL42" s="830"/>
      <c r="DM42" s="830"/>
      <c r="DN42" s="830"/>
      <c r="DO42" s="830"/>
      <c r="DP42" s="830"/>
      <c r="DQ42" s="830"/>
      <c r="DR42" s="830"/>
      <c r="DS42" s="830"/>
    </row>
    <row r="43" spans="1:137" s="190" customFormat="1" ht="13.2">
      <c r="A43" s="78"/>
      <c r="B43" s="80"/>
      <c r="C43" s="80"/>
      <c r="D43" s="80"/>
      <c r="E43" s="80"/>
      <c r="F43" s="80"/>
      <c r="G43" s="80"/>
      <c r="H43" s="80"/>
      <c r="I43" s="80"/>
      <c r="J43" s="80"/>
      <c r="K43" s="80"/>
      <c r="L43" s="80"/>
      <c r="M43" s="80"/>
      <c r="N43" s="80"/>
      <c r="O43" s="80"/>
      <c r="P43" s="80"/>
      <c r="Q43" s="80"/>
      <c r="R43" s="80"/>
      <c r="S43" s="80"/>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EE43" s="82"/>
      <c r="EF43" s="82"/>
    </row>
    <row r="44" spans="1:137" s="190" customFormat="1">
      <c r="A44" s="76" t="s">
        <v>385</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26" t="s">
        <v>575</v>
      </c>
      <c r="AI44" s="826"/>
      <c r="AJ44" s="826"/>
      <c r="AK44" s="826"/>
      <c r="AL44" s="826"/>
      <c r="AM44" s="826"/>
      <c r="AN44" s="826"/>
      <c r="AO44" s="826"/>
      <c r="AP44" s="826"/>
      <c r="AQ44" s="826"/>
      <c r="AR44" s="826"/>
      <c r="AS44" s="826"/>
      <c r="AT44" s="826"/>
      <c r="AU44" s="826"/>
      <c r="AV44" s="826"/>
      <c r="AW44" s="826"/>
      <c r="AX44" s="826"/>
      <c r="AY44" s="826"/>
      <c r="AZ44" s="826"/>
      <c r="BA44" s="826"/>
      <c r="BB44" s="826"/>
      <c r="BC44" s="826"/>
      <c r="BD44" s="826"/>
      <c r="BE44" s="826"/>
      <c r="BF44" s="826"/>
      <c r="BG44" s="826"/>
      <c r="BH44" s="826"/>
      <c r="BI44" s="826"/>
      <c r="BJ44" s="826"/>
      <c r="BK44" s="826"/>
      <c r="BL44" s="826"/>
      <c r="BM44" s="826"/>
      <c r="BN44" s="826"/>
      <c r="BO44" s="826"/>
      <c r="BP44" s="826"/>
      <c r="BQ44" s="826"/>
      <c r="BR44" s="826"/>
      <c r="BS44" s="826"/>
      <c r="BT44" s="826"/>
      <c r="BU44" s="826"/>
      <c r="BV44" s="826"/>
      <c r="BW44" s="826"/>
      <c r="BX44" s="826"/>
      <c r="BY44" s="826"/>
      <c r="BZ44" s="826"/>
      <c r="CA44" s="826"/>
      <c r="CB44" s="826"/>
      <c r="CC44" s="826"/>
      <c r="CD44" s="826"/>
      <c r="CE44" s="826"/>
      <c r="CF44" s="826"/>
      <c r="CG44" s="826"/>
      <c r="CH44" s="826"/>
      <c r="CI44" s="826"/>
      <c r="CJ44" s="826"/>
      <c r="CK44" s="826"/>
      <c r="CL44" s="826"/>
      <c r="CM44" s="826"/>
      <c r="CN44" s="826"/>
      <c r="CO44" s="826"/>
      <c r="CP44" s="826"/>
      <c r="CQ44" s="826"/>
      <c r="CR44" s="826"/>
      <c r="CS44" s="826"/>
      <c r="CT44" s="826"/>
      <c r="CU44" s="826"/>
      <c r="CV44" s="826"/>
      <c r="CW44" s="826"/>
      <c r="CX44" s="826"/>
      <c r="CY44" s="826"/>
      <c r="CZ44" s="826"/>
      <c r="DA44" s="826"/>
      <c r="DB44" s="826"/>
      <c r="DC44" s="826"/>
      <c r="DD44" s="826"/>
      <c r="DE44" s="826"/>
      <c r="DF44" s="826"/>
      <c r="DG44" s="826"/>
      <c r="DH44" s="826"/>
      <c r="DI44" s="826"/>
      <c r="DJ44" s="826"/>
      <c r="DK44" s="826"/>
      <c r="DL44" s="826"/>
      <c r="DM44" s="826"/>
      <c r="DN44" s="826"/>
      <c r="DO44" s="826"/>
      <c r="DP44" s="826"/>
      <c r="DQ44" s="826"/>
      <c r="DR44" s="826"/>
      <c r="DS44" s="826"/>
      <c r="EE44" s="82"/>
      <c r="EF44" s="82"/>
    </row>
    <row r="45" spans="1:137" s="190" customForma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row>
    <row r="46" spans="1:137" s="190" customFormat="1">
      <c r="A46" s="827" t="s">
        <v>387</v>
      </c>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827"/>
      <c r="AZ46" s="827"/>
      <c r="BA46" s="827"/>
      <c r="BB46" s="827"/>
      <c r="BC46" s="827"/>
      <c r="BD46" s="827"/>
      <c r="BE46" s="827"/>
      <c r="BF46" s="827"/>
      <c r="BG46" s="827"/>
      <c r="BH46" s="827"/>
      <c r="BI46" s="827"/>
      <c r="BJ46" s="827"/>
      <c r="BK46" s="827"/>
      <c r="BL46" s="827"/>
      <c r="BM46" s="827"/>
      <c r="BN46" s="827"/>
      <c r="BO46" s="827"/>
      <c r="BP46" s="827"/>
      <c r="BQ46" s="827"/>
      <c r="BR46" s="827"/>
      <c r="BS46" s="827"/>
      <c r="BT46" s="827"/>
      <c r="BU46" s="827"/>
      <c r="BV46" s="827"/>
      <c r="BW46" s="827"/>
      <c r="BX46" s="827"/>
      <c r="BY46" s="827"/>
      <c r="BZ46" s="827"/>
      <c r="CA46" s="827"/>
      <c r="CB46" s="827"/>
      <c r="CC46" s="827"/>
      <c r="CD46" s="827"/>
      <c r="CE46" s="827"/>
      <c r="CF46" s="827"/>
      <c r="CG46" s="827"/>
      <c r="CH46" s="827"/>
      <c r="CI46" s="827"/>
      <c r="CJ46" s="827"/>
      <c r="CK46" s="827"/>
      <c r="CL46" s="827"/>
      <c r="CM46" s="827"/>
      <c r="CN46" s="827"/>
      <c r="CO46" s="827"/>
      <c r="CP46" s="827"/>
      <c r="CQ46" s="827"/>
      <c r="CR46" s="827"/>
      <c r="CS46" s="827"/>
      <c r="CT46" s="827"/>
      <c r="CU46" s="827"/>
      <c r="CV46" s="827"/>
      <c r="CW46" s="827"/>
      <c r="CX46" s="827"/>
      <c r="CY46" s="827"/>
      <c r="CZ46" s="827"/>
      <c r="DA46" s="827"/>
      <c r="DB46" s="827"/>
      <c r="DC46" s="827"/>
      <c r="DD46" s="827"/>
      <c r="DE46" s="827"/>
      <c r="DF46" s="827"/>
      <c r="DG46" s="827"/>
      <c r="DH46" s="827"/>
      <c r="DI46" s="827"/>
      <c r="DJ46" s="827"/>
      <c r="DK46" s="827"/>
      <c r="DL46" s="827"/>
      <c r="DM46" s="827"/>
      <c r="DN46" s="827"/>
      <c r="DO46" s="827"/>
      <c r="DP46" s="827"/>
      <c r="DQ46" s="827"/>
      <c r="DR46" s="827"/>
      <c r="DS46" s="827"/>
    </row>
    <row r="47" spans="1:137" s="190" customFormat="1" ht="13.2"/>
    <row r="48" spans="1:137" s="190" customFormat="1" ht="13.2">
      <c r="A48" s="823" t="s">
        <v>388</v>
      </c>
      <c r="B48" s="824"/>
      <c r="C48" s="824"/>
      <c r="D48" s="825"/>
      <c r="E48" s="823" t="s">
        <v>389</v>
      </c>
      <c r="F48" s="824"/>
      <c r="G48" s="824"/>
      <c r="H48" s="824"/>
      <c r="I48" s="824"/>
      <c r="J48" s="824"/>
      <c r="K48" s="824"/>
      <c r="L48" s="824"/>
      <c r="M48" s="824"/>
      <c r="N48" s="824"/>
      <c r="O48" s="824"/>
      <c r="P48" s="824"/>
      <c r="Q48" s="824"/>
      <c r="R48" s="824"/>
      <c r="S48" s="824"/>
      <c r="T48" s="825"/>
      <c r="U48" s="823" t="s">
        <v>390</v>
      </c>
      <c r="V48" s="824"/>
      <c r="W48" s="824"/>
      <c r="X48" s="824"/>
      <c r="Y48" s="824"/>
      <c r="Z48" s="824"/>
      <c r="AA48" s="824"/>
      <c r="AB48" s="824"/>
      <c r="AC48" s="824"/>
      <c r="AD48" s="824"/>
      <c r="AE48" s="824"/>
      <c r="AF48" s="825"/>
      <c r="AG48" s="817" t="s">
        <v>391</v>
      </c>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c r="BM48" s="818"/>
      <c r="BN48" s="818"/>
      <c r="BO48" s="818"/>
      <c r="BP48" s="818"/>
      <c r="BQ48" s="818"/>
      <c r="BR48" s="818"/>
      <c r="BS48" s="818"/>
      <c r="BT48" s="818"/>
      <c r="BU48" s="818"/>
      <c r="BV48" s="818"/>
      <c r="BW48" s="818"/>
      <c r="BX48" s="818"/>
      <c r="BY48" s="818"/>
      <c r="BZ48" s="818"/>
      <c r="CA48" s="818"/>
      <c r="CB48" s="818"/>
      <c r="CC48" s="818"/>
      <c r="CD48" s="818"/>
      <c r="CE48" s="818"/>
      <c r="CF48" s="818"/>
      <c r="CG48" s="818"/>
      <c r="CH48" s="818"/>
      <c r="CI48" s="818"/>
      <c r="CJ48" s="819"/>
      <c r="CK48" s="823" t="s">
        <v>392</v>
      </c>
      <c r="CL48" s="824"/>
      <c r="CM48" s="824"/>
      <c r="CN48" s="824"/>
      <c r="CO48" s="824"/>
      <c r="CP48" s="824"/>
      <c r="CQ48" s="824"/>
      <c r="CR48" s="824"/>
      <c r="CS48" s="824"/>
      <c r="CT48" s="824"/>
      <c r="CU48" s="825"/>
      <c r="CV48" s="823" t="s">
        <v>393</v>
      </c>
      <c r="CW48" s="824"/>
      <c r="CX48" s="824"/>
      <c r="CY48" s="824"/>
      <c r="CZ48" s="824"/>
      <c r="DA48" s="824"/>
      <c r="DB48" s="824"/>
      <c r="DC48" s="824"/>
      <c r="DD48" s="824"/>
      <c r="DE48" s="825"/>
      <c r="DF48" s="823" t="s">
        <v>394</v>
      </c>
      <c r="DG48" s="824"/>
      <c r="DH48" s="824"/>
      <c r="DI48" s="824"/>
      <c r="DJ48" s="824"/>
      <c r="DK48" s="824"/>
      <c r="DL48" s="824"/>
      <c r="DM48" s="824"/>
      <c r="DN48" s="824"/>
      <c r="DO48" s="824"/>
      <c r="DP48" s="824"/>
      <c r="DQ48" s="824"/>
      <c r="DR48" s="824"/>
      <c r="DS48" s="825"/>
      <c r="EE48" s="82"/>
    </row>
    <row r="49" spans="1:136" s="190" customFormat="1" ht="13.2">
      <c r="A49" s="820" t="s">
        <v>395</v>
      </c>
      <c r="B49" s="821"/>
      <c r="C49" s="821"/>
      <c r="D49" s="822"/>
      <c r="E49" s="820" t="s">
        <v>396</v>
      </c>
      <c r="F49" s="821"/>
      <c r="G49" s="821"/>
      <c r="H49" s="821"/>
      <c r="I49" s="821"/>
      <c r="J49" s="821"/>
      <c r="K49" s="821"/>
      <c r="L49" s="821"/>
      <c r="M49" s="821"/>
      <c r="N49" s="821"/>
      <c r="O49" s="821"/>
      <c r="P49" s="821"/>
      <c r="Q49" s="821"/>
      <c r="R49" s="821"/>
      <c r="S49" s="821"/>
      <c r="T49" s="822"/>
      <c r="U49" s="820" t="s">
        <v>397</v>
      </c>
      <c r="V49" s="821"/>
      <c r="W49" s="821"/>
      <c r="X49" s="821"/>
      <c r="Y49" s="821"/>
      <c r="Z49" s="821"/>
      <c r="AA49" s="821"/>
      <c r="AB49" s="821"/>
      <c r="AC49" s="821"/>
      <c r="AD49" s="821"/>
      <c r="AE49" s="821"/>
      <c r="AF49" s="822"/>
      <c r="AG49" s="823" t="s">
        <v>398</v>
      </c>
      <c r="AH49" s="824"/>
      <c r="AI49" s="824"/>
      <c r="AJ49" s="824"/>
      <c r="AK49" s="824"/>
      <c r="AL49" s="824"/>
      <c r="AM49" s="824"/>
      <c r="AN49" s="824"/>
      <c r="AO49" s="824"/>
      <c r="AP49" s="824"/>
      <c r="AQ49" s="824"/>
      <c r="AR49" s="824"/>
      <c r="AS49" s="824"/>
      <c r="AT49" s="825"/>
      <c r="AU49" s="817" t="s">
        <v>27</v>
      </c>
      <c r="AV49" s="818"/>
      <c r="AW49" s="818"/>
      <c r="AX49" s="818"/>
      <c r="AY49" s="818"/>
      <c r="AZ49" s="818"/>
      <c r="BA49" s="818"/>
      <c r="BB49" s="818"/>
      <c r="BC49" s="818"/>
      <c r="BD49" s="818"/>
      <c r="BE49" s="818"/>
      <c r="BF49" s="818"/>
      <c r="BG49" s="818"/>
      <c r="BH49" s="818"/>
      <c r="BI49" s="818"/>
      <c r="BJ49" s="818"/>
      <c r="BK49" s="818"/>
      <c r="BL49" s="818"/>
      <c r="BM49" s="818"/>
      <c r="BN49" s="818"/>
      <c r="BO49" s="818"/>
      <c r="BP49" s="818"/>
      <c r="BQ49" s="818"/>
      <c r="BR49" s="818"/>
      <c r="BS49" s="818"/>
      <c r="BT49" s="818"/>
      <c r="BU49" s="818"/>
      <c r="BV49" s="818"/>
      <c r="BW49" s="818"/>
      <c r="BX49" s="818"/>
      <c r="BY49" s="818"/>
      <c r="BZ49" s="818"/>
      <c r="CA49" s="818"/>
      <c r="CB49" s="818"/>
      <c r="CC49" s="818"/>
      <c r="CD49" s="818"/>
      <c r="CE49" s="818"/>
      <c r="CF49" s="818"/>
      <c r="CG49" s="818"/>
      <c r="CH49" s="818"/>
      <c r="CI49" s="818"/>
      <c r="CJ49" s="819"/>
      <c r="CK49" s="820" t="s">
        <v>399</v>
      </c>
      <c r="CL49" s="821"/>
      <c r="CM49" s="821"/>
      <c r="CN49" s="821"/>
      <c r="CO49" s="821"/>
      <c r="CP49" s="821"/>
      <c r="CQ49" s="821"/>
      <c r="CR49" s="821"/>
      <c r="CS49" s="821"/>
      <c r="CT49" s="821"/>
      <c r="CU49" s="822"/>
      <c r="CV49" s="820" t="s">
        <v>419</v>
      </c>
      <c r="CW49" s="821"/>
      <c r="CX49" s="821"/>
      <c r="CY49" s="821"/>
      <c r="CZ49" s="821"/>
      <c r="DA49" s="821"/>
      <c r="DB49" s="821"/>
      <c r="DC49" s="821"/>
      <c r="DD49" s="821"/>
      <c r="DE49" s="822"/>
      <c r="DF49" s="820" t="s">
        <v>401</v>
      </c>
      <c r="DG49" s="821"/>
      <c r="DH49" s="821"/>
      <c r="DI49" s="821"/>
      <c r="DJ49" s="821"/>
      <c r="DK49" s="821"/>
      <c r="DL49" s="821"/>
      <c r="DM49" s="821"/>
      <c r="DN49" s="821"/>
      <c r="DO49" s="821"/>
      <c r="DP49" s="821"/>
      <c r="DQ49" s="821"/>
      <c r="DR49" s="821"/>
      <c r="DS49" s="822"/>
    </row>
    <row r="50" spans="1:136" s="190" customFormat="1" ht="13.2">
      <c r="A50" s="820"/>
      <c r="B50" s="821"/>
      <c r="C50" s="821"/>
      <c r="D50" s="822"/>
      <c r="E50" s="820" t="s">
        <v>402</v>
      </c>
      <c r="F50" s="821"/>
      <c r="G50" s="821"/>
      <c r="H50" s="821"/>
      <c r="I50" s="821"/>
      <c r="J50" s="821"/>
      <c r="K50" s="821"/>
      <c r="L50" s="821"/>
      <c r="M50" s="821"/>
      <c r="N50" s="821"/>
      <c r="O50" s="821"/>
      <c r="P50" s="821"/>
      <c r="Q50" s="821"/>
      <c r="R50" s="821"/>
      <c r="S50" s="821"/>
      <c r="T50" s="822"/>
      <c r="U50" s="820" t="s">
        <v>403</v>
      </c>
      <c r="V50" s="821"/>
      <c r="W50" s="821"/>
      <c r="X50" s="821"/>
      <c r="Y50" s="821"/>
      <c r="Z50" s="821"/>
      <c r="AA50" s="821"/>
      <c r="AB50" s="821"/>
      <c r="AC50" s="821"/>
      <c r="AD50" s="821"/>
      <c r="AE50" s="821"/>
      <c r="AF50" s="822"/>
      <c r="AG50" s="820"/>
      <c r="AH50" s="821"/>
      <c r="AI50" s="821"/>
      <c r="AJ50" s="821"/>
      <c r="AK50" s="821"/>
      <c r="AL50" s="821"/>
      <c r="AM50" s="821"/>
      <c r="AN50" s="821"/>
      <c r="AO50" s="821"/>
      <c r="AP50" s="821"/>
      <c r="AQ50" s="821"/>
      <c r="AR50" s="821"/>
      <c r="AS50" s="821"/>
      <c r="AT50" s="822"/>
      <c r="AU50" s="823" t="s">
        <v>404</v>
      </c>
      <c r="AV50" s="824"/>
      <c r="AW50" s="824"/>
      <c r="AX50" s="824"/>
      <c r="AY50" s="824"/>
      <c r="AZ50" s="824"/>
      <c r="BA50" s="824"/>
      <c r="BB50" s="824"/>
      <c r="BC50" s="824"/>
      <c r="BD50" s="824"/>
      <c r="BE50" s="824"/>
      <c r="BF50" s="824"/>
      <c r="BG50" s="824"/>
      <c r="BH50" s="825"/>
      <c r="BI50" s="823" t="s">
        <v>405</v>
      </c>
      <c r="BJ50" s="824"/>
      <c r="BK50" s="824"/>
      <c r="BL50" s="824"/>
      <c r="BM50" s="824"/>
      <c r="BN50" s="824"/>
      <c r="BO50" s="824"/>
      <c r="BP50" s="824"/>
      <c r="BQ50" s="824"/>
      <c r="BR50" s="824"/>
      <c r="BS50" s="824"/>
      <c r="BT50" s="824"/>
      <c r="BU50" s="824"/>
      <c r="BV50" s="825"/>
      <c r="BW50" s="823" t="s">
        <v>405</v>
      </c>
      <c r="BX50" s="824"/>
      <c r="BY50" s="824"/>
      <c r="BZ50" s="824"/>
      <c r="CA50" s="824"/>
      <c r="CB50" s="824"/>
      <c r="CC50" s="824"/>
      <c r="CD50" s="824"/>
      <c r="CE50" s="824"/>
      <c r="CF50" s="824"/>
      <c r="CG50" s="824"/>
      <c r="CH50" s="824"/>
      <c r="CI50" s="824"/>
      <c r="CJ50" s="825"/>
      <c r="CK50" s="820" t="s">
        <v>406</v>
      </c>
      <c r="CL50" s="821"/>
      <c r="CM50" s="821"/>
      <c r="CN50" s="821"/>
      <c r="CO50" s="821"/>
      <c r="CP50" s="821"/>
      <c r="CQ50" s="821"/>
      <c r="CR50" s="821"/>
      <c r="CS50" s="821"/>
      <c r="CT50" s="821"/>
      <c r="CU50" s="822"/>
      <c r="CV50" s="820"/>
      <c r="CW50" s="821"/>
      <c r="CX50" s="821"/>
      <c r="CY50" s="821"/>
      <c r="CZ50" s="821"/>
      <c r="DA50" s="821"/>
      <c r="DB50" s="821"/>
      <c r="DC50" s="821"/>
      <c r="DD50" s="821"/>
      <c r="DE50" s="822"/>
      <c r="DF50" s="820" t="s">
        <v>408</v>
      </c>
      <c r="DG50" s="821"/>
      <c r="DH50" s="821"/>
      <c r="DI50" s="821"/>
      <c r="DJ50" s="821"/>
      <c r="DK50" s="821"/>
      <c r="DL50" s="821"/>
      <c r="DM50" s="821"/>
      <c r="DN50" s="821"/>
      <c r="DO50" s="821"/>
      <c r="DP50" s="821"/>
      <c r="DQ50" s="821"/>
      <c r="DR50" s="821"/>
      <c r="DS50" s="822"/>
    </row>
    <row r="51" spans="1:136" s="190" customFormat="1" ht="13.2">
      <c r="A51" s="820"/>
      <c r="B51" s="821"/>
      <c r="C51" s="821"/>
      <c r="D51" s="822"/>
      <c r="E51" s="820"/>
      <c r="F51" s="821"/>
      <c r="G51" s="821"/>
      <c r="H51" s="821"/>
      <c r="I51" s="821"/>
      <c r="J51" s="821"/>
      <c r="K51" s="821"/>
      <c r="L51" s="821"/>
      <c r="M51" s="821"/>
      <c r="N51" s="821"/>
      <c r="O51" s="821"/>
      <c r="P51" s="821"/>
      <c r="Q51" s="821"/>
      <c r="R51" s="821"/>
      <c r="S51" s="821"/>
      <c r="T51" s="822"/>
      <c r="U51" s="820"/>
      <c r="V51" s="821"/>
      <c r="W51" s="821"/>
      <c r="X51" s="821"/>
      <c r="Y51" s="821"/>
      <c r="Z51" s="821"/>
      <c r="AA51" s="821"/>
      <c r="AB51" s="821"/>
      <c r="AC51" s="821"/>
      <c r="AD51" s="821"/>
      <c r="AE51" s="821"/>
      <c r="AF51" s="822"/>
      <c r="AG51" s="820"/>
      <c r="AH51" s="821"/>
      <c r="AI51" s="821"/>
      <c r="AJ51" s="821"/>
      <c r="AK51" s="821"/>
      <c r="AL51" s="821"/>
      <c r="AM51" s="821"/>
      <c r="AN51" s="821"/>
      <c r="AO51" s="821"/>
      <c r="AP51" s="821"/>
      <c r="AQ51" s="821"/>
      <c r="AR51" s="821"/>
      <c r="AS51" s="821"/>
      <c r="AT51" s="822"/>
      <c r="AU51" s="820" t="s">
        <v>406</v>
      </c>
      <c r="AV51" s="821"/>
      <c r="AW51" s="821"/>
      <c r="AX51" s="821"/>
      <c r="AY51" s="821"/>
      <c r="AZ51" s="821"/>
      <c r="BA51" s="821"/>
      <c r="BB51" s="821"/>
      <c r="BC51" s="821"/>
      <c r="BD51" s="821"/>
      <c r="BE51" s="821"/>
      <c r="BF51" s="821"/>
      <c r="BG51" s="821"/>
      <c r="BH51" s="822"/>
      <c r="BI51" s="820" t="s">
        <v>409</v>
      </c>
      <c r="BJ51" s="821"/>
      <c r="BK51" s="821"/>
      <c r="BL51" s="821"/>
      <c r="BM51" s="821"/>
      <c r="BN51" s="821"/>
      <c r="BO51" s="821"/>
      <c r="BP51" s="821"/>
      <c r="BQ51" s="821"/>
      <c r="BR51" s="821"/>
      <c r="BS51" s="821"/>
      <c r="BT51" s="821"/>
      <c r="BU51" s="821"/>
      <c r="BV51" s="822"/>
      <c r="BW51" s="820" t="s">
        <v>410</v>
      </c>
      <c r="BX51" s="821"/>
      <c r="BY51" s="821"/>
      <c r="BZ51" s="821"/>
      <c r="CA51" s="821"/>
      <c r="CB51" s="821"/>
      <c r="CC51" s="821"/>
      <c r="CD51" s="821"/>
      <c r="CE51" s="821"/>
      <c r="CF51" s="821"/>
      <c r="CG51" s="821"/>
      <c r="CH51" s="821"/>
      <c r="CI51" s="821"/>
      <c r="CJ51" s="822"/>
      <c r="CK51" s="820" t="s">
        <v>411</v>
      </c>
      <c r="CL51" s="821"/>
      <c r="CM51" s="821"/>
      <c r="CN51" s="821"/>
      <c r="CO51" s="821"/>
      <c r="CP51" s="821"/>
      <c r="CQ51" s="821"/>
      <c r="CR51" s="821"/>
      <c r="CS51" s="821"/>
      <c r="CT51" s="821"/>
      <c r="CU51" s="822"/>
      <c r="CV51" s="820"/>
      <c r="CW51" s="821"/>
      <c r="CX51" s="821"/>
      <c r="CY51" s="821"/>
      <c r="CZ51" s="821"/>
      <c r="DA51" s="821"/>
      <c r="DB51" s="821"/>
      <c r="DC51" s="821"/>
      <c r="DD51" s="821"/>
      <c r="DE51" s="822"/>
      <c r="DF51" s="820" t="s">
        <v>413</v>
      </c>
      <c r="DG51" s="821"/>
      <c r="DH51" s="821"/>
      <c r="DI51" s="821"/>
      <c r="DJ51" s="821"/>
      <c r="DK51" s="821"/>
      <c r="DL51" s="821"/>
      <c r="DM51" s="821"/>
      <c r="DN51" s="821"/>
      <c r="DO51" s="821"/>
      <c r="DP51" s="821"/>
      <c r="DQ51" s="821"/>
      <c r="DR51" s="821"/>
      <c r="DS51" s="822"/>
    </row>
    <row r="52" spans="1:136" s="190" customFormat="1" ht="13.2">
      <c r="A52" s="820"/>
      <c r="B52" s="821"/>
      <c r="C52" s="821"/>
      <c r="D52" s="822"/>
      <c r="E52" s="820"/>
      <c r="F52" s="821"/>
      <c r="G52" s="821"/>
      <c r="H52" s="821"/>
      <c r="I52" s="821"/>
      <c r="J52" s="821"/>
      <c r="K52" s="821"/>
      <c r="L52" s="821"/>
      <c r="M52" s="821"/>
      <c r="N52" s="821"/>
      <c r="O52" s="821"/>
      <c r="P52" s="821"/>
      <c r="Q52" s="821"/>
      <c r="R52" s="821"/>
      <c r="S52" s="821"/>
      <c r="T52" s="822"/>
      <c r="U52" s="820"/>
      <c r="V52" s="821"/>
      <c r="W52" s="821"/>
      <c r="X52" s="821"/>
      <c r="Y52" s="821"/>
      <c r="Z52" s="821"/>
      <c r="AA52" s="821"/>
      <c r="AB52" s="821"/>
      <c r="AC52" s="821"/>
      <c r="AD52" s="821"/>
      <c r="AE52" s="821"/>
      <c r="AF52" s="822"/>
      <c r="AG52" s="820"/>
      <c r="AH52" s="821"/>
      <c r="AI52" s="821"/>
      <c r="AJ52" s="821"/>
      <c r="AK52" s="821"/>
      <c r="AL52" s="821"/>
      <c r="AM52" s="821"/>
      <c r="AN52" s="821"/>
      <c r="AO52" s="821"/>
      <c r="AP52" s="821"/>
      <c r="AQ52" s="821"/>
      <c r="AR52" s="821"/>
      <c r="AS52" s="821"/>
      <c r="AT52" s="822"/>
      <c r="AU52" s="820" t="s">
        <v>414</v>
      </c>
      <c r="AV52" s="821"/>
      <c r="AW52" s="821"/>
      <c r="AX52" s="821"/>
      <c r="AY52" s="821"/>
      <c r="AZ52" s="821"/>
      <c r="BA52" s="821"/>
      <c r="BB52" s="821"/>
      <c r="BC52" s="821"/>
      <c r="BD52" s="821"/>
      <c r="BE52" s="821"/>
      <c r="BF52" s="821"/>
      <c r="BG52" s="821"/>
      <c r="BH52" s="822"/>
      <c r="BI52" s="820" t="s">
        <v>415</v>
      </c>
      <c r="BJ52" s="821"/>
      <c r="BK52" s="821"/>
      <c r="BL52" s="821"/>
      <c r="BM52" s="821"/>
      <c r="BN52" s="821"/>
      <c r="BO52" s="821"/>
      <c r="BP52" s="821"/>
      <c r="BQ52" s="821"/>
      <c r="BR52" s="821"/>
      <c r="BS52" s="821"/>
      <c r="BT52" s="821"/>
      <c r="BU52" s="821"/>
      <c r="BV52" s="822"/>
      <c r="BW52" s="820" t="s">
        <v>415</v>
      </c>
      <c r="BX52" s="821"/>
      <c r="BY52" s="821"/>
      <c r="BZ52" s="821"/>
      <c r="CA52" s="821"/>
      <c r="CB52" s="821"/>
      <c r="CC52" s="821"/>
      <c r="CD52" s="821"/>
      <c r="CE52" s="821"/>
      <c r="CF52" s="821"/>
      <c r="CG52" s="821"/>
      <c r="CH52" s="821"/>
      <c r="CI52" s="821"/>
      <c r="CJ52" s="822"/>
      <c r="CK52" s="820"/>
      <c r="CL52" s="821"/>
      <c r="CM52" s="821"/>
      <c r="CN52" s="821"/>
      <c r="CO52" s="821"/>
      <c r="CP52" s="821"/>
      <c r="CQ52" s="821"/>
      <c r="CR52" s="821"/>
      <c r="CS52" s="821"/>
      <c r="CT52" s="821"/>
      <c r="CU52" s="822"/>
      <c r="CV52" s="820"/>
      <c r="CW52" s="821"/>
      <c r="CX52" s="821"/>
      <c r="CY52" s="821"/>
      <c r="CZ52" s="821"/>
      <c r="DA52" s="821"/>
      <c r="DB52" s="821"/>
      <c r="DC52" s="821"/>
      <c r="DD52" s="821"/>
      <c r="DE52" s="822"/>
      <c r="DF52" s="820" t="s">
        <v>416</v>
      </c>
      <c r="DG52" s="821"/>
      <c r="DH52" s="821"/>
      <c r="DI52" s="821"/>
      <c r="DJ52" s="821"/>
      <c r="DK52" s="821"/>
      <c r="DL52" s="821"/>
      <c r="DM52" s="821"/>
      <c r="DN52" s="821"/>
      <c r="DO52" s="821"/>
      <c r="DP52" s="821"/>
      <c r="DQ52" s="821"/>
      <c r="DR52" s="821"/>
      <c r="DS52" s="822"/>
    </row>
    <row r="53" spans="1:136" s="190" customFormat="1" ht="13.2">
      <c r="A53" s="817">
        <v>1</v>
      </c>
      <c r="B53" s="818"/>
      <c r="C53" s="818"/>
      <c r="D53" s="819"/>
      <c r="E53" s="817">
        <v>2</v>
      </c>
      <c r="F53" s="818"/>
      <c r="G53" s="818"/>
      <c r="H53" s="818"/>
      <c r="I53" s="818"/>
      <c r="J53" s="818"/>
      <c r="K53" s="818"/>
      <c r="L53" s="818"/>
      <c r="M53" s="818"/>
      <c r="N53" s="818"/>
      <c r="O53" s="818"/>
      <c r="P53" s="818"/>
      <c r="Q53" s="818"/>
      <c r="R53" s="818"/>
      <c r="S53" s="818"/>
      <c r="T53" s="819"/>
      <c r="U53" s="817">
        <v>3</v>
      </c>
      <c r="V53" s="818"/>
      <c r="W53" s="818"/>
      <c r="X53" s="818"/>
      <c r="Y53" s="818"/>
      <c r="Z53" s="818"/>
      <c r="AA53" s="818"/>
      <c r="AB53" s="818"/>
      <c r="AC53" s="818"/>
      <c r="AD53" s="818"/>
      <c r="AE53" s="818"/>
      <c r="AF53" s="819"/>
      <c r="AG53" s="817">
        <v>4</v>
      </c>
      <c r="AH53" s="818"/>
      <c r="AI53" s="818"/>
      <c r="AJ53" s="818"/>
      <c r="AK53" s="818"/>
      <c r="AL53" s="818"/>
      <c r="AM53" s="818"/>
      <c r="AN53" s="818"/>
      <c r="AO53" s="818"/>
      <c r="AP53" s="818"/>
      <c r="AQ53" s="818"/>
      <c r="AR53" s="818"/>
      <c r="AS53" s="818"/>
      <c r="AT53" s="819"/>
      <c r="AU53" s="817">
        <v>5</v>
      </c>
      <c r="AV53" s="818"/>
      <c r="AW53" s="818"/>
      <c r="AX53" s="818"/>
      <c r="AY53" s="818"/>
      <c r="AZ53" s="818"/>
      <c r="BA53" s="818"/>
      <c r="BB53" s="818"/>
      <c r="BC53" s="818"/>
      <c r="BD53" s="818"/>
      <c r="BE53" s="818"/>
      <c r="BF53" s="818"/>
      <c r="BG53" s="818"/>
      <c r="BH53" s="819"/>
      <c r="BI53" s="817">
        <v>6</v>
      </c>
      <c r="BJ53" s="818"/>
      <c r="BK53" s="818"/>
      <c r="BL53" s="818"/>
      <c r="BM53" s="818"/>
      <c r="BN53" s="818"/>
      <c r="BO53" s="818"/>
      <c r="BP53" s="818"/>
      <c r="BQ53" s="818"/>
      <c r="BR53" s="818"/>
      <c r="BS53" s="818"/>
      <c r="BT53" s="818"/>
      <c r="BU53" s="818"/>
      <c r="BV53" s="819"/>
      <c r="BW53" s="817">
        <v>7</v>
      </c>
      <c r="BX53" s="818"/>
      <c r="BY53" s="818"/>
      <c r="BZ53" s="818"/>
      <c r="CA53" s="818"/>
      <c r="CB53" s="818"/>
      <c r="CC53" s="818"/>
      <c r="CD53" s="818"/>
      <c r="CE53" s="818"/>
      <c r="CF53" s="818"/>
      <c r="CG53" s="818"/>
      <c r="CH53" s="818"/>
      <c r="CI53" s="818"/>
      <c r="CJ53" s="819"/>
      <c r="CK53" s="817">
        <v>8</v>
      </c>
      <c r="CL53" s="818"/>
      <c r="CM53" s="818"/>
      <c r="CN53" s="818"/>
      <c r="CO53" s="818"/>
      <c r="CP53" s="818"/>
      <c r="CQ53" s="818"/>
      <c r="CR53" s="818"/>
      <c r="CS53" s="818"/>
      <c r="CT53" s="818"/>
      <c r="CU53" s="819"/>
      <c r="CV53" s="817">
        <v>9</v>
      </c>
      <c r="CW53" s="818"/>
      <c r="CX53" s="818"/>
      <c r="CY53" s="818"/>
      <c r="CZ53" s="818"/>
      <c r="DA53" s="818"/>
      <c r="DB53" s="818"/>
      <c r="DC53" s="818"/>
      <c r="DD53" s="818"/>
      <c r="DE53" s="819"/>
      <c r="DF53" s="817">
        <v>10</v>
      </c>
      <c r="DG53" s="818"/>
      <c r="DH53" s="818"/>
      <c r="DI53" s="818"/>
      <c r="DJ53" s="818"/>
      <c r="DK53" s="818"/>
      <c r="DL53" s="818"/>
      <c r="DM53" s="818"/>
      <c r="DN53" s="818"/>
      <c r="DO53" s="818"/>
      <c r="DP53" s="818"/>
      <c r="DQ53" s="818"/>
      <c r="DR53" s="818"/>
      <c r="DS53" s="819"/>
    </row>
    <row r="54" spans="1:136" s="190" customFormat="1" ht="13.2">
      <c r="A54" s="802">
        <v>1</v>
      </c>
      <c r="B54" s="803"/>
      <c r="C54" s="803"/>
      <c r="D54" s="804"/>
      <c r="E54" s="805" t="s">
        <v>420</v>
      </c>
      <c r="F54" s="806"/>
      <c r="G54" s="806"/>
      <c r="H54" s="806"/>
      <c r="I54" s="806"/>
      <c r="J54" s="806"/>
      <c r="K54" s="806"/>
      <c r="L54" s="806"/>
      <c r="M54" s="806"/>
      <c r="N54" s="806"/>
      <c r="O54" s="806"/>
      <c r="P54" s="806"/>
      <c r="Q54" s="806"/>
      <c r="R54" s="806"/>
      <c r="S54" s="806"/>
      <c r="T54" s="807"/>
      <c r="U54" s="808">
        <v>6</v>
      </c>
      <c r="V54" s="809"/>
      <c r="W54" s="809"/>
      <c r="X54" s="809"/>
      <c r="Y54" s="809"/>
      <c r="Z54" s="809"/>
      <c r="AA54" s="809"/>
      <c r="AB54" s="809"/>
      <c r="AC54" s="809"/>
      <c r="AD54" s="809"/>
      <c r="AE54" s="809"/>
      <c r="AF54" s="810"/>
      <c r="AG54" s="811">
        <v>0</v>
      </c>
      <c r="AH54" s="812"/>
      <c r="AI54" s="812"/>
      <c r="AJ54" s="812"/>
      <c r="AK54" s="812"/>
      <c r="AL54" s="812"/>
      <c r="AM54" s="812"/>
      <c r="AN54" s="812"/>
      <c r="AO54" s="812"/>
      <c r="AP54" s="812"/>
      <c r="AQ54" s="812"/>
      <c r="AR54" s="812"/>
      <c r="AS54" s="812"/>
      <c r="AT54" s="813"/>
      <c r="AU54" s="811">
        <v>0</v>
      </c>
      <c r="AV54" s="812"/>
      <c r="AW54" s="812"/>
      <c r="AX54" s="812"/>
      <c r="AY54" s="812"/>
      <c r="AZ54" s="812"/>
      <c r="BA54" s="812"/>
      <c r="BB54" s="812"/>
      <c r="BC54" s="812"/>
      <c r="BD54" s="812"/>
      <c r="BE54" s="812"/>
      <c r="BF54" s="812"/>
      <c r="BG54" s="812"/>
      <c r="BH54" s="813"/>
      <c r="BI54" s="811">
        <v>0</v>
      </c>
      <c r="BJ54" s="812"/>
      <c r="BK54" s="812"/>
      <c r="BL54" s="812"/>
      <c r="BM54" s="812"/>
      <c r="BN54" s="812"/>
      <c r="BO54" s="812"/>
      <c r="BP54" s="812"/>
      <c r="BQ54" s="812"/>
      <c r="BR54" s="812"/>
      <c r="BS54" s="812"/>
      <c r="BT54" s="812"/>
      <c r="BU54" s="812"/>
      <c r="BV54" s="813"/>
      <c r="BW54" s="811">
        <v>289.85000000000002</v>
      </c>
      <c r="BX54" s="812"/>
      <c r="BY54" s="812"/>
      <c r="BZ54" s="812"/>
      <c r="CA54" s="812"/>
      <c r="CB54" s="812"/>
      <c r="CC54" s="812"/>
      <c r="CD54" s="812"/>
      <c r="CE54" s="812"/>
      <c r="CF54" s="812"/>
      <c r="CG54" s="812"/>
      <c r="CH54" s="812"/>
      <c r="CI54" s="812"/>
      <c r="CJ54" s="813"/>
      <c r="CK54" s="808">
        <v>25</v>
      </c>
      <c r="CL54" s="809"/>
      <c r="CM54" s="809"/>
      <c r="CN54" s="809"/>
      <c r="CO54" s="809"/>
      <c r="CP54" s="809"/>
      <c r="CQ54" s="809"/>
      <c r="CR54" s="809"/>
      <c r="CS54" s="809"/>
      <c r="CT54" s="809"/>
      <c r="CU54" s="810"/>
      <c r="CV54" s="808">
        <v>2.2999999999999998</v>
      </c>
      <c r="CW54" s="809"/>
      <c r="CX54" s="809"/>
      <c r="CY54" s="809"/>
      <c r="CZ54" s="809"/>
      <c r="DA54" s="809"/>
      <c r="DB54" s="809"/>
      <c r="DC54" s="809"/>
      <c r="DD54" s="809"/>
      <c r="DE54" s="810"/>
      <c r="DF54" s="811">
        <f>ROUND(U54*AG54*(1+CK54/100)*CV54*12,2)</f>
        <v>0</v>
      </c>
      <c r="DG54" s="812"/>
      <c r="DH54" s="812"/>
      <c r="DI54" s="812"/>
      <c r="DJ54" s="812"/>
      <c r="DK54" s="812"/>
      <c r="DL54" s="812"/>
      <c r="DM54" s="812"/>
      <c r="DN54" s="812"/>
      <c r="DO54" s="812"/>
      <c r="DP54" s="812"/>
      <c r="DQ54" s="812"/>
      <c r="DR54" s="812"/>
      <c r="DS54" s="813"/>
    </row>
    <row r="55" spans="1:136" s="190" customFormat="1" ht="13.2">
      <c r="A55" s="802">
        <v>2</v>
      </c>
      <c r="B55" s="803"/>
      <c r="C55" s="803"/>
      <c r="D55" s="804"/>
      <c r="E55" s="805" t="s">
        <v>417</v>
      </c>
      <c r="F55" s="806"/>
      <c r="G55" s="806"/>
      <c r="H55" s="806"/>
      <c r="I55" s="806"/>
      <c r="J55" s="806"/>
      <c r="K55" s="806"/>
      <c r="L55" s="806"/>
      <c r="M55" s="806"/>
      <c r="N55" s="806"/>
      <c r="O55" s="806"/>
      <c r="P55" s="806"/>
      <c r="Q55" s="806"/>
      <c r="R55" s="806"/>
      <c r="S55" s="806"/>
      <c r="T55" s="807"/>
      <c r="U55" s="808">
        <v>0</v>
      </c>
      <c r="V55" s="809"/>
      <c r="W55" s="809"/>
      <c r="X55" s="809"/>
      <c r="Y55" s="809"/>
      <c r="Z55" s="809"/>
      <c r="AA55" s="809"/>
      <c r="AB55" s="809"/>
      <c r="AC55" s="809"/>
      <c r="AD55" s="809"/>
      <c r="AE55" s="809"/>
      <c r="AF55" s="810"/>
      <c r="AG55" s="811">
        <f>AU55+BI55+BW55</f>
        <v>0</v>
      </c>
      <c r="AH55" s="812"/>
      <c r="AI55" s="812"/>
      <c r="AJ55" s="812"/>
      <c r="AK55" s="812"/>
      <c r="AL55" s="812"/>
      <c r="AM55" s="812"/>
      <c r="AN55" s="812"/>
      <c r="AO55" s="812"/>
      <c r="AP55" s="812"/>
      <c r="AQ55" s="812"/>
      <c r="AR55" s="812"/>
      <c r="AS55" s="812"/>
      <c r="AT55" s="813"/>
      <c r="AU55" s="811">
        <v>0</v>
      </c>
      <c r="AV55" s="812"/>
      <c r="AW55" s="812"/>
      <c r="AX55" s="812"/>
      <c r="AY55" s="812"/>
      <c r="AZ55" s="812"/>
      <c r="BA55" s="812"/>
      <c r="BB55" s="812"/>
      <c r="BC55" s="812"/>
      <c r="BD55" s="812"/>
      <c r="BE55" s="812"/>
      <c r="BF55" s="812"/>
      <c r="BG55" s="812"/>
      <c r="BH55" s="813"/>
      <c r="BI55" s="811">
        <v>0</v>
      </c>
      <c r="BJ55" s="812"/>
      <c r="BK55" s="812"/>
      <c r="BL55" s="812"/>
      <c r="BM55" s="812"/>
      <c r="BN55" s="812"/>
      <c r="BO55" s="812"/>
      <c r="BP55" s="812"/>
      <c r="BQ55" s="812"/>
      <c r="BR55" s="812"/>
      <c r="BS55" s="812"/>
      <c r="BT55" s="812"/>
      <c r="BU55" s="812"/>
      <c r="BV55" s="813"/>
      <c r="BW55" s="811">
        <v>0</v>
      </c>
      <c r="BX55" s="812"/>
      <c r="BY55" s="812"/>
      <c r="BZ55" s="812"/>
      <c r="CA55" s="812"/>
      <c r="CB55" s="812"/>
      <c r="CC55" s="812"/>
      <c r="CD55" s="812"/>
      <c r="CE55" s="812"/>
      <c r="CF55" s="812"/>
      <c r="CG55" s="812"/>
      <c r="CH55" s="812"/>
      <c r="CI55" s="812"/>
      <c r="CJ55" s="813"/>
      <c r="CK55" s="808">
        <v>25</v>
      </c>
      <c r="CL55" s="809"/>
      <c r="CM55" s="809"/>
      <c r="CN55" s="809"/>
      <c r="CO55" s="809"/>
      <c r="CP55" s="809"/>
      <c r="CQ55" s="809"/>
      <c r="CR55" s="809"/>
      <c r="CS55" s="809"/>
      <c r="CT55" s="809"/>
      <c r="CU55" s="810"/>
      <c r="CV55" s="808">
        <v>2.2999999999999998</v>
      </c>
      <c r="CW55" s="809"/>
      <c r="CX55" s="809"/>
      <c r="CY55" s="809"/>
      <c r="CZ55" s="809"/>
      <c r="DA55" s="809"/>
      <c r="DB55" s="809"/>
      <c r="DC55" s="809"/>
      <c r="DD55" s="809"/>
      <c r="DE55" s="810"/>
      <c r="DF55" s="811">
        <f>ROUND(U55*AG55*(1+CK55/100)*CV55*12,2)</f>
        <v>0</v>
      </c>
      <c r="DG55" s="812"/>
      <c r="DH55" s="812"/>
      <c r="DI55" s="812"/>
      <c r="DJ55" s="812"/>
      <c r="DK55" s="812"/>
      <c r="DL55" s="812"/>
      <c r="DM55" s="812"/>
      <c r="DN55" s="812"/>
      <c r="DO55" s="812"/>
      <c r="DP55" s="812"/>
      <c r="DQ55" s="812"/>
      <c r="DR55" s="812"/>
      <c r="DS55" s="813"/>
    </row>
    <row r="56" spans="1:136" s="190" customFormat="1" ht="13.2">
      <c r="A56" s="808" t="s">
        <v>262</v>
      </c>
      <c r="B56" s="809"/>
      <c r="C56" s="809"/>
      <c r="D56" s="809"/>
      <c r="E56" s="809"/>
      <c r="F56" s="809"/>
      <c r="G56" s="809"/>
      <c r="H56" s="809"/>
      <c r="I56" s="809"/>
      <c r="J56" s="809"/>
      <c r="K56" s="809"/>
      <c r="L56" s="809"/>
      <c r="M56" s="809"/>
      <c r="N56" s="809"/>
      <c r="O56" s="809"/>
      <c r="P56" s="809"/>
      <c r="Q56" s="809"/>
      <c r="R56" s="809"/>
      <c r="S56" s="809"/>
      <c r="T56" s="810"/>
      <c r="U56" s="802" t="s">
        <v>21</v>
      </c>
      <c r="V56" s="803"/>
      <c r="W56" s="803"/>
      <c r="X56" s="803"/>
      <c r="Y56" s="803"/>
      <c r="Z56" s="803"/>
      <c r="AA56" s="803"/>
      <c r="AB56" s="803"/>
      <c r="AC56" s="803"/>
      <c r="AD56" s="803"/>
      <c r="AE56" s="803"/>
      <c r="AF56" s="804"/>
      <c r="AG56" s="811">
        <f>SUM(AG54:AT55)</f>
        <v>0</v>
      </c>
      <c r="AH56" s="809"/>
      <c r="AI56" s="809"/>
      <c r="AJ56" s="809"/>
      <c r="AK56" s="809"/>
      <c r="AL56" s="809"/>
      <c r="AM56" s="809"/>
      <c r="AN56" s="809"/>
      <c r="AO56" s="809"/>
      <c r="AP56" s="809"/>
      <c r="AQ56" s="809"/>
      <c r="AR56" s="809"/>
      <c r="AS56" s="809"/>
      <c r="AT56" s="810"/>
      <c r="AU56" s="802" t="s">
        <v>21</v>
      </c>
      <c r="AV56" s="803"/>
      <c r="AW56" s="803"/>
      <c r="AX56" s="803"/>
      <c r="AY56" s="803"/>
      <c r="AZ56" s="803"/>
      <c r="BA56" s="803"/>
      <c r="BB56" s="803"/>
      <c r="BC56" s="803"/>
      <c r="BD56" s="803"/>
      <c r="BE56" s="803"/>
      <c r="BF56" s="803"/>
      <c r="BG56" s="803"/>
      <c r="BH56" s="804"/>
      <c r="BI56" s="802" t="s">
        <v>21</v>
      </c>
      <c r="BJ56" s="803"/>
      <c r="BK56" s="803"/>
      <c r="BL56" s="803"/>
      <c r="BM56" s="803"/>
      <c r="BN56" s="803"/>
      <c r="BO56" s="803"/>
      <c r="BP56" s="803"/>
      <c r="BQ56" s="803"/>
      <c r="BR56" s="803"/>
      <c r="BS56" s="803"/>
      <c r="BT56" s="803"/>
      <c r="BU56" s="803"/>
      <c r="BV56" s="804"/>
      <c r="BW56" s="802" t="s">
        <v>21</v>
      </c>
      <c r="BX56" s="803"/>
      <c r="BY56" s="803"/>
      <c r="BZ56" s="803"/>
      <c r="CA56" s="803"/>
      <c r="CB56" s="803"/>
      <c r="CC56" s="803"/>
      <c r="CD56" s="803"/>
      <c r="CE56" s="803"/>
      <c r="CF56" s="803"/>
      <c r="CG56" s="803"/>
      <c r="CH56" s="803"/>
      <c r="CI56" s="803"/>
      <c r="CJ56" s="804"/>
      <c r="CK56" s="814" t="s">
        <v>21</v>
      </c>
      <c r="CL56" s="815"/>
      <c r="CM56" s="815"/>
      <c r="CN56" s="815"/>
      <c r="CO56" s="815"/>
      <c r="CP56" s="815"/>
      <c r="CQ56" s="815"/>
      <c r="CR56" s="815"/>
      <c r="CS56" s="815"/>
      <c r="CT56" s="815"/>
      <c r="CU56" s="816"/>
      <c r="CV56" s="802" t="s">
        <v>21</v>
      </c>
      <c r="CW56" s="803"/>
      <c r="CX56" s="803"/>
      <c r="CY56" s="803"/>
      <c r="CZ56" s="803"/>
      <c r="DA56" s="803"/>
      <c r="DB56" s="803"/>
      <c r="DC56" s="803"/>
      <c r="DD56" s="803"/>
      <c r="DE56" s="804"/>
      <c r="DF56" s="811">
        <f>SUM(DF54:DS55)</f>
        <v>0</v>
      </c>
      <c r="DG56" s="812"/>
      <c r="DH56" s="812"/>
      <c r="DI56" s="812"/>
      <c r="DJ56" s="812"/>
      <c r="DK56" s="812"/>
      <c r="DL56" s="812"/>
      <c r="DM56" s="812"/>
      <c r="DN56" s="812"/>
      <c r="DO56" s="812"/>
      <c r="DP56" s="812"/>
      <c r="DQ56" s="812"/>
      <c r="DR56" s="812"/>
      <c r="DS56" s="813"/>
      <c r="ED56" s="111"/>
    </row>
    <row r="57" spans="1:136" s="190" customFormat="1" ht="13.2">
      <c r="ED57" s="82"/>
      <c r="EF57" s="82"/>
    </row>
    <row r="58" spans="1:136" s="190" customFormat="1" ht="13.2">
      <c r="ED58" s="82"/>
    </row>
    <row r="59" spans="1:136" s="190" customFormat="1" ht="13.2"/>
    <row r="60" spans="1:136" s="190" customFormat="1" ht="13.2">
      <c r="ED60" s="82"/>
      <c r="EF60" s="82"/>
    </row>
    <row r="61" spans="1:136" s="190" customFormat="1" ht="13.2"/>
    <row r="62" spans="1:136" s="190" customFormat="1" ht="13.2">
      <c r="ED62" s="82"/>
    </row>
    <row r="63" spans="1:136" s="190" customFormat="1" ht="13.2">
      <c r="ED63" s="82"/>
    </row>
    <row r="64" spans="1:136" s="190" customFormat="1" ht="13.2">
      <c r="EE64" s="82"/>
    </row>
    <row r="65" s="190" customFormat="1" ht="13.2"/>
    <row r="66" s="190" customFormat="1" ht="13.2"/>
    <row r="67" s="190" customFormat="1" ht="13.2"/>
    <row r="68" s="190" customFormat="1" ht="13.2"/>
    <row r="69" s="190" customFormat="1" ht="13.2"/>
    <row r="70" s="190" customFormat="1" ht="13.2"/>
    <row r="71" s="190" customFormat="1" ht="13.2"/>
    <row r="72" s="190" customFormat="1" ht="13.2"/>
    <row r="73" s="190" customFormat="1" ht="13.2"/>
    <row r="74" s="190" customFormat="1" ht="13.2"/>
    <row r="75" s="190" customFormat="1" ht="13.2"/>
    <row r="76" s="190" customFormat="1" ht="13.2"/>
    <row r="77" s="190" customFormat="1" ht="13.2"/>
    <row r="78" s="190" customFormat="1" ht="13.2"/>
    <row r="79" s="190" customFormat="1" ht="13.2"/>
    <row r="80" s="190" customFormat="1" ht="13.2"/>
    <row r="81" s="190" customFormat="1" ht="13.2"/>
    <row r="82" s="190" customFormat="1" ht="13.2"/>
    <row r="83" s="190" customFormat="1" ht="13.2"/>
    <row r="84" s="190" customFormat="1" ht="13.2"/>
    <row r="85" s="190" customFormat="1" ht="13.2"/>
    <row r="86" s="190" customFormat="1" ht="13.2"/>
    <row r="87" s="190" customFormat="1" ht="13.2"/>
    <row r="88" s="190" customFormat="1" ht="13.2"/>
    <row r="89" s="190" customFormat="1" ht="13.2"/>
    <row r="90" s="190" customFormat="1" ht="13.2"/>
    <row r="91" s="190" customFormat="1" ht="13.2"/>
    <row r="92" s="190" customFormat="1" ht="13.2"/>
    <row r="93" s="190" customFormat="1" ht="13.2"/>
    <row r="94" s="190" customFormat="1" ht="13.2"/>
    <row r="95" s="190" customFormat="1" ht="13.2"/>
    <row r="96" s="190" customFormat="1" ht="13.2"/>
    <row r="97" s="190" customFormat="1" ht="13.2"/>
    <row r="98" s="190" customFormat="1" ht="13.2"/>
    <row r="99" s="190" customFormat="1" ht="13.2"/>
    <row r="100" s="190" customFormat="1" ht="13.2"/>
    <row r="101" s="190" customFormat="1" ht="13.2"/>
    <row r="102" s="190" customFormat="1" ht="13.2"/>
    <row r="103" s="190" customFormat="1" ht="13.2"/>
    <row r="104" s="190" customFormat="1" ht="13.2"/>
    <row r="105" s="190" customFormat="1" ht="13.2"/>
    <row r="106" s="190" customFormat="1" ht="13.2"/>
    <row r="107" s="190" customFormat="1" ht="13.2"/>
    <row r="108" s="190" customFormat="1" ht="13.2"/>
    <row r="109" s="190" customFormat="1" ht="13.2"/>
    <row r="110" s="190" customFormat="1" ht="13.2"/>
    <row r="111" s="190" customFormat="1" ht="13.2"/>
    <row r="112" s="190" customFormat="1" ht="13.2"/>
    <row r="113" s="190" customFormat="1" ht="13.2"/>
    <row r="114" s="190" customFormat="1" ht="13.2"/>
    <row r="115" s="190" customFormat="1" ht="13.2"/>
    <row r="116" s="190" customFormat="1" ht="13.2"/>
    <row r="117" s="190" customFormat="1" ht="13.2"/>
    <row r="118" s="190" customFormat="1" ht="13.2"/>
    <row r="119" s="190" customFormat="1" ht="13.2"/>
    <row r="120" s="190" customFormat="1" ht="13.2"/>
    <row r="121" s="190" customFormat="1" ht="13.2"/>
    <row r="122" s="190" customFormat="1" ht="13.2"/>
    <row r="123" s="190" customFormat="1" ht="13.2"/>
    <row r="124" s="190" customFormat="1" ht="13.2"/>
    <row r="125" s="190" customFormat="1" ht="13.2"/>
    <row r="126" s="190" customFormat="1" ht="13.2"/>
    <row r="127" s="190" customFormat="1" ht="13.2"/>
    <row r="128" s="190" customFormat="1" ht="13.2"/>
    <row r="129" s="190" customFormat="1" ht="13.2"/>
    <row r="130" s="190" customFormat="1" ht="13.2"/>
    <row r="131" s="190" customFormat="1" ht="13.2"/>
    <row r="132" s="190" customFormat="1" ht="13.2"/>
    <row r="133" s="190" customFormat="1" ht="13.2"/>
    <row r="134" s="190" customFormat="1" ht="13.2"/>
    <row r="135" s="190" customFormat="1" ht="13.2"/>
    <row r="136" s="190" customFormat="1" ht="13.2"/>
    <row r="137" s="190" customFormat="1" ht="13.2"/>
    <row r="138" s="190" customFormat="1" ht="13.2"/>
    <row r="139" s="190" customFormat="1" ht="13.2"/>
    <row r="140" s="190" customFormat="1" ht="13.2"/>
    <row r="141" s="190" customFormat="1" ht="13.2"/>
    <row r="142" s="190" customFormat="1" ht="13.2"/>
    <row r="143" s="190" customFormat="1" ht="13.2"/>
    <row r="144" s="190" customFormat="1" ht="13.2"/>
    <row r="145" s="190" customFormat="1" ht="13.2"/>
    <row r="146" s="190" customFormat="1" ht="13.2"/>
    <row r="147" s="190" customFormat="1" ht="13.2"/>
    <row r="148" s="190" customFormat="1" ht="13.2"/>
    <row r="149" s="190" customFormat="1" ht="13.2"/>
    <row r="150" s="190" customFormat="1" ht="13.2"/>
    <row r="151" s="190" customFormat="1" ht="13.2"/>
    <row r="152" s="190" customFormat="1" ht="13.2"/>
    <row r="153" s="190" customFormat="1" ht="13.2"/>
    <row r="154" s="190" customFormat="1" ht="13.2"/>
    <row r="155" s="190" customFormat="1" ht="13.2"/>
    <row r="156" s="190" customFormat="1" ht="13.2"/>
    <row r="157" s="190" customFormat="1" ht="13.2"/>
    <row r="158" s="190" customFormat="1" ht="13.2"/>
    <row r="159" s="190" customFormat="1" ht="13.2"/>
    <row r="160" s="190" customFormat="1" ht="13.2"/>
    <row r="161" s="190" customFormat="1" ht="13.2"/>
    <row r="162" s="190" customFormat="1" ht="13.2"/>
    <row r="163" s="190" customFormat="1" ht="13.2"/>
    <row r="164" s="190" customFormat="1" ht="13.2"/>
    <row r="165" s="190" customFormat="1" ht="13.2"/>
    <row r="166" s="190" customFormat="1" ht="13.2"/>
    <row r="167" s="190" customFormat="1" ht="13.2"/>
    <row r="168" s="190" customFormat="1" ht="13.2"/>
    <row r="169" s="190" customFormat="1" ht="13.2"/>
    <row r="170" s="190" customFormat="1" ht="13.2"/>
    <row r="171" s="190" customFormat="1" ht="13.2"/>
    <row r="172" s="190" customFormat="1" ht="13.2"/>
    <row r="173" s="190" customFormat="1" ht="13.2"/>
    <row r="174" s="190" customFormat="1" ht="13.2"/>
    <row r="175" s="190" customFormat="1" ht="13.2"/>
    <row r="176" s="190" customFormat="1" ht="13.2"/>
    <row r="177" s="190" customFormat="1" ht="13.2"/>
    <row r="178" s="190" customFormat="1" ht="13.2"/>
    <row r="179" s="190" customFormat="1" ht="13.2"/>
    <row r="180" s="190" customFormat="1" ht="13.2"/>
    <row r="181" s="190" customFormat="1" ht="13.2"/>
    <row r="182" s="190" customFormat="1" ht="13.2"/>
    <row r="183" s="190" customFormat="1" ht="13.2"/>
    <row r="184" s="190" customFormat="1" ht="13.2"/>
    <row r="185" s="190" customFormat="1" ht="13.2"/>
    <row r="186" s="190" customFormat="1" ht="13.2"/>
    <row r="187" s="190" customFormat="1" ht="13.2"/>
  </sheetData>
  <mergeCells count="265">
    <mergeCell ref="DF14:DS14"/>
    <mergeCell ref="BW15:CJ15"/>
    <mergeCell ref="CK15:CU15"/>
    <mergeCell ref="CV15:DE15"/>
    <mergeCell ref="DF15:DS15"/>
    <mergeCell ref="A3:DS3"/>
    <mergeCell ref="A5:DS5"/>
    <mergeCell ref="T7:DS7"/>
    <mergeCell ref="AH9:DS9"/>
    <mergeCell ref="A11:DS11"/>
    <mergeCell ref="A13:D13"/>
    <mergeCell ref="E13:T13"/>
    <mergeCell ref="U13:AF13"/>
    <mergeCell ref="AG13:CJ13"/>
    <mergeCell ref="CK13:CU13"/>
    <mergeCell ref="CV13:DE13"/>
    <mergeCell ref="DF13:DS13"/>
    <mergeCell ref="A15:D15"/>
    <mergeCell ref="E15:T15"/>
    <mergeCell ref="U15:AF15"/>
    <mergeCell ref="AG15:AT15"/>
    <mergeCell ref="AU15:BH15"/>
    <mergeCell ref="BI15:BV15"/>
    <mergeCell ref="A14:D14"/>
    <mergeCell ref="E14:T14"/>
    <mergeCell ref="U14:AF14"/>
    <mergeCell ref="AG14:AT14"/>
    <mergeCell ref="AU14:CJ14"/>
    <mergeCell ref="BW16:CJ16"/>
    <mergeCell ref="CK16:CU16"/>
    <mergeCell ref="CV16:DE16"/>
    <mergeCell ref="CK14:CU14"/>
    <mergeCell ref="CV14:DE14"/>
    <mergeCell ref="DF16:DS16"/>
    <mergeCell ref="A17:D17"/>
    <mergeCell ref="E17:T17"/>
    <mergeCell ref="U17:AF17"/>
    <mergeCell ref="AG17:AT17"/>
    <mergeCell ref="AU17:BH17"/>
    <mergeCell ref="BI17:BV17"/>
    <mergeCell ref="BW17:CJ17"/>
    <mergeCell ref="CK17:CU17"/>
    <mergeCell ref="CV17:DE17"/>
    <mergeCell ref="DF17:DS17"/>
    <mergeCell ref="A16:D16"/>
    <mergeCell ref="E16:T16"/>
    <mergeCell ref="U16:AF16"/>
    <mergeCell ref="AG16:AT16"/>
    <mergeCell ref="AU16:BH16"/>
    <mergeCell ref="BI16:BV16"/>
    <mergeCell ref="DF18:DS18"/>
    <mergeCell ref="A19:D19"/>
    <mergeCell ref="E19:T19"/>
    <mergeCell ref="U19:AF19"/>
    <mergeCell ref="AG19:AT19"/>
    <mergeCell ref="AU19:BH19"/>
    <mergeCell ref="BI19:BV19"/>
    <mergeCell ref="BW19:CJ19"/>
    <mergeCell ref="CK19:CU19"/>
    <mergeCell ref="CV19:DE19"/>
    <mergeCell ref="DF19:DS19"/>
    <mergeCell ref="A18:D18"/>
    <mergeCell ref="E18:T18"/>
    <mergeCell ref="U18:AF18"/>
    <mergeCell ref="AG18:AT18"/>
    <mergeCell ref="AU18:BH18"/>
    <mergeCell ref="BI18:BV18"/>
    <mergeCell ref="BW18:CJ18"/>
    <mergeCell ref="CK18:CU18"/>
    <mergeCell ref="CV18:DE18"/>
    <mergeCell ref="T23:DS23"/>
    <mergeCell ref="AH25:DS25"/>
    <mergeCell ref="A27:DS27"/>
    <mergeCell ref="BW20:CJ20"/>
    <mergeCell ref="CK20:CU20"/>
    <mergeCell ref="CV20:DE20"/>
    <mergeCell ref="DF20:DS20"/>
    <mergeCell ref="A21:T21"/>
    <mergeCell ref="U21:AF21"/>
    <mergeCell ref="AG21:AT21"/>
    <mergeCell ref="AU21:BH21"/>
    <mergeCell ref="BI21:BV21"/>
    <mergeCell ref="BW21:CJ21"/>
    <mergeCell ref="A20:D20"/>
    <mergeCell ref="E20:T20"/>
    <mergeCell ref="U20:AF20"/>
    <mergeCell ref="AG20:AT20"/>
    <mergeCell ref="AU20:BH20"/>
    <mergeCell ref="BI20:BV20"/>
    <mergeCell ref="CK21:CU21"/>
    <mergeCell ref="CV21:DE21"/>
    <mergeCell ref="DF21:DS21"/>
    <mergeCell ref="DF29:DS29"/>
    <mergeCell ref="A30:D30"/>
    <mergeCell ref="E30:T30"/>
    <mergeCell ref="U30:AF30"/>
    <mergeCell ref="AG30:AT30"/>
    <mergeCell ref="AU30:CJ30"/>
    <mergeCell ref="CK30:CU30"/>
    <mergeCell ref="CV30:DE30"/>
    <mergeCell ref="DF30:DS30"/>
    <mergeCell ref="A29:D29"/>
    <mergeCell ref="E29:T29"/>
    <mergeCell ref="U29:AF29"/>
    <mergeCell ref="AG29:CJ29"/>
    <mergeCell ref="CK29:CU29"/>
    <mergeCell ref="CV29:DE29"/>
    <mergeCell ref="BW31:CJ31"/>
    <mergeCell ref="CK31:CU31"/>
    <mergeCell ref="CV31:DE31"/>
    <mergeCell ref="DF31:DS31"/>
    <mergeCell ref="A32:D32"/>
    <mergeCell ref="E32:T32"/>
    <mergeCell ref="U32:AF32"/>
    <mergeCell ref="AG32:AT32"/>
    <mergeCell ref="AU32:BH32"/>
    <mergeCell ref="BI32:BV32"/>
    <mergeCell ref="A31:D31"/>
    <mergeCell ref="E31:T31"/>
    <mergeCell ref="U31:AF31"/>
    <mergeCell ref="AG31:AT31"/>
    <mergeCell ref="AU31:BH31"/>
    <mergeCell ref="BI31:BV31"/>
    <mergeCell ref="BW32:CJ32"/>
    <mergeCell ref="CK32:CU32"/>
    <mergeCell ref="CV32:DE32"/>
    <mergeCell ref="DF32:DS32"/>
    <mergeCell ref="DF33:DS33"/>
    <mergeCell ref="A34:D34"/>
    <mergeCell ref="E34:T34"/>
    <mergeCell ref="U34:AF34"/>
    <mergeCell ref="AG34:AT34"/>
    <mergeCell ref="AU34:BH34"/>
    <mergeCell ref="BI34:BV34"/>
    <mergeCell ref="BW34:CJ34"/>
    <mergeCell ref="CK34:CU34"/>
    <mergeCell ref="CV34:DE34"/>
    <mergeCell ref="DF34:DS34"/>
    <mergeCell ref="A33:D33"/>
    <mergeCell ref="E33:T33"/>
    <mergeCell ref="U33:AF33"/>
    <mergeCell ref="AG33:AT33"/>
    <mergeCell ref="AU33:BH33"/>
    <mergeCell ref="BI33:BV33"/>
    <mergeCell ref="BW33:CJ33"/>
    <mergeCell ref="CK33:CU33"/>
    <mergeCell ref="CV33:DE33"/>
    <mergeCell ref="DF35:DS35"/>
    <mergeCell ref="A36:D36"/>
    <mergeCell ref="E36:T36"/>
    <mergeCell ref="U36:AF36"/>
    <mergeCell ref="AG36:AT36"/>
    <mergeCell ref="AU36:BH36"/>
    <mergeCell ref="BI36:BV36"/>
    <mergeCell ref="CK37:CU37"/>
    <mergeCell ref="CV37:DE37"/>
    <mergeCell ref="DF37:DS37"/>
    <mergeCell ref="A35:D35"/>
    <mergeCell ref="E35:T35"/>
    <mergeCell ref="U35:AF35"/>
    <mergeCell ref="AG35:AT35"/>
    <mergeCell ref="AU35:BH35"/>
    <mergeCell ref="BI35:BV35"/>
    <mergeCell ref="BW35:CJ35"/>
    <mergeCell ref="CK35:CU35"/>
    <mergeCell ref="CV35:DE35"/>
    <mergeCell ref="A39:DS39"/>
    <mergeCell ref="DG41:DS41"/>
    <mergeCell ref="T42:DS42"/>
    <mergeCell ref="BW36:CJ36"/>
    <mergeCell ref="CK36:CU36"/>
    <mergeCell ref="CV36:DE36"/>
    <mergeCell ref="DF36:DS36"/>
    <mergeCell ref="A37:T37"/>
    <mergeCell ref="U37:AF37"/>
    <mergeCell ref="AG37:AT37"/>
    <mergeCell ref="AU37:BH37"/>
    <mergeCell ref="BI37:BV37"/>
    <mergeCell ref="BW37:CJ37"/>
    <mergeCell ref="AH44:DS44"/>
    <mergeCell ref="A46:DS46"/>
    <mergeCell ref="A48:D48"/>
    <mergeCell ref="E48:T48"/>
    <mergeCell ref="U48:AF48"/>
    <mergeCell ref="AG48:CJ48"/>
    <mergeCell ref="CK48:CU48"/>
    <mergeCell ref="CV48:DE48"/>
    <mergeCell ref="DF48:DS48"/>
    <mergeCell ref="CV49:DE49"/>
    <mergeCell ref="DF49:DS49"/>
    <mergeCell ref="A50:D50"/>
    <mergeCell ref="E50:T50"/>
    <mergeCell ref="U50:AF50"/>
    <mergeCell ref="AG50:AT50"/>
    <mergeCell ref="AU50:BH50"/>
    <mergeCell ref="BI50:BV50"/>
    <mergeCell ref="BW50:CJ50"/>
    <mergeCell ref="CK50:CU50"/>
    <mergeCell ref="A49:D49"/>
    <mergeCell ref="E49:T49"/>
    <mergeCell ref="U49:AF49"/>
    <mergeCell ref="AG49:AT49"/>
    <mergeCell ref="AU49:CJ49"/>
    <mergeCell ref="CK49:CU49"/>
    <mergeCell ref="CV50:DE50"/>
    <mergeCell ref="DF50:DS50"/>
    <mergeCell ref="DF51:DS51"/>
    <mergeCell ref="A52:D52"/>
    <mergeCell ref="E52:T52"/>
    <mergeCell ref="U52:AF52"/>
    <mergeCell ref="AG52:AT52"/>
    <mergeCell ref="AU52:BH52"/>
    <mergeCell ref="BI52:BV52"/>
    <mergeCell ref="BW52:CJ52"/>
    <mergeCell ref="CK52:CU52"/>
    <mergeCell ref="CV52:DE52"/>
    <mergeCell ref="DF52:DS52"/>
    <mergeCell ref="A51:D51"/>
    <mergeCell ref="E51:T51"/>
    <mergeCell ref="U51:AF51"/>
    <mergeCell ref="AG51:AT51"/>
    <mergeCell ref="AU51:BH51"/>
    <mergeCell ref="BI51:BV51"/>
    <mergeCell ref="BW51:CJ51"/>
    <mergeCell ref="CK51:CU51"/>
    <mergeCell ref="CV51:DE51"/>
    <mergeCell ref="DF53:DS53"/>
    <mergeCell ref="A54:D54"/>
    <mergeCell ref="E54:T54"/>
    <mergeCell ref="U54:AF54"/>
    <mergeCell ref="AG54:AT54"/>
    <mergeCell ref="AU54:BH54"/>
    <mergeCell ref="BI54:BV54"/>
    <mergeCell ref="BW54:CJ54"/>
    <mergeCell ref="CK54:CU54"/>
    <mergeCell ref="CV54:DE54"/>
    <mergeCell ref="DF54:DS54"/>
    <mergeCell ref="A53:D53"/>
    <mergeCell ref="E53:T53"/>
    <mergeCell ref="U53:AF53"/>
    <mergeCell ref="AG53:AT53"/>
    <mergeCell ref="AU53:BH53"/>
    <mergeCell ref="BI53:BV53"/>
    <mergeCell ref="BW53:CJ53"/>
    <mergeCell ref="CK53:CU53"/>
    <mergeCell ref="CV53:DE53"/>
    <mergeCell ref="A55:D55"/>
    <mergeCell ref="E55:T55"/>
    <mergeCell ref="U55:AF55"/>
    <mergeCell ref="AG55:AT55"/>
    <mergeCell ref="AU55:BH55"/>
    <mergeCell ref="BI55:BV55"/>
    <mergeCell ref="BW55:CJ55"/>
    <mergeCell ref="CK55:CU55"/>
    <mergeCell ref="DF56:DS56"/>
    <mergeCell ref="CV55:DE55"/>
    <mergeCell ref="DF55:DS55"/>
    <mergeCell ref="A56:T56"/>
    <mergeCell ref="U56:AF56"/>
    <mergeCell ref="AG56:AT56"/>
    <mergeCell ref="AU56:BH56"/>
    <mergeCell ref="BI56:BV56"/>
    <mergeCell ref="BW56:CJ56"/>
    <mergeCell ref="CK56:CU56"/>
    <mergeCell ref="CV56:DE56"/>
  </mergeCells>
  <pageMargins left="0.39370078740157483" right="0.39370078740157483" top="0.78740157480314965" bottom="0.39370078740157483" header="0.27559055118110237" footer="0.27559055118110237"/>
  <pageSetup paperSize="9" orientation="landscape" blackAndWhite="1" r:id="rId1"/>
  <headerFooter alignWithMargins="0"/>
  <rowBreaks count="1" manualBreakCount="1">
    <brk id="39" max="1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15</vt:i4>
      </vt:variant>
    </vt:vector>
  </HeadingPairs>
  <TitlesOfParts>
    <vt:vector size="29" baseType="lpstr">
      <vt:lpstr>стр.1</vt:lpstr>
      <vt:lpstr>стр. 2_8</vt:lpstr>
      <vt:lpstr>стр. 9_10 </vt:lpstr>
      <vt:lpstr>стр. 11-14</vt:lpstr>
      <vt:lpstr>стр. 15</vt:lpstr>
      <vt:lpstr>Доходы 130 бюджет</vt:lpstr>
      <vt:lpstr>Доходы 130 внебюджет</vt:lpstr>
      <vt:lpstr>Доходы 150 иные цели</vt:lpstr>
      <vt:lpstr>Расч 1ц</vt:lpstr>
      <vt:lpstr>Расч 2ц</vt:lpstr>
      <vt:lpstr>Расч 3 </vt:lpstr>
      <vt:lpstr>Расч 4</vt:lpstr>
      <vt:lpstr>Расч 5</vt:lpstr>
      <vt:lpstr>Свед ИЦ</vt:lpstr>
      <vt:lpstr>'Свед ИЦ'!Заголовки_для_печати</vt:lpstr>
      <vt:lpstr>'стр. 11-14'!Заголовки_для_печати</vt:lpstr>
      <vt:lpstr>'стр. 2_8'!Заголовки_для_печати</vt:lpstr>
      <vt:lpstr>'стр. 9_10 '!Заголовки_для_печати</vt:lpstr>
      <vt:lpstr>'Доходы 130 бюджет'!Область_печати</vt:lpstr>
      <vt:lpstr>'Доходы 150 иные цели'!Область_печати</vt:lpstr>
      <vt:lpstr>'Расч 1ц'!Область_печати</vt:lpstr>
      <vt:lpstr>'Расч 2ц'!Область_печати</vt:lpstr>
      <vt:lpstr>'Расч 3 '!Область_печати</vt:lpstr>
      <vt:lpstr>'Расч 4'!Область_печати</vt:lpstr>
      <vt:lpstr>'Расч 5'!Область_печати</vt:lpstr>
      <vt:lpstr>'Свед ИЦ'!Область_печати</vt:lpstr>
      <vt:lpstr>'стр. 15'!Область_печати</vt:lpstr>
      <vt:lpstr>'стр. 2_8'!Область_печати</vt:lpstr>
      <vt:lpstr>'стр. 9_10 '!Область_печати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c400</cp:lastModifiedBy>
  <cp:lastPrinted>2021-03-29T08:49:16Z</cp:lastPrinted>
  <dcterms:created xsi:type="dcterms:W3CDTF">2011-01-11T10:25:48Z</dcterms:created>
  <dcterms:modified xsi:type="dcterms:W3CDTF">2021-03-29T08:50:16Z</dcterms:modified>
</cp:coreProperties>
</file>