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0" yWindow="0" windowWidth="20730" windowHeight="11760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44" i="31"/>
  <c r="I50" i="31"/>
  <c r="I18" i="27"/>
  <c r="I53" i="31"/>
  <c r="I33" i="31" l="1"/>
  <c r="I41" i="31"/>
  <c r="I56" i="31"/>
  <c r="I55" i="31"/>
  <c r="I20" i="27"/>
  <c r="I17" i="27"/>
  <c r="I16" i="27"/>
  <c r="I15" i="27"/>
  <c r="I26" i="31"/>
  <c r="I9" i="31" l="1"/>
  <c r="H9" i="20"/>
  <c r="R9" i="20"/>
  <c r="I43" i="31" l="1"/>
  <c r="I40" i="31"/>
  <c r="I14" i="27"/>
  <c r="I13" i="27"/>
  <c r="I12" i="27"/>
  <c r="I11" i="27"/>
  <c r="I39" i="31"/>
  <c r="I32" i="31"/>
  <c r="H9" i="19"/>
  <c r="I31" i="31"/>
  <c r="I10" i="27"/>
  <c r="I9" i="27"/>
  <c r="H18" i="20"/>
  <c r="R18" i="20"/>
  <c r="I2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<sst xmlns="http://schemas.openxmlformats.org/spreadsheetml/2006/main" count="749" uniqueCount="321">
  <si>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</si>
  <si>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</si>
  <si>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</si>
  <si>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</si>
  <si>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</si>
  <si>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</si>
  <si>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</si>
  <si>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</si>
  <si>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</si>
  <si>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</si>
  <si>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</si>
  <si>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</si>
  <si>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</si>
  <si>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</si>
  <si>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</si>
  <si>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</si>
  <si>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</si>
  <si>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</si>
  <si>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</si>
  <si>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</si>
  <si>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</si>
  <si>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</si>
  <si>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</si>
  <si>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</si>
  <si>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</si>
  <si>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</si>
  <si>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</si>
  <si>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</si>
  <si>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</si>
  <si>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</si>
  <si>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</si>
  <si>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</si>
  <si>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</si>
  <si>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</si>
  <si>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</si>
  <si>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</si>
  <si>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</si>
  <si>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</si>
  <si>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</si>
  <si>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</si>
  <si>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</si>
  <si>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</si>
  <si>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</si>
  <si>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</si>
  <si>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</si>
  <si>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</si>
  <si>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</si>
  <si>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</si>
  <si>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</si>
  <si>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</si>
  <si>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</si>
  <si>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</si>
  <si>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</si>
  <si>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</si>
  <si>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</si>
  <si>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</si>
  <si>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</si>
  <si>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</si>
  <si>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</si>
  <si>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</si>
  <si>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</si>
  <si>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</si>
  <si>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</si>
  <si>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</si>
  <si>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</si>
  <si>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</si>
  <si>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</si>
  <si>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</si>
  <si>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</si>
  <si>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</si>
  <si>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</si>
  <si>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</si>
  <si>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</si>
  <si>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</si>
  <si>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</si>
  <si>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</si>
  <si>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</si>
  <si>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</si>
  <si>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</si>
  <si>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</si>
  <si>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</si>
  <si>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</si>
  <si>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</si>
  <si>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</si>
  <si>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</si>
  <si>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</si>
  <si>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</si>
  <si>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</si>
  <si>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</si>
  <si>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</si>
  <si>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</si>
  <si>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</si>
  <si>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</si>
  <si>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</si>
  <si>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</si>
  <si>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</si>
  <si>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</si>
  <si>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</si>
  <si>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</si>
  <si>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</si>
  <si>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</si>
  <si>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</si>
  <si>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</si>
  <si>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</si>
  <si>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</si>
  <si>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</si>
  <si>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</si>
  <si>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</si>
  <si>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</si>
  <si>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</si>
  <si>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</si>
  <si>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</si>
  <si>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</si>
  <si>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</si>
  <si>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</si>
  <si>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</si>
  <si>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</si>
  <si>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</si>
  <si>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</si>
  <si>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</si>
  <si>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</si>
  <si>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</si>
  <si>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</si>
  <si>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</si>
  <si>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</si>
  <si>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</si>
  <si>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</si>
  <si>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</si>
  <si>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</si>
  <si>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</si>
  <si>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</si>
  <si>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</si>
  <si>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</si>
  <si>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</si>
  <si>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</si>
  <si>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</si>
  <si>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</si>
  <si>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</si>
  <si>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</si>
  <si>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</si>
  <si>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</si>
  <si>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</si>
  <si>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</si>
  <si>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</si>
  <si>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</si>
  <si>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</si>
  <si>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</si>
  <si>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</si>
  <si>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</si>
  <si>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1770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</si>
  <si>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</si>
  <si>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</si>
  <si>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</si>
  <si>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</si>
  <si>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</si>
  <si>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</si>
  <si>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</si>
  <si>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</si>
  <si>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</si>
  <si>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</si>
  <si>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</si>
  <si>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</si>
  <si>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</si>
  <si>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</si>
  <si>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</si>
  <si>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</si>
  <si>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</si>
  <si>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</si>
  <si>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</si>
  <si>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</si>
  <si>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</si>
  <si>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</si>
  <si>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</si>
  <si>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</si>
  <si>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</si>
  <si>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</si>
  <si>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</si>
  <si>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</si>
  <si>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</si>
  <si>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</si>
  <si>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</si>
  <si>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</si>
  <si>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</si>
  <si>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</si>
  <si>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</si>
  <si>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</si>
  <si>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</si>
  <si>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</si>
  <si>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</si>
  <si>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</si>
  <si>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</si>
  <si>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</si>
  <si>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</si>
  <si>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</si>
  <si>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</si>
  <si>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</si>
  <si>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</si>
  <si>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</si>
  <si>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</si>
  <si>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</si>
  <si>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</si>
  <si>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</si>
  <si>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</si>
  <si>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</si>
  <si>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</si>
  <si>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</si>
  <si>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</si>
  <si>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</si>
  <si>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</si>
  <si>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</si>
  <si>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</si>
  <si>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</si>
  <si>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</si>
  <si>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</si>
  <si>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</si>
  <si>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</si>
  <si>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</si>
  <si>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</si>
  <si>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</si>
  <si>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</si>
  <si>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</si>
  <si>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</si>
  <si>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</si>
  <si>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</si>
  <si>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</si>
  <si>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</si>
  <si>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</si>
  <si>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</si>
  <si>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</si>
  <si>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</si>
  <si>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</si>
  <si>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</si>
  <si>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</si>
  <si>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</si>
  <si>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</si>
  <si>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</si>
  <si>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</si>
  <si>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</si>
  <si>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</si>
  <si>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</si>
  <si>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</si>
  <si>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</si>
  <si>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</si>
  <si>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</si>
  <si>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</si>
  <si>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</si>
  <si>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</si>
  <si>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</si>
  <si>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</si>
  <si>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</si>
  <si>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</si>
  <si>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</si>
  <si>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</si>
  <si>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</si>
  <si>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</si>
  <si>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</si>
  <si>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</si>
  <si>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</si>
  <si>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</si>
  <si>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</si>
  <si>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</si>
  <si>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</si>
  <si>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</si>
  <si>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</si>
  <si>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</si>
  <si>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</si>
  <si>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</si>
  <si>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</si>
  <si>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</si>
  <si>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</si>
  <si>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</si>
  <si>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</si>
  <si>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</si>
  <si>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</si>
  <si>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</si>
  <si>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</si>
  <si>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</si>
  <si>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</si>
  <si>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</si>
  <si>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</si>
  <si>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</si>
  <si>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</si>
  <si>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</si>
  <si>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</si>
  <si>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</si>
  <si>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</si>
  <si>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</si>
  <si>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</si>
  <si>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</si>
  <si>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</si>
  <si>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</si>
  <si>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</si>
  <si>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</si>
  <si>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</si>
  <si>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</si>
  <si>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</si>
  <si>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</si>
  <si>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</si>
  <si>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</si>
  <si>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</si>
  <si>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</si>
  <si>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</si>
  <si>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</si>
  <si>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</si>
  <si>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</si>
  <si>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</si>
  <si>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</si>
  <si>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</si>
  <si>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</si>
  <si>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</si>
  <si>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</si>
  <si>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</si>
  <si>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</si>
  <si>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</si>
  <si>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</si>
  <si>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</si>
  <si>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</si>
  <si>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</si>
  <si>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</si>
  <si>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Допсоглашение о расторжении б/н от 20.02.2023г.</t>
  </si>
  <si>
    <t>Допсоглашение о расторжении б/н от 09.01.2023г.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</si>
</sst>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36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18" borderId="2" xfId="0" applyNumberFormat="1" applyFont="1" applyFill="1" applyBorder="1" applyAlignment="1">
      <alignment horizontal="center" vertical="center" wrapText="1"/>
    </xf>
    <xf numFmtId="49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" xfId="0" applyNumberFormat="1" applyFont="1" applyFill="1" applyBorder="1" applyAlignment="1">
      <alignment horizontal="center" vertical="center" wrapText="1"/>
    </xf>
    <xf numFmtId="167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" xfId="0" applyFont="1" applyFill="1" applyBorder="1" applyAlignment="1" applyProtection="1">
      <alignment horizontal="center" vertical="center" wrapText="1"/>
      <protection locked="0"/>
    </xf>
    <xf numFmtId="0" fontId="1" fillId="18" borderId="0" xfId="0" applyFont="1" applyFill="1" applyAlignment="1" applyProtection="1">
      <alignment horizontal="center" vertical="center" wrapText="1"/>
      <protection locked="0"/>
    </xf>
    <xf numFmtId="14" fontId="1" fillId="18" borderId="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topLeftCell="A10" zoomScale="70" zoomScaleNormal="70" workbookViewId="0">
      <selection activeCell="C5" sqref="C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09" t="s">
        <v>141</v>
      </c>
      <c r="B1" s="210"/>
      <c r="C1" s="210"/>
      <c r="D1" s="210"/>
      <c r="E1" s="209"/>
      <c r="F1" s="210"/>
      <c r="G1" s="210"/>
      <c r="H1" s="210"/>
      <c r="I1" s="210"/>
      <c r="J1" s="210"/>
      <c r="K1" s="210"/>
      <c r="L1" s="210"/>
      <c r="M1" s="210"/>
      <c r="N1" s="211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185" t="s">
        <v>25</v>
      </c>
      <c r="B4" s="186"/>
      <c r="C4" s="4">
        <v>8427104.5099999998</v>
      </c>
      <c r="D4" s="5"/>
      <c r="E4" s="187" t="s">
        <v>140</v>
      </c>
      <c r="F4" s="188"/>
      <c r="G4" s="189"/>
      <c r="H4" s="190">
        <v>2000000</v>
      </c>
      <c r="I4" s="191"/>
      <c r="J4" s="192"/>
      <c r="K4" s="17"/>
      <c r="L4" s="81" t="s">
        <v>55</v>
      </c>
      <c r="M4" s="187">
        <v>5000000</v>
      </c>
      <c r="N4" s="189"/>
    </row>
    <row r="5" spans="1:14" ht="30.75" customHeight="1" thickBot="1" x14ac:dyDescent="0.3">
      <c r="A5" s="185" t="s">
        <v>26</v>
      </c>
      <c r="B5" s="186"/>
      <c r="C5" s="6">
        <f>C4-G15+J15</f>
        <v>2853293.4000000004</v>
      </c>
      <c r="D5" s="5"/>
      <c r="E5" s="187" t="s">
        <v>53</v>
      </c>
      <c r="F5" s="188"/>
      <c r="G5" s="189"/>
      <c r="H5" s="177">
        <f>H4-G12</f>
        <v>1601563.6</v>
      </c>
      <c r="I5" s="178"/>
      <c r="J5" s="179"/>
      <c r="K5" s="17"/>
      <c r="L5" s="81" t="s">
        <v>54</v>
      </c>
      <c r="M5" s="180">
        <f>M4-G13</f>
        <v>2154619.8600000003</v>
      </c>
      <c r="N5" s="181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193" t="s">
        <v>27</v>
      </c>
      <c r="B8" s="194"/>
      <c r="C8" s="195"/>
      <c r="D8" s="193" t="s">
        <v>28</v>
      </c>
      <c r="E8" s="194"/>
      <c r="F8" s="195"/>
      <c r="G8" s="196" t="s">
        <v>29</v>
      </c>
      <c r="H8" s="197"/>
      <c r="I8" s="198"/>
      <c r="J8" s="196" t="s">
        <v>142</v>
      </c>
      <c r="K8" s="197"/>
      <c r="L8" s="198"/>
      <c r="M8" s="193" t="s">
        <v>30</v>
      </c>
      <c r="N8" s="195"/>
    </row>
    <row r="9" spans="1:14" ht="41.25" customHeight="1" thickBot="1" x14ac:dyDescent="0.3">
      <c r="A9" s="199" t="s">
        <v>31</v>
      </c>
      <c r="B9" s="200"/>
      <c r="C9" s="201"/>
      <c r="D9" s="202">
        <f>'Состоявшиеся аукционы'!G2</f>
        <v>0</v>
      </c>
      <c r="E9" s="202"/>
      <c r="F9" s="202"/>
      <c r="G9" s="202">
        <f>'Состоявшиеся аукционы'!Q2</f>
        <v>0</v>
      </c>
      <c r="H9" s="202"/>
      <c r="I9" s="202"/>
      <c r="J9" s="182">
        <f>'Состоявшиеся аукционы'!AB2</f>
        <v>0</v>
      </c>
      <c r="K9" s="184"/>
      <c r="L9" s="183"/>
      <c r="M9" s="202">
        <f t="shared" ref="M9:M15" si="0">D9-G9</f>
        <v>0</v>
      </c>
      <c r="N9" s="202"/>
    </row>
    <row r="10" spans="1:14" ht="78.75" customHeight="1" thickBot="1" x14ac:dyDescent="0.3">
      <c r="A10" s="199" t="s">
        <v>49</v>
      </c>
      <c r="B10" s="200"/>
      <c r="C10" s="201"/>
      <c r="D10" s="202">
        <f>'Несостоявшиеся аукционы'!G2</f>
        <v>0</v>
      </c>
      <c r="E10" s="202"/>
      <c r="F10" s="202"/>
      <c r="G10" s="202">
        <f>'Несостоявшиеся аукционы'!Q2</f>
        <v>0</v>
      </c>
      <c r="H10" s="202"/>
      <c r="I10" s="202"/>
      <c r="J10" s="182">
        <f>'Несостоявшиеся аукционы'!AB2</f>
        <v>0</v>
      </c>
      <c r="K10" s="184"/>
      <c r="L10" s="183"/>
      <c r="M10" s="202">
        <f t="shared" si="0"/>
        <v>0</v>
      </c>
      <c r="N10" s="202"/>
    </row>
    <row r="11" spans="1:14" ht="40.5" customHeight="1" thickBot="1" x14ac:dyDescent="0.3">
      <c r="A11" s="199" t="s">
        <v>83</v>
      </c>
      <c r="B11" s="200"/>
      <c r="C11" s="201"/>
      <c r="D11" s="182">
        <f>'Иные конкурентные закупки'!G2</f>
        <v>1367088</v>
      </c>
      <c r="E11" s="184"/>
      <c r="F11" s="183"/>
      <c r="G11" s="182">
        <f>'Иные конкурентные закупки'!Q2</f>
        <v>1241120.1600000001</v>
      </c>
      <c r="H11" s="184"/>
      <c r="I11" s="183"/>
      <c r="J11" s="182">
        <f>'Иные конкурентные закупки'!AB2</f>
        <v>8112</v>
      </c>
      <c r="K11" s="184"/>
      <c r="L11" s="183"/>
      <c r="M11" s="182">
        <f t="shared" si="0"/>
        <v>125967.83999999985</v>
      </c>
      <c r="N11" s="183"/>
    </row>
    <row r="12" spans="1:14" ht="54.75" customHeight="1" thickBot="1" x14ac:dyDescent="0.3">
      <c r="A12" s="206" t="s">
        <v>50</v>
      </c>
      <c r="B12" s="207"/>
      <c r="C12" s="208"/>
      <c r="D12" s="202">
        <f>'Ед. поставщик п.4 ч.1'!H2</f>
        <v>398436.4</v>
      </c>
      <c r="E12" s="202"/>
      <c r="F12" s="202"/>
      <c r="G12" s="202">
        <f>D12</f>
        <v>398436.4</v>
      </c>
      <c r="H12" s="202"/>
      <c r="I12" s="202"/>
      <c r="J12" s="182">
        <f>'Ед. поставщик п.4 ч.1'!V2</f>
        <v>0</v>
      </c>
      <c r="K12" s="184"/>
      <c r="L12" s="183"/>
      <c r="M12" s="202">
        <f t="shared" si="0"/>
        <v>0</v>
      </c>
      <c r="N12" s="202"/>
    </row>
    <row r="13" spans="1:14" ht="45.75" customHeight="1" thickBot="1" x14ac:dyDescent="0.3">
      <c r="A13" s="206" t="s">
        <v>51</v>
      </c>
      <c r="B13" s="207"/>
      <c r="C13" s="208"/>
      <c r="D13" s="202">
        <f>'Ед. поставщик п.5 ч.1'!H2</f>
        <v>2845380.1399999997</v>
      </c>
      <c r="E13" s="202"/>
      <c r="F13" s="202"/>
      <c r="G13" s="202">
        <f>D13</f>
        <v>2845380.1399999997</v>
      </c>
      <c r="H13" s="202"/>
      <c r="I13" s="202"/>
      <c r="J13" s="182">
        <f>'Ед. поставщик п.5 ч.1'!V2</f>
        <v>952.58999999999992</v>
      </c>
      <c r="K13" s="184"/>
      <c r="L13" s="183"/>
      <c r="M13" s="202">
        <f t="shared" si="0"/>
        <v>0</v>
      </c>
      <c r="N13" s="202"/>
    </row>
    <row r="14" spans="1:14" ht="45.75" customHeight="1" thickBot="1" x14ac:dyDescent="0.3">
      <c r="A14" s="224" t="s">
        <v>52</v>
      </c>
      <c r="B14" s="225"/>
      <c r="C14" s="226"/>
      <c r="D14" s="182">
        <f>'Ед.поставщик за искл. п.4,5 ч.1'!G2</f>
        <v>1097939</v>
      </c>
      <c r="E14" s="184"/>
      <c r="F14" s="183"/>
      <c r="G14" s="182">
        <f>D14</f>
        <v>1097939</v>
      </c>
      <c r="H14" s="184"/>
      <c r="I14" s="183"/>
      <c r="J14" s="182">
        <f>'Ед.поставщик за искл. п.4,5 ч.1'!T2</f>
        <v>0</v>
      </c>
      <c r="K14" s="184"/>
      <c r="L14" s="183"/>
      <c r="M14" s="202">
        <f t="shared" si="0"/>
        <v>0</v>
      </c>
      <c r="N14" s="202"/>
    </row>
    <row r="15" spans="1:14" ht="21" thickBot="1" x14ac:dyDescent="0.3">
      <c r="A15" s="203" t="s">
        <v>143</v>
      </c>
      <c r="B15" s="204"/>
      <c r="C15" s="205"/>
      <c r="D15" s="202">
        <f>SUM(D9:D14)</f>
        <v>5708843.5399999991</v>
      </c>
      <c r="E15" s="202"/>
      <c r="F15" s="202"/>
      <c r="G15" s="182">
        <f>SUM(G9:G14)</f>
        <v>5582875.6999999993</v>
      </c>
      <c r="H15" s="184"/>
      <c r="I15" s="183"/>
      <c r="J15" s="182">
        <f>SUM(J9:J14)</f>
        <v>9064.59</v>
      </c>
      <c r="K15" s="184"/>
      <c r="L15" s="183"/>
      <c r="M15" s="202">
        <f t="shared" si="0"/>
        <v>125967.83999999985</v>
      </c>
      <c r="N15" s="202"/>
    </row>
    <row r="18" spans="1:12" thickBot="1" x14ac:dyDescent="0.35"/>
    <row r="19" spans="1:12" ht="23.25" customHeight="1" x14ac:dyDescent="0.25">
      <c r="A19" s="212" t="s">
        <v>35</v>
      </c>
      <c r="B19" s="213"/>
      <c r="C19" s="214"/>
      <c r="D19" s="218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1938739.7600000002</v>
      </c>
      <c r="E19" s="219"/>
      <c r="F19" s="219"/>
      <c r="G19" s="220"/>
      <c r="I19" s="15"/>
      <c r="J19" s="15"/>
      <c r="K19" s="15"/>
      <c r="L19" s="15"/>
    </row>
    <row r="20" spans="1:12" ht="24" customHeight="1" thickBot="1" x14ac:dyDescent="0.3">
      <c r="A20" s="215"/>
      <c r="B20" s="216"/>
      <c r="C20" s="217"/>
      <c r="D20" s="221"/>
      <c r="E20" s="222"/>
      <c r="F20" s="222"/>
      <c r="G20" s="223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21"/>
  <sheetViews>
    <sheetView showGridLines="0" topLeftCell="F1" zoomScale="50" zoomScaleNormal="50" workbookViewId="0">
      <pane ySplit="8" topLeftCell="A17" activePane="bottomLeft" state="frozen"/>
      <selection activeCell="I1" sqref="I1"/>
      <selection pane="bottomLeft" activeCell="K22" sqref="K22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398436.4</v>
      </c>
      <c r="K2" s="243"/>
      <c r="L2" s="243"/>
      <c r="M2" s="243"/>
      <c r="N2" s="244" t="s">
        <v>137</v>
      </c>
      <c r="O2" s="246"/>
      <c r="P2" s="69">
        <f>SUM(P9:P9999)</f>
        <v>49475.56</v>
      </c>
      <c r="R2" s="68"/>
      <c r="S2" s="244" t="s">
        <v>45</v>
      </c>
      <c r="T2" s="245"/>
      <c r="U2" s="246"/>
      <c r="V2" s="70">
        <f>SUM(V9:V9999)</f>
        <v>0</v>
      </c>
    </row>
    <row r="3" spans="1:24" ht="18" x14ac:dyDescent="0.3">
      <c r="A3" s="243"/>
      <c r="B3" s="243"/>
      <c r="C3" s="243"/>
      <c r="D3" s="243"/>
      <c r="E3" s="243"/>
      <c r="N3" s="68"/>
    </row>
    <row r="4" spans="1:24" ht="39.950000000000003" customHeight="1" x14ac:dyDescent="0.3">
      <c r="J4" s="247"/>
      <c r="K4" s="247"/>
      <c r="M4" s="247"/>
      <c r="N4" s="247"/>
      <c r="O4" s="247"/>
      <c r="P4" s="247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93.75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3.75" x14ac:dyDescent="0.25">
      <c r="A9" s="87">
        <v>1</v>
      </c>
      <c r="B9" s="88" t="s">
        <v>56</v>
      </c>
      <c r="C9" s="88"/>
      <c r="D9" s="88"/>
      <c r="E9" s="94" t="s">
        <v>211</v>
      </c>
      <c r="F9" s="93" t="s">
        <v>212</v>
      </c>
      <c r="G9" s="88" t="s">
        <v>213</v>
      </c>
      <c r="H9" s="90">
        <v>1000</v>
      </c>
      <c r="I9" s="91">
        <f>IF(X9 = 49, H9 + SUM(S9:S9) - SUM(T9:T9) - SUM(P9:P9) - V9,0)</f>
        <v>1000</v>
      </c>
      <c r="J9" s="88" t="s">
        <v>214</v>
      </c>
      <c r="K9" s="88" t="s">
        <v>158</v>
      </c>
      <c r="L9" s="88"/>
      <c r="M9" s="88" t="s">
        <v>215</v>
      </c>
      <c r="N9" s="93"/>
      <c r="O9" s="86" t="s">
        <v>216</v>
      </c>
      <c r="P9" s="90"/>
      <c r="Q9" s="89"/>
      <c r="R9" s="88"/>
      <c r="S9" s="90"/>
      <c r="T9" s="90"/>
      <c r="U9" s="90"/>
      <c r="V9" s="95"/>
      <c r="W9" s="92"/>
      <c r="X9" s="85">
        <v>49</v>
      </c>
    </row>
    <row r="10" spans="1:24" s="85" customFormat="1" ht="93.75" x14ac:dyDescent="0.25">
      <c r="A10" s="87">
        <v>2</v>
      </c>
      <c r="B10" s="88" t="s">
        <v>56</v>
      </c>
      <c r="C10" s="88"/>
      <c r="D10" s="88"/>
      <c r="E10" s="94" t="s">
        <v>159</v>
      </c>
      <c r="F10" s="93" t="s">
        <v>212</v>
      </c>
      <c r="G10" s="88" t="s">
        <v>213</v>
      </c>
      <c r="H10" s="90">
        <v>9400</v>
      </c>
      <c r="I10" s="91">
        <f>IF(X10 = 50, H10 + SUM(S10:S10) - SUM(T10:T10) - SUM(P10:P10) - V10,0)</f>
        <v>8532.86</v>
      </c>
      <c r="J10" s="88" t="s">
        <v>214</v>
      </c>
      <c r="K10" s="88" t="s">
        <v>158</v>
      </c>
      <c r="L10" s="88"/>
      <c r="M10" s="88" t="s">
        <v>215</v>
      </c>
      <c r="N10" s="93" t="s">
        <v>308</v>
      </c>
      <c r="O10" s="86" t="s">
        <v>216</v>
      </c>
      <c r="P10" s="90">
        <v>867.14</v>
      </c>
      <c r="Q10" s="89" t="s">
        <v>311</v>
      </c>
      <c r="R10" s="88"/>
      <c r="S10" s="90"/>
      <c r="T10" s="90"/>
      <c r="U10" s="90"/>
      <c r="V10" s="95"/>
      <c r="W10" s="92"/>
      <c r="X10" s="85">
        <v>50</v>
      </c>
    </row>
    <row r="11" spans="1:24" s="85" customFormat="1" ht="94.9" customHeight="1" x14ac:dyDescent="0.25">
      <c r="A11" s="110">
        <v>3</v>
      </c>
      <c r="B11" s="111" t="s">
        <v>56</v>
      </c>
      <c r="C11" s="111"/>
      <c r="D11" s="111"/>
      <c r="E11" s="120" t="s">
        <v>153</v>
      </c>
      <c r="F11" s="118" t="s">
        <v>237</v>
      </c>
      <c r="G11" s="111" t="s">
        <v>238</v>
      </c>
      <c r="H11" s="113">
        <v>36000</v>
      </c>
      <c r="I11" s="114">
        <f>IF(X11 = 51, H11 + SUM(S11:S11) - SUM(T11:T11) - SUM(P11:P11) - V11,0)</f>
        <v>33000</v>
      </c>
      <c r="J11" s="111" t="s">
        <v>239</v>
      </c>
      <c r="K11" s="111" t="s">
        <v>154</v>
      </c>
      <c r="L11" s="111"/>
      <c r="M11" s="111" t="s">
        <v>215</v>
      </c>
      <c r="N11" s="118" t="s">
        <v>308</v>
      </c>
      <c r="O11" s="118" t="s">
        <v>240</v>
      </c>
      <c r="P11" s="113">
        <v>3000</v>
      </c>
      <c r="Q11" s="112" t="s">
        <v>309</v>
      </c>
      <c r="R11" s="111"/>
      <c r="S11" s="113"/>
      <c r="T11" s="113"/>
      <c r="U11" s="113"/>
      <c r="V11" s="121"/>
      <c r="W11" s="108"/>
      <c r="X11" s="85">
        <v>51</v>
      </c>
    </row>
    <row r="12" spans="1:24" s="85" customFormat="1" ht="112.5" x14ac:dyDescent="0.25">
      <c r="A12" s="110">
        <v>4</v>
      </c>
      <c r="B12" s="111" t="s">
        <v>56</v>
      </c>
      <c r="C12" s="111"/>
      <c r="D12" s="111"/>
      <c r="E12" s="120" t="s">
        <v>241</v>
      </c>
      <c r="F12" s="118" t="s">
        <v>237</v>
      </c>
      <c r="G12" s="111" t="s">
        <v>242</v>
      </c>
      <c r="H12" s="113">
        <v>24000</v>
      </c>
      <c r="I12" s="114">
        <f>IF(X12 = 52, H12 + SUM(S12:S12) - SUM(T12:T12) - SUM(P12:P12) - V12,0)</f>
        <v>22000</v>
      </c>
      <c r="J12" s="111" t="s">
        <v>239</v>
      </c>
      <c r="K12" s="111" t="s">
        <v>154</v>
      </c>
      <c r="L12" s="111"/>
      <c r="M12" s="111" t="s">
        <v>215</v>
      </c>
      <c r="N12" s="118" t="s">
        <v>308</v>
      </c>
      <c r="O12" s="118" t="s">
        <v>240</v>
      </c>
      <c r="P12" s="113">
        <v>2000</v>
      </c>
      <c r="Q12" s="112" t="s">
        <v>307</v>
      </c>
      <c r="R12" s="111"/>
      <c r="S12" s="113"/>
      <c r="T12" s="113"/>
      <c r="U12" s="113"/>
      <c r="V12" s="121"/>
      <c r="W12" s="108"/>
      <c r="X12" s="85">
        <v>52</v>
      </c>
    </row>
    <row r="13" spans="1:24" s="85" customFormat="1" ht="112.5" x14ac:dyDescent="0.25">
      <c r="A13" s="110">
        <v>5</v>
      </c>
      <c r="B13" s="111" t="s">
        <v>56</v>
      </c>
      <c r="C13" s="111"/>
      <c r="D13" s="111"/>
      <c r="E13" s="120" t="s">
        <v>57</v>
      </c>
      <c r="F13" s="118" t="s">
        <v>237</v>
      </c>
      <c r="G13" s="111" t="s">
        <v>243</v>
      </c>
      <c r="H13" s="113">
        <v>72000</v>
      </c>
      <c r="I13" s="114">
        <f>IF(X13 = 53, H13 + SUM(S13:S13) - SUM(T13:T13) - SUM(P13:P13) - V13,0)</f>
        <v>66000</v>
      </c>
      <c r="J13" s="111" t="s">
        <v>244</v>
      </c>
      <c r="K13" s="111" t="s">
        <v>167</v>
      </c>
      <c r="L13" s="111"/>
      <c r="M13" s="111" t="s">
        <v>215</v>
      </c>
      <c r="N13" s="118" t="s">
        <v>308</v>
      </c>
      <c r="O13" s="118" t="s">
        <v>240</v>
      </c>
      <c r="P13" s="113">
        <v>6000</v>
      </c>
      <c r="Q13" s="112" t="s">
        <v>315</v>
      </c>
      <c r="R13" s="111"/>
      <c r="S13" s="113"/>
      <c r="T13" s="113"/>
      <c r="U13" s="113"/>
      <c r="V13" s="121"/>
      <c r="W13" s="108"/>
      <c r="X13" s="85">
        <v>53</v>
      </c>
    </row>
    <row r="14" spans="1:24" s="85" customFormat="1" ht="112.5" x14ac:dyDescent="0.25">
      <c r="A14" s="110">
        <v>6</v>
      </c>
      <c r="B14" s="111" t="s">
        <v>56</v>
      </c>
      <c r="C14" s="111"/>
      <c r="D14" s="111"/>
      <c r="E14" s="112" t="s">
        <v>245</v>
      </c>
      <c r="F14" s="118" t="s">
        <v>237</v>
      </c>
      <c r="G14" s="111" t="s">
        <v>246</v>
      </c>
      <c r="H14" s="113">
        <v>7200</v>
      </c>
      <c r="I14" s="114">
        <f>IF(X14 = 54, H14 + SUM(S14:S14) - SUM(T14:T14) - SUM(P14:P14) - V14,0)</f>
        <v>7200</v>
      </c>
      <c r="J14" s="111" t="s">
        <v>247</v>
      </c>
      <c r="K14" s="111" t="s">
        <v>248</v>
      </c>
      <c r="L14" s="111"/>
      <c r="M14" s="111" t="s">
        <v>215</v>
      </c>
      <c r="N14" s="118"/>
      <c r="O14" s="118" t="s">
        <v>240</v>
      </c>
      <c r="P14" s="113"/>
      <c r="Q14" s="112"/>
      <c r="R14" s="111"/>
      <c r="S14" s="113"/>
      <c r="T14" s="113"/>
      <c r="U14" s="113"/>
      <c r="V14" s="121"/>
      <c r="W14" s="108"/>
      <c r="X14" s="85">
        <v>54</v>
      </c>
    </row>
    <row r="15" spans="1:24" s="85" customFormat="1" ht="75" x14ac:dyDescent="0.25">
      <c r="A15" s="135">
        <v>7</v>
      </c>
      <c r="B15" s="131" t="s">
        <v>56</v>
      </c>
      <c r="C15" s="131"/>
      <c r="D15" s="131"/>
      <c r="E15" s="136" t="s">
        <v>278</v>
      </c>
      <c r="F15" s="140" t="s">
        <v>237</v>
      </c>
      <c r="G15" s="131" t="s">
        <v>279</v>
      </c>
      <c r="H15" s="132">
        <v>8000</v>
      </c>
      <c r="I15" s="137">
        <f>IF(X15 = 55, H15 + SUM(S15:S15) - SUM(T15:T15) - SUM(P15:P15) - V15,0)</f>
        <v>0</v>
      </c>
      <c r="J15" s="131" t="s">
        <v>280</v>
      </c>
      <c r="K15" s="131" t="s">
        <v>281</v>
      </c>
      <c r="L15" s="131"/>
      <c r="M15" s="131" t="s">
        <v>215</v>
      </c>
      <c r="N15" s="140" t="s">
        <v>313</v>
      </c>
      <c r="O15" s="140" t="s">
        <v>282</v>
      </c>
      <c r="P15" s="132">
        <v>8000</v>
      </c>
      <c r="Q15" s="136" t="s">
        <v>312</v>
      </c>
      <c r="R15" s="131"/>
      <c r="S15" s="132"/>
      <c r="T15" s="132"/>
      <c r="U15" s="132"/>
      <c r="V15" s="164"/>
      <c r="W15" s="134"/>
      <c r="X15" s="85">
        <v>55</v>
      </c>
    </row>
    <row r="16" spans="1:24" s="85" customFormat="1" ht="93.75" x14ac:dyDescent="0.25">
      <c r="A16" s="135">
        <v>8</v>
      </c>
      <c r="B16" s="131" t="s">
        <v>56</v>
      </c>
      <c r="C16" s="131"/>
      <c r="D16" s="131"/>
      <c r="E16" s="136" t="s">
        <v>283</v>
      </c>
      <c r="F16" s="140" t="s">
        <v>284</v>
      </c>
      <c r="G16" s="131" t="s">
        <v>285</v>
      </c>
      <c r="H16" s="132">
        <v>28761.599999999999</v>
      </c>
      <c r="I16" s="137">
        <f>IF(X16 = 56, H16 + SUM(S16:S16) - SUM(T16:T16) - SUM(P16:P16) - V16,0)</f>
        <v>26193.599999999999</v>
      </c>
      <c r="J16" s="131" t="s">
        <v>286</v>
      </c>
      <c r="K16" s="131" t="s">
        <v>287</v>
      </c>
      <c r="L16" s="131"/>
      <c r="M16" s="131" t="s">
        <v>288</v>
      </c>
      <c r="N16" s="140" t="s">
        <v>308</v>
      </c>
      <c r="O16" s="140" t="s">
        <v>289</v>
      </c>
      <c r="P16" s="132">
        <v>2568</v>
      </c>
      <c r="Q16" s="136" t="s">
        <v>312</v>
      </c>
      <c r="R16" s="131"/>
      <c r="S16" s="132"/>
      <c r="T16" s="132"/>
      <c r="U16" s="132"/>
      <c r="V16" s="164"/>
      <c r="W16" s="134"/>
      <c r="X16" s="85">
        <v>56</v>
      </c>
    </row>
    <row r="17" spans="1:24" s="85" customFormat="1" ht="93.75" x14ac:dyDescent="0.25">
      <c r="A17" s="135">
        <v>9</v>
      </c>
      <c r="B17" s="131" t="s">
        <v>56</v>
      </c>
      <c r="C17" s="131"/>
      <c r="D17" s="131"/>
      <c r="E17" s="136" t="s">
        <v>290</v>
      </c>
      <c r="F17" s="140" t="s">
        <v>284</v>
      </c>
      <c r="G17" s="131" t="s">
        <v>291</v>
      </c>
      <c r="H17" s="132">
        <v>8400</v>
      </c>
      <c r="I17" s="137">
        <f>IF(X17 = 57, H17 + SUM(S17:S17) - SUM(T17:T17) - SUM(P17:P17) - V17,0)</f>
        <v>7650</v>
      </c>
      <c r="J17" s="131" t="s">
        <v>286</v>
      </c>
      <c r="K17" s="131" t="s">
        <v>287</v>
      </c>
      <c r="L17" s="131"/>
      <c r="M17" s="131" t="s">
        <v>288</v>
      </c>
      <c r="N17" s="140" t="s">
        <v>308</v>
      </c>
      <c r="O17" s="140" t="s">
        <v>289</v>
      </c>
      <c r="P17" s="132">
        <v>750</v>
      </c>
      <c r="Q17" s="136" t="s">
        <v>314</v>
      </c>
      <c r="R17" s="131"/>
      <c r="S17" s="132"/>
      <c r="T17" s="132"/>
      <c r="U17" s="132"/>
      <c r="V17" s="164"/>
      <c r="W17" s="134"/>
      <c r="X17" s="85">
        <v>57</v>
      </c>
    </row>
    <row r="18" spans="1:24" s="85" customFormat="1" ht="72" customHeight="1" x14ac:dyDescent="0.25">
      <c r="A18" s="239">
        <v>10</v>
      </c>
      <c r="B18" s="229" t="s">
        <v>56</v>
      </c>
      <c r="C18" s="229"/>
      <c r="D18" s="229"/>
      <c r="E18" s="231" t="s">
        <v>292</v>
      </c>
      <c r="F18" s="233" t="s">
        <v>284</v>
      </c>
      <c r="G18" s="229" t="s">
        <v>293</v>
      </c>
      <c r="H18" s="235">
        <v>157474.79999999999</v>
      </c>
      <c r="I18" s="237">
        <f>IF(X18 = 58, H18 + SUM(S18:S19) - SUM(T18:T19) - SUM(P18:P19) - V18,0)</f>
        <v>136984.38</v>
      </c>
      <c r="J18" s="229" t="s">
        <v>286</v>
      </c>
      <c r="K18" s="229" t="s">
        <v>287</v>
      </c>
      <c r="L18" s="229"/>
      <c r="M18" s="229" t="s">
        <v>288</v>
      </c>
      <c r="N18" s="174" t="s">
        <v>308</v>
      </c>
      <c r="O18" s="233" t="s">
        <v>289</v>
      </c>
      <c r="P18" s="167">
        <v>11269.73</v>
      </c>
      <c r="Q18" s="166" t="s">
        <v>312</v>
      </c>
      <c r="R18" s="165"/>
      <c r="S18" s="167"/>
      <c r="T18" s="167"/>
      <c r="U18" s="235"/>
      <c r="V18" s="241"/>
      <c r="W18" s="227"/>
      <c r="X18" s="85">
        <v>58</v>
      </c>
    </row>
    <row r="19" spans="1:24" x14ac:dyDescent="0.25">
      <c r="A19" s="240"/>
      <c r="B19" s="230"/>
      <c r="C19" s="230"/>
      <c r="D19" s="230"/>
      <c r="E19" s="232"/>
      <c r="F19" s="234"/>
      <c r="G19" s="230"/>
      <c r="H19" s="236"/>
      <c r="I19" s="238"/>
      <c r="J19" s="230"/>
      <c r="K19" s="230"/>
      <c r="L19" s="230"/>
      <c r="M19" s="230"/>
      <c r="N19" s="176" t="s">
        <v>308</v>
      </c>
      <c r="O19" s="234"/>
      <c r="P19" s="171">
        <v>9220.69</v>
      </c>
      <c r="Q19" s="172" t="s">
        <v>312</v>
      </c>
      <c r="R19" s="173"/>
      <c r="S19" s="171"/>
      <c r="T19" s="171"/>
      <c r="U19" s="236"/>
      <c r="V19" s="242"/>
      <c r="W19" s="228"/>
      <c r="X19" s="2">
        <v>58</v>
      </c>
    </row>
    <row r="20" spans="1:24" s="85" customFormat="1" ht="93.75" x14ac:dyDescent="0.25">
      <c r="A20" s="135">
        <v>11</v>
      </c>
      <c r="B20" s="131" t="s">
        <v>56</v>
      </c>
      <c r="C20" s="131"/>
      <c r="D20" s="131"/>
      <c r="E20" s="136" t="s">
        <v>294</v>
      </c>
      <c r="F20" s="140" t="s">
        <v>284</v>
      </c>
      <c r="G20" s="131" t="s">
        <v>295</v>
      </c>
      <c r="H20" s="132">
        <v>46200</v>
      </c>
      <c r="I20" s="137">
        <f>IF(X20 = 59, H20 + SUM(S20:S20) - SUM(T20:T20) - SUM(P20:P20) - V20,0)</f>
        <v>40400</v>
      </c>
      <c r="J20" s="131" t="s">
        <v>286</v>
      </c>
      <c r="K20" s="131" t="s">
        <v>287</v>
      </c>
      <c r="L20" s="131"/>
      <c r="M20" s="131" t="s">
        <v>288</v>
      </c>
      <c r="N20" s="140" t="s">
        <v>308</v>
      </c>
      <c r="O20" s="140" t="s">
        <v>289</v>
      </c>
      <c r="P20" s="132">
        <v>5800</v>
      </c>
      <c r="Q20" s="136" t="s">
        <v>314</v>
      </c>
      <c r="R20" s="131"/>
      <c r="S20" s="132"/>
      <c r="T20" s="132"/>
      <c r="U20" s="132"/>
      <c r="V20" s="164"/>
      <c r="W20" s="134"/>
      <c r="X20" s="85">
        <v>59</v>
      </c>
    </row>
    <row r="21" spans="1:24" ht="18" x14ac:dyDescent="0.3">
      <c r="X21" s="2">
        <v>60</v>
      </c>
    </row>
  </sheetData>
  <sheetProtection algorithmName="SHA-512" hashValue="VeDU/CJ5tQYKQB4UzOWJRV5/iTkc0m58w4rF0A3DW9ph+Gq4qMWNJpi1UWVyi9Jo/HPTXAttxrDtkxKnVctu4w==" saltValue="CdFXxJWqFvjPYjs84ZkAxA==" spinCount="100000" sheet="1" objects="1" scenarios="1" formatCells="0" formatColumns="0" formatRows="0"/>
  <mergeCells count="24">
    <mergeCell ref="A3:E3"/>
    <mergeCell ref="S2:U2"/>
    <mergeCell ref="N2:O2"/>
    <mergeCell ref="J4:K4"/>
    <mergeCell ref="M4:N4"/>
    <mergeCell ref="O4:P4"/>
    <mergeCell ref="K2:M2"/>
    <mergeCell ref="A18:A19"/>
    <mergeCell ref="O18:O19"/>
    <mergeCell ref="U18:U19"/>
    <mergeCell ref="B18:B19"/>
    <mergeCell ref="V18:V19"/>
    <mergeCell ref="C18:C19"/>
    <mergeCell ref="W18:W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57"/>
  <sheetViews>
    <sheetView showGridLines="0" topLeftCell="I1" zoomScale="51" zoomScaleNormal="51" workbookViewId="0">
      <pane ySplit="8" topLeftCell="A52" activePane="bottomLeft" state="frozen"/>
      <selection pane="bottomLeft" activeCell="K57" sqref="K57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27.42578125" style="11" customWidth="1"/>
    <col min="8" max="8" width="38.42578125" style="3" bestFit="1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270" t="s">
        <v>24</v>
      </c>
      <c r="G2" s="271"/>
      <c r="H2" s="80">
        <f>SUM(H9:H9999)</f>
        <v>2845380.1399999997</v>
      </c>
      <c r="I2" s="68"/>
      <c r="N2" s="244" t="s">
        <v>137</v>
      </c>
      <c r="O2" s="246"/>
      <c r="P2" s="69">
        <f>SUM(P9:P9999)</f>
        <v>1267121.32</v>
      </c>
      <c r="R2" s="68"/>
      <c r="S2" s="244" t="s">
        <v>45</v>
      </c>
      <c r="T2" s="245"/>
      <c r="U2" s="246"/>
      <c r="V2" s="70">
        <f>SUM(V9:V9999)</f>
        <v>952.58999999999992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264">
        <v>1</v>
      </c>
      <c r="B9" s="267" t="s">
        <v>56</v>
      </c>
      <c r="C9" s="267"/>
      <c r="D9" s="267"/>
      <c r="E9" s="267" t="s">
        <v>159</v>
      </c>
      <c r="F9" s="308">
        <v>44560</v>
      </c>
      <c r="G9" s="311" t="s">
        <v>157</v>
      </c>
      <c r="H9" s="314">
        <v>11000</v>
      </c>
      <c r="I9" s="284">
        <f>IF(X9 = 13, H9 + SUM(S9:S22) - SUM(T9:T22) - SUM(P9:P22) - V9,0)</f>
        <v>1.1368683772161603E-13</v>
      </c>
      <c r="J9" s="286">
        <v>7707049388</v>
      </c>
      <c r="K9" s="288" t="s">
        <v>158</v>
      </c>
      <c r="L9" s="267"/>
      <c r="M9" s="267" t="s">
        <v>156</v>
      </c>
      <c r="N9" s="147">
        <v>44592</v>
      </c>
      <c r="O9" s="308" t="s">
        <v>147</v>
      </c>
      <c r="P9" s="143">
        <v>726.62</v>
      </c>
      <c r="Q9" s="142">
        <v>44608</v>
      </c>
      <c r="R9" s="141"/>
      <c r="S9" s="143"/>
      <c r="T9" s="143"/>
      <c r="U9" s="314" t="s">
        <v>319</v>
      </c>
      <c r="V9" s="320">
        <v>952.42</v>
      </c>
      <c r="W9" s="305"/>
      <c r="X9" s="85">
        <v>13</v>
      </c>
    </row>
    <row r="10" spans="1:24" x14ac:dyDescent="0.25">
      <c r="A10" s="265"/>
      <c r="B10" s="268"/>
      <c r="C10" s="268"/>
      <c r="D10" s="268"/>
      <c r="E10" s="268"/>
      <c r="F10" s="309"/>
      <c r="G10" s="312"/>
      <c r="H10" s="315"/>
      <c r="I10" s="285"/>
      <c r="J10" s="287"/>
      <c r="K10" s="289"/>
      <c r="L10" s="268"/>
      <c r="M10" s="268"/>
      <c r="N10" s="152">
        <v>44620</v>
      </c>
      <c r="O10" s="309"/>
      <c r="P10" s="149">
        <v>682.42</v>
      </c>
      <c r="Q10" s="150">
        <v>44641</v>
      </c>
      <c r="R10" s="151"/>
      <c r="S10" s="149"/>
      <c r="T10" s="149"/>
      <c r="U10" s="315"/>
      <c r="V10" s="321"/>
      <c r="W10" s="306"/>
      <c r="X10" s="2">
        <v>13</v>
      </c>
    </row>
    <row r="11" spans="1:24" x14ac:dyDescent="0.25">
      <c r="A11" s="265"/>
      <c r="B11" s="268"/>
      <c r="C11" s="268"/>
      <c r="D11" s="268"/>
      <c r="E11" s="268"/>
      <c r="F11" s="309"/>
      <c r="G11" s="312"/>
      <c r="H11" s="315"/>
      <c r="I11" s="285"/>
      <c r="J11" s="287"/>
      <c r="K11" s="289"/>
      <c r="L11" s="268"/>
      <c r="M11" s="268"/>
      <c r="N11" s="152">
        <v>44651</v>
      </c>
      <c r="O11" s="309"/>
      <c r="P11" s="149">
        <v>943.67</v>
      </c>
      <c r="Q11" s="150" t="s">
        <v>165</v>
      </c>
      <c r="R11" s="151"/>
      <c r="S11" s="149"/>
      <c r="T11" s="149"/>
      <c r="U11" s="315"/>
      <c r="V11" s="321"/>
      <c r="W11" s="306"/>
      <c r="X11" s="2">
        <v>13</v>
      </c>
    </row>
    <row r="12" spans="1:24" x14ac:dyDescent="0.25">
      <c r="A12" s="265"/>
      <c r="B12" s="268"/>
      <c r="C12" s="268"/>
      <c r="D12" s="268"/>
      <c r="E12" s="268"/>
      <c r="F12" s="309"/>
      <c r="G12" s="312"/>
      <c r="H12" s="315"/>
      <c r="I12" s="285"/>
      <c r="J12" s="287"/>
      <c r="K12" s="289"/>
      <c r="L12" s="268"/>
      <c r="M12" s="268"/>
      <c r="N12" s="152">
        <v>44681</v>
      </c>
      <c r="O12" s="309"/>
      <c r="P12" s="149">
        <v>769.14</v>
      </c>
      <c r="Q12" s="150" t="s">
        <v>166</v>
      </c>
      <c r="R12" s="151"/>
      <c r="S12" s="149"/>
      <c r="T12" s="149"/>
      <c r="U12" s="315"/>
      <c r="V12" s="321"/>
      <c r="W12" s="306"/>
      <c r="X12" s="2">
        <v>13</v>
      </c>
    </row>
    <row r="13" spans="1:24" x14ac:dyDescent="0.25">
      <c r="A13" s="265"/>
      <c r="B13" s="268"/>
      <c r="C13" s="268"/>
      <c r="D13" s="268"/>
      <c r="E13" s="268"/>
      <c r="F13" s="309"/>
      <c r="G13" s="312"/>
      <c r="H13" s="315"/>
      <c r="I13" s="285"/>
      <c r="J13" s="287"/>
      <c r="K13" s="289"/>
      <c r="L13" s="268"/>
      <c r="M13" s="268"/>
      <c r="N13" s="152">
        <v>44712</v>
      </c>
      <c r="O13" s="309"/>
      <c r="P13" s="149">
        <v>973.78</v>
      </c>
      <c r="Q13" s="150" t="s">
        <v>175</v>
      </c>
      <c r="R13" s="151"/>
      <c r="S13" s="149"/>
      <c r="T13" s="149"/>
      <c r="U13" s="315"/>
      <c r="V13" s="321"/>
      <c r="W13" s="306"/>
      <c r="X13" s="2">
        <v>13</v>
      </c>
    </row>
    <row r="14" spans="1:24" x14ac:dyDescent="0.25">
      <c r="A14" s="265"/>
      <c r="B14" s="268"/>
      <c r="C14" s="268"/>
      <c r="D14" s="268"/>
      <c r="E14" s="268"/>
      <c r="F14" s="309"/>
      <c r="G14" s="312"/>
      <c r="H14" s="315"/>
      <c r="I14" s="285"/>
      <c r="J14" s="287"/>
      <c r="K14" s="289"/>
      <c r="L14" s="268"/>
      <c r="M14" s="268"/>
      <c r="N14" s="152">
        <v>44742</v>
      </c>
      <c r="O14" s="309"/>
      <c r="P14" s="149">
        <v>772.94</v>
      </c>
      <c r="Q14" s="150" t="s">
        <v>177</v>
      </c>
      <c r="R14" s="151"/>
      <c r="S14" s="149"/>
      <c r="T14" s="149"/>
      <c r="U14" s="315"/>
      <c r="V14" s="321"/>
      <c r="W14" s="306"/>
      <c r="X14" s="2">
        <v>13</v>
      </c>
    </row>
    <row r="15" spans="1:24" x14ac:dyDescent="0.25">
      <c r="A15" s="265"/>
      <c r="B15" s="268"/>
      <c r="C15" s="268"/>
      <c r="D15" s="268"/>
      <c r="E15" s="268"/>
      <c r="F15" s="309"/>
      <c r="G15" s="312"/>
      <c r="H15" s="315"/>
      <c r="I15" s="285"/>
      <c r="J15" s="287"/>
      <c r="K15" s="289"/>
      <c r="L15" s="268"/>
      <c r="M15" s="268"/>
      <c r="N15" s="152">
        <v>44773</v>
      </c>
      <c r="O15" s="309"/>
      <c r="P15" s="149">
        <v>717.13</v>
      </c>
      <c r="Q15" s="150" t="s">
        <v>182</v>
      </c>
      <c r="R15" s="151"/>
      <c r="S15" s="149"/>
      <c r="T15" s="149"/>
      <c r="U15" s="315"/>
      <c r="V15" s="321"/>
      <c r="W15" s="306"/>
      <c r="X15" s="2">
        <v>13</v>
      </c>
    </row>
    <row r="16" spans="1:24" x14ac:dyDescent="0.25">
      <c r="A16" s="265"/>
      <c r="B16" s="268"/>
      <c r="C16" s="268"/>
      <c r="D16" s="268"/>
      <c r="E16" s="268"/>
      <c r="F16" s="309"/>
      <c r="G16" s="312"/>
      <c r="H16" s="315"/>
      <c r="I16" s="285"/>
      <c r="J16" s="287"/>
      <c r="K16" s="289"/>
      <c r="L16" s="268"/>
      <c r="M16" s="268"/>
      <c r="N16" s="152">
        <v>44804</v>
      </c>
      <c r="O16" s="309"/>
      <c r="P16" s="149">
        <v>704.78</v>
      </c>
      <c r="Q16" s="150" t="s">
        <v>186</v>
      </c>
      <c r="R16" s="151"/>
      <c r="S16" s="149"/>
      <c r="T16" s="149"/>
      <c r="U16" s="315"/>
      <c r="V16" s="321"/>
      <c r="W16" s="306"/>
      <c r="X16" s="2">
        <v>13</v>
      </c>
    </row>
    <row r="17" spans="1:24" x14ac:dyDescent="0.25">
      <c r="A17" s="265"/>
      <c r="B17" s="268"/>
      <c r="C17" s="268"/>
      <c r="D17" s="268"/>
      <c r="E17" s="268"/>
      <c r="F17" s="309"/>
      <c r="G17" s="312"/>
      <c r="H17" s="315"/>
      <c r="I17" s="285"/>
      <c r="J17" s="287"/>
      <c r="K17" s="289"/>
      <c r="L17" s="268"/>
      <c r="M17" s="268"/>
      <c r="N17" s="152">
        <v>44834</v>
      </c>
      <c r="O17" s="309"/>
      <c r="P17" s="149">
        <v>33.020000000000003</v>
      </c>
      <c r="Q17" s="150" t="s">
        <v>190</v>
      </c>
      <c r="R17" s="151"/>
      <c r="S17" s="149"/>
      <c r="T17" s="149"/>
      <c r="U17" s="315"/>
      <c r="V17" s="321"/>
      <c r="W17" s="306"/>
      <c r="X17" s="2">
        <v>13</v>
      </c>
    </row>
    <row r="18" spans="1:24" x14ac:dyDescent="0.25">
      <c r="A18" s="265"/>
      <c r="B18" s="268"/>
      <c r="C18" s="268"/>
      <c r="D18" s="268"/>
      <c r="E18" s="268"/>
      <c r="F18" s="309"/>
      <c r="G18" s="312"/>
      <c r="H18" s="315"/>
      <c r="I18" s="285"/>
      <c r="J18" s="287"/>
      <c r="K18" s="289"/>
      <c r="L18" s="268"/>
      <c r="M18" s="268"/>
      <c r="N18" s="152">
        <v>44834</v>
      </c>
      <c r="O18" s="309"/>
      <c r="P18" s="149">
        <v>805.62</v>
      </c>
      <c r="Q18" s="150" t="s">
        <v>190</v>
      </c>
      <c r="R18" s="151"/>
      <c r="S18" s="149"/>
      <c r="T18" s="149"/>
      <c r="U18" s="315"/>
      <c r="V18" s="321"/>
      <c r="W18" s="306"/>
      <c r="X18" s="2">
        <v>13</v>
      </c>
    </row>
    <row r="19" spans="1:24" x14ac:dyDescent="0.25">
      <c r="A19" s="265"/>
      <c r="B19" s="268"/>
      <c r="C19" s="268"/>
      <c r="D19" s="268"/>
      <c r="E19" s="268"/>
      <c r="F19" s="309"/>
      <c r="G19" s="312"/>
      <c r="H19" s="315"/>
      <c r="I19" s="285"/>
      <c r="J19" s="287"/>
      <c r="K19" s="289"/>
      <c r="L19" s="268"/>
      <c r="M19" s="268"/>
      <c r="N19" s="152">
        <v>44865</v>
      </c>
      <c r="O19" s="309"/>
      <c r="P19" s="149">
        <v>871.99</v>
      </c>
      <c r="Q19" s="150" t="s">
        <v>198</v>
      </c>
      <c r="R19" s="151"/>
      <c r="S19" s="149"/>
      <c r="T19" s="149"/>
      <c r="U19" s="315"/>
      <c r="V19" s="321"/>
      <c r="W19" s="306"/>
      <c r="X19" s="2">
        <v>13</v>
      </c>
    </row>
    <row r="20" spans="1:24" x14ac:dyDescent="0.25">
      <c r="A20" s="265"/>
      <c r="B20" s="268"/>
      <c r="C20" s="268"/>
      <c r="D20" s="268"/>
      <c r="E20" s="268"/>
      <c r="F20" s="309"/>
      <c r="G20" s="312"/>
      <c r="H20" s="315"/>
      <c r="I20" s="285"/>
      <c r="J20" s="287"/>
      <c r="K20" s="289"/>
      <c r="L20" s="268"/>
      <c r="M20" s="268"/>
      <c r="N20" s="152">
        <v>44895</v>
      </c>
      <c r="O20" s="309"/>
      <c r="P20" s="149">
        <v>1010.2</v>
      </c>
      <c r="Q20" s="150" t="s">
        <v>205</v>
      </c>
      <c r="R20" s="151"/>
      <c r="S20" s="149"/>
      <c r="T20" s="149"/>
      <c r="U20" s="315"/>
      <c r="V20" s="321"/>
      <c r="W20" s="306"/>
      <c r="X20" s="2">
        <v>13</v>
      </c>
    </row>
    <row r="21" spans="1:24" x14ac:dyDescent="0.25">
      <c r="A21" s="265"/>
      <c r="B21" s="268"/>
      <c r="C21" s="268"/>
      <c r="D21" s="268"/>
      <c r="E21" s="268"/>
      <c r="F21" s="309"/>
      <c r="G21" s="312"/>
      <c r="H21" s="315"/>
      <c r="I21" s="285"/>
      <c r="J21" s="287"/>
      <c r="K21" s="289"/>
      <c r="L21" s="268"/>
      <c r="M21" s="268"/>
      <c r="N21" s="152">
        <v>44926</v>
      </c>
      <c r="O21" s="309"/>
      <c r="P21" s="149">
        <v>172.08</v>
      </c>
      <c r="Q21" s="150" t="s">
        <v>266</v>
      </c>
      <c r="R21" s="151"/>
      <c r="S21" s="149"/>
      <c r="T21" s="149"/>
      <c r="U21" s="315"/>
      <c r="V21" s="321"/>
      <c r="W21" s="306"/>
      <c r="X21" s="2">
        <v>13</v>
      </c>
    </row>
    <row r="22" spans="1:24" x14ac:dyDescent="0.25">
      <c r="A22" s="266"/>
      <c r="B22" s="269"/>
      <c r="C22" s="269"/>
      <c r="D22" s="269"/>
      <c r="E22" s="269"/>
      <c r="F22" s="310"/>
      <c r="G22" s="313"/>
      <c r="H22" s="316"/>
      <c r="I22" s="317"/>
      <c r="J22" s="318"/>
      <c r="K22" s="319"/>
      <c r="L22" s="269"/>
      <c r="M22" s="269"/>
      <c r="N22" s="148">
        <v>44926</v>
      </c>
      <c r="O22" s="310"/>
      <c r="P22" s="144">
        <v>864.19</v>
      </c>
      <c r="Q22" s="145" t="s">
        <v>266</v>
      </c>
      <c r="R22" s="146"/>
      <c r="S22" s="144"/>
      <c r="T22" s="144"/>
      <c r="U22" s="316"/>
      <c r="V22" s="322"/>
      <c r="W22" s="307"/>
      <c r="X22" s="2">
        <v>13</v>
      </c>
    </row>
    <row r="23" spans="1:24" s="85" customFormat="1" ht="72" customHeight="1" x14ac:dyDescent="0.25">
      <c r="A23" s="272">
        <v>2</v>
      </c>
      <c r="B23" s="281" t="s">
        <v>56</v>
      </c>
      <c r="C23" s="281"/>
      <c r="D23" s="281"/>
      <c r="E23" s="281" t="s">
        <v>192</v>
      </c>
      <c r="F23" s="275" t="s">
        <v>187</v>
      </c>
      <c r="G23" s="293" t="s">
        <v>193</v>
      </c>
      <c r="H23" s="278">
        <v>257225.44</v>
      </c>
      <c r="I23" s="296">
        <f>IF(X23 = 46, H23 + SUM(S23:S25) - SUM(T23:T25) - SUM(P23:P25) - V23,0)</f>
        <v>-1.6298157268224145E-11</v>
      </c>
      <c r="J23" s="299">
        <v>2312054894</v>
      </c>
      <c r="K23" s="302" t="s">
        <v>150</v>
      </c>
      <c r="L23" s="281"/>
      <c r="M23" s="281" t="s">
        <v>191</v>
      </c>
      <c r="N23" s="105">
        <v>44865</v>
      </c>
      <c r="O23" s="275" t="s">
        <v>194</v>
      </c>
      <c r="P23" s="98">
        <v>7464.37</v>
      </c>
      <c r="Q23" s="97" t="s">
        <v>199</v>
      </c>
      <c r="R23" s="96"/>
      <c r="S23" s="98"/>
      <c r="T23" s="98"/>
      <c r="U23" s="278" t="s">
        <v>320</v>
      </c>
      <c r="V23" s="290">
        <v>0.17</v>
      </c>
      <c r="W23" s="323"/>
      <c r="X23" s="85">
        <v>46</v>
      </c>
    </row>
    <row r="24" spans="1:24" x14ac:dyDescent="0.25">
      <c r="A24" s="273"/>
      <c r="B24" s="282"/>
      <c r="C24" s="282"/>
      <c r="D24" s="282"/>
      <c r="E24" s="282"/>
      <c r="F24" s="276"/>
      <c r="G24" s="294"/>
      <c r="H24" s="279"/>
      <c r="I24" s="297"/>
      <c r="J24" s="300"/>
      <c r="K24" s="303"/>
      <c r="L24" s="282"/>
      <c r="M24" s="282"/>
      <c r="N24" s="106">
        <v>44895</v>
      </c>
      <c r="O24" s="276"/>
      <c r="P24" s="99">
        <v>146780.1</v>
      </c>
      <c r="Q24" s="100" t="s">
        <v>200</v>
      </c>
      <c r="R24" s="101"/>
      <c r="S24" s="99"/>
      <c r="T24" s="99"/>
      <c r="U24" s="279"/>
      <c r="V24" s="291"/>
      <c r="W24" s="324"/>
      <c r="X24" s="2">
        <v>46</v>
      </c>
    </row>
    <row r="25" spans="1:24" x14ac:dyDescent="0.25">
      <c r="A25" s="274"/>
      <c r="B25" s="283"/>
      <c r="C25" s="283"/>
      <c r="D25" s="283"/>
      <c r="E25" s="283"/>
      <c r="F25" s="277"/>
      <c r="G25" s="295"/>
      <c r="H25" s="280"/>
      <c r="I25" s="298"/>
      <c r="J25" s="301"/>
      <c r="K25" s="304"/>
      <c r="L25" s="283"/>
      <c r="M25" s="283"/>
      <c r="N25" s="107">
        <v>44914</v>
      </c>
      <c r="O25" s="277"/>
      <c r="P25" s="102">
        <v>102980.8</v>
      </c>
      <c r="Q25" s="103" t="s">
        <v>204</v>
      </c>
      <c r="R25" s="104"/>
      <c r="S25" s="102"/>
      <c r="T25" s="102"/>
      <c r="U25" s="280"/>
      <c r="V25" s="292"/>
      <c r="W25" s="325"/>
      <c r="X25" s="2">
        <v>46</v>
      </c>
    </row>
    <row r="26" spans="1:24" s="85" customFormat="1" ht="72" customHeight="1" x14ac:dyDescent="0.25">
      <c r="A26" s="264">
        <v>3</v>
      </c>
      <c r="B26" s="267" t="s">
        <v>56</v>
      </c>
      <c r="C26" s="267"/>
      <c r="D26" s="267"/>
      <c r="E26" s="267" t="s">
        <v>269</v>
      </c>
      <c r="F26" s="308" t="s">
        <v>270</v>
      </c>
      <c r="G26" s="311" t="s">
        <v>271</v>
      </c>
      <c r="H26" s="314">
        <v>474789</v>
      </c>
      <c r="I26" s="284">
        <f>IF(X26 = 55, H26 + SUM(S26:S30) - SUM(T26:T30) - SUM(P26:P30) - V26,0)</f>
        <v>0</v>
      </c>
      <c r="J26" s="286">
        <v>235300578903</v>
      </c>
      <c r="K26" s="288" t="s">
        <v>148</v>
      </c>
      <c r="L26" s="267"/>
      <c r="M26" s="267" t="s">
        <v>272</v>
      </c>
      <c r="N26" s="147">
        <v>44834</v>
      </c>
      <c r="O26" s="308" t="s">
        <v>273</v>
      </c>
      <c r="P26" s="143">
        <v>126787.5</v>
      </c>
      <c r="Q26" s="142" t="s">
        <v>274</v>
      </c>
      <c r="R26" s="141"/>
      <c r="S26" s="143"/>
      <c r="T26" s="143"/>
      <c r="U26" s="314"/>
      <c r="V26" s="320"/>
      <c r="W26" s="305"/>
      <c r="X26" s="85">
        <v>55</v>
      </c>
    </row>
    <row r="27" spans="1:24" x14ac:dyDescent="0.25">
      <c r="A27" s="265"/>
      <c r="B27" s="268"/>
      <c r="C27" s="268"/>
      <c r="D27" s="268"/>
      <c r="E27" s="268"/>
      <c r="F27" s="309"/>
      <c r="G27" s="312"/>
      <c r="H27" s="315"/>
      <c r="I27" s="285"/>
      <c r="J27" s="287"/>
      <c r="K27" s="289"/>
      <c r="L27" s="268"/>
      <c r="M27" s="268"/>
      <c r="N27" s="152">
        <v>44865</v>
      </c>
      <c r="O27" s="309"/>
      <c r="P27" s="149">
        <v>116644.5</v>
      </c>
      <c r="Q27" s="150" t="s">
        <v>198</v>
      </c>
      <c r="R27" s="151"/>
      <c r="S27" s="149"/>
      <c r="T27" s="149"/>
      <c r="U27" s="315"/>
      <c r="V27" s="321"/>
      <c r="W27" s="306"/>
      <c r="X27" s="2">
        <v>55</v>
      </c>
    </row>
    <row r="28" spans="1:24" x14ac:dyDescent="0.25">
      <c r="A28" s="265"/>
      <c r="B28" s="268"/>
      <c r="C28" s="268"/>
      <c r="D28" s="268"/>
      <c r="E28" s="268"/>
      <c r="F28" s="309"/>
      <c r="G28" s="312"/>
      <c r="H28" s="315"/>
      <c r="I28" s="285"/>
      <c r="J28" s="287"/>
      <c r="K28" s="289"/>
      <c r="L28" s="268"/>
      <c r="M28" s="268"/>
      <c r="N28" s="152">
        <v>44865</v>
      </c>
      <c r="O28" s="309"/>
      <c r="P28" s="149">
        <v>241.5</v>
      </c>
      <c r="Q28" s="150" t="s">
        <v>275</v>
      </c>
      <c r="R28" s="151"/>
      <c r="S28" s="149"/>
      <c r="T28" s="149"/>
      <c r="U28" s="315"/>
      <c r="V28" s="321"/>
      <c r="W28" s="306"/>
      <c r="X28" s="2">
        <v>55</v>
      </c>
    </row>
    <row r="29" spans="1:24" x14ac:dyDescent="0.25">
      <c r="A29" s="265"/>
      <c r="B29" s="268"/>
      <c r="C29" s="268"/>
      <c r="D29" s="268"/>
      <c r="E29" s="268"/>
      <c r="F29" s="309"/>
      <c r="G29" s="312"/>
      <c r="H29" s="315"/>
      <c r="I29" s="285"/>
      <c r="J29" s="287"/>
      <c r="K29" s="289"/>
      <c r="L29" s="268"/>
      <c r="M29" s="268"/>
      <c r="N29" s="152">
        <v>44895</v>
      </c>
      <c r="O29" s="309"/>
      <c r="P29" s="149">
        <v>103120.5</v>
      </c>
      <c r="Q29" s="150" t="s">
        <v>276</v>
      </c>
      <c r="R29" s="151"/>
      <c r="S29" s="149"/>
      <c r="T29" s="149"/>
      <c r="U29" s="315"/>
      <c r="V29" s="321"/>
      <c r="W29" s="306"/>
      <c r="X29" s="2">
        <v>55</v>
      </c>
    </row>
    <row r="30" spans="1:24" x14ac:dyDescent="0.25">
      <c r="A30" s="265"/>
      <c r="B30" s="268"/>
      <c r="C30" s="268"/>
      <c r="D30" s="268"/>
      <c r="E30" s="268"/>
      <c r="F30" s="309"/>
      <c r="G30" s="312"/>
      <c r="H30" s="315"/>
      <c r="I30" s="285"/>
      <c r="J30" s="287"/>
      <c r="K30" s="289"/>
      <c r="L30" s="268"/>
      <c r="M30" s="268"/>
      <c r="N30" s="152">
        <v>44925</v>
      </c>
      <c r="O30" s="309"/>
      <c r="P30" s="149">
        <v>127995</v>
      </c>
      <c r="Q30" s="150" t="s">
        <v>277</v>
      </c>
      <c r="R30" s="151"/>
      <c r="S30" s="149"/>
      <c r="T30" s="149"/>
      <c r="U30" s="315"/>
      <c r="V30" s="321"/>
      <c r="W30" s="306"/>
      <c r="X30" s="2">
        <v>55</v>
      </c>
    </row>
    <row r="31" spans="1:24" s="85" customFormat="1" ht="56.25" x14ac:dyDescent="0.25">
      <c r="A31" s="153">
        <v>4</v>
      </c>
      <c r="B31" s="154" t="s">
        <v>56</v>
      </c>
      <c r="C31" s="154"/>
      <c r="D31" s="154"/>
      <c r="E31" s="154" t="s">
        <v>151</v>
      </c>
      <c r="F31" s="163" t="s">
        <v>218</v>
      </c>
      <c r="G31" s="155" t="s">
        <v>221</v>
      </c>
      <c r="H31" s="156">
        <v>24918.78</v>
      </c>
      <c r="I31" s="157">
        <f>IF(X31 = 56, H31 + SUM(S31:S31) - SUM(T31:T31) - SUM(P31:P31) - V31,0)</f>
        <v>20076.939999999999</v>
      </c>
      <c r="J31" s="158">
        <v>2369002347</v>
      </c>
      <c r="K31" s="159" t="s">
        <v>222</v>
      </c>
      <c r="L31" s="154"/>
      <c r="M31" s="154" t="s">
        <v>215</v>
      </c>
      <c r="N31" s="163" t="s">
        <v>308</v>
      </c>
      <c r="O31" s="163" t="s">
        <v>223</v>
      </c>
      <c r="P31" s="156">
        <v>4841.84</v>
      </c>
      <c r="Q31" s="155" t="s">
        <v>314</v>
      </c>
      <c r="R31" s="154"/>
      <c r="S31" s="156"/>
      <c r="T31" s="156"/>
      <c r="U31" s="156"/>
      <c r="V31" s="160"/>
      <c r="W31" s="161"/>
      <c r="X31" s="85">
        <v>56</v>
      </c>
    </row>
    <row r="32" spans="1:24" s="85" customFormat="1" ht="93.75" x14ac:dyDescent="0.25">
      <c r="A32" s="110">
        <v>5</v>
      </c>
      <c r="B32" s="111" t="s">
        <v>56</v>
      </c>
      <c r="C32" s="111"/>
      <c r="D32" s="111"/>
      <c r="E32" s="111" t="s">
        <v>217</v>
      </c>
      <c r="F32" s="118" t="s">
        <v>218</v>
      </c>
      <c r="G32" s="112" t="s">
        <v>219</v>
      </c>
      <c r="H32" s="113">
        <v>45256.44</v>
      </c>
      <c r="I32" s="114">
        <f>IF(X32 = 57, H32 + SUM(S32:S32) - SUM(T32:T32) - SUM(P32:P32) - V32,0)</f>
        <v>41485.07</v>
      </c>
      <c r="J32" s="115">
        <v>2308131994</v>
      </c>
      <c r="K32" s="116" t="s">
        <v>220</v>
      </c>
      <c r="L32" s="111"/>
      <c r="M32" s="162" t="s">
        <v>215</v>
      </c>
      <c r="N32" s="118" t="s">
        <v>308</v>
      </c>
      <c r="O32" s="118" t="s">
        <v>223</v>
      </c>
      <c r="P32" s="113">
        <v>3771.37</v>
      </c>
      <c r="Q32" s="112" t="s">
        <v>311</v>
      </c>
      <c r="R32" s="111"/>
      <c r="S32" s="113"/>
      <c r="T32" s="113"/>
      <c r="U32" s="113"/>
      <c r="V32" s="117"/>
      <c r="W32" s="108"/>
      <c r="X32" s="85">
        <v>57</v>
      </c>
    </row>
    <row r="33" spans="1:24" s="85" customFormat="1" ht="54" customHeight="1" x14ac:dyDescent="0.25">
      <c r="A33" s="239">
        <v>6</v>
      </c>
      <c r="B33" s="229" t="s">
        <v>56</v>
      </c>
      <c r="C33" s="229"/>
      <c r="D33" s="229"/>
      <c r="E33" s="229" t="s">
        <v>236</v>
      </c>
      <c r="F33" s="233" t="s">
        <v>218</v>
      </c>
      <c r="G33" s="231" t="s">
        <v>231</v>
      </c>
      <c r="H33" s="235">
        <v>460063</v>
      </c>
      <c r="I33" s="237">
        <f>IF(X33 = 58, H33 + SUM(S33:S38) - SUM(T33:T38) - SUM(P33:P38) - V33,0)</f>
        <v>299058.61</v>
      </c>
      <c r="J33" s="254">
        <v>2308119595</v>
      </c>
      <c r="K33" s="257" t="s">
        <v>146</v>
      </c>
      <c r="L33" s="229"/>
      <c r="M33" s="229" t="s">
        <v>215</v>
      </c>
      <c r="N33" s="174" t="s">
        <v>265</v>
      </c>
      <c r="O33" s="233" t="s">
        <v>232</v>
      </c>
      <c r="P33" s="167">
        <v>21504.21</v>
      </c>
      <c r="Q33" s="166" t="s">
        <v>264</v>
      </c>
      <c r="R33" s="165"/>
      <c r="S33" s="167"/>
      <c r="T33" s="167"/>
      <c r="U33" s="235"/>
      <c r="V33" s="261"/>
      <c r="W33" s="227"/>
      <c r="X33" s="85">
        <v>58</v>
      </c>
    </row>
    <row r="34" spans="1:24" x14ac:dyDescent="0.25">
      <c r="A34" s="260"/>
      <c r="B34" s="249"/>
      <c r="C34" s="249"/>
      <c r="D34" s="249"/>
      <c r="E34" s="249"/>
      <c r="F34" s="250"/>
      <c r="G34" s="251"/>
      <c r="H34" s="252"/>
      <c r="I34" s="253"/>
      <c r="J34" s="255"/>
      <c r="K34" s="258"/>
      <c r="L34" s="249"/>
      <c r="M34" s="249"/>
      <c r="N34" s="175" t="s">
        <v>268</v>
      </c>
      <c r="O34" s="250"/>
      <c r="P34" s="168">
        <v>17021.11</v>
      </c>
      <c r="Q34" s="169" t="s">
        <v>267</v>
      </c>
      <c r="R34" s="170"/>
      <c r="S34" s="168"/>
      <c r="T34" s="168"/>
      <c r="U34" s="252"/>
      <c r="V34" s="262"/>
      <c r="W34" s="248"/>
      <c r="X34" s="2">
        <v>58</v>
      </c>
    </row>
    <row r="35" spans="1:24" x14ac:dyDescent="0.25">
      <c r="A35" s="260"/>
      <c r="B35" s="249"/>
      <c r="C35" s="249"/>
      <c r="D35" s="249"/>
      <c r="E35" s="249"/>
      <c r="F35" s="250"/>
      <c r="G35" s="251"/>
      <c r="H35" s="252"/>
      <c r="I35" s="253"/>
      <c r="J35" s="255"/>
      <c r="K35" s="258"/>
      <c r="L35" s="249"/>
      <c r="M35" s="249"/>
      <c r="N35" s="175" t="s">
        <v>268</v>
      </c>
      <c r="O35" s="250"/>
      <c r="P35" s="168">
        <v>27235.8</v>
      </c>
      <c r="Q35" s="169" t="s">
        <v>267</v>
      </c>
      <c r="R35" s="170"/>
      <c r="S35" s="168"/>
      <c r="T35" s="168"/>
      <c r="U35" s="252"/>
      <c r="V35" s="262"/>
      <c r="W35" s="248"/>
      <c r="X35" s="2">
        <v>58</v>
      </c>
    </row>
    <row r="36" spans="1:24" x14ac:dyDescent="0.25">
      <c r="A36" s="260"/>
      <c r="B36" s="249"/>
      <c r="C36" s="249"/>
      <c r="D36" s="249"/>
      <c r="E36" s="249"/>
      <c r="F36" s="250"/>
      <c r="G36" s="251"/>
      <c r="H36" s="252"/>
      <c r="I36" s="253"/>
      <c r="J36" s="255"/>
      <c r="K36" s="258"/>
      <c r="L36" s="249"/>
      <c r="M36" s="249"/>
      <c r="N36" s="175" t="s">
        <v>305</v>
      </c>
      <c r="O36" s="250"/>
      <c r="P36" s="168">
        <v>20426.86</v>
      </c>
      <c r="Q36" s="169" t="s">
        <v>307</v>
      </c>
      <c r="R36" s="170"/>
      <c r="S36" s="168"/>
      <c r="T36" s="168"/>
      <c r="U36" s="252"/>
      <c r="V36" s="262"/>
      <c r="W36" s="248"/>
      <c r="X36" s="2">
        <v>58</v>
      </c>
    </row>
    <row r="37" spans="1:24" x14ac:dyDescent="0.25">
      <c r="A37" s="260"/>
      <c r="B37" s="249"/>
      <c r="C37" s="249"/>
      <c r="D37" s="249"/>
      <c r="E37" s="249"/>
      <c r="F37" s="250"/>
      <c r="G37" s="251"/>
      <c r="H37" s="252"/>
      <c r="I37" s="253"/>
      <c r="J37" s="255"/>
      <c r="K37" s="258"/>
      <c r="L37" s="249"/>
      <c r="M37" s="249"/>
      <c r="N37" s="175" t="s">
        <v>308</v>
      </c>
      <c r="O37" s="250"/>
      <c r="P37" s="168">
        <v>38404.03</v>
      </c>
      <c r="Q37" s="169" t="s">
        <v>316</v>
      </c>
      <c r="R37" s="170"/>
      <c r="S37" s="168"/>
      <c r="T37" s="168"/>
      <c r="U37" s="252"/>
      <c r="V37" s="262"/>
      <c r="W37" s="248"/>
      <c r="X37" s="2">
        <v>58</v>
      </c>
    </row>
    <row r="38" spans="1:24" x14ac:dyDescent="0.25">
      <c r="A38" s="240"/>
      <c r="B38" s="230"/>
      <c r="C38" s="230"/>
      <c r="D38" s="230"/>
      <c r="E38" s="230"/>
      <c r="F38" s="234"/>
      <c r="G38" s="232"/>
      <c r="H38" s="236"/>
      <c r="I38" s="238"/>
      <c r="J38" s="256"/>
      <c r="K38" s="259"/>
      <c r="L38" s="230"/>
      <c r="M38" s="230"/>
      <c r="N38" s="175" t="s">
        <v>305</v>
      </c>
      <c r="O38" s="234"/>
      <c r="P38" s="168">
        <v>36412.379999999997</v>
      </c>
      <c r="Q38" s="169" t="s">
        <v>316</v>
      </c>
      <c r="R38" s="173"/>
      <c r="S38" s="171"/>
      <c r="T38" s="171"/>
      <c r="U38" s="236"/>
      <c r="V38" s="263"/>
      <c r="W38" s="228"/>
      <c r="X38" s="2">
        <v>58</v>
      </c>
    </row>
    <row r="39" spans="1:24" s="85" customFormat="1" ht="75" x14ac:dyDescent="0.25">
      <c r="A39" s="110">
        <v>7</v>
      </c>
      <c r="B39" s="111" t="s">
        <v>56</v>
      </c>
      <c r="C39" s="111"/>
      <c r="D39" s="111"/>
      <c r="E39" s="111" t="s">
        <v>234</v>
      </c>
      <c r="F39" s="118" t="s">
        <v>218</v>
      </c>
      <c r="G39" s="112" t="s">
        <v>233</v>
      </c>
      <c r="H39" s="113">
        <v>27331.200000000001</v>
      </c>
      <c r="I39" s="114">
        <f>IF(X39 = 59, H39 + SUM(S39:S39) - SUM(T39:T39) - SUM(P39:P39) - V39,0)</f>
        <v>25053.600000000002</v>
      </c>
      <c r="J39" s="115">
        <v>2310163739</v>
      </c>
      <c r="K39" s="116" t="s">
        <v>152</v>
      </c>
      <c r="L39" s="111"/>
      <c r="M39" s="111" t="s">
        <v>215</v>
      </c>
      <c r="N39" s="118" t="s">
        <v>315</v>
      </c>
      <c r="O39" s="118" t="s">
        <v>235</v>
      </c>
      <c r="P39" s="113">
        <v>2277.6</v>
      </c>
      <c r="Q39" s="112" t="s">
        <v>318</v>
      </c>
      <c r="R39" s="111"/>
      <c r="S39" s="113"/>
      <c r="T39" s="113"/>
      <c r="U39" s="113"/>
      <c r="V39" s="117"/>
      <c r="W39" s="108"/>
      <c r="X39" s="85">
        <v>59</v>
      </c>
    </row>
    <row r="40" spans="1:24" s="85" customFormat="1" ht="75" x14ac:dyDescent="0.25">
      <c r="A40" s="110">
        <v>8</v>
      </c>
      <c r="B40" s="111" t="s">
        <v>56</v>
      </c>
      <c r="C40" s="111"/>
      <c r="D40" s="111"/>
      <c r="E40" s="111" t="s">
        <v>226</v>
      </c>
      <c r="F40" s="118" t="s">
        <v>227</v>
      </c>
      <c r="G40" s="112" t="s">
        <v>228</v>
      </c>
      <c r="H40" s="113">
        <v>30012.16</v>
      </c>
      <c r="I40" s="114">
        <f>IF(X40 = 60, H40 + SUM(S40:S40) - SUM(T40:T40) - SUM(P40:P40) - V40,0)</f>
        <v>30012.16</v>
      </c>
      <c r="J40" s="115">
        <v>274062111</v>
      </c>
      <c r="K40" s="116" t="s">
        <v>161</v>
      </c>
      <c r="L40" s="111"/>
      <c r="M40" s="111" t="s">
        <v>229</v>
      </c>
      <c r="N40" s="118"/>
      <c r="O40" s="118" t="s">
        <v>230</v>
      </c>
      <c r="P40" s="113"/>
      <c r="Q40" s="112"/>
      <c r="R40" s="111"/>
      <c r="S40" s="113"/>
      <c r="T40" s="113"/>
      <c r="U40" s="113"/>
      <c r="V40" s="117"/>
      <c r="W40" s="108"/>
      <c r="X40" s="85">
        <v>60</v>
      </c>
    </row>
    <row r="41" spans="1:24" s="85" customFormat="1" ht="127.15" customHeight="1" x14ac:dyDescent="0.25">
      <c r="A41" s="239">
        <v>9</v>
      </c>
      <c r="B41" s="229" t="s">
        <v>56</v>
      </c>
      <c r="C41" s="229"/>
      <c r="D41" s="229"/>
      <c r="E41" s="229" t="s">
        <v>160</v>
      </c>
      <c r="F41" s="233" t="s">
        <v>237</v>
      </c>
      <c r="G41" s="231" t="s">
        <v>260</v>
      </c>
      <c r="H41" s="235">
        <v>114400</v>
      </c>
      <c r="I41" s="237">
        <f>IF(X41 = 61, H41 + SUM(S41:S42) - SUM(T41:T42) - SUM(P41:P42) - V41,0)</f>
        <v>104000</v>
      </c>
      <c r="J41" s="254">
        <v>2353017179</v>
      </c>
      <c r="K41" s="257" t="s">
        <v>167</v>
      </c>
      <c r="L41" s="229"/>
      <c r="M41" s="229" t="s">
        <v>215</v>
      </c>
      <c r="N41" s="174" t="s">
        <v>308</v>
      </c>
      <c r="O41" s="233" t="s">
        <v>261</v>
      </c>
      <c r="P41" s="167">
        <v>4800</v>
      </c>
      <c r="Q41" s="166" t="s">
        <v>315</v>
      </c>
      <c r="R41" s="165"/>
      <c r="S41" s="167"/>
      <c r="T41" s="167"/>
      <c r="U41" s="235"/>
      <c r="V41" s="261"/>
      <c r="W41" s="227"/>
      <c r="X41" s="85">
        <v>61</v>
      </c>
    </row>
    <row r="42" spans="1:24" x14ac:dyDescent="0.25">
      <c r="A42" s="240"/>
      <c r="B42" s="230"/>
      <c r="C42" s="230"/>
      <c r="D42" s="230"/>
      <c r="E42" s="230"/>
      <c r="F42" s="234"/>
      <c r="G42" s="232"/>
      <c r="H42" s="236"/>
      <c r="I42" s="238"/>
      <c r="J42" s="256"/>
      <c r="K42" s="259"/>
      <c r="L42" s="230"/>
      <c r="M42" s="230"/>
      <c r="N42" s="176" t="s">
        <v>308</v>
      </c>
      <c r="O42" s="234"/>
      <c r="P42" s="171">
        <v>5600</v>
      </c>
      <c r="Q42" s="172" t="s">
        <v>315</v>
      </c>
      <c r="R42" s="173"/>
      <c r="S42" s="171"/>
      <c r="T42" s="171"/>
      <c r="U42" s="236"/>
      <c r="V42" s="263"/>
      <c r="W42" s="228"/>
      <c r="X42" s="2">
        <v>61</v>
      </c>
    </row>
    <row r="43" spans="1:24" s="85" customFormat="1" ht="93.75" x14ac:dyDescent="0.25">
      <c r="A43" s="110">
        <v>10</v>
      </c>
      <c r="B43" s="111" t="s">
        <v>56</v>
      </c>
      <c r="C43" s="111"/>
      <c r="D43" s="111"/>
      <c r="E43" s="111" t="s">
        <v>249</v>
      </c>
      <c r="F43" s="118" t="s">
        <v>237</v>
      </c>
      <c r="G43" s="112" t="s">
        <v>185</v>
      </c>
      <c r="H43" s="113">
        <v>598920</v>
      </c>
      <c r="I43" s="114">
        <f>IF(X43 = 62, H43 + SUM(S43:S43) - SUM(T43:T43) - SUM(P43:P43) - V43,0)</f>
        <v>497490</v>
      </c>
      <c r="J43" s="115">
        <v>235300578903</v>
      </c>
      <c r="K43" s="116" t="s">
        <v>148</v>
      </c>
      <c r="L43" s="111"/>
      <c r="M43" s="111" t="s">
        <v>250</v>
      </c>
      <c r="N43" s="118" t="s">
        <v>308</v>
      </c>
      <c r="O43" s="118" t="s">
        <v>297</v>
      </c>
      <c r="P43" s="113">
        <v>101430</v>
      </c>
      <c r="Q43" s="112" t="s">
        <v>310</v>
      </c>
      <c r="R43" s="111"/>
      <c r="S43" s="113"/>
      <c r="T43" s="113"/>
      <c r="U43" s="113"/>
      <c r="V43" s="117"/>
      <c r="W43" s="108"/>
      <c r="X43" s="85">
        <v>62</v>
      </c>
    </row>
    <row r="44" spans="1:24" s="85" customFormat="1" ht="72" customHeight="1" x14ac:dyDescent="0.25">
      <c r="A44" s="239">
        <v>11</v>
      </c>
      <c r="B44" s="229" t="s">
        <v>56</v>
      </c>
      <c r="C44" s="229"/>
      <c r="D44" s="229"/>
      <c r="E44" s="229" t="s">
        <v>278</v>
      </c>
      <c r="F44" s="233" t="s">
        <v>284</v>
      </c>
      <c r="G44" s="231" t="s">
        <v>300</v>
      </c>
      <c r="H44" s="235">
        <v>540855.12</v>
      </c>
      <c r="I44" s="237">
        <f>IF(X44 = 63, H44 + SUM(S44:S49) - SUM(T44:T49) - SUM(P44:P49) - V44,0)</f>
        <v>377226.85</v>
      </c>
      <c r="J44" s="254">
        <v>2353020735</v>
      </c>
      <c r="K44" s="257" t="s">
        <v>287</v>
      </c>
      <c r="L44" s="229"/>
      <c r="M44" s="229" t="s">
        <v>301</v>
      </c>
      <c r="N44" s="174" t="s">
        <v>308</v>
      </c>
      <c r="O44" s="233" t="s">
        <v>289</v>
      </c>
      <c r="P44" s="167">
        <v>3418.85</v>
      </c>
      <c r="Q44" s="166" t="s">
        <v>314</v>
      </c>
      <c r="R44" s="165"/>
      <c r="S44" s="167"/>
      <c r="T44" s="167"/>
      <c r="U44" s="235"/>
      <c r="V44" s="261"/>
      <c r="W44" s="227"/>
      <c r="X44" s="85">
        <v>63</v>
      </c>
    </row>
    <row r="45" spans="1:24" x14ac:dyDescent="0.25">
      <c r="A45" s="260"/>
      <c r="B45" s="249"/>
      <c r="C45" s="249"/>
      <c r="D45" s="249"/>
      <c r="E45" s="249"/>
      <c r="F45" s="250"/>
      <c r="G45" s="251"/>
      <c r="H45" s="252"/>
      <c r="I45" s="253"/>
      <c r="J45" s="255"/>
      <c r="K45" s="258"/>
      <c r="L45" s="249"/>
      <c r="M45" s="249"/>
      <c r="N45" s="175" t="s">
        <v>317</v>
      </c>
      <c r="O45" s="250"/>
      <c r="P45" s="168">
        <v>5033.3100000000004</v>
      </c>
      <c r="Q45" s="169" t="s">
        <v>314</v>
      </c>
      <c r="R45" s="170"/>
      <c r="S45" s="168"/>
      <c r="T45" s="168"/>
      <c r="U45" s="252"/>
      <c r="V45" s="262"/>
      <c r="W45" s="248"/>
      <c r="X45" s="2">
        <v>63</v>
      </c>
    </row>
    <row r="46" spans="1:24" x14ac:dyDescent="0.25">
      <c r="A46" s="260"/>
      <c r="B46" s="249"/>
      <c r="C46" s="249"/>
      <c r="D46" s="249"/>
      <c r="E46" s="249"/>
      <c r="F46" s="250"/>
      <c r="G46" s="251"/>
      <c r="H46" s="252"/>
      <c r="I46" s="253"/>
      <c r="J46" s="255"/>
      <c r="K46" s="258"/>
      <c r="L46" s="249"/>
      <c r="M46" s="249"/>
      <c r="N46" s="175" t="s">
        <v>313</v>
      </c>
      <c r="O46" s="250"/>
      <c r="P46" s="168">
        <v>21396.01</v>
      </c>
      <c r="Q46" s="169" t="s">
        <v>315</v>
      </c>
      <c r="R46" s="170"/>
      <c r="S46" s="168"/>
      <c r="T46" s="168"/>
      <c r="U46" s="252"/>
      <c r="V46" s="262"/>
      <c r="W46" s="248"/>
      <c r="X46" s="2">
        <v>63</v>
      </c>
    </row>
    <row r="47" spans="1:24" x14ac:dyDescent="0.25">
      <c r="A47" s="260"/>
      <c r="B47" s="249"/>
      <c r="C47" s="249"/>
      <c r="D47" s="249"/>
      <c r="E47" s="249"/>
      <c r="F47" s="250"/>
      <c r="G47" s="251"/>
      <c r="H47" s="252"/>
      <c r="I47" s="253"/>
      <c r="J47" s="255"/>
      <c r="K47" s="258"/>
      <c r="L47" s="249"/>
      <c r="M47" s="249"/>
      <c r="N47" s="175" t="s">
        <v>313</v>
      </c>
      <c r="O47" s="250"/>
      <c r="P47" s="168">
        <v>1365.73</v>
      </c>
      <c r="Q47" s="169" t="s">
        <v>315</v>
      </c>
      <c r="R47" s="170"/>
      <c r="S47" s="168"/>
      <c r="T47" s="168"/>
      <c r="U47" s="252"/>
      <c r="V47" s="262"/>
      <c r="W47" s="248"/>
      <c r="X47" s="2">
        <v>63</v>
      </c>
    </row>
    <row r="48" spans="1:24" x14ac:dyDescent="0.25">
      <c r="A48" s="260"/>
      <c r="B48" s="249"/>
      <c r="C48" s="249"/>
      <c r="D48" s="249"/>
      <c r="E48" s="249"/>
      <c r="F48" s="250"/>
      <c r="G48" s="251"/>
      <c r="H48" s="252"/>
      <c r="I48" s="253"/>
      <c r="J48" s="255"/>
      <c r="K48" s="258"/>
      <c r="L48" s="249"/>
      <c r="M48" s="249"/>
      <c r="N48" s="175" t="s">
        <v>308</v>
      </c>
      <c r="O48" s="250"/>
      <c r="P48" s="168">
        <v>53560.87</v>
      </c>
      <c r="Q48" s="169" t="s">
        <v>315</v>
      </c>
      <c r="R48" s="170"/>
      <c r="S48" s="168"/>
      <c r="T48" s="168"/>
      <c r="U48" s="252"/>
      <c r="V48" s="262"/>
      <c r="W48" s="248"/>
      <c r="X48" s="2">
        <v>63</v>
      </c>
    </row>
    <row r="49" spans="1:24" x14ac:dyDescent="0.25">
      <c r="A49" s="240"/>
      <c r="B49" s="230"/>
      <c r="C49" s="230"/>
      <c r="D49" s="230"/>
      <c r="E49" s="230"/>
      <c r="F49" s="234"/>
      <c r="G49" s="232"/>
      <c r="H49" s="236"/>
      <c r="I49" s="238"/>
      <c r="J49" s="256"/>
      <c r="K49" s="259"/>
      <c r="L49" s="230"/>
      <c r="M49" s="230"/>
      <c r="N49" s="176" t="s">
        <v>317</v>
      </c>
      <c r="O49" s="234"/>
      <c r="P49" s="171">
        <v>78853.5</v>
      </c>
      <c r="Q49" s="172" t="s">
        <v>315</v>
      </c>
      <c r="R49" s="173"/>
      <c r="S49" s="171"/>
      <c r="T49" s="171"/>
      <c r="U49" s="236"/>
      <c r="V49" s="263"/>
      <c r="W49" s="228"/>
      <c r="X49" s="2">
        <v>63</v>
      </c>
    </row>
    <row r="50" spans="1:24" s="85" customFormat="1" ht="72" customHeight="1" x14ac:dyDescent="0.25">
      <c r="A50" s="239">
        <v>12</v>
      </c>
      <c r="B50" s="229" t="s">
        <v>56</v>
      </c>
      <c r="C50" s="229"/>
      <c r="D50" s="229"/>
      <c r="E50" s="229" t="s">
        <v>298</v>
      </c>
      <c r="F50" s="233" t="s">
        <v>284</v>
      </c>
      <c r="G50" s="231" t="s">
        <v>302</v>
      </c>
      <c r="H50" s="235">
        <v>179400</v>
      </c>
      <c r="I50" s="237">
        <f>IF(X50 = 65, H50 + SUM(S50:S52) - SUM(T50:T52) - SUM(P50:P52) - V50,0)</f>
        <v>125125</v>
      </c>
      <c r="J50" s="254">
        <v>2353020735</v>
      </c>
      <c r="K50" s="257" t="s">
        <v>287</v>
      </c>
      <c r="L50" s="229"/>
      <c r="M50" s="229" t="s">
        <v>301</v>
      </c>
      <c r="N50" s="174" t="s">
        <v>308</v>
      </c>
      <c r="O50" s="233" t="s">
        <v>289</v>
      </c>
      <c r="P50" s="167">
        <v>18900</v>
      </c>
      <c r="Q50" s="166" t="s">
        <v>314</v>
      </c>
      <c r="R50" s="165"/>
      <c r="S50" s="167"/>
      <c r="T50" s="167"/>
      <c r="U50" s="235"/>
      <c r="V50" s="261"/>
      <c r="W50" s="227"/>
      <c r="X50" s="85">
        <v>65</v>
      </c>
    </row>
    <row r="51" spans="1:24" x14ac:dyDescent="0.25">
      <c r="A51" s="260"/>
      <c r="B51" s="249"/>
      <c r="C51" s="249"/>
      <c r="D51" s="249"/>
      <c r="E51" s="249"/>
      <c r="F51" s="250"/>
      <c r="G51" s="251"/>
      <c r="H51" s="252"/>
      <c r="I51" s="253"/>
      <c r="J51" s="255"/>
      <c r="K51" s="258"/>
      <c r="L51" s="249"/>
      <c r="M51" s="249"/>
      <c r="N51" s="175" t="s">
        <v>317</v>
      </c>
      <c r="O51" s="250"/>
      <c r="P51" s="168">
        <v>27825</v>
      </c>
      <c r="Q51" s="169" t="s">
        <v>314</v>
      </c>
      <c r="R51" s="170"/>
      <c r="S51" s="168"/>
      <c r="T51" s="168"/>
      <c r="U51" s="252"/>
      <c r="V51" s="262"/>
      <c r="W51" s="248"/>
      <c r="X51" s="2">
        <v>65</v>
      </c>
    </row>
    <row r="52" spans="1:24" x14ac:dyDescent="0.25">
      <c r="A52" s="240"/>
      <c r="B52" s="230"/>
      <c r="C52" s="230"/>
      <c r="D52" s="230"/>
      <c r="E52" s="230"/>
      <c r="F52" s="234"/>
      <c r="G52" s="232"/>
      <c r="H52" s="236"/>
      <c r="I52" s="238"/>
      <c r="J52" s="256"/>
      <c r="K52" s="259"/>
      <c r="L52" s="230"/>
      <c r="M52" s="230"/>
      <c r="N52" s="176" t="s">
        <v>313</v>
      </c>
      <c r="O52" s="234"/>
      <c r="P52" s="171">
        <v>7550</v>
      </c>
      <c r="Q52" s="172" t="s">
        <v>315</v>
      </c>
      <c r="R52" s="173"/>
      <c r="S52" s="171"/>
      <c r="T52" s="171"/>
      <c r="U52" s="236"/>
      <c r="V52" s="263"/>
      <c r="W52" s="228"/>
      <c r="X52" s="2">
        <v>65</v>
      </c>
    </row>
    <row r="53" spans="1:24" s="85" customFormat="1" ht="87.6" customHeight="1" x14ac:dyDescent="0.25">
      <c r="A53" s="239">
        <v>13</v>
      </c>
      <c r="B53" s="229" t="s">
        <v>56</v>
      </c>
      <c r="C53" s="229"/>
      <c r="D53" s="229"/>
      <c r="E53" s="229" t="s">
        <v>299</v>
      </c>
      <c r="F53" s="233" t="s">
        <v>284</v>
      </c>
      <c r="G53" s="231" t="s">
        <v>303</v>
      </c>
      <c r="H53" s="235">
        <v>66360</v>
      </c>
      <c r="I53" s="237">
        <f>IF(X53 = 66, H53 + SUM(S53:S54) - SUM(T53:T54) - SUM(P53:P54) - V53,0)</f>
        <v>57778</v>
      </c>
      <c r="J53" s="254">
        <v>2353020735</v>
      </c>
      <c r="K53" s="257" t="s">
        <v>287</v>
      </c>
      <c r="L53" s="229"/>
      <c r="M53" s="229" t="s">
        <v>288</v>
      </c>
      <c r="N53" s="174" t="s">
        <v>308</v>
      </c>
      <c r="O53" s="233" t="s">
        <v>289</v>
      </c>
      <c r="P53" s="167">
        <v>4572</v>
      </c>
      <c r="Q53" s="166" t="s">
        <v>312</v>
      </c>
      <c r="R53" s="165"/>
      <c r="S53" s="167"/>
      <c r="T53" s="167"/>
      <c r="U53" s="235"/>
      <c r="V53" s="261"/>
      <c r="W53" s="227"/>
      <c r="X53" s="85">
        <v>66</v>
      </c>
    </row>
    <row r="54" spans="1:24" x14ac:dyDescent="0.25">
      <c r="A54" s="240"/>
      <c r="B54" s="230"/>
      <c r="C54" s="230"/>
      <c r="D54" s="230"/>
      <c r="E54" s="230"/>
      <c r="F54" s="234"/>
      <c r="G54" s="232"/>
      <c r="H54" s="236"/>
      <c r="I54" s="238"/>
      <c r="J54" s="256"/>
      <c r="K54" s="259"/>
      <c r="L54" s="230"/>
      <c r="M54" s="230"/>
      <c r="N54" s="176" t="s">
        <v>308</v>
      </c>
      <c r="O54" s="234"/>
      <c r="P54" s="171">
        <v>4010</v>
      </c>
      <c r="Q54" s="172" t="s">
        <v>312</v>
      </c>
      <c r="R54" s="173"/>
      <c r="S54" s="171"/>
      <c r="T54" s="171"/>
      <c r="U54" s="236"/>
      <c r="V54" s="263"/>
      <c r="W54" s="228"/>
      <c r="X54" s="2">
        <v>66</v>
      </c>
    </row>
    <row r="55" spans="1:24" s="85" customFormat="1" ht="93.75" x14ac:dyDescent="0.25">
      <c r="A55" s="135">
        <v>14</v>
      </c>
      <c r="B55" s="131" t="s">
        <v>56</v>
      </c>
      <c r="C55" s="131"/>
      <c r="D55" s="131"/>
      <c r="E55" s="111" t="s">
        <v>252</v>
      </c>
      <c r="F55" s="140" t="s">
        <v>253</v>
      </c>
      <c r="G55" s="112" t="s">
        <v>254</v>
      </c>
      <c r="H55" s="132">
        <v>9000</v>
      </c>
      <c r="I55" s="137">
        <f>IF(X55 = 67, H55 + SUM(S55:S55) - SUM(T55:T55) - SUM(P55:P55) - V55,0)</f>
        <v>0</v>
      </c>
      <c r="J55" s="138">
        <v>2335015365</v>
      </c>
      <c r="K55" s="139" t="s">
        <v>155</v>
      </c>
      <c r="L55" s="131"/>
      <c r="M55" s="131" t="s">
        <v>255</v>
      </c>
      <c r="N55" s="140" t="s">
        <v>311</v>
      </c>
      <c r="O55" s="118" t="s">
        <v>256</v>
      </c>
      <c r="P55" s="132">
        <v>9000</v>
      </c>
      <c r="Q55" s="136" t="s">
        <v>315</v>
      </c>
      <c r="R55" s="131"/>
      <c r="S55" s="132"/>
      <c r="T55" s="132"/>
      <c r="U55" s="132"/>
      <c r="V55" s="133"/>
      <c r="W55" s="134"/>
      <c r="X55" s="85">
        <v>67</v>
      </c>
    </row>
    <row r="56" spans="1:24" s="85" customFormat="1" ht="75" x14ac:dyDescent="0.25">
      <c r="A56" s="135">
        <v>15</v>
      </c>
      <c r="B56" s="131" t="s">
        <v>56</v>
      </c>
      <c r="C56" s="131"/>
      <c r="D56" s="131"/>
      <c r="E56" s="131" t="s">
        <v>296</v>
      </c>
      <c r="F56" s="140" t="s">
        <v>257</v>
      </c>
      <c r="G56" s="112" t="s">
        <v>258</v>
      </c>
      <c r="H56" s="113">
        <v>5849</v>
      </c>
      <c r="I56" s="137">
        <f>IF(X56 = 68, H56 + SUM(S56:S56) - SUM(T56:T56) - SUM(P56:P56) - V56,0)</f>
        <v>0</v>
      </c>
      <c r="J56" s="115">
        <v>235002152355</v>
      </c>
      <c r="K56" s="139" t="s">
        <v>195</v>
      </c>
      <c r="L56" s="131"/>
      <c r="M56" s="111" t="s">
        <v>259</v>
      </c>
      <c r="N56" s="140" t="s">
        <v>306</v>
      </c>
      <c r="O56" s="118" t="s">
        <v>251</v>
      </c>
      <c r="P56" s="132">
        <v>5849</v>
      </c>
      <c r="Q56" s="136" t="s">
        <v>305</v>
      </c>
      <c r="R56" s="131"/>
      <c r="S56" s="132"/>
      <c r="T56" s="132"/>
      <c r="U56" s="132"/>
      <c r="V56" s="133"/>
      <c r="W56" s="134"/>
      <c r="X56" s="85">
        <v>68</v>
      </c>
    </row>
    <row r="57" spans="1:24" ht="18" x14ac:dyDescent="0.3">
      <c r="X57" s="2">
        <v>69</v>
      </c>
    </row>
  </sheetData>
  <sheetProtection algorithmName="SHA-512" hashValue="41LEWR/EfNi/+eUqJEH2io2ME2e439WTew0Yl/pbIW6jTX/eqYP1629EELvy1qdGAR5LwlHy9XQBxVlG2jwn0g==" saltValue="X0mtlaOFF3ZwzBTvwvy2rw==" spinCount="100000" sheet="1" objects="1" scenarios="1" formatCells="0" formatColumns="0" formatRows="0"/>
  <mergeCells count="139">
    <mergeCell ref="W26:W30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W23:W25"/>
    <mergeCell ref="O26:O30"/>
    <mergeCell ref="U26:U30"/>
    <mergeCell ref="V26:V30"/>
    <mergeCell ref="D26:D30"/>
    <mergeCell ref="E26:E30"/>
    <mergeCell ref="F26:F30"/>
    <mergeCell ref="G26:G30"/>
    <mergeCell ref="H26:H30"/>
    <mergeCell ref="V23:V25"/>
    <mergeCell ref="C23:C25"/>
    <mergeCell ref="D23:D25"/>
    <mergeCell ref="E23:E25"/>
    <mergeCell ref="F23:F25"/>
    <mergeCell ref="G23:G25"/>
    <mergeCell ref="H23:H25"/>
    <mergeCell ref="I23:I25"/>
    <mergeCell ref="J23:J25"/>
    <mergeCell ref="K23:K25"/>
    <mergeCell ref="L23:L25"/>
    <mergeCell ref="M23:M25"/>
    <mergeCell ref="C41:C42"/>
    <mergeCell ref="A9:A22"/>
    <mergeCell ref="B9:B22"/>
    <mergeCell ref="C9:C22"/>
    <mergeCell ref="S2:U2"/>
    <mergeCell ref="F2:G2"/>
    <mergeCell ref="N2:O2"/>
    <mergeCell ref="A23:A25"/>
    <mergeCell ref="O23:O25"/>
    <mergeCell ref="U23:U25"/>
    <mergeCell ref="B23:B25"/>
    <mergeCell ref="A26:A30"/>
    <mergeCell ref="B26:B30"/>
    <mergeCell ref="C26:C30"/>
    <mergeCell ref="I26:I30"/>
    <mergeCell ref="J26:J30"/>
    <mergeCell ref="K26:K30"/>
    <mergeCell ref="L26:L30"/>
    <mergeCell ref="M26:M30"/>
    <mergeCell ref="W33:W38"/>
    <mergeCell ref="W41:W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O41:O42"/>
    <mergeCell ref="U41:U42"/>
    <mergeCell ref="V41:V42"/>
    <mergeCell ref="A53:A54"/>
    <mergeCell ref="O53:O54"/>
    <mergeCell ref="U53:U54"/>
    <mergeCell ref="B53:B54"/>
    <mergeCell ref="V53:V54"/>
    <mergeCell ref="C53:C54"/>
    <mergeCell ref="A33:A38"/>
    <mergeCell ref="O33:O38"/>
    <mergeCell ref="U33:U38"/>
    <mergeCell ref="B33:B38"/>
    <mergeCell ref="V33:V38"/>
    <mergeCell ref="C33:C38"/>
    <mergeCell ref="D33:D38"/>
    <mergeCell ref="E33:E38"/>
    <mergeCell ref="F33:F38"/>
    <mergeCell ref="G33:G38"/>
    <mergeCell ref="H33:H38"/>
    <mergeCell ref="I33:I38"/>
    <mergeCell ref="J33:J38"/>
    <mergeCell ref="K33:K38"/>
    <mergeCell ref="L33:L38"/>
    <mergeCell ref="M33:M38"/>
    <mergeCell ref="A41:A42"/>
    <mergeCell ref="B41:B42"/>
    <mergeCell ref="W53:W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W50:W52"/>
    <mergeCell ref="D50:D52"/>
    <mergeCell ref="A50:A52"/>
    <mergeCell ref="B50:B52"/>
    <mergeCell ref="C50:C52"/>
    <mergeCell ref="E50:E52"/>
    <mergeCell ref="F50:F52"/>
    <mergeCell ref="G50:G52"/>
    <mergeCell ref="H50:H52"/>
    <mergeCell ref="I50:I52"/>
    <mergeCell ref="J50:J52"/>
    <mergeCell ref="K50:K52"/>
    <mergeCell ref="L50:L52"/>
    <mergeCell ref="M50:M52"/>
    <mergeCell ref="A44:A49"/>
    <mergeCell ref="O44:O49"/>
    <mergeCell ref="U44:U49"/>
    <mergeCell ref="B44:B49"/>
    <mergeCell ref="O50:O52"/>
    <mergeCell ref="U50:U52"/>
    <mergeCell ref="V50:V52"/>
    <mergeCell ref="V44:V49"/>
    <mergeCell ref="C44:C49"/>
    <mergeCell ref="W44:W49"/>
    <mergeCell ref="D44:D49"/>
    <mergeCell ref="E44:E49"/>
    <mergeCell ref="F44:F49"/>
    <mergeCell ref="G44:G49"/>
    <mergeCell ref="H44:H49"/>
    <mergeCell ref="I44:I49"/>
    <mergeCell ref="J44:J49"/>
    <mergeCell ref="K44:K49"/>
    <mergeCell ref="L44:L49"/>
    <mergeCell ref="M44:M49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0"/>
  <sheetViews>
    <sheetView showGridLines="0" topLeftCell="E1" zoomScale="50" zoomScaleNormal="50" workbookViewId="0">
      <pane ySplit="8" topLeftCell="A9" activePane="bottomLeft" state="frozen"/>
      <selection pane="bottomLeft" activeCell="G9" sqref="G9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270" t="s">
        <v>24</v>
      </c>
      <c r="F2" s="271"/>
      <c r="G2" s="80">
        <f>SUM(G9:G9999)</f>
        <v>1097939</v>
      </c>
      <c r="L2" s="326" t="s">
        <v>137</v>
      </c>
      <c r="M2" s="327"/>
      <c r="N2" s="69">
        <f>SUM(N9:N9999)</f>
        <v>0</v>
      </c>
      <c r="P2" s="68"/>
      <c r="Q2" s="244" t="s">
        <v>45</v>
      </c>
      <c r="R2" s="245"/>
      <c r="S2" s="246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3.75" x14ac:dyDescent="0.25">
      <c r="A9" s="110">
        <v>1</v>
      </c>
      <c r="B9" s="111"/>
      <c r="C9" s="111"/>
      <c r="D9" s="111" t="s">
        <v>149</v>
      </c>
      <c r="E9" s="118">
        <v>44925</v>
      </c>
      <c r="F9" s="112" t="s">
        <v>193</v>
      </c>
      <c r="G9" s="113">
        <v>1097939</v>
      </c>
      <c r="H9" s="114">
        <f>IF(V9 = 4, G9 + SUM(Q9:Q9) - SUM(R9:R9) - SUM(N9:N9) - T9,0)</f>
        <v>1097939</v>
      </c>
      <c r="I9" s="119">
        <v>2312054894</v>
      </c>
      <c r="J9" s="111" t="s">
        <v>150</v>
      </c>
      <c r="K9" s="111" t="s">
        <v>224</v>
      </c>
      <c r="L9" s="118"/>
      <c r="M9" s="111" t="s">
        <v>225</v>
      </c>
      <c r="N9" s="113"/>
      <c r="O9" s="118"/>
      <c r="P9" s="112"/>
      <c r="Q9" s="113"/>
      <c r="R9" s="113"/>
      <c r="S9" s="112"/>
      <c r="T9" s="113"/>
      <c r="U9" s="108"/>
      <c r="V9" s="85">
        <v>4</v>
      </c>
    </row>
    <row r="10" spans="1:22" ht="18" x14ac:dyDescent="0.3">
      <c r="V10" s="2">
        <v>5</v>
      </c>
    </row>
  </sheetData>
  <sheetProtection algorithmName="SHA-512" hashValue="8q9w9DUGFCZxUpCc9tTSpxN/1Mpn2TrVtwOZTrg9V2v45KlxkDcdtOyFqc/+qmMs8VyFakH5ZfxcVdP9zZA7kA==" saltValue="Dhk7g/xAjfjKhgJgl+ZDiA==" spinCount="100000" sheet="1" objects="1" scenarios="1" formatCells="0" formatColumns="0" formatRows="0"/>
  <mergeCells count="3"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270" t="s">
        <v>139</v>
      </c>
      <c r="F2" s="271"/>
      <c r="G2" s="82">
        <f>SUM(G9:G9999)</f>
        <v>0</v>
      </c>
      <c r="O2" s="270" t="s">
        <v>24</v>
      </c>
      <c r="P2" s="271"/>
      <c r="Q2" s="80">
        <f>SUM(Q9:Q9999)</f>
        <v>0</v>
      </c>
      <c r="T2" s="244" t="s">
        <v>137</v>
      </c>
      <c r="U2" s="246"/>
      <c r="V2" s="69">
        <f>SUM(V9:V9999)</f>
        <v>0</v>
      </c>
      <c r="X2" s="68"/>
      <c r="Y2" s="244" t="s">
        <v>45</v>
      </c>
      <c r="Z2" s="245"/>
      <c r="AA2" s="246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E2k1zbR/FEEDlWrqcINGa1UwsV0+r+Vd67ToNw3CJHwkEQqNrtmqjOIe5bbJ9i0VL13Lh8BMNlF36kTwPWZYQw==" saltValue="aumxQ/mXCjQzqwIE/Y4Bl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270" t="s">
        <v>139</v>
      </c>
      <c r="F2" s="271"/>
      <c r="G2" s="82">
        <f>SUM(G9:G9999)</f>
        <v>0</v>
      </c>
      <c r="H2" s="10"/>
      <c r="O2" s="270" t="s">
        <v>24</v>
      </c>
      <c r="P2" s="271"/>
      <c r="Q2" s="80">
        <f>SUM(Q9:Q9999)</f>
        <v>0</v>
      </c>
      <c r="T2" s="244" t="s">
        <v>137</v>
      </c>
      <c r="U2" s="246"/>
      <c r="V2" s="69">
        <f>SUM(V9:V9999)</f>
        <v>0</v>
      </c>
      <c r="X2" s="68"/>
      <c r="Y2" s="244" t="s">
        <v>45</v>
      </c>
      <c r="Z2" s="245"/>
      <c r="AA2" s="246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zHTQeiyOHBHHeqbGPWzv6mJ7V8Mj2S7bT9Wv1ms4wmAxt5MWfNgunBobe8O6RFDNeG1ROpBRDOYzmYJgFsPUNw==" saltValue="kOUad5AHFbBLTfdqVLCzF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27"/>
  <sheetViews>
    <sheetView showGridLines="0" topLeftCell="O1" zoomScale="50" zoomScaleNormal="50" workbookViewId="0">
      <pane ySplit="8" topLeftCell="A18" activePane="bottomLeft" state="frozen"/>
      <selection pane="bottomLeft" activeCell="T18" sqref="T18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270" t="s">
        <v>139</v>
      </c>
      <c r="F2" s="271"/>
      <c r="G2" s="82">
        <f>SUM(G9:G9999)</f>
        <v>1367088</v>
      </c>
      <c r="H2" s="10"/>
      <c r="O2" s="270" t="s">
        <v>24</v>
      </c>
      <c r="P2" s="271"/>
      <c r="Q2" s="80">
        <f>SUM(Q9:Q9999)</f>
        <v>1241120.1600000001</v>
      </c>
      <c r="T2" s="244" t="s">
        <v>137</v>
      </c>
      <c r="U2" s="246"/>
      <c r="V2" s="69">
        <f>SUM(V9:V9999)</f>
        <v>622142.88</v>
      </c>
      <c r="X2" s="68"/>
      <c r="Y2" s="244" t="s">
        <v>45</v>
      </c>
      <c r="Z2" s="245"/>
      <c r="AA2" s="246"/>
      <c r="AB2" s="70">
        <f>SUM(AB9:AB9999)</f>
        <v>8112</v>
      </c>
    </row>
    <row r="4" spans="1:30" ht="39.950000000000003" customHeight="1" x14ac:dyDescent="0.3">
      <c r="P4" s="243"/>
      <c r="Q4" s="243"/>
      <c r="R4" s="243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328">
        <v>1</v>
      </c>
      <c r="B9" s="331"/>
      <c r="C9" s="331" t="s">
        <v>162</v>
      </c>
      <c r="D9" s="331"/>
      <c r="E9" s="331" t="s">
        <v>163</v>
      </c>
      <c r="F9" s="331" t="s">
        <v>164</v>
      </c>
      <c r="G9" s="334">
        <v>624240</v>
      </c>
      <c r="H9" s="340">
        <f>IF(AD9 = 1, G9 - Q9,0)</f>
        <v>66540</v>
      </c>
      <c r="I9" s="334"/>
      <c r="J9" s="334"/>
      <c r="K9" s="331"/>
      <c r="L9" s="331"/>
      <c r="M9" s="331" t="s">
        <v>168</v>
      </c>
      <c r="N9" s="343" t="s">
        <v>169</v>
      </c>
      <c r="O9" s="346">
        <v>2308080429</v>
      </c>
      <c r="P9" s="331" t="s">
        <v>170</v>
      </c>
      <c r="Q9" s="334">
        <v>557700</v>
      </c>
      <c r="R9" s="340">
        <f>IF(AD9 = 1, Q9 + SUM(Y9:Y17) - SUM(Z9:Z17) - SUM(V9:V17) - AB9,0)</f>
        <v>0</v>
      </c>
      <c r="S9" s="331" t="s">
        <v>172</v>
      </c>
      <c r="T9" s="128" t="s">
        <v>166</v>
      </c>
      <c r="U9" s="331" t="s">
        <v>171</v>
      </c>
      <c r="V9" s="123">
        <v>52728</v>
      </c>
      <c r="W9" s="128" t="s">
        <v>173</v>
      </c>
      <c r="X9" s="122"/>
      <c r="Y9" s="123"/>
      <c r="Z9" s="123"/>
      <c r="AA9" s="331" t="s">
        <v>304</v>
      </c>
      <c r="AB9" s="334">
        <v>8112</v>
      </c>
      <c r="AC9" s="337"/>
      <c r="AD9" s="85">
        <v>1</v>
      </c>
    </row>
    <row r="10" spans="1:30" x14ac:dyDescent="0.25">
      <c r="A10" s="329"/>
      <c r="B10" s="332"/>
      <c r="C10" s="332"/>
      <c r="D10" s="332"/>
      <c r="E10" s="332"/>
      <c r="F10" s="332"/>
      <c r="G10" s="335"/>
      <c r="H10" s="341"/>
      <c r="I10" s="335"/>
      <c r="J10" s="335"/>
      <c r="K10" s="332"/>
      <c r="L10" s="332"/>
      <c r="M10" s="332"/>
      <c r="N10" s="344"/>
      <c r="O10" s="347"/>
      <c r="P10" s="332"/>
      <c r="Q10" s="335"/>
      <c r="R10" s="341"/>
      <c r="S10" s="332"/>
      <c r="T10" s="129" t="s">
        <v>174</v>
      </c>
      <c r="U10" s="332"/>
      <c r="V10" s="124">
        <v>62868</v>
      </c>
      <c r="W10" s="129" t="s">
        <v>176</v>
      </c>
      <c r="X10" s="125"/>
      <c r="Y10" s="124"/>
      <c r="Z10" s="124"/>
      <c r="AA10" s="332"/>
      <c r="AB10" s="335"/>
      <c r="AC10" s="338"/>
      <c r="AD10" s="2">
        <v>1</v>
      </c>
    </row>
    <row r="11" spans="1:30" x14ac:dyDescent="0.25">
      <c r="A11" s="329"/>
      <c r="B11" s="332"/>
      <c r="C11" s="332"/>
      <c r="D11" s="332"/>
      <c r="E11" s="332"/>
      <c r="F11" s="332"/>
      <c r="G11" s="335"/>
      <c r="H11" s="341"/>
      <c r="I11" s="335"/>
      <c r="J11" s="335"/>
      <c r="K11" s="332"/>
      <c r="L11" s="332"/>
      <c r="M11" s="332"/>
      <c r="N11" s="344"/>
      <c r="O11" s="347"/>
      <c r="P11" s="332"/>
      <c r="Q11" s="335"/>
      <c r="R11" s="341"/>
      <c r="S11" s="332"/>
      <c r="T11" s="129" t="s">
        <v>179</v>
      </c>
      <c r="U11" s="332"/>
      <c r="V11" s="124">
        <v>60840</v>
      </c>
      <c r="W11" s="129" t="s">
        <v>178</v>
      </c>
      <c r="X11" s="125"/>
      <c r="Y11" s="124"/>
      <c r="Z11" s="124"/>
      <c r="AA11" s="332"/>
      <c r="AB11" s="335"/>
      <c r="AC11" s="338"/>
      <c r="AD11" s="2">
        <v>1</v>
      </c>
    </row>
    <row r="12" spans="1:30" x14ac:dyDescent="0.25">
      <c r="A12" s="329"/>
      <c r="B12" s="332"/>
      <c r="C12" s="332"/>
      <c r="D12" s="332"/>
      <c r="E12" s="332"/>
      <c r="F12" s="332"/>
      <c r="G12" s="335"/>
      <c r="H12" s="341"/>
      <c r="I12" s="335"/>
      <c r="J12" s="335"/>
      <c r="K12" s="332"/>
      <c r="L12" s="332"/>
      <c r="M12" s="332"/>
      <c r="N12" s="344"/>
      <c r="O12" s="347"/>
      <c r="P12" s="332"/>
      <c r="Q12" s="335"/>
      <c r="R12" s="341"/>
      <c r="S12" s="332"/>
      <c r="T12" s="129" t="s">
        <v>180</v>
      </c>
      <c r="U12" s="332"/>
      <c r="V12" s="124">
        <v>62868</v>
      </c>
      <c r="W12" s="129" t="s">
        <v>181</v>
      </c>
      <c r="X12" s="125"/>
      <c r="Y12" s="124"/>
      <c r="Z12" s="124"/>
      <c r="AA12" s="332"/>
      <c r="AB12" s="335"/>
      <c r="AC12" s="338"/>
      <c r="AD12" s="2">
        <v>1</v>
      </c>
    </row>
    <row r="13" spans="1:30" x14ac:dyDescent="0.25">
      <c r="A13" s="329"/>
      <c r="B13" s="332"/>
      <c r="C13" s="332"/>
      <c r="D13" s="332"/>
      <c r="E13" s="332"/>
      <c r="F13" s="332"/>
      <c r="G13" s="335"/>
      <c r="H13" s="341"/>
      <c r="I13" s="335"/>
      <c r="J13" s="335"/>
      <c r="K13" s="332"/>
      <c r="L13" s="332"/>
      <c r="M13" s="332"/>
      <c r="N13" s="344"/>
      <c r="O13" s="347"/>
      <c r="P13" s="332"/>
      <c r="Q13" s="335"/>
      <c r="R13" s="341"/>
      <c r="S13" s="332"/>
      <c r="T13" s="129" t="s">
        <v>184</v>
      </c>
      <c r="U13" s="332"/>
      <c r="V13" s="124">
        <v>62868</v>
      </c>
      <c r="W13" s="129" t="s">
        <v>183</v>
      </c>
      <c r="X13" s="125"/>
      <c r="Y13" s="124"/>
      <c r="Z13" s="124"/>
      <c r="AA13" s="332"/>
      <c r="AB13" s="335"/>
      <c r="AC13" s="338"/>
      <c r="AD13" s="2">
        <v>1</v>
      </c>
    </row>
    <row r="14" spans="1:30" x14ac:dyDescent="0.25">
      <c r="A14" s="329"/>
      <c r="B14" s="332"/>
      <c r="C14" s="332"/>
      <c r="D14" s="332"/>
      <c r="E14" s="332"/>
      <c r="F14" s="332"/>
      <c r="G14" s="335"/>
      <c r="H14" s="341"/>
      <c r="I14" s="335"/>
      <c r="J14" s="335"/>
      <c r="K14" s="332"/>
      <c r="L14" s="332"/>
      <c r="M14" s="332"/>
      <c r="N14" s="344"/>
      <c r="O14" s="347"/>
      <c r="P14" s="332"/>
      <c r="Q14" s="335"/>
      <c r="R14" s="341"/>
      <c r="S14" s="332"/>
      <c r="T14" s="129" t="s">
        <v>188</v>
      </c>
      <c r="U14" s="332"/>
      <c r="V14" s="124">
        <v>60840</v>
      </c>
      <c r="W14" s="129" t="s">
        <v>189</v>
      </c>
      <c r="X14" s="125"/>
      <c r="Y14" s="124"/>
      <c r="Z14" s="124"/>
      <c r="AA14" s="332"/>
      <c r="AB14" s="335"/>
      <c r="AC14" s="338"/>
      <c r="AD14" s="2">
        <v>1</v>
      </c>
    </row>
    <row r="15" spans="1:30" x14ac:dyDescent="0.25">
      <c r="A15" s="329"/>
      <c r="B15" s="332"/>
      <c r="C15" s="332"/>
      <c r="D15" s="332"/>
      <c r="E15" s="332"/>
      <c r="F15" s="332"/>
      <c r="G15" s="335"/>
      <c r="H15" s="341"/>
      <c r="I15" s="335"/>
      <c r="J15" s="335"/>
      <c r="K15" s="332"/>
      <c r="L15" s="332"/>
      <c r="M15" s="332"/>
      <c r="N15" s="344"/>
      <c r="O15" s="347"/>
      <c r="P15" s="332"/>
      <c r="Q15" s="335"/>
      <c r="R15" s="341"/>
      <c r="S15" s="332"/>
      <c r="T15" s="129" t="s">
        <v>197</v>
      </c>
      <c r="U15" s="332"/>
      <c r="V15" s="124">
        <v>62868</v>
      </c>
      <c r="W15" s="129" t="s">
        <v>196</v>
      </c>
      <c r="X15" s="125"/>
      <c r="Y15" s="124"/>
      <c r="Z15" s="124"/>
      <c r="AA15" s="332"/>
      <c r="AB15" s="335"/>
      <c r="AC15" s="338"/>
      <c r="AD15" s="2">
        <v>1</v>
      </c>
    </row>
    <row r="16" spans="1:30" x14ac:dyDescent="0.25">
      <c r="A16" s="329"/>
      <c r="B16" s="332"/>
      <c r="C16" s="332"/>
      <c r="D16" s="332"/>
      <c r="E16" s="332"/>
      <c r="F16" s="332"/>
      <c r="G16" s="335"/>
      <c r="H16" s="341"/>
      <c r="I16" s="335"/>
      <c r="J16" s="335"/>
      <c r="K16" s="332"/>
      <c r="L16" s="332"/>
      <c r="M16" s="332"/>
      <c r="N16" s="344"/>
      <c r="O16" s="347"/>
      <c r="P16" s="332"/>
      <c r="Q16" s="335"/>
      <c r="R16" s="341"/>
      <c r="S16" s="332"/>
      <c r="T16" s="129" t="s">
        <v>203</v>
      </c>
      <c r="U16" s="332"/>
      <c r="V16" s="124">
        <v>60840</v>
      </c>
      <c r="W16" s="129" t="s">
        <v>202</v>
      </c>
      <c r="X16" s="125"/>
      <c r="Y16" s="124"/>
      <c r="Z16" s="124"/>
      <c r="AA16" s="332"/>
      <c r="AB16" s="335"/>
      <c r="AC16" s="338"/>
      <c r="AD16" s="2">
        <v>1</v>
      </c>
    </row>
    <row r="17" spans="1:30" x14ac:dyDescent="0.25">
      <c r="A17" s="330"/>
      <c r="B17" s="333"/>
      <c r="C17" s="333"/>
      <c r="D17" s="333"/>
      <c r="E17" s="333"/>
      <c r="F17" s="333"/>
      <c r="G17" s="336"/>
      <c r="H17" s="342"/>
      <c r="I17" s="336"/>
      <c r="J17" s="336"/>
      <c r="K17" s="333"/>
      <c r="L17" s="333"/>
      <c r="M17" s="333"/>
      <c r="N17" s="345"/>
      <c r="O17" s="348"/>
      <c r="P17" s="333"/>
      <c r="Q17" s="336"/>
      <c r="R17" s="342"/>
      <c r="S17" s="333"/>
      <c r="T17" s="130" t="s">
        <v>263</v>
      </c>
      <c r="U17" s="333"/>
      <c r="V17" s="126">
        <v>62868</v>
      </c>
      <c r="W17" s="130" t="s">
        <v>262</v>
      </c>
      <c r="X17" s="127"/>
      <c r="Y17" s="126"/>
      <c r="Z17" s="126"/>
      <c r="AA17" s="333"/>
      <c r="AB17" s="336"/>
      <c r="AC17" s="339"/>
      <c r="AD17" s="2">
        <v>1</v>
      </c>
    </row>
    <row r="18" spans="1:30" s="85" customFormat="1" ht="93.75" x14ac:dyDescent="0.25">
      <c r="A18" s="87">
        <v>2</v>
      </c>
      <c r="B18" s="88"/>
      <c r="C18" s="88" t="s">
        <v>206</v>
      </c>
      <c r="D18" s="88"/>
      <c r="E18" s="88" t="s">
        <v>207</v>
      </c>
      <c r="F18" s="88" t="s">
        <v>164</v>
      </c>
      <c r="G18" s="90">
        <v>742848</v>
      </c>
      <c r="H18" s="91">
        <f>IF(AD18 = 3, G18 - Q18,0)</f>
        <v>59427.839999999967</v>
      </c>
      <c r="I18" s="90"/>
      <c r="J18" s="90"/>
      <c r="K18" s="88"/>
      <c r="L18" s="88"/>
      <c r="M18" s="88" t="s">
        <v>207</v>
      </c>
      <c r="N18" s="93" t="s">
        <v>201</v>
      </c>
      <c r="O18" s="109">
        <v>2304067057</v>
      </c>
      <c r="P18" s="88" t="s">
        <v>208</v>
      </c>
      <c r="Q18" s="90">
        <v>683420.16000000003</v>
      </c>
      <c r="R18" s="91">
        <f>IF(AD18 = 3, Q18 + SUM(Y18:Y18) - SUM(Z18:Z18) - SUM(V18:V18) - AB18,0)</f>
        <v>610865.28</v>
      </c>
      <c r="S18" s="88" t="s">
        <v>209</v>
      </c>
      <c r="T18" s="93" t="s">
        <v>308</v>
      </c>
      <c r="U18" s="88" t="s">
        <v>210</v>
      </c>
      <c r="V18" s="90">
        <v>72554.880000000005</v>
      </c>
      <c r="W18" s="93" t="s">
        <v>314</v>
      </c>
      <c r="X18" s="88"/>
      <c r="Y18" s="90"/>
      <c r="Z18" s="90"/>
      <c r="AA18" s="88"/>
      <c r="AB18" s="90"/>
      <c r="AC18" s="92"/>
      <c r="AD18" s="85">
        <v>3</v>
      </c>
    </row>
    <row r="19" spans="1:30" ht="18" x14ac:dyDescent="0.3">
      <c r="M19" s="3"/>
      <c r="AD19" s="2">
        <v>4</v>
      </c>
    </row>
    <row r="20" spans="1:30" ht="18" x14ac:dyDescent="0.3">
      <c r="M20" s="3"/>
    </row>
    <row r="21" spans="1:30" ht="18" x14ac:dyDescent="0.3">
      <c r="M21" s="3"/>
    </row>
    <row r="22" spans="1:30" ht="18" x14ac:dyDescent="0.3">
      <c r="M22" s="3"/>
    </row>
    <row r="23" spans="1:30" ht="18" x14ac:dyDescent="0.3">
      <c r="M23" s="3"/>
    </row>
    <row r="24" spans="1:30" ht="18" x14ac:dyDescent="0.3">
      <c r="M24" s="3"/>
    </row>
    <row r="25" spans="1:30" ht="18" x14ac:dyDescent="0.3">
      <c r="M25" s="3"/>
    </row>
    <row r="26" spans="1:30" ht="18" x14ac:dyDescent="0.3">
      <c r="M26" s="3"/>
    </row>
    <row r="27" spans="1:30" ht="18" x14ac:dyDescent="0.3">
      <c r="M27" s="3"/>
    </row>
  </sheetData>
  <sheetProtection algorithmName="SHA-512" hashValue="EDg5ndSVxffRfVUGZ1XixRJIh9G3ITlxAgIKn17wZBLH/OLygCRuETupFiba9z3SAGGf70nFSiTjV13QVOkUDw==" saltValue="lU6ar3lAzg527kyrGRLTTg==" spinCount="100000" sheet="1" objects="1" scenarios="1" formatCells="0" formatColumns="0" formatRows="0"/>
  <mergeCells count="28"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P4:R4"/>
    <mergeCell ref="E2:F2"/>
    <mergeCell ref="O2:P2"/>
    <mergeCell ref="Y2:AA2"/>
    <mergeCell ref="T2:U2"/>
    <mergeCell ref="A9:A17"/>
    <mergeCell ref="U9:U17"/>
    <mergeCell ref="AA9:AA17"/>
    <mergeCell ref="B9:B17"/>
    <mergeCell ref="AB9:AB17"/>
    <mergeCell ref="C9:C17"/>
    <mergeCell ref="S9:S1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20</v>
      </c>
      <c r="B1" s="47">
        <v>11</v>
      </c>
      <c r="C1" s="47">
        <v>9</v>
      </c>
      <c r="D1" s="351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352"/>
      <c r="E2" s="32"/>
      <c r="F2" s="62">
        <v>59</v>
      </c>
      <c r="G2" s="66">
        <v>68</v>
      </c>
      <c r="H2" s="65">
        <v>4</v>
      </c>
      <c r="I2" s="64">
        <v>0</v>
      </c>
      <c r="J2" s="63">
        <v>0</v>
      </c>
      <c r="K2" s="67">
        <v>3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56</v>
      </c>
      <c r="B4" s="44">
        <v>15</v>
      </c>
      <c r="C4" s="44">
        <v>9</v>
      </c>
      <c r="D4" s="353" t="s">
        <v>102</v>
      </c>
      <c r="E4" s="32"/>
      <c r="F4" s="62">
        <v>60</v>
      </c>
      <c r="G4" s="66">
        <v>69</v>
      </c>
      <c r="H4" s="65">
        <v>5</v>
      </c>
      <c r="I4" s="64">
        <v>0</v>
      </c>
      <c r="J4" s="63">
        <v>0</v>
      </c>
      <c r="K4" s="67">
        <v>4</v>
      </c>
    </row>
    <row r="5" spans="1:11" x14ac:dyDescent="0.25">
      <c r="A5" s="43" t="s">
        <v>89</v>
      </c>
      <c r="B5" s="44" t="s">
        <v>88</v>
      </c>
      <c r="C5" s="44" t="s">
        <v>87</v>
      </c>
      <c r="D5" s="354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9</v>
      </c>
      <c r="B7" s="46">
        <v>1</v>
      </c>
      <c r="C7" s="46">
        <v>9</v>
      </c>
      <c r="D7" s="355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356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357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358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359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360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18</v>
      </c>
      <c r="B16" s="38">
        <v>2</v>
      </c>
      <c r="C16" s="38">
        <v>9</v>
      </c>
      <c r="D16" s="349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350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2023-03-04T06:31:44Z</dcterms:modified>
</cp:coreProperties>
</file>