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ЭтаКнига" defaultThemeVersion="124226"/>
  <workbookProtection workbookPassword="EB34" lockStructure="1"/>
  <bookViews>
    <workbookView xWindow="0" yWindow="0" windowWidth="20730" windowHeight="11760" firstSheet="4" activeTab="6"/>
  </bookViews>
  <sheets>
    <sheet name="Общая информация" sheetId="21" r:id="rId1"/>
    <sheet name="Ед. поставщик п.4 ч.1" sheetId="27" r:id="rId2"/>
    <sheet name="Ед. поставщик п.5 ч.1" sheetId="31" r:id="rId3"/>
    <sheet name="Ед.поставщик за искл. п.4,5 ч.1" sheetId="19" r:id="rId4"/>
    <sheet name="Состоявшиеся аукционы" sheetId="17" r:id="rId5"/>
    <sheet name="Несостоявшиеся аукционы" sheetId="22" r:id="rId6"/>
    <sheet name="Иные конкурентные закупки" sheetId="20" r:id="rId7"/>
    <sheet name="Настройки" sheetId="32" state="hidden" r:id="rId8"/>
  </sheets>
  <definedNames>
    <definedName name="_xlnm._FilterDatabase" localSheetId="1" hidden="1">'Ед. поставщик п.4 ч.1'!$A$6:$U$8</definedName>
  </definedNames>
  <calcPr calcId="181029" iterate="1"/>
</workbook>
</file>

<file path=xl/calcChain.xml><?xml version="1.0" encoding="utf-8"?>
<calcChain xmlns="http://schemas.openxmlformats.org/spreadsheetml/2006/main">
  <c r="G2" i="20" l="1"/>
  <c r="Q2" i="20"/>
  <c r="V2" i="20"/>
  <c r="AB2" i="20"/>
  <c r="G2" i="22"/>
  <c r="Q2" i="22"/>
  <c r="V2" i="22"/>
  <c r="AB2" i="22"/>
  <c r="G2" i="17"/>
  <c r="Q2" i="17"/>
  <c r="V2" i="17"/>
  <c r="AB2" i="17"/>
  <c r="G2" i="19"/>
  <c r="N2" i="19"/>
  <c r="T2" i="19"/>
  <c r="H2" i="31"/>
  <c r="P2" i="31"/>
  <c r="V2" i="31"/>
  <c r="H2" i="27"/>
  <c r="P2" i="27"/>
  <c r="V2" i="27"/>
  <c r="I44" i="31"/>
  <c r="I43" i="31"/>
  <c r="I42" i="31"/>
  <c r="I19" i="27"/>
  <c r="I18" i="27"/>
  <c r="I17" i="27"/>
  <c r="I16" i="27"/>
  <c r="I15" i="27"/>
  <c r="I26" i="31"/>
  <c r="I41" i="31"/>
  <c r="I9" i="31" l="1"/>
  <c r="I33" i="31"/>
  <c r="H9" i="20"/>
  <c r="R9" i="20"/>
  <c r="I40" i="31"/>
  <c r="I39" i="31" l="1"/>
  <c r="I38" i="31"/>
  <c r="I37" i="31"/>
  <c r="I14" i="27"/>
  <c r="I13" i="27"/>
  <c r="I12" i="27"/>
  <c r="I11" i="27"/>
  <c r="I36" i="31"/>
  <c r="I32" i="31"/>
  <c r="H9" i="19"/>
  <c r="I31" i="31"/>
  <c r="I10" i="27"/>
  <c r="I9" i="27"/>
  <c r="H18" i="20"/>
  <c r="R18" i="20"/>
  <c r="I23" i="31"/>
  <c r="D13" i="21" l="1"/>
  <c r="G13" i="21" s="1"/>
  <c r="R8" i="20" l="1"/>
  <c r="H8" i="20"/>
  <c r="R8" i="22"/>
  <c r="H8" i="22"/>
  <c r="I8" i="27" l="1"/>
  <c r="J9" i="21" l="1"/>
  <c r="J13" i="21"/>
  <c r="M5" i="21" l="1"/>
  <c r="J14" i="21"/>
  <c r="D14" i="21"/>
  <c r="G14" i="21" s="1"/>
  <c r="D12" i="21"/>
  <c r="J12" i="21"/>
  <c r="D19" i="21"/>
  <c r="G12" i="21" l="1"/>
  <c r="M13" i="21"/>
  <c r="M14" i="21"/>
  <c r="J11" i="21"/>
  <c r="J10" i="21"/>
  <c r="J15" i="21" l="1"/>
  <c r="D10" i="21"/>
  <c r="H5" i="21" l="1"/>
  <c r="R8" i="17"/>
  <c r="H8" i="17"/>
  <c r="D9" i="21" l="1"/>
  <c r="G10" i="21" l="1"/>
  <c r="G11" i="21" l="1"/>
  <c r="D11" i="21"/>
  <c r="D15" i="21" s="1"/>
  <c r="G9" i="21"/>
  <c r="G15" i="21" l="1"/>
  <c r="C5" i="21" s="1"/>
  <c r="M12" i="21"/>
  <c r="M11" i="21"/>
  <c r="M9" i="21"/>
  <c r="M10" i="21"/>
  <c r="M15" i="21" l="1"/>
</calcChain>
</file>

<file path=xl/sharedStrings.xml><?xml version="1.0" encoding="utf-8"?>
<sst xmlns="http://schemas.openxmlformats.org/spreadsheetml/2006/main" count="681" uniqueCount="305">
  <si>
    <t>Дата заключения</t>
  </si>
  <si>
    <t>№ договора/контракта</t>
  </si>
  <si>
    <t>Дата заключения договора/контракта</t>
  </si>
  <si>
    <t>Предмет договора/контракта</t>
  </si>
  <si>
    <t>Цена договора/контракта</t>
  </si>
  <si>
    <t>Поставщик (подрядчик, исполнитель)</t>
  </si>
  <si>
    <t>Сроки оплаты согласно договора/контракта</t>
  </si>
  <si>
    <t>Фактическая дата поставки товара (оказания услуги, выполнения работы)</t>
  </si>
  <si>
    <t>№ п/п</t>
  </si>
  <si>
    <t>Фактическая дата оплаты</t>
  </si>
  <si>
    <t>Код бюджетной классификации</t>
  </si>
  <si>
    <t>№ извещения</t>
  </si>
  <si>
    <t>Объект закупки</t>
  </si>
  <si>
    <t>Н(М)ЦК</t>
  </si>
  <si>
    <t>СМП и СОНО</t>
  </si>
  <si>
    <t>№ контракта</t>
  </si>
  <si>
    <t>Количество поданных заявок</t>
  </si>
  <si>
    <t>Количество заявок признанные несоответствующими</t>
  </si>
  <si>
    <t>Цена контракта</t>
  </si>
  <si>
    <t>Сроки поставки товара (оказания услуги, выполнения работы), согласно контракта</t>
  </si>
  <si>
    <t>Сроки оплаты согласно контракта</t>
  </si>
  <si>
    <t xml:space="preserve">№ в реестре контрактов </t>
  </si>
  <si>
    <t>Остаток по контракту</t>
  </si>
  <si>
    <t>Сумма согласно документа об исполнении контракта заказчиком</t>
  </si>
  <si>
    <t>Сумма заключенных контрактов</t>
  </si>
  <si>
    <t>СГОЗ  (общий)</t>
  </si>
  <si>
    <t>СГОЗ (остаток)</t>
  </si>
  <si>
    <t>Способ определения поставщика (подрядчика, исполнителя)</t>
  </si>
  <si>
    <t>Начальная (максимальная) цена контракта</t>
  </si>
  <si>
    <t>Фактическая цена контракта</t>
  </si>
  <si>
    <t xml:space="preserve">Экономия </t>
  </si>
  <si>
    <t>Состоявшиеся аукционы</t>
  </si>
  <si>
    <t>№ в реестре контрактов</t>
  </si>
  <si>
    <t>ИКЗ (Идентификационный код закупки)</t>
  </si>
  <si>
    <t>Экономия</t>
  </si>
  <si>
    <t>Всего средств потрачено по заключенным контрактам</t>
  </si>
  <si>
    <t>1</t>
  </si>
  <si>
    <t>Фактическая дата поставки товара (оказания услуги, выполнения работы) и (или) предоставление документов на оплату и подписание документов о приемке</t>
  </si>
  <si>
    <t>Цена контракта (Объем финансового обеспечения подлежащий к оплате в текущем фин. году)</t>
  </si>
  <si>
    <t>Сроки поставки товара (оказания услуги, выполнения работы), согласно контракта; Предоставление документов на оплату Закзчику</t>
  </si>
  <si>
    <t>Изменение контракта (№, дата)</t>
  </si>
  <si>
    <t>Расторжение контракта (№, дата)</t>
  </si>
  <si>
    <t>Примечание</t>
  </si>
  <si>
    <t>Сумма расторжения</t>
  </si>
  <si>
    <t>Сроки поставки товара (оказания услуги, выполнения работы), согласно договора/контракта; Предоставление документов на оплату Заказчику</t>
  </si>
  <si>
    <t>Общая сумма расторжений по контрактам/договорам</t>
  </si>
  <si>
    <t xml:space="preserve">ИНН поставщика (подрядчика, исполнителя) </t>
  </si>
  <si>
    <t>Наименование муниципальной программы, национального или регионального проекта</t>
  </si>
  <si>
    <t>123</t>
  </si>
  <si>
    <t>Несостоявшиеся аукционы</t>
  </si>
  <si>
    <t xml:space="preserve">Ед. поставщик п.4 ч.1 </t>
  </si>
  <si>
    <t>Ед. поставщик п. 5 ч. 1</t>
  </si>
  <si>
    <t>Ед.поставщик за искл. п.4,5 ч.1</t>
  </si>
  <si>
    <t>п.4 (остаток)</t>
  </si>
  <si>
    <t>п.5 (остаток)</t>
  </si>
  <si>
    <t>п.5 (50% СГОЗ)</t>
  </si>
  <si>
    <t>Муниципальная программа "Развитие образования"</t>
  </si>
  <si>
    <t>№ 1</t>
  </si>
  <si>
    <t>902 0113 1310110490 244</t>
  </si>
  <si>
    <t>Поставка бумаги для офисной техники</t>
  </si>
  <si>
    <t>2353019514</t>
  </si>
  <si>
    <t>ИП Котляров К.И.</t>
  </si>
  <si>
    <t>В течение 15 рабочих дней, со дня подписания сторонами контракта</t>
  </si>
  <si>
    <t>Не позднее 30 календарных дней с момента подписания Заказчиком и Подрядчиком акта приема-сдачи и предоставленного Подрядчиком документа на оплату</t>
  </si>
  <si>
    <t>Пример</t>
  </si>
  <si>
    <t>Поставка электрической энергии</t>
  </si>
  <si>
    <t>9020104 5210000190244</t>
  </si>
  <si>
    <t>3235301125818100175</t>
  </si>
  <si>
    <t>АО "НЭСК"</t>
  </si>
  <si>
    <t>Поставка электрической энергии осуществляется постоянно, в течение срока действия контракта</t>
  </si>
  <si>
    <t>До 10 числа расчетного месяца в размере 30%, до 25 числа расчетного месяца 40%, до 18 числа месяца, следующего за расчетным</t>
  </si>
  <si>
    <t>0818300019919000194</t>
  </si>
  <si>
    <t xml:space="preserve">Поставка картриджа и тонер-картриджей </t>
  </si>
  <si>
    <t xml:space="preserve">193235301125823530100103000010000244 </t>
  </si>
  <si>
    <t>902 0113 1210310010 244</t>
  </si>
  <si>
    <t>Нет</t>
  </si>
  <si>
    <t>3235301125819000079</t>
  </si>
  <si>
    <t>Ф.2019.412162</t>
  </si>
  <si>
    <t xml:space="preserve"> ООО "АНАЛИТИК ЦЕНТР" </t>
  </si>
  <si>
    <t>3443923035</t>
  </si>
  <si>
    <t>В течение 20 рабочих дней со дня заключения сторонами муниципального контракта</t>
  </si>
  <si>
    <t>Не позднее 30 календарных дней с момента подписания Заказчиком документа о приемке выполненных работ и представленного Подрядчиком документа на оплату</t>
  </si>
  <si>
    <t>СМП и СОНО                       (да/нет)</t>
  </si>
  <si>
    <t>Иные конкурентные закупки</t>
  </si>
  <si>
    <t>TekStrokaP4</t>
  </si>
  <si>
    <t>TekNomerP4</t>
  </si>
  <si>
    <t>NachStrokaP4</t>
  </si>
  <si>
    <t>NachStrokaP5</t>
  </si>
  <si>
    <t>TekNomerP5</t>
  </si>
  <si>
    <t>TekStrokaP5</t>
  </si>
  <si>
    <t>TekStrokaSt93</t>
  </si>
  <si>
    <t>TekNomerSt93</t>
  </si>
  <si>
    <t>NachStrokaSt93</t>
  </si>
  <si>
    <t>TekStrokaSEA</t>
  </si>
  <si>
    <t>TekNomerSEA</t>
  </si>
  <si>
    <t>NachStrokaSEA</t>
  </si>
  <si>
    <t>TekStrokaNEA</t>
  </si>
  <si>
    <t>TekNomerNEA</t>
  </si>
  <si>
    <t>NachStrokaNEA</t>
  </si>
  <si>
    <t>TekStrokaIKZ</t>
  </si>
  <si>
    <t>TekNomerIKZ</t>
  </si>
  <si>
    <t>NachStrokaIKZ</t>
  </si>
  <si>
    <t xml:space="preserve">Ед. поставщик п.5 ч.1 </t>
  </si>
  <si>
    <t>Изменение контракта (увеличение цены контракта в рублях)</t>
  </si>
  <si>
    <t>Изменение контракта (уменьшение цены контракта в рублях)</t>
  </si>
  <si>
    <t>Сумма расторжения в рублях</t>
  </si>
  <si>
    <t>СМП и СОНО                       (Да/Нет)</t>
  </si>
  <si>
    <t>09.01.2020</t>
  </si>
  <si>
    <t>Index</t>
  </si>
  <si>
    <t>Index+1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</si>
  <si>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</si>
  <si>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</si>
  <si>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</si>
  <si>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</si>
  <si>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</si>
  <si>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</si>
  <si>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</si>
  <si>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</si>
  <si>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</si>
  <si>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</si>
  <si>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</si>
  <si>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</si>
  <si>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</si>
  <si>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</si>
  <si>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</si>
  <si>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</si>
  <si>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</si>
  <si>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</si>
  <si>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</si>
  <si>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</si>
  <si>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</si>
  <si>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</si>
  <si>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</si>
  <si>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</si>
  <si>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</si>
  <si>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</si>
  <si>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</si>
  <si>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Сумма средств выплаченных по контрактам</t>
  </si>
  <si>
    <t>29</t>
  </si>
  <si>
    <t>Сумма начальных (максимальных) цен контрактов</t>
  </si>
  <si>
    <t>п.4 (10% от СГОЗ или 2 000 000)</t>
  </si>
  <si>
    <t>Наименование организации:</t>
  </si>
  <si>
    <t>Расторжение контракта по соглашению сторон</t>
  </si>
  <si>
    <t>Всего</t>
  </si>
  <si>
    <t>Не позднее 30 календарных дней с момента подписания акта приема-сдачи и документа на оплату</t>
  </si>
  <si>
    <t>Контракт заключен в электронном виде посредством                             АИС "Портал поставщиков"   (Да/Нет)</t>
  </si>
  <si>
    <t>ПАО "ТНС энерго Кубань"</t>
  </si>
  <si>
    <t>в течение 30 календарных дней с момента предоставления документов на оплату</t>
  </si>
  <si>
    <t>ИП Калайчев Ш.С.</t>
  </si>
  <si>
    <t>1770</t>
  </si>
  <si>
    <t>АО "АТЭК"</t>
  </si>
  <si>
    <t>б/н</t>
  </si>
  <si>
    <t>ФГКУ "УВО ВНГ России по Краснодарскому краю"</t>
  </si>
  <si>
    <t>№ 47-С</t>
  </si>
  <si>
    <t>ООО "Сигнал"</t>
  </si>
  <si>
    <t>Союз "Тимашевская торгово-промышленная палата"</t>
  </si>
  <si>
    <t>до 31.12.2022</t>
  </si>
  <si>
    <t>услуги связи</t>
  </si>
  <si>
    <t>ПАО "Ростелеком"</t>
  </si>
  <si>
    <t>№ 177</t>
  </si>
  <si>
    <t>№ 14/22</t>
  </si>
  <si>
    <t>ООО "Дезинфекция"</t>
  </si>
  <si>
    <t xml:space="preserve">223235301532623530100100090018010244 </t>
  </si>
  <si>
    <t xml:space="preserve">0818300019922000032 </t>
  </si>
  <si>
    <t xml:space="preserve">Оказание охранных услуг </t>
  </si>
  <si>
    <t>12 апреля 2022г.</t>
  </si>
  <si>
    <t>11 мая 2022г.</t>
  </si>
  <si>
    <t>Тимашевская РО КРО ОО "ВОА"</t>
  </si>
  <si>
    <t>0818300019922000032</t>
  </si>
  <si>
    <t>4 апреля 2022г.</t>
  </si>
  <si>
    <t>ООО "Охранное предприятие "Телохранитель-Секьюрити"</t>
  </si>
  <si>
    <t>Не позднее 10 рабочих дней с момента подписания Заказчиком документа о приемке выполненных работ и представленного Подрядчиком документа на оплату</t>
  </si>
  <si>
    <t>с 05.04.2022г. по 31.12.2022г.</t>
  </si>
  <si>
    <t>30 мая 2022г.</t>
  </si>
  <si>
    <t>3 июня 2022г.</t>
  </si>
  <si>
    <t>10 июня 2022г.</t>
  </si>
  <si>
    <t>22 июня 2022г.</t>
  </si>
  <si>
    <t>08 июля 2022г.</t>
  </si>
  <si>
    <t>12 июля 2022г.</t>
  </si>
  <si>
    <t>6 июля 2022г.</t>
  </si>
  <si>
    <t>2 августа 2022г.</t>
  </si>
  <si>
    <t>4 августа 2022г.</t>
  </si>
  <si>
    <t>08 августа 2022г.</t>
  </si>
  <si>
    <t>7 сентября 2022г.</t>
  </si>
  <si>
    <t>5 сентября 2022г.</t>
  </si>
  <si>
    <t>Поставка нефтепродуктов</t>
  </si>
  <si>
    <t>12 сентября 2022г.</t>
  </si>
  <si>
    <t>14.10.2022г.</t>
  </si>
  <si>
    <t>3 октября 2022г.</t>
  </si>
  <si>
    <t>4 октября 2022г.</t>
  </si>
  <si>
    <t>18 октября 2022г.</t>
  </si>
  <si>
    <t>с 15.10.2022г. по 31.12.2022г.</t>
  </si>
  <si>
    <t>№ 1770</t>
  </si>
  <si>
    <t>Поставка тепловой энергии</t>
  </si>
  <si>
    <t>До 18 числа текущего месяца в размере 30% и до 25 числа следующего месяца за фактически потребленную теплоэнергию</t>
  </si>
  <si>
    <t>ИП Латышев Е.А.</t>
  </si>
  <si>
    <t>7 ноября 2022г.</t>
  </si>
  <si>
    <t>31 октября 2022г.</t>
  </si>
  <si>
    <t>09 ноября 2022г.</t>
  </si>
  <si>
    <t>16 ноября 2022г.</t>
  </si>
  <si>
    <t>13.декабря 2022г.</t>
  </si>
  <si>
    <t>20 декабря 2022г.</t>
  </si>
  <si>
    <t>2 декабря 2022г.</t>
  </si>
  <si>
    <t>30 ноября.2022г.</t>
  </si>
  <si>
    <t>21 декабря 2022г.</t>
  </si>
  <si>
    <t>12 декабря 2022г.</t>
  </si>
  <si>
    <t>223235301532623530100100180018010244</t>
  </si>
  <si>
    <t>08183000199220003360001</t>
  </si>
  <si>
    <t>ООО ЧОО "ЛЕГИОН"</t>
  </si>
  <si>
    <t>С 01.01.2023г. по 19.10.2023г.</t>
  </si>
  <si>
    <t>В течение не более, чем 7 рабочих дней с даты подписания заказчиком документа о приемке</t>
  </si>
  <si>
    <t>№177-Б2</t>
  </si>
  <si>
    <t>29.12.2022г.</t>
  </si>
  <si>
    <t>Услуги связи</t>
  </si>
  <si>
    <t>7707049388</t>
  </si>
  <si>
    <t>с 01.01.2023г. по 31.12.2023г.</t>
  </si>
  <si>
    <t>в течение 10 рабочих дней с даты подписания Абонентом акта оказанных услуг</t>
  </si>
  <si>
    <t>№ 19576/ТМ</t>
  </si>
  <si>
    <t>30.12.2022г.</t>
  </si>
  <si>
    <t>Услуги по обращению с твердыми  коммунальными отходами</t>
  </si>
  <si>
    <t>АО                                  " Мусороуборочная компания"</t>
  </si>
  <si>
    <t>Услуги по холодному водоснабжению</t>
  </si>
  <si>
    <t>МУП ЖКХ "Поселковое"</t>
  </si>
  <si>
    <t>До 10 числа месяца, следующего за месяцем, в котором была оказана услуга</t>
  </si>
  <si>
    <t xml:space="preserve">с 01.01.2023г. по         31.12.2023г. </t>
  </si>
  <si>
    <t xml:space="preserve">До 18 числа текущего месяца 30%, за фактически потребленную до 25 числа месяца,следующего за расчетным </t>
  </si>
  <si>
    <t>№ 14/23</t>
  </si>
  <si>
    <t>31.12.2022г.</t>
  </si>
  <si>
    <t>Услуги по дератизации,  дезинсекции</t>
  </si>
  <si>
    <t>с 31.12.2022г. по 31.12.2023г.</t>
  </si>
  <si>
    <t>Поквартально, в течение 10 рабочих дней с момента подписания акта оказанных услуг</t>
  </si>
  <si>
    <t>Электрическая энергия</t>
  </si>
  <si>
    <t>30% до 10 числа месяца, 40% до 25 числа месяца, остальное-до 18 числа месяца</t>
  </si>
  <si>
    <t>Охрана объекта с использованием кнопки тревожной сигнализации</t>
  </si>
  <si>
    <t>№ 34000846</t>
  </si>
  <si>
    <t>в течение 10 рабочих дней с даты подписания документов о приемке оказанных услуг</t>
  </si>
  <si>
    <t>№ 23070500354</t>
  </si>
  <si>
    <t>01.01.2023г.</t>
  </si>
  <si>
    <t>Услуги по техническому обслуживанию объектов станции системы пожарного мониторинга ПАК "Стрелец-мониторинг"</t>
  </si>
  <si>
    <t>2353002302</t>
  </si>
  <si>
    <t>в течение 10 рабочих дней с даты подписания Сторонами акта сдачи-приемки выполненных работ</t>
  </si>
  <si>
    <t>№ 47</t>
  </si>
  <si>
    <t>Услуги по техническому обслуживанию автоматических установок пожарной сигнализации</t>
  </si>
  <si>
    <t>Услуги за предоставления места для стоянки автобусов</t>
  </si>
  <si>
    <t>2353017179</t>
  </si>
  <si>
    <t>№ ДГ-23/77</t>
  </si>
  <si>
    <t>Услуги по техническому сопровождению транспортных средств</t>
  </si>
  <si>
    <t>2369000660</t>
  </si>
  <si>
    <t>ООО "КАНкорт"</t>
  </si>
  <si>
    <t>№ 23</t>
  </si>
  <si>
    <t>с 01.01.2023г. по 31.05.2023г.</t>
  </si>
  <si>
    <t>в течение 10 рабочих дней с даты получения от Поставщика документов о поставке товара и счета на оплату</t>
  </si>
  <si>
    <t>№ 08-04/2023</t>
  </si>
  <si>
    <t>26.01.2023г.</t>
  </si>
  <si>
    <t>Услуги по оценке рыночной стоимости права аренды муниципального имущества</t>
  </si>
  <si>
    <t>с 26.01.2023г. по 01.03.2023г.</t>
  </si>
  <si>
    <t>в течение 10 рабочих дней с даты подписания акта сдачи-приемки оказанных услуг и выставления Исполнителем счета на оплату</t>
  </si>
  <si>
    <t>27.01.2023г.</t>
  </si>
  <si>
    <t>Поставка товара (дез.средства, хоз.товары)</t>
  </si>
  <si>
    <t>с 27.01.2023г. по 31.12.2023г.</t>
  </si>
  <si>
    <t>Услуги по выполнению  предрейсового и послерейсового медосмотра водителей и техосмотра автобусов</t>
  </si>
  <si>
    <t>в течение 10 рабочих дней с момента выставления счета и акта выполненных работ</t>
  </si>
  <si>
    <t>17 января 2023г.</t>
  </si>
  <si>
    <t>30 декабря 2022г.</t>
  </si>
  <si>
    <t>18 января 2023г.</t>
  </si>
  <si>
    <t>31 декабря 2022г.</t>
  </si>
  <si>
    <t>25 января 2023г.</t>
  </si>
  <si>
    <t>26 января 2023г.</t>
  </si>
  <si>
    <t>01 января 2023г.</t>
  </si>
  <si>
    <t>Допсоглашение о расторжении от 09.01.2023г.</t>
  </si>
  <si>
    <t>№ 22</t>
  </si>
  <si>
    <t>01.09.2022г.</t>
  </si>
  <si>
    <t>Поставка нефтепродуков</t>
  </si>
  <si>
    <t>с 01.09.2022г. по 31.12.2022г.</t>
  </si>
  <si>
    <t>в течение 10 рабочих дней с даты  получения документов о поставке товара</t>
  </si>
  <si>
    <t>11 октября 2022г.</t>
  </si>
  <si>
    <t>11 ноября 2022г.</t>
  </si>
  <si>
    <t>06 декабря 2022г.</t>
  </si>
  <si>
    <t>24 января2023г.</t>
  </si>
  <si>
    <t>№ 14</t>
  </si>
  <si>
    <t>Неисключительное право использования программы для ЭВМ</t>
  </si>
  <si>
    <t>234602203000</t>
  </si>
  <si>
    <t>ИП Архангельский А.А.</t>
  </si>
  <si>
    <t>в течение 7 рабочих дней со дня подписания акта оказанных услуг</t>
  </si>
  <si>
    <t>№ 14-И</t>
  </si>
  <si>
    <t>09.01.2023г.</t>
  </si>
  <si>
    <t>Услуги по организации горячего питания детей инвалидов (набор продуктов питания)</t>
  </si>
  <si>
    <t>2353020735</t>
  </si>
  <si>
    <t>ООО "Тимашевское ПРТ райпо"</t>
  </si>
  <si>
    <t>с 09.01.2023г. по 19.05.2023г.</t>
  </si>
  <si>
    <t>в течение 10 рабочих дней с момента подписания Заказчиком акта оказанных услуг</t>
  </si>
  <si>
    <t>№ 15-И</t>
  </si>
  <si>
    <t>Услуги по организации горячего питания детей инвалидов (услуги по приготовлению)</t>
  </si>
  <si>
    <t>№ 14 ОВЗ</t>
  </si>
  <si>
    <t>Услуги по организации горячего питания детей  с ОВЗ (набор продуктов питания)</t>
  </si>
  <si>
    <t>№ 15</t>
  </si>
  <si>
    <t>Услуги по организации горячего питания детей с ОВЗ (услуги по приготовлению)</t>
  </si>
  <si>
    <t xml:space="preserve">№ 5 </t>
  </si>
  <si>
    <t>в течение 10 рабочих дней с даты получения от  Поставщика документов о поставке товара и счета на оплату</t>
  </si>
  <si>
    <t>№ 14/2</t>
  </si>
  <si>
    <t>№ 4</t>
  </si>
  <si>
    <t>Услуги по организации горячего питания детей 1-4 кл. (набор продуктов питания)</t>
  </si>
  <si>
    <t>с 09.01.2023г. по 24.03.2023г.</t>
  </si>
  <si>
    <t>Услуги по организации горячего питания детей 1-4 кл. (услуги по приготовлению)</t>
  </si>
  <si>
    <t>Услуги по организации горячего питания детей 5-11 кл. (многодетные семьи)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</si>
</sst>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7" formatCode="#,##0.00\ &quot;₽&quot;;\-#,##0.00\ &quot;₽&quot;"/>
    <numFmt numFmtId="164" formatCode="#,##0.00\ &quot;₽&quot;"/>
    <numFmt numFmtId="165" formatCode="[$-F800]dddd\,\ mmmm\ dd\,\ yyyy"/>
    <numFmt numFmtId="166" formatCode="#,##0.00&quot;р.&quot;"/>
    <numFmt numFmtId="167" formatCode="0_ ;\-0\ "/>
    <numFmt numFmtId="168" formatCode="#,##0.00_ ;\-#,##0.00\ "/>
    <numFmt numFmtId="169" formatCode="dd/mm/yyyy"/>
  </numFmts>
  <fonts count="17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20"/>
      <color theme="1"/>
      <name val="Times New Roman"/>
      <family val="2"/>
      <charset val="204"/>
    </font>
    <font>
      <b/>
      <sz val="12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6"/>
      <name val="Times New Roman"/>
      <family val="1"/>
      <charset val="204"/>
    </font>
    <font>
      <sz val="16"/>
      <color theme="1"/>
      <name val="Times New Roman"/>
      <family val="2"/>
      <charset val="204"/>
    </font>
    <font>
      <b/>
      <sz val="16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u/>
      <sz val="11"/>
      <color theme="10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i/>
      <sz val="14"/>
      <color theme="1"/>
      <name val="Times New Roman"/>
      <family val="1"/>
      <charset val="204"/>
    </font>
  </fonts>
  <fills count="19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9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2" fillId="0" borderId="0" applyNumberFormat="0" applyFill="0" applyBorder="0" applyAlignment="0" applyProtection="0"/>
  </cellStyleXfs>
  <cellXfs count="33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66" fontId="3" fillId="0" borderId="6" xfId="0" applyNumberFormat="1" applyFont="1" applyBorder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 wrapText="1"/>
    </xf>
    <xf numFmtId="166" fontId="4" fillId="0" borderId="6" xfId="0" applyNumberFormat="1" applyFont="1" applyBorder="1" applyAlignment="1">
      <alignment horizontal="center" vertical="center" wrapText="1"/>
    </xf>
    <xf numFmtId="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64" fontId="1" fillId="0" borderId="0" xfId="0" applyNumberFormat="1" applyFont="1" applyAlignment="1">
      <alignment horizontal="center" vertical="center" wrapText="1"/>
    </xf>
    <xf numFmtId="165" fontId="1" fillId="0" borderId="0" xfId="0" applyNumberFormat="1" applyFont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4" borderId="0" xfId="0" applyFont="1" applyFill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4" fontId="3" fillId="0" borderId="0" xfId="0" applyNumberFormat="1" applyFont="1" applyAlignment="1">
      <alignment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165" fontId="1" fillId="3" borderId="1" xfId="0" applyNumberFormat="1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165" fontId="1" fillId="2" borderId="13" xfId="0" applyNumberFormat="1" applyFont="1" applyFill="1" applyBorder="1" applyAlignment="1">
      <alignment horizontal="center" vertical="center" wrapText="1"/>
    </xf>
    <xf numFmtId="49" fontId="1" fillId="2" borderId="13" xfId="0" applyNumberFormat="1" applyFont="1" applyFill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7" fontId="1" fillId="0" borderId="0" xfId="0" applyNumberFormat="1" applyFont="1" applyAlignment="1">
      <alignment horizontal="center" vertical="center" wrapText="1"/>
    </xf>
    <xf numFmtId="7" fontId="1" fillId="2" borderId="1" xfId="0" applyNumberFormat="1" applyFont="1" applyFill="1" applyBorder="1" applyAlignment="1">
      <alignment horizontal="center" vertical="center" wrapText="1"/>
    </xf>
    <xf numFmtId="7" fontId="1" fillId="3" borderId="1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2" fontId="1" fillId="3" borderId="1" xfId="0" applyNumberFormat="1" applyFont="1" applyFill="1" applyBorder="1" applyAlignment="1">
      <alignment horizontal="center" vertical="center" wrapText="1"/>
    </xf>
    <xf numFmtId="0" fontId="13" fillId="0" borderId="0" xfId="1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3" fillId="0" borderId="0" xfId="4" applyFont="1" applyAlignment="1">
      <alignment horizontal="center" vertical="center" wrapText="1"/>
    </xf>
    <xf numFmtId="0" fontId="13" fillId="0" borderId="0" xfId="6" applyFont="1" applyBorder="1" applyAlignment="1">
      <alignment horizontal="center" vertical="center" wrapText="1"/>
    </xf>
    <xf numFmtId="0" fontId="15" fillId="0" borderId="0" xfId="1" applyFont="1" applyAlignment="1">
      <alignment horizontal="center" vertical="center" wrapText="1"/>
    </xf>
    <xf numFmtId="0" fontId="13" fillId="5" borderId="1" xfId="4" applyFont="1" applyFill="1" applyBorder="1" applyAlignment="1">
      <alignment horizontal="center" vertical="center" wrapText="1"/>
    </xf>
    <xf numFmtId="0" fontId="13" fillId="5" borderId="1" xfId="1" applyFont="1" applyFill="1" applyBorder="1" applyAlignment="1">
      <alignment horizontal="center" vertical="center" wrapText="1"/>
    </xf>
    <xf numFmtId="0" fontId="13" fillId="6" borderId="1" xfId="4" applyFont="1" applyFill="1" applyBorder="1" applyAlignment="1">
      <alignment horizontal="center" vertical="center" wrapText="1"/>
    </xf>
    <xf numFmtId="0" fontId="13" fillId="6" borderId="1" xfId="1" applyFont="1" applyFill="1" applyBorder="1" applyAlignment="1">
      <alignment horizontal="center" vertical="center" wrapText="1"/>
    </xf>
    <xf numFmtId="0" fontId="13" fillId="7" borderId="1" xfId="4" applyFont="1" applyFill="1" applyBorder="1" applyAlignment="1">
      <alignment horizontal="center" vertical="center" wrapText="1"/>
    </xf>
    <xf numFmtId="0" fontId="13" fillId="7" borderId="1" xfId="1" applyFont="1" applyFill="1" applyBorder="1" applyAlignment="1">
      <alignment horizontal="center" vertical="center" wrapText="1"/>
    </xf>
    <xf numFmtId="0" fontId="13" fillId="8" borderId="1" xfId="4" applyFont="1" applyFill="1" applyBorder="1" applyAlignment="1">
      <alignment horizontal="center" vertical="center" wrapText="1"/>
    </xf>
    <xf numFmtId="0" fontId="13" fillId="8" borderId="1" xfId="1" applyFont="1" applyFill="1" applyBorder="1" applyAlignment="1">
      <alignment horizontal="center" vertical="center" wrapText="1"/>
    </xf>
    <xf numFmtId="0" fontId="13" fillId="9" borderId="1" xfId="4" applyFont="1" applyFill="1" applyBorder="1" applyAlignment="1">
      <alignment horizontal="center" vertical="center" wrapText="1"/>
    </xf>
    <xf numFmtId="0" fontId="13" fillId="9" borderId="1" xfId="1" applyFont="1" applyFill="1" applyBorder="1" applyAlignment="1">
      <alignment horizontal="center" vertical="center" wrapText="1"/>
    </xf>
    <xf numFmtId="0" fontId="13" fillId="10" borderId="1" xfId="1" applyFont="1" applyFill="1" applyBorder="1" applyAlignment="1">
      <alignment horizontal="center" vertical="center" wrapText="1"/>
    </xf>
    <xf numFmtId="0" fontId="13" fillId="10" borderId="1" xfId="4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165" fontId="1" fillId="2" borderId="14" xfId="0" applyNumberFormat="1" applyFont="1" applyFill="1" applyBorder="1" applyAlignment="1">
      <alignment horizontal="center" vertical="center" wrapText="1"/>
    </xf>
    <xf numFmtId="49" fontId="1" fillId="2" borderId="14" xfId="0" applyNumberFormat="1" applyFont="1" applyFill="1" applyBorder="1" applyAlignment="1">
      <alignment horizontal="center" vertical="center" wrapText="1"/>
    </xf>
    <xf numFmtId="7" fontId="1" fillId="2" borderId="14" xfId="0" applyNumberFormat="1" applyFont="1" applyFill="1" applyBorder="1" applyAlignment="1">
      <alignment horizontal="center" vertical="center" wrapText="1"/>
    </xf>
    <xf numFmtId="164" fontId="1" fillId="2" borderId="14" xfId="0" applyNumberFormat="1" applyFont="1" applyFill="1" applyBorder="1" applyAlignment="1">
      <alignment horizontal="center" vertical="center" wrapText="1"/>
    </xf>
    <xf numFmtId="49" fontId="1" fillId="3" borderId="14" xfId="0" applyNumberFormat="1" applyFont="1" applyFill="1" applyBorder="1" applyAlignment="1">
      <alignment horizontal="center" vertical="center" wrapText="1"/>
    </xf>
    <xf numFmtId="165" fontId="1" fillId="3" borderId="14" xfId="0" applyNumberFormat="1" applyFont="1" applyFill="1" applyBorder="1" applyAlignment="1">
      <alignment horizontal="center" vertical="center" wrapText="1"/>
    </xf>
    <xf numFmtId="164" fontId="1" fillId="3" borderId="14" xfId="0" applyNumberFormat="1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167" fontId="1" fillId="3" borderId="1" xfId="0" applyNumberFormat="1" applyFont="1" applyFill="1" applyBorder="1" applyAlignment="1">
      <alignment horizontal="center" vertical="center" wrapText="1"/>
    </xf>
    <xf numFmtId="14" fontId="1" fillId="3" borderId="1" xfId="0" applyNumberFormat="1" applyFont="1" applyFill="1" applyBorder="1" applyAlignment="1">
      <alignment horizontal="center" vertical="center" wrapText="1"/>
    </xf>
    <xf numFmtId="49" fontId="1" fillId="0" borderId="14" xfId="0" applyNumberFormat="1" applyFont="1" applyBorder="1" applyAlignment="1">
      <alignment horizontal="center" vertical="center" wrapText="1"/>
    </xf>
    <xf numFmtId="168" fontId="1" fillId="3" borderId="14" xfId="0" applyNumberFormat="1" applyFont="1" applyFill="1" applyBorder="1" applyAlignment="1">
      <alignment horizontal="center" vertical="center" wrapText="1"/>
    </xf>
    <xf numFmtId="0" fontId="13" fillId="10" borderId="14" xfId="1" applyFont="1" applyFill="1" applyBorder="1" applyAlignment="1">
      <alignment horizontal="center" vertical="center" wrapText="1"/>
    </xf>
    <xf numFmtId="0" fontId="13" fillId="6" borderId="14" xfId="1" applyFont="1" applyFill="1" applyBorder="1" applyAlignment="1">
      <alignment horizontal="center" vertical="center" wrapText="1"/>
    </xf>
    <xf numFmtId="0" fontId="13" fillId="7" borderId="14" xfId="1" applyFont="1" applyFill="1" applyBorder="1" applyAlignment="1">
      <alignment horizontal="center" vertical="center" wrapText="1"/>
    </xf>
    <xf numFmtId="0" fontId="13" fillId="9" borderId="14" xfId="1" applyFont="1" applyFill="1" applyBorder="1" applyAlignment="1">
      <alignment horizontal="center" vertical="center" wrapText="1"/>
    </xf>
    <xf numFmtId="0" fontId="13" fillId="8" borderId="14" xfId="1" applyFont="1" applyFill="1" applyBorder="1" applyAlignment="1">
      <alignment horizontal="center" vertical="center" wrapText="1"/>
    </xf>
    <xf numFmtId="0" fontId="13" fillId="5" borderId="14" xfId="1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7" fontId="1" fillId="11" borderId="6" xfId="0" applyNumberFormat="1" applyFont="1" applyFill="1" applyBorder="1" applyAlignment="1">
      <alignment horizontal="center" vertical="center" wrapText="1"/>
    </xf>
    <xf numFmtId="7" fontId="1" fillId="13" borderId="6" xfId="0" applyNumberFormat="1" applyFont="1" applyFill="1" applyBorder="1" applyAlignment="1">
      <alignment horizontal="center" vertical="center" wrapText="1"/>
    </xf>
    <xf numFmtId="164" fontId="1" fillId="2" borderId="13" xfId="0" applyNumberFormat="1" applyFont="1" applyFill="1" applyBorder="1" applyAlignment="1">
      <alignment horizontal="center" vertical="center" wrapText="1"/>
    </xf>
    <xf numFmtId="49" fontId="1" fillId="3" borderId="15" xfId="0" applyNumberFormat="1" applyFont="1" applyFill="1" applyBorder="1" applyAlignment="1">
      <alignment horizontal="center" vertical="center" wrapText="1"/>
    </xf>
    <xf numFmtId="165" fontId="1" fillId="3" borderId="15" xfId="0" applyNumberFormat="1" applyFont="1" applyFill="1" applyBorder="1" applyAlignment="1">
      <alignment horizontal="center" vertical="center" wrapText="1"/>
    </xf>
    <xf numFmtId="164" fontId="1" fillId="3" borderId="15" xfId="0" applyNumberFormat="1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14" fontId="1" fillId="3" borderId="15" xfId="0" applyNumberFormat="1" applyFont="1" applyFill="1" applyBorder="1" applyAlignment="1">
      <alignment horizontal="center" vertical="center" wrapText="1"/>
    </xf>
    <xf numFmtId="1" fontId="1" fillId="3" borderId="15" xfId="0" applyNumberFormat="1" applyFont="1" applyFill="1" applyBorder="1" applyAlignment="1">
      <alignment horizontal="center" vertical="center" wrapText="1"/>
    </xf>
    <xf numFmtId="2" fontId="1" fillId="3" borderId="14" xfId="0" applyNumberFormat="1" applyFont="1" applyFill="1" applyBorder="1" applyAlignment="1">
      <alignment horizontal="center" vertical="center" wrapText="1"/>
    </xf>
    <xf numFmtId="164" fontId="1" fillId="14" borderId="6" xfId="0" applyNumberFormat="1" applyFont="1" applyFill="1" applyBorder="1" applyAlignment="1">
      <alignment horizontal="center" vertical="center" wrapText="1"/>
    </xf>
    <xf numFmtId="4" fontId="3" fillId="0" borderId="6" xfId="0" applyNumberFormat="1" applyFont="1" applyBorder="1" applyAlignment="1">
      <alignment horizontal="center" vertical="center" wrapText="1"/>
    </xf>
    <xf numFmtId="164" fontId="1" fillId="16" borderId="6" xfId="0" applyNumberFormat="1" applyFont="1" applyFill="1" applyBorder="1" applyAlignment="1">
      <alignment horizontal="center" vertical="center" wrapText="1"/>
    </xf>
    <xf numFmtId="49" fontId="1" fillId="10" borderId="3" xfId="0" applyNumberFormat="1" applyFont="1" applyFill="1" applyBorder="1" applyAlignment="1">
      <alignment horizontal="center" vertical="center" wrapText="1"/>
    </xf>
    <xf numFmtId="4" fontId="1" fillId="3" borderId="14" xfId="0" applyNumberFormat="1" applyFont="1" applyFill="1" applyBorder="1" applyAlignment="1">
      <alignment horizontal="center" vertical="center" wrapText="1"/>
    </xf>
    <xf numFmtId="0" fontId="1" fillId="18" borderId="0" xfId="0" applyFont="1" applyFill="1" applyAlignment="1">
      <alignment horizontal="center" vertical="center" wrapText="1"/>
    </xf>
    <xf numFmtId="14" fontId="1" fillId="18" borderId="20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1" xfId="0" applyNumberFormat="1" applyFont="1" applyFill="1" applyBorder="1" applyAlignment="1">
      <alignment horizontal="center" vertical="center" wrapText="1"/>
    </xf>
    <xf numFmtId="49" fontId="1" fillId="18" borderId="21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1" xfId="0" applyNumberFormat="1" applyFont="1" applyFill="1" applyBorder="1" applyAlignment="1">
      <alignment horizontal="center" vertical="center" wrapText="1"/>
    </xf>
    <xf numFmtId="0" fontId="1" fillId="18" borderId="21" xfId="0" applyFont="1" applyFill="1" applyBorder="1" applyAlignment="1" applyProtection="1">
      <alignment horizontal="center" vertical="center" wrapText="1"/>
      <protection locked="0"/>
    </xf>
    <xf numFmtId="14" fontId="1" fillId="18" borderId="21" xfId="0" applyNumberFormat="1" applyFont="1" applyFill="1" applyBorder="1" applyAlignment="1" applyProtection="1">
      <alignment horizontal="center" vertical="center" wrapText="1"/>
      <protection locked="0"/>
    </xf>
    <xf numFmtId="165" fontId="16" fillId="18" borderId="21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21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23" xfId="0" applyNumberFormat="1" applyFont="1" applyBorder="1" applyAlignment="1" applyProtection="1">
      <alignment horizontal="center" vertical="center" wrapText="1"/>
      <protection locked="0"/>
    </xf>
    <xf numFmtId="165" fontId="1" fillId="0" borderId="23" xfId="0" applyNumberFormat="1" applyFont="1" applyBorder="1" applyAlignment="1" applyProtection="1">
      <alignment horizontal="center" vertical="center" wrapText="1"/>
      <protection locked="0"/>
    </xf>
    <xf numFmtId="49" fontId="1" fillId="0" borderId="23" xfId="0" applyNumberFormat="1" applyFont="1" applyBorder="1" applyAlignment="1" applyProtection="1">
      <alignment horizontal="center" vertical="center" wrapText="1"/>
      <protection locked="0"/>
    </xf>
    <xf numFmtId="4" fontId="1" fillId="0" borderId="24" xfId="0" applyNumberFormat="1" applyFont="1" applyBorder="1" applyAlignment="1" applyProtection="1">
      <alignment horizontal="center" vertical="center" wrapText="1"/>
      <protection locked="0"/>
    </xf>
    <xf numFmtId="165" fontId="1" fillId="0" borderId="24" xfId="0" applyNumberFormat="1" applyFont="1" applyBorder="1" applyAlignment="1" applyProtection="1">
      <alignment horizontal="center" vertical="center" wrapText="1"/>
      <protection locked="0"/>
    </xf>
    <xf numFmtId="49" fontId="1" fillId="0" borderId="24" xfId="0" applyNumberFormat="1" applyFont="1" applyBorder="1" applyAlignment="1" applyProtection="1">
      <alignment horizontal="center" vertical="center" wrapText="1"/>
      <protection locked="0"/>
    </xf>
    <xf numFmtId="14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23" xfId="0" applyNumberFormat="1" applyFont="1" applyBorder="1" applyAlignment="1" applyProtection="1">
      <alignment horizontal="center" vertical="center" wrapText="1"/>
      <protection locked="0"/>
    </xf>
    <xf numFmtId="14" fontId="1" fillId="0" borderId="24" xfId="0" applyNumberFormat="1" applyFont="1" applyBorder="1" applyAlignment="1" applyProtection="1">
      <alignment horizontal="center" vertical="center" wrapText="1"/>
      <protection locked="0"/>
    </xf>
    <xf numFmtId="0" fontId="1" fillId="18" borderId="25" xfId="0" applyFont="1" applyFill="1" applyBorder="1" applyAlignment="1" applyProtection="1">
      <alignment horizontal="center" vertical="center" wrapText="1"/>
      <protection locked="0"/>
    </xf>
    <xf numFmtId="2" fontId="1" fillId="18" borderId="21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5" xfId="0" applyNumberFormat="1" applyFont="1" applyFill="1" applyBorder="1" applyAlignment="1">
      <alignment horizontal="center" vertical="center" wrapText="1"/>
    </xf>
    <xf numFmtId="49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5" xfId="0" applyNumberFormat="1" applyFont="1" applyFill="1" applyBorder="1" applyAlignment="1">
      <alignment horizontal="center" vertical="center" wrapText="1"/>
    </xf>
    <xf numFmtId="167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1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165" fontId="16" fillId="18" borderId="25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27" xfId="0" applyNumberFormat="1" applyFont="1" applyBorder="1" applyAlignment="1" applyProtection="1">
      <alignment horizontal="center" vertical="center" wrapText="1"/>
      <protection locked="0"/>
    </xf>
    <xf numFmtId="49" fontId="1" fillId="0" borderId="27" xfId="0" applyNumberFormat="1" applyFont="1" applyBorder="1" applyAlignment="1" applyProtection="1">
      <alignment horizontal="center" vertical="center" wrapText="1"/>
      <protection locked="0"/>
    </xf>
    <xf numFmtId="4" fontId="1" fillId="0" borderId="28" xfId="0" applyNumberFormat="1" applyFont="1" applyBorder="1" applyAlignment="1" applyProtection="1">
      <alignment horizontal="center" vertical="center" wrapText="1"/>
      <protection locked="0"/>
    </xf>
    <xf numFmtId="49" fontId="1" fillId="0" borderId="28" xfId="0" applyNumberFormat="1" applyFont="1" applyBorder="1" applyAlignment="1" applyProtection="1">
      <alignment horizontal="center" vertical="center" wrapText="1"/>
      <protection locked="0"/>
    </xf>
    <xf numFmtId="14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27" xfId="0" applyNumberFormat="1" applyFont="1" applyBorder="1" applyAlignment="1" applyProtection="1">
      <alignment horizontal="center" vertical="center" wrapText="1"/>
      <protection locked="0"/>
    </xf>
    <xf numFmtId="14" fontId="1" fillId="0" borderId="28" xfId="0" applyNumberFormat="1" applyFont="1" applyBorder="1" applyAlignment="1" applyProtection="1">
      <alignment horizontal="center" vertical="center" wrapText="1"/>
      <protection locked="0"/>
    </xf>
    <xf numFmtId="165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28" xfId="0" applyNumberFormat="1" applyFont="1" applyBorder="1" applyAlignment="1" applyProtection="1">
      <alignment horizontal="center" vertical="center" wrapText="1"/>
      <protection locked="0"/>
    </xf>
    <xf numFmtId="165" fontId="1" fillId="0" borderId="27" xfId="0" applyNumberFormat="1" applyFont="1" applyBorder="1" applyAlignment="1" applyProtection="1">
      <alignment horizontal="center" vertical="center" wrapText="1"/>
      <protection locked="0"/>
    </xf>
    <xf numFmtId="49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28" xfId="0" applyFont="1" applyFill="1" applyBorder="1" applyAlignment="1" applyProtection="1">
      <alignment horizontal="center" vertical="center" wrapText="1"/>
      <protection locked="0"/>
    </xf>
    <xf numFmtId="49" fontId="1" fillId="18" borderId="28" xfId="0" applyNumberFormat="1" applyFont="1" applyFill="1" applyBorder="1" applyAlignment="1">
      <alignment horizontal="center" vertical="center" wrapText="1"/>
    </xf>
    <xf numFmtId="165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8" xfId="0" applyNumberFormat="1" applyFont="1" applyFill="1" applyBorder="1" applyAlignment="1">
      <alignment horizontal="center" vertical="center" wrapText="1"/>
    </xf>
    <xf numFmtId="167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Alignment="1">
      <alignment horizontal="center" vertical="center" wrapText="1"/>
    </xf>
    <xf numFmtId="4" fontId="1" fillId="18" borderId="29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9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9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30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30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30" xfId="0" applyNumberFormat="1" applyFont="1" applyFill="1" applyBorder="1" applyAlignment="1" applyProtection="1">
      <alignment horizontal="center" vertical="center" wrapText="1"/>
      <protection locked="0"/>
    </xf>
    <xf numFmtId="169" fontId="1" fillId="18" borderId="29" xfId="0" applyNumberFormat="1" applyFont="1" applyFill="1" applyBorder="1" applyAlignment="1" applyProtection="1">
      <alignment horizontal="center" vertical="center" wrapText="1"/>
      <protection locked="0"/>
    </xf>
    <xf numFmtId="169" fontId="1" fillId="0" borderId="30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31" xfId="0" applyNumberFormat="1" applyFont="1" applyBorder="1" applyAlignment="1" applyProtection="1">
      <alignment horizontal="center" vertical="center" wrapText="1"/>
      <protection locked="0"/>
    </xf>
    <xf numFmtId="165" fontId="1" fillId="0" borderId="31" xfId="0" applyNumberFormat="1" applyFont="1" applyBorder="1" applyAlignment="1" applyProtection="1">
      <alignment horizontal="center" vertical="center" wrapText="1"/>
      <protection locked="0"/>
    </xf>
    <xf numFmtId="49" fontId="1" fillId="0" borderId="31" xfId="0" applyNumberFormat="1" applyFont="1" applyBorder="1" applyAlignment="1" applyProtection="1">
      <alignment horizontal="center" vertical="center" wrapText="1"/>
      <protection locked="0"/>
    </xf>
    <xf numFmtId="169" fontId="1" fillId="0" borderId="31" xfId="0" applyNumberFormat="1" applyFont="1" applyBorder="1" applyAlignment="1" applyProtection="1">
      <alignment horizontal="center" vertical="center" wrapText="1"/>
      <protection locked="0"/>
    </xf>
    <xf numFmtId="49" fontId="1" fillId="18" borderId="2" xfId="0" applyNumberFormat="1" applyFont="1" applyFill="1" applyBorder="1" applyAlignment="1">
      <alignment horizontal="center" vertical="center" wrapText="1"/>
    </xf>
    <xf numFmtId="49" fontId="1" fillId="18" borderId="2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" xfId="0" applyNumberFormat="1" applyFont="1" applyFill="1" applyBorder="1" applyAlignment="1">
      <alignment horizontal="center" vertical="center" wrapText="1"/>
    </xf>
    <xf numFmtId="167" fontId="1" fillId="18" borderId="2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2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2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2" xfId="0" applyFont="1" applyFill="1" applyBorder="1" applyAlignment="1" applyProtection="1">
      <alignment horizontal="center" vertical="center" wrapText="1"/>
      <protection locked="0"/>
    </xf>
    <xf numFmtId="169" fontId="1" fillId="0" borderId="31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31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31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31" xfId="0" applyNumberFormat="1" applyFont="1" applyFill="1" applyBorder="1" applyAlignment="1" applyProtection="1">
      <alignment horizontal="center" vertical="center" wrapText="1"/>
      <protection locked="0"/>
    </xf>
    <xf numFmtId="169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0" xfId="0" applyFont="1" applyFill="1" applyAlignment="1" applyProtection="1">
      <alignment horizontal="center" vertical="center" wrapText="1"/>
      <protection locked="0"/>
    </xf>
    <xf numFmtId="14" fontId="1" fillId="18" borderId="2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0" fontId="2" fillId="17" borderId="3" xfId="0" applyFont="1" applyFill="1" applyBorder="1" applyAlignment="1">
      <alignment horizontal="center" vertical="center" wrapText="1"/>
    </xf>
    <xf numFmtId="0" fontId="2" fillId="17" borderId="4" xfId="0" applyFont="1" applyFill="1" applyBorder="1" applyAlignment="1">
      <alignment horizontal="center" vertical="center" wrapText="1"/>
    </xf>
    <xf numFmtId="0" fontId="2" fillId="17" borderId="5" xfId="0" applyFont="1" applyFill="1" applyBorder="1" applyAlignment="1">
      <alignment horizontal="center" vertical="center" wrapText="1"/>
    </xf>
    <xf numFmtId="0" fontId="8" fillId="12" borderId="8" xfId="0" applyFont="1" applyFill="1" applyBorder="1" applyAlignment="1">
      <alignment horizontal="center" vertical="center" wrapText="1"/>
    </xf>
    <xf numFmtId="0" fontId="8" fillId="12" borderId="9" xfId="0" applyFont="1" applyFill="1" applyBorder="1" applyAlignment="1">
      <alignment horizontal="center" vertical="center" wrapText="1"/>
    </xf>
    <xf numFmtId="0" fontId="8" fillId="12" borderId="10" xfId="0" applyFont="1" applyFill="1" applyBorder="1" applyAlignment="1">
      <alignment horizontal="center" vertical="center" wrapText="1"/>
    </xf>
    <xf numFmtId="0" fontId="8" fillId="12" borderId="11" xfId="0" applyFont="1" applyFill="1" applyBorder="1" applyAlignment="1">
      <alignment horizontal="center" vertical="center" wrapText="1"/>
    </xf>
    <xf numFmtId="0" fontId="8" fillId="12" borderId="7" xfId="0" applyFont="1" applyFill="1" applyBorder="1" applyAlignment="1">
      <alignment horizontal="center" vertical="center" wrapText="1"/>
    </xf>
    <xf numFmtId="0" fontId="8" fillId="12" borderId="12" xfId="0" applyFont="1" applyFill="1" applyBorder="1" applyAlignment="1">
      <alignment horizontal="center" vertical="center" wrapText="1"/>
    </xf>
    <xf numFmtId="164" fontId="9" fillId="2" borderId="8" xfId="0" applyNumberFormat="1" applyFont="1" applyFill="1" applyBorder="1" applyAlignment="1">
      <alignment horizontal="center" vertical="center" wrapText="1"/>
    </xf>
    <xf numFmtId="164" fontId="9" fillId="2" borderId="9" xfId="0" applyNumberFormat="1" applyFont="1" applyFill="1" applyBorder="1" applyAlignment="1">
      <alignment horizontal="center" vertical="center" wrapText="1"/>
    </xf>
    <xf numFmtId="164" fontId="9" fillId="2" borderId="10" xfId="0" applyNumberFormat="1" applyFont="1" applyFill="1" applyBorder="1" applyAlignment="1">
      <alignment horizontal="center" vertical="center" wrapText="1"/>
    </xf>
    <xf numFmtId="164" fontId="9" fillId="2" borderId="11" xfId="0" applyNumberFormat="1" applyFont="1" applyFill="1" applyBorder="1" applyAlignment="1">
      <alignment horizontal="center" vertical="center" wrapText="1"/>
    </xf>
    <xf numFmtId="164" fontId="9" fillId="2" borderId="7" xfId="0" applyNumberFormat="1" applyFont="1" applyFill="1" applyBorder="1" applyAlignment="1">
      <alignment horizontal="center" vertical="center" wrapText="1"/>
    </xf>
    <xf numFmtId="164" fontId="9" fillId="2" borderId="12" xfId="0" applyNumberFormat="1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0" fontId="7" fillId="7" borderId="4" xfId="0" applyFont="1" applyFill="1" applyBorder="1" applyAlignment="1">
      <alignment horizontal="center" vertical="center" wrapText="1"/>
    </xf>
    <xf numFmtId="0" fontId="7" fillId="7" borderId="5" xfId="0" applyFont="1" applyFill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13" borderId="3" xfId="0" applyFont="1" applyFill="1" applyBorder="1" applyAlignment="1">
      <alignment horizontal="center" vertical="center" wrapText="1"/>
    </xf>
    <xf numFmtId="0" fontId="7" fillId="13" borderId="4" xfId="0" applyFont="1" applyFill="1" applyBorder="1" applyAlignment="1">
      <alignment horizontal="center" vertical="center" wrapText="1"/>
    </xf>
    <xf numFmtId="0" fontId="7" fillId="13" borderId="5" xfId="0" applyFont="1" applyFill="1" applyBorder="1" applyAlignment="1">
      <alignment horizontal="center" vertical="center" wrapText="1"/>
    </xf>
    <xf numFmtId="0" fontId="7" fillId="12" borderId="3" xfId="0" applyFont="1" applyFill="1" applyBorder="1" applyAlignment="1">
      <alignment horizontal="center" vertical="center" wrapText="1"/>
    </xf>
    <xf numFmtId="0" fontId="7" fillId="12" borderId="4" xfId="0" applyFont="1" applyFill="1" applyBorder="1" applyAlignment="1">
      <alignment horizontal="center" vertical="center" wrapText="1"/>
    </xf>
    <xf numFmtId="0" fontId="7" fillId="12" borderId="5" xfId="0" applyFont="1" applyFill="1" applyBorder="1" applyAlignment="1">
      <alignment horizontal="center" vertical="center" wrapText="1"/>
    </xf>
    <xf numFmtId="164" fontId="4" fillId="0" borderId="16" xfId="0" applyNumberFormat="1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4" fontId="4" fillId="0" borderId="16" xfId="0" applyNumberFormat="1" applyFont="1" applyBorder="1" applyAlignment="1">
      <alignment horizontal="center" vertical="center" wrapText="1"/>
    </xf>
    <xf numFmtId="4" fontId="4" fillId="0" borderId="18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4" fontId="3" fillId="0" borderId="16" xfId="0" applyNumberFormat="1" applyFont="1" applyBorder="1" applyAlignment="1">
      <alignment horizontal="center" vertical="center" wrapText="1"/>
    </xf>
    <xf numFmtId="4" fontId="3" fillId="0" borderId="17" xfId="0" applyNumberFormat="1" applyFont="1" applyBorder="1" applyAlignment="1">
      <alignment horizontal="center" vertical="center" wrapText="1"/>
    </xf>
    <xf numFmtId="4" fontId="3" fillId="0" borderId="18" xfId="0" applyNumberFormat="1" applyFont="1" applyBorder="1" applyAlignment="1">
      <alignment horizontal="center" vertical="center" wrapText="1"/>
    </xf>
    <xf numFmtId="164" fontId="3" fillId="0" borderId="16" xfId="0" applyNumberFormat="1" applyFont="1" applyBorder="1" applyAlignment="1">
      <alignment horizontal="center" vertical="center" wrapText="1"/>
    </xf>
    <xf numFmtId="164" fontId="3" fillId="0" borderId="17" xfId="0" applyNumberFormat="1" applyFont="1" applyBorder="1" applyAlignment="1">
      <alignment horizontal="center" vertical="center" wrapText="1"/>
    </xf>
    <xf numFmtId="164" fontId="3" fillId="0" borderId="18" xfId="0" applyNumberFormat="1" applyFont="1" applyBorder="1" applyAlignment="1">
      <alignment horizontal="center" vertical="center" wrapText="1"/>
    </xf>
    <xf numFmtId="0" fontId="5" fillId="15" borderId="3" xfId="0" applyFont="1" applyFill="1" applyBorder="1" applyAlignment="1">
      <alignment horizontal="center" vertical="center" wrapText="1"/>
    </xf>
    <xf numFmtId="0" fontId="5" fillId="15" borderId="4" xfId="0" applyFont="1" applyFill="1" applyBorder="1" applyAlignment="1">
      <alignment horizontal="center" vertical="center" wrapText="1"/>
    </xf>
    <xf numFmtId="0" fontId="5" fillId="15" borderId="5" xfId="0" applyFont="1" applyFill="1" applyBorder="1" applyAlignment="1">
      <alignment horizontal="center" vertical="center" wrapText="1"/>
    </xf>
    <xf numFmtId="0" fontId="6" fillId="15" borderId="3" xfId="0" applyFont="1" applyFill="1" applyBorder="1" applyAlignment="1">
      <alignment horizontal="center" vertical="center" wrapText="1"/>
    </xf>
    <xf numFmtId="0" fontId="6" fillId="15" borderId="4" xfId="0" applyFont="1" applyFill="1" applyBorder="1" applyAlignment="1">
      <alignment horizontal="center" vertical="center" wrapText="1"/>
    </xf>
    <xf numFmtId="0" fontId="6" fillId="15" borderId="5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10" borderId="3" xfId="0" applyFont="1" applyFill="1" applyBorder="1" applyAlignment="1">
      <alignment horizontal="center" vertical="center" wrapText="1"/>
    </xf>
    <xf numFmtId="0" fontId="1" fillId="10" borderId="4" xfId="0" applyFont="1" applyFill="1" applyBorder="1" applyAlignment="1">
      <alignment horizontal="center" vertical="center" wrapText="1"/>
    </xf>
    <xf numFmtId="0" fontId="1" fillId="10" borderId="5" xfId="0" applyFont="1" applyFill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49" fontId="1" fillId="18" borderId="29" xfId="0" applyNumberFormat="1" applyFont="1" applyFill="1" applyBorder="1" applyAlignment="1">
      <alignment horizontal="center" vertical="center" wrapText="1"/>
    </xf>
    <xf numFmtId="49" fontId="1" fillId="18" borderId="31" xfId="0" applyNumberFormat="1" applyFont="1" applyFill="1" applyBorder="1" applyAlignment="1">
      <alignment horizontal="center" vertical="center" wrapText="1"/>
    </xf>
    <xf numFmtId="169" fontId="1" fillId="18" borderId="29" xfId="0" applyNumberFormat="1" applyFont="1" applyFill="1" applyBorder="1" applyAlignment="1" applyProtection="1">
      <alignment horizontal="center" vertical="center" wrapText="1"/>
      <protection locked="0"/>
    </xf>
    <xf numFmtId="169" fontId="1" fillId="18" borderId="3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9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1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9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1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29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31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9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3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9" xfId="0" applyNumberFormat="1" applyFont="1" applyFill="1" applyBorder="1" applyAlignment="1">
      <alignment horizontal="center" vertical="center" wrapText="1"/>
    </xf>
    <xf numFmtId="4" fontId="1" fillId="18" borderId="31" xfId="0" applyNumberFormat="1" applyFont="1" applyFill="1" applyBorder="1" applyAlignment="1">
      <alignment horizontal="center" vertical="center" wrapText="1"/>
    </xf>
    <xf numFmtId="167" fontId="1" fillId="18" borderId="29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31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29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31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29" xfId="0" applyFont="1" applyFill="1" applyBorder="1" applyAlignment="1" applyProtection="1">
      <alignment horizontal="center" vertical="center" wrapText="1"/>
      <protection locked="0"/>
    </xf>
    <xf numFmtId="0" fontId="1" fillId="18" borderId="31" xfId="0" applyFont="1" applyFill="1" applyBorder="1" applyAlignment="1" applyProtection="1">
      <alignment horizontal="center" vertical="center" wrapText="1"/>
      <protection locked="0"/>
    </xf>
    <xf numFmtId="0" fontId="1" fillId="18" borderId="30" xfId="0" applyFont="1" applyFill="1" applyBorder="1" applyAlignment="1" applyProtection="1">
      <alignment horizontal="center" vertical="center" wrapText="1"/>
      <protection locked="0"/>
    </xf>
    <xf numFmtId="49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169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0" xfId="0" applyNumberFormat="1" applyFont="1" applyFill="1" applyBorder="1" applyAlignment="1">
      <alignment horizontal="center" vertical="center" wrapText="1"/>
    </xf>
    <xf numFmtId="167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27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7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26" xfId="0" applyFont="1" applyFill="1" applyBorder="1" applyAlignment="1" applyProtection="1">
      <alignment horizontal="center" vertical="center" wrapText="1"/>
      <protection locked="0"/>
    </xf>
    <xf numFmtId="0" fontId="1" fillId="18" borderId="27" xfId="0" applyFont="1" applyFill="1" applyBorder="1" applyAlignment="1" applyProtection="1">
      <alignment horizontal="center" vertical="center" wrapText="1"/>
      <protection locked="0"/>
    </xf>
    <xf numFmtId="0" fontId="1" fillId="18" borderId="28" xfId="0" applyFont="1" applyFill="1" applyBorder="1" applyAlignment="1" applyProtection="1">
      <alignment horizontal="center" vertical="center" wrapText="1"/>
      <protection locked="0"/>
    </xf>
    <xf numFmtId="49" fontId="1" fillId="18" borderId="22" xfId="0" applyNumberFormat="1" applyFont="1" applyFill="1" applyBorder="1" applyAlignment="1">
      <alignment horizontal="center" vertical="center" wrapText="1"/>
    </xf>
    <xf numFmtId="49" fontId="1" fillId="18" borderId="23" xfId="0" applyNumberFormat="1" applyFont="1" applyFill="1" applyBorder="1" applyAlignment="1">
      <alignment horizontal="center" vertical="center" wrapText="1"/>
    </xf>
    <xf numFmtId="49" fontId="1" fillId="18" borderId="24" xfId="0" applyNumberFormat="1" applyFont="1" applyFill="1" applyBorder="1" applyAlignment="1">
      <alignment horizontal="center" vertical="center" wrapText="1"/>
    </xf>
    <xf numFmtId="14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3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4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3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4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23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24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22" xfId="0" applyFont="1" applyFill="1" applyBorder="1" applyAlignment="1" applyProtection="1">
      <alignment horizontal="center" vertical="center" wrapText="1"/>
      <protection locked="0"/>
    </xf>
    <xf numFmtId="0" fontId="1" fillId="18" borderId="23" xfId="0" applyFont="1" applyFill="1" applyBorder="1" applyAlignment="1" applyProtection="1">
      <alignment horizontal="center" vertical="center" wrapText="1"/>
      <protection locked="0"/>
    </xf>
    <xf numFmtId="0" fontId="1" fillId="18" borderId="24" xfId="0" applyFont="1" applyFill="1" applyBorder="1" applyAlignment="1" applyProtection="1">
      <alignment horizontal="center" vertical="center" wrapText="1"/>
      <protection locked="0"/>
    </xf>
    <xf numFmtId="165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3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2" xfId="0" applyNumberFormat="1" applyFont="1" applyFill="1" applyBorder="1" applyAlignment="1">
      <alignment horizontal="center" vertical="center" wrapText="1"/>
    </xf>
    <xf numFmtId="4" fontId="1" fillId="18" borderId="23" xfId="0" applyNumberFormat="1" applyFont="1" applyFill="1" applyBorder="1" applyAlignment="1">
      <alignment horizontal="center" vertical="center" wrapText="1"/>
    </xf>
    <xf numFmtId="4" fontId="1" fillId="18" borderId="24" xfId="0" applyNumberFormat="1" applyFont="1" applyFill="1" applyBorder="1" applyAlignment="1">
      <alignment horizontal="center" vertical="center" wrapText="1"/>
    </xf>
    <xf numFmtId="49" fontId="1" fillId="18" borderId="26" xfId="0" applyNumberFormat="1" applyFont="1" applyFill="1" applyBorder="1" applyAlignment="1">
      <alignment horizontal="center" vertical="center" wrapText="1"/>
    </xf>
    <xf numFmtId="49" fontId="1" fillId="18" borderId="27" xfId="0" applyNumberFormat="1" applyFont="1" applyFill="1" applyBorder="1" applyAlignment="1">
      <alignment horizontal="center" vertical="center" wrapText="1"/>
    </xf>
    <xf numFmtId="49" fontId="1" fillId="18" borderId="28" xfId="0" applyNumberFormat="1" applyFont="1" applyFill="1" applyBorder="1" applyAlignment="1">
      <alignment horizontal="center" vertical="center" wrapText="1"/>
    </xf>
    <xf numFmtId="14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7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7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7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0" xfId="0" applyNumberFormat="1" applyFont="1" applyFill="1" applyBorder="1" applyAlignment="1">
      <alignment horizontal="center" vertical="center" wrapText="1"/>
    </xf>
    <xf numFmtId="49" fontId="1" fillId="10" borderId="3" xfId="0" applyNumberFormat="1" applyFont="1" applyFill="1" applyBorder="1" applyAlignment="1">
      <alignment horizontal="center" vertical="center" wrapText="1"/>
    </xf>
    <xf numFmtId="49" fontId="1" fillId="10" borderId="5" xfId="0" applyNumberFormat="1" applyFont="1" applyFill="1" applyBorder="1" applyAlignment="1">
      <alignment horizontal="center" vertical="center" wrapText="1"/>
    </xf>
    <xf numFmtId="4" fontId="1" fillId="18" borderId="26" xfId="0" applyNumberFormat="1" applyFont="1" applyFill="1" applyBorder="1" applyAlignment="1">
      <alignment horizontal="center" vertical="center" wrapText="1"/>
    </xf>
    <xf numFmtId="4" fontId="1" fillId="18" borderId="27" xfId="0" applyNumberFormat="1" applyFont="1" applyFill="1" applyBorder="1" applyAlignment="1">
      <alignment horizontal="center" vertical="center" wrapText="1"/>
    </xf>
    <xf numFmtId="4" fontId="1" fillId="18" borderId="28" xfId="0" applyNumberFormat="1" applyFont="1" applyFill="1" applyBorder="1" applyAlignment="1">
      <alignment horizontal="center" vertical="center" wrapText="1"/>
    </xf>
    <xf numFmtId="167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27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27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23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24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23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24" xfId="0" applyNumberFormat="1" applyFont="1" applyFill="1" applyBorder="1" applyAlignment="1" applyProtection="1">
      <alignment horizontal="center" vertical="center" wrapText="1"/>
      <protection locked="0"/>
    </xf>
    <xf numFmtId="0" fontId="1" fillId="10" borderId="0" xfId="0" applyFont="1" applyFill="1" applyAlignment="1">
      <alignment horizontal="center" vertical="center" wrapText="1"/>
    </xf>
    <xf numFmtId="0" fontId="1" fillId="10" borderId="19" xfId="0" applyFont="1" applyFill="1" applyBorder="1" applyAlignment="1">
      <alignment horizontal="center" vertical="center" wrapText="1"/>
    </xf>
    <xf numFmtId="2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2" fontId="1" fillId="18" borderId="27" xfId="0" applyNumberFormat="1" applyFont="1" applyFill="1" applyBorder="1" applyAlignment="1" applyProtection="1">
      <alignment horizontal="center" vertical="center" wrapText="1"/>
      <protection locked="0"/>
    </xf>
    <xf numFmtId="2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0" fontId="14" fillId="5" borderId="13" xfId="0" applyFont="1" applyFill="1" applyBorder="1" applyAlignment="1">
      <alignment horizontal="center" vertical="center" wrapText="1"/>
    </xf>
    <xf numFmtId="0" fontId="14" fillId="5" borderId="2" xfId="0" applyFont="1" applyFill="1" applyBorder="1" applyAlignment="1">
      <alignment horizontal="center" vertical="center" wrapText="1"/>
    </xf>
    <xf numFmtId="0" fontId="13" fillId="10" borderId="13" xfId="1" applyFont="1" applyFill="1" applyBorder="1" applyAlignment="1">
      <alignment horizontal="center" vertical="center" wrapText="1"/>
    </xf>
    <xf numFmtId="0" fontId="13" fillId="10" borderId="2" xfId="1" applyFont="1" applyFill="1" applyBorder="1" applyAlignment="1">
      <alignment horizontal="center" vertical="center" wrapText="1"/>
    </xf>
    <xf numFmtId="0" fontId="13" fillId="8" borderId="13" xfId="1" applyFont="1" applyFill="1" applyBorder="1" applyAlignment="1">
      <alignment horizontal="center" vertical="center" wrapText="1"/>
    </xf>
    <xf numFmtId="0" fontId="13" fillId="8" borderId="2" xfId="1" applyFont="1" applyFill="1" applyBorder="1" applyAlignment="1">
      <alignment horizontal="center" vertical="center" wrapText="1"/>
    </xf>
    <xf numFmtId="0" fontId="13" fillId="9" borderId="13" xfId="1" applyFont="1" applyFill="1" applyBorder="1" applyAlignment="1">
      <alignment horizontal="center" vertical="center" wrapText="1"/>
    </xf>
    <xf numFmtId="0" fontId="13" fillId="9" borderId="2" xfId="1" applyFont="1" applyFill="1" applyBorder="1" applyAlignment="1">
      <alignment horizontal="center" vertical="center" wrapText="1"/>
    </xf>
    <xf numFmtId="0" fontId="13" fillId="7" borderId="13" xfId="1" applyFont="1" applyFill="1" applyBorder="1" applyAlignment="1">
      <alignment horizontal="center" vertical="center" wrapText="1"/>
    </xf>
    <xf numFmtId="0" fontId="13" fillId="7" borderId="2" xfId="1" applyFont="1" applyFill="1" applyBorder="1" applyAlignment="1">
      <alignment horizontal="center" vertical="center" wrapText="1"/>
    </xf>
    <xf numFmtId="0" fontId="13" fillId="6" borderId="13" xfId="1" applyFont="1" applyFill="1" applyBorder="1" applyAlignment="1">
      <alignment horizontal="center" vertical="center" wrapText="1"/>
    </xf>
    <xf numFmtId="0" fontId="13" fillId="6" borderId="2" xfId="1" applyFont="1" applyFill="1" applyBorder="1" applyAlignment="1">
      <alignment horizontal="center" vertical="center" wrapText="1"/>
    </xf>
  </cellXfs>
  <cellStyles count="7">
    <cellStyle name="Гиперссылка" xfId="6" builtinId="8"/>
    <cellStyle name="Обычный" xfId="0" builtinId="0"/>
    <cellStyle name="Обычный 2" xfId="2"/>
    <cellStyle name="Обычный 2 2" xfId="5"/>
    <cellStyle name="Обычный 2 3" xfId="3"/>
    <cellStyle name="Обычный 3" xfId="1"/>
    <cellStyle name="Обычный 4" xfId="4"/>
  </cellStyles>
  <dxfs count="0"/>
  <tableStyles count="0" defaultTableStyle="TableStyleMedium2" defaultPivotStyle="PivotStyleLight16"/>
  <colors>
    <mruColors>
      <color rgb="FFFF9999"/>
      <color rgb="FFA30101"/>
      <color rgb="FFFF6D6D"/>
      <color rgb="FF00FF00"/>
      <color rgb="FF8FFF8F"/>
      <color rgb="FFAAFE22"/>
      <color rgb="FFCEFE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1828800</xdr:colOff>
      <xdr:row>2</xdr:row>
      <xdr:rowOff>238950</xdr:rowOff>
    </xdr:from>
    <xdr:to>
      <xdr:col>8</xdr:col>
      <xdr:colOff>673650</xdr:colOff>
      <xdr:row>3</xdr:row>
      <xdr:rowOff>495300</xdr:rowOff>
    </xdr:to>
    <xdr:sp macro="[0]!ДобавитьКонтрактП4" textlink="">
      <xdr:nvSpPr>
        <xdr:cNvPr id="2" name="Скругленный прямоугольник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>
          <a:spLocks/>
        </xdr:cNvSpPr>
      </xdr:nvSpPr>
      <xdr:spPr>
        <a:xfrm>
          <a:off x="10972800" y="1000950"/>
          <a:ext cx="5760000" cy="504000"/>
        </a:xfrm>
        <a:prstGeom prst="roundRect">
          <a:avLst/>
        </a:prstGeom>
        <a:gradFill>
          <a:gsLst>
            <a:gs pos="79000">
              <a:srgbClr val="92D050"/>
            </a:gs>
            <a:gs pos="100000">
              <a:schemeClr val="accent3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Добавить</a:t>
          </a:r>
          <a:r>
            <a:rPr lang="ru-RU" sz="3600" b="1" baseline="0">
              <a:solidFill>
                <a:schemeClr val="tx1"/>
              </a:solidFill>
            </a:rPr>
            <a:t> контракт</a:t>
          </a:r>
          <a:endParaRPr lang="ru-RU" sz="3600" b="1">
            <a:solidFill>
              <a:schemeClr val="tx1"/>
            </a:solidFill>
          </a:endParaRPr>
        </a:p>
      </xdr:txBody>
    </xdr:sp>
    <xdr:clientData fPrintsWithSheet="0"/>
  </xdr:twoCellAnchor>
  <xdr:oneCellAnchor>
    <xdr:from>
      <xdr:col>6</xdr:col>
      <xdr:colOff>467591</xdr:colOff>
      <xdr:row>4</xdr:row>
      <xdr:rowOff>69273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/>
      </xdr:nvSpPr>
      <xdr:spPr>
        <a:xfrm>
          <a:off x="11585864" y="1697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twoCellAnchor editAs="oneCell">
    <xdr:from>
      <xdr:col>16</xdr:col>
      <xdr:colOff>742950</xdr:colOff>
      <xdr:row>2</xdr:row>
      <xdr:rowOff>238950</xdr:rowOff>
    </xdr:from>
    <xdr:to>
      <xdr:col>20</xdr:col>
      <xdr:colOff>178350</xdr:colOff>
      <xdr:row>3</xdr:row>
      <xdr:rowOff>495300</xdr:rowOff>
    </xdr:to>
    <xdr:sp macro="[0]!ДобавитьППАктП4" textlink="">
      <xdr:nvSpPr>
        <xdr:cNvPr id="4" name="Скругленный прямоугольник 3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/>
      </xdr:nvSpPr>
      <xdr:spPr>
        <a:xfrm>
          <a:off x="32061150" y="1000950"/>
          <a:ext cx="5760000" cy="504000"/>
        </a:xfrm>
        <a:prstGeom prst="roundRect">
          <a:avLst/>
        </a:prstGeom>
        <a:gradFill>
          <a:gsLst>
            <a:gs pos="79000">
              <a:srgbClr val="FFC000"/>
            </a:gs>
            <a:gs pos="100000">
              <a:schemeClr val="accent6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ru-RU" sz="3200" b="1">
              <a:solidFill>
                <a:schemeClr val="tx1"/>
              </a:solidFill>
            </a:rPr>
            <a:t>Добавить Акт/ПП</a:t>
          </a:r>
        </a:p>
      </xdr:txBody>
    </xdr:sp>
    <xdr:clientData/>
  </xdr:twoCellAnchor>
  <xdr:twoCellAnchor editAs="oneCell">
    <xdr:from>
      <xdr:col>10</xdr:col>
      <xdr:colOff>877800</xdr:colOff>
      <xdr:row>3</xdr:row>
      <xdr:rowOff>0</xdr:rowOff>
    </xdr:from>
    <xdr:to>
      <xdr:col>13</xdr:col>
      <xdr:colOff>541800</xdr:colOff>
      <xdr:row>4</xdr:row>
      <xdr:rowOff>1080</xdr:rowOff>
    </xdr:to>
    <xdr:sp macro="[0]!УдалитьСтрокуП4" textlink="">
      <xdr:nvSpPr>
        <xdr:cNvPr id="5" name="Скругленный прямоугольник 4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/>
      </xdr:nvSpPr>
      <xdr:spPr>
        <a:xfrm>
          <a:off x="20651700" y="1009650"/>
          <a:ext cx="5760000" cy="504000"/>
        </a:xfrm>
        <a:prstGeom prst="roundRect">
          <a:avLst/>
        </a:prstGeom>
        <a:gradFill flip="none" rotWithShape="1">
          <a:gsLst>
            <a:gs pos="79000">
              <a:srgbClr val="FF6D6D"/>
            </a:gs>
            <a:gs pos="100000">
              <a:srgbClr val="A30101"/>
            </a:gs>
          </a:gsLst>
          <a:path path="shape">
            <a:fillToRect l="50000" t="50000" r="50000" b="50000"/>
          </a:path>
          <a:tileRect/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Удалить строку / контракт</a:t>
          </a:r>
          <a:r>
            <a:rPr lang="ru-RU" sz="3600" b="1" baseline="0">
              <a:solidFill>
                <a:schemeClr val="tx1"/>
              </a:solidFill>
            </a:rPr>
            <a:t> </a:t>
          </a:r>
          <a:endParaRPr lang="ru-RU" sz="3600" b="1">
            <a:solidFill>
              <a:schemeClr val="tx1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10</xdr:col>
      <xdr:colOff>349826</xdr:colOff>
      <xdr:row>3</xdr:row>
      <xdr:rowOff>6924</xdr:rowOff>
    </xdr:from>
    <xdr:to>
      <xdr:col>13</xdr:col>
      <xdr:colOff>1080626</xdr:colOff>
      <xdr:row>3</xdr:row>
      <xdr:rowOff>501399</xdr:rowOff>
    </xdr:to>
    <xdr:sp macro="[0]!УдалитьСтрокуП5" textlink="">
      <xdr:nvSpPr>
        <xdr:cNvPr id="3" name="Скругленный прямоугольник 2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SpPr/>
      </xdr:nvSpPr>
      <xdr:spPr>
        <a:xfrm>
          <a:off x="20142776" y="1016574"/>
          <a:ext cx="5760000" cy="494475"/>
        </a:xfrm>
        <a:prstGeom prst="roundRect">
          <a:avLst/>
        </a:prstGeom>
        <a:gradFill>
          <a:gsLst>
            <a:gs pos="79000">
              <a:srgbClr val="FF6D6D"/>
            </a:gs>
            <a:gs pos="100000">
              <a:srgbClr val="A30101"/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Удалить строку / контракт</a:t>
          </a:r>
        </a:p>
      </xdr:txBody>
    </xdr:sp>
    <xdr:clientData/>
  </xdr:twoCellAnchor>
  <xdr:twoCellAnchor editAs="absolute">
    <xdr:from>
      <xdr:col>6</xdr:col>
      <xdr:colOff>61478</xdr:colOff>
      <xdr:row>3</xdr:row>
      <xdr:rowOff>0</xdr:rowOff>
    </xdr:from>
    <xdr:to>
      <xdr:col>8</xdr:col>
      <xdr:colOff>1420928</xdr:colOff>
      <xdr:row>3</xdr:row>
      <xdr:rowOff>484950</xdr:rowOff>
    </xdr:to>
    <xdr:sp macro="[0]!ДобавитьКонтрактП5" textlink="">
      <xdr:nvSpPr>
        <xdr:cNvPr id="4" name="Скругленный прямоугольник 3">
          <a:extLst>
            <a:ext uri="{FF2B5EF4-FFF2-40B4-BE49-F238E27FC236}">
              <a16:creationId xmlns:a16="http://schemas.microsoft.com/office/drawing/2014/main" xmlns="" id="{00000000-0008-0000-0200-000004000000}"/>
            </a:ext>
          </a:extLst>
        </xdr:cNvPr>
        <xdr:cNvSpPr/>
      </xdr:nvSpPr>
      <xdr:spPr>
        <a:xfrm>
          <a:off x="11415278" y="990600"/>
          <a:ext cx="5760000" cy="504000"/>
        </a:xfrm>
        <a:prstGeom prst="roundRect">
          <a:avLst/>
        </a:prstGeom>
        <a:gradFill>
          <a:gsLst>
            <a:gs pos="79000">
              <a:srgbClr val="92D050"/>
            </a:gs>
            <a:gs pos="100000">
              <a:schemeClr val="accent3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Добавить</a:t>
          </a:r>
          <a:r>
            <a:rPr lang="ru-RU" sz="3600" b="1" baseline="0">
              <a:solidFill>
                <a:schemeClr val="tx1"/>
              </a:solidFill>
            </a:rPr>
            <a:t> контракт</a:t>
          </a:r>
          <a:endParaRPr lang="ru-RU" sz="3600" b="1">
            <a:solidFill>
              <a:schemeClr val="tx1"/>
            </a:solidFill>
          </a:endParaRPr>
        </a:p>
      </xdr:txBody>
    </xdr:sp>
    <xdr:clientData/>
  </xdr:twoCellAnchor>
  <xdr:twoCellAnchor editAs="absolute">
    <xdr:from>
      <xdr:col>14</xdr:col>
      <xdr:colOff>2346612</xdr:colOff>
      <xdr:row>3</xdr:row>
      <xdr:rowOff>0</xdr:rowOff>
    </xdr:from>
    <xdr:to>
      <xdr:col>18</xdr:col>
      <xdr:colOff>619962</xdr:colOff>
      <xdr:row>3</xdr:row>
      <xdr:rowOff>501534</xdr:rowOff>
    </xdr:to>
    <xdr:sp macro="[0]!ДобавитьППАктП5" textlink="">
      <xdr:nvSpPr>
        <xdr:cNvPr id="5" name="Скругленный прямоугольник 4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SpPr/>
      </xdr:nvSpPr>
      <xdr:spPr>
        <a:xfrm>
          <a:off x="29054712" y="1009650"/>
          <a:ext cx="5760000" cy="509154"/>
        </a:xfrm>
        <a:prstGeom prst="roundRect">
          <a:avLst/>
        </a:prstGeom>
        <a:gradFill>
          <a:gsLst>
            <a:gs pos="79000">
              <a:srgbClr val="FFC000"/>
            </a:gs>
            <a:gs pos="100000">
              <a:schemeClr val="accent6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200" b="1">
              <a:solidFill>
                <a:schemeClr val="tx1"/>
              </a:solidFill>
            </a:rPr>
            <a:t>Добавить Акт/ПП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4</xdr:col>
      <xdr:colOff>12150</xdr:colOff>
      <xdr:row>3</xdr:row>
      <xdr:rowOff>0</xdr:rowOff>
    </xdr:from>
    <xdr:to>
      <xdr:col>6</xdr:col>
      <xdr:colOff>1771650</xdr:colOff>
      <xdr:row>3</xdr:row>
      <xdr:rowOff>499803</xdr:rowOff>
    </xdr:to>
    <xdr:sp macro="[0]!ДобавитьКонтрактSt93" textlink="">
      <xdr:nvSpPr>
        <xdr:cNvPr id="2" name="Скругленный прямоугольник 1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SpPr/>
      </xdr:nvSpPr>
      <xdr:spPr>
        <a:xfrm>
          <a:off x="6889200" y="1009650"/>
          <a:ext cx="5760000" cy="507423"/>
        </a:xfrm>
        <a:prstGeom prst="roundRect">
          <a:avLst/>
        </a:prstGeom>
        <a:gradFill>
          <a:gsLst>
            <a:gs pos="79000">
              <a:srgbClr val="92D050"/>
            </a:gs>
            <a:gs pos="100000">
              <a:schemeClr val="accent3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Добавить</a:t>
          </a:r>
          <a:r>
            <a:rPr lang="ru-RU" sz="3600" b="1" baseline="0">
              <a:solidFill>
                <a:schemeClr val="tx1"/>
              </a:solidFill>
            </a:rPr>
            <a:t> контракт</a:t>
          </a:r>
          <a:endParaRPr lang="ru-RU" sz="3600" b="1">
            <a:solidFill>
              <a:schemeClr val="tx1"/>
            </a:solidFill>
          </a:endParaRPr>
        </a:p>
      </xdr:txBody>
    </xdr:sp>
    <xdr:clientData/>
  </xdr:twoCellAnchor>
  <xdr:twoCellAnchor editAs="absolute">
    <xdr:from>
      <xdr:col>16</xdr:col>
      <xdr:colOff>0</xdr:colOff>
      <xdr:row>3</xdr:row>
      <xdr:rowOff>0</xdr:rowOff>
    </xdr:from>
    <xdr:to>
      <xdr:col>19</xdr:col>
      <xdr:colOff>559350</xdr:colOff>
      <xdr:row>3</xdr:row>
      <xdr:rowOff>490104</xdr:rowOff>
    </xdr:to>
    <xdr:sp macro="[0]!ДобавитьППАктSt93" textlink="">
      <xdr:nvSpPr>
        <xdr:cNvPr id="5" name="Скругленный прямоугольник 4">
          <a:extLst>
            <a:ext uri="{FF2B5EF4-FFF2-40B4-BE49-F238E27FC236}">
              <a16:creationId xmlns:a16="http://schemas.microsoft.com/office/drawing/2014/main" xmlns="" id="{00000000-0008-0000-0300-000005000000}"/>
            </a:ext>
          </a:extLst>
        </xdr:cNvPr>
        <xdr:cNvSpPr/>
      </xdr:nvSpPr>
      <xdr:spPr>
        <a:xfrm>
          <a:off x="30346650" y="990600"/>
          <a:ext cx="5760000" cy="509154"/>
        </a:xfrm>
        <a:prstGeom prst="roundRect">
          <a:avLst/>
        </a:prstGeom>
        <a:gradFill>
          <a:gsLst>
            <a:gs pos="79000">
              <a:srgbClr val="FFC000"/>
            </a:gs>
            <a:gs pos="100000">
              <a:schemeClr val="accent6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200" b="1">
              <a:solidFill>
                <a:schemeClr val="tx1"/>
              </a:solidFill>
            </a:rPr>
            <a:t>Добавить Акт/ПП</a:t>
          </a:r>
        </a:p>
      </xdr:txBody>
    </xdr:sp>
    <xdr:clientData/>
  </xdr:twoCellAnchor>
  <xdr:twoCellAnchor editAs="absolute">
    <xdr:from>
      <xdr:col>11</xdr:col>
      <xdr:colOff>6926</xdr:colOff>
      <xdr:row>3</xdr:row>
      <xdr:rowOff>0</xdr:rowOff>
    </xdr:from>
    <xdr:to>
      <xdr:col>13</xdr:col>
      <xdr:colOff>680576</xdr:colOff>
      <xdr:row>3</xdr:row>
      <xdr:rowOff>499802</xdr:rowOff>
    </xdr:to>
    <xdr:sp macro="[0]!УдалитьСтрокуSt93" textlink="">
      <xdr:nvSpPr>
        <xdr:cNvPr id="6" name="Скругленный прямоугольник 5">
          <a:extLst>
            <a:ext uri="{FF2B5EF4-FFF2-40B4-BE49-F238E27FC236}">
              <a16:creationId xmlns:a16="http://schemas.microsoft.com/office/drawing/2014/main" xmlns="" id="{00000000-0008-0000-0300-000006000000}"/>
            </a:ext>
          </a:extLst>
        </xdr:cNvPr>
        <xdr:cNvSpPr/>
      </xdr:nvSpPr>
      <xdr:spPr>
        <a:xfrm>
          <a:off x="20352326" y="1009650"/>
          <a:ext cx="5760000" cy="507422"/>
        </a:xfrm>
        <a:prstGeom prst="roundRect">
          <a:avLst/>
        </a:prstGeom>
        <a:gradFill>
          <a:gsLst>
            <a:gs pos="79000">
              <a:srgbClr val="FF6D6D"/>
            </a:gs>
            <a:gs pos="100000">
              <a:srgbClr val="A30101"/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Удалить строку / контракт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564600</xdr:colOff>
      <xdr:row>3</xdr:row>
      <xdr:rowOff>29400</xdr:rowOff>
    </xdr:from>
    <xdr:to>
      <xdr:col>9</xdr:col>
      <xdr:colOff>1733550</xdr:colOff>
      <xdr:row>4</xdr:row>
      <xdr:rowOff>19050</xdr:rowOff>
    </xdr:to>
    <xdr:sp macro="[0]!ДобавитьКонтрактSEA" textlink="">
      <xdr:nvSpPr>
        <xdr:cNvPr id="2" name="Скругленный прямоугольник 1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SpPr/>
      </xdr:nvSpPr>
      <xdr:spPr>
        <a:xfrm>
          <a:off x="12909000" y="1039050"/>
          <a:ext cx="5760000" cy="504000"/>
        </a:xfrm>
        <a:prstGeom prst="roundRect">
          <a:avLst/>
        </a:prstGeom>
        <a:gradFill>
          <a:gsLst>
            <a:gs pos="79000">
              <a:srgbClr val="92D050"/>
            </a:gs>
            <a:gs pos="100000">
              <a:schemeClr val="accent3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Добавить</a:t>
          </a:r>
          <a:r>
            <a:rPr lang="ru-RU" sz="3600" b="1" baseline="0">
              <a:solidFill>
                <a:schemeClr val="tx1"/>
              </a:solidFill>
            </a:rPr>
            <a:t> контракт</a:t>
          </a:r>
          <a:endParaRPr lang="ru-RU" sz="3600" b="1">
            <a:solidFill>
              <a:schemeClr val="tx1"/>
            </a:solidFill>
          </a:endParaRPr>
        </a:p>
      </xdr:txBody>
    </xdr:sp>
    <xdr:clientData/>
  </xdr:twoCellAnchor>
  <xdr:twoCellAnchor editAs="absolute">
    <xdr:from>
      <xdr:col>13</xdr:col>
      <xdr:colOff>926550</xdr:colOff>
      <xdr:row>3</xdr:row>
      <xdr:rowOff>19050</xdr:rowOff>
    </xdr:from>
    <xdr:to>
      <xdr:col>16</xdr:col>
      <xdr:colOff>1295400</xdr:colOff>
      <xdr:row>4</xdr:row>
      <xdr:rowOff>8700</xdr:rowOff>
    </xdr:to>
    <xdr:sp macro="[0]!УдалитьСтрокуSEA" textlink="">
      <xdr:nvSpPr>
        <xdr:cNvPr id="3" name="Скругленный прямоугольник 2">
          <a:extLst>
            <a:ext uri="{FF2B5EF4-FFF2-40B4-BE49-F238E27FC236}">
              <a16:creationId xmlns:a16="http://schemas.microsoft.com/office/drawing/2014/main" xmlns="" id="{00000000-0008-0000-0400-000003000000}"/>
            </a:ext>
          </a:extLst>
        </xdr:cNvPr>
        <xdr:cNvSpPr/>
      </xdr:nvSpPr>
      <xdr:spPr>
        <a:xfrm>
          <a:off x="24110400" y="1028700"/>
          <a:ext cx="5760000" cy="504000"/>
        </a:xfrm>
        <a:prstGeom prst="roundRect">
          <a:avLst/>
        </a:prstGeom>
        <a:gradFill>
          <a:gsLst>
            <a:gs pos="61000">
              <a:srgbClr val="FF6D6D"/>
            </a:gs>
            <a:gs pos="100000">
              <a:srgbClr val="A30101"/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Удалить строку / контракт</a:t>
          </a:r>
        </a:p>
      </xdr:txBody>
    </xdr:sp>
    <xdr:clientData/>
  </xdr:twoCellAnchor>
  <xdr:twoCellAnchor editAs="absolute">
    <xdr:from>
      <xdr:col>19</xdr:col>
      <xdr:colOff>2038350</xdr:colOff>
      <xdr:row>3</xdr:row>
      <xdr:rowOff>48450</xdr:rowOff>
    </xdr:from>
    <xdr:to>
      <xdr:col>23</xdr:col>
      <xdr:colOff>483150</xdr:colOff>
      <xdr:row>4</xdr:row>
      <xdr:rowOff>38100</xdr:rowOff>
    </xdr:to>
    <xdr:sp macro="[0]!ДобавитьППАктSEA" textlink="">
      <xdr:nvSpPr>
        <xdr:cNvPr id="4" name="Скругленный прямоугольник 3">
          <a:extLst>
            <a:ext uri="{FF2B5EF4-FFF2-40B4-BE49-F238E27FC236}">
              <a16:creationId xmlns:a16="http://schemas.microsoft.com/office/drawing/2014/main" xmlns="" id="{00000000-0008-0000-0400-000004000000}"/>
            </a:ext>
          </a:extLst>
        </xdr:cNvPr>
        <xdr:cNvSpPr/>
      </xdr:nvSpPr>
      <xdr:spPr>
        <a:xfrm>
          <a:off x="35128200" y="1058100"/>
          <a:ext cx="5760000" cy="504000"/>
        </a:xfrm>
        <a:prstGeom prst="roundRect">
          <a:avLst/>
        </a:prstGeom>
        <a:gradFill>
          <a:gsLst>
            <a:gs pos="79000">
              <a:srgbClr val="FFC000"/>
            </a:gs>
            <a:gs pos="100000">
              <a:schemeClr val="accent6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200" b="1">
              <a:solidFill>
                <a:schemeClr val="tx1"/>
              </a:solidFill>
            </a:rPr>
            <a:t>Добавить Акт/ПП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1962150</xdr:colOff>
      <xdr:row>3</xdr:row>
      <xdr:rowOff>0</xdr:rowOff>
    </xdr:from>
    <xdr:to>
      <xdr:col>9</xdr:col>
      <xdr:colOff>883200</xdr:colOff>
      <xdr:row>3</xdr:row>
      <xdr:rowOff>504000</xdr:rowOff>
    </xdr:to>
    <xdr:sp macro="[0]!ДобавитьКонтрактNEA" textlink="">
      <xdr:nvSpPr>
        <xdr:cNvPr id="2" name="Скругленный прямоугольник 1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SpPr/>
      </xdr:nvSpPr>
      <xdr:spPr>
        <a:xfrm>
          <a:off x="12515850" y="1009650"/>
          <a:ext cx="5760000" cy="504000"/>
        </a:xfrm>
        <a:prstGeom prst="roundRect">
          <a:avLst/>
        </a:prstGeom>
        <a:gradFill>
          <a:gsLst>
            <a:gs pos="79000">
              <a:srgbClr val="92D050"/>
            </a:gs>
            <a:gs pos="100000">
              <a:schemeClr val="accent3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Добавить</a:t>
          </a:r>
          <a:r>
            <a:rPr lang="ru-RU" sz="3600" b="1" baseline="0">
              <a:solidFill>
                <a:schemeClr val="tx1"/>
              </a:solidFill>
            </a:rPr>
            <a:t> контракт</a:t>
          </a:r>
          <a:endParaRPr lang="ru-RU" sz="3600" b="1">
            <a:solidFill>
              <a:schemeClr val="tx1"/>
            </a:solidFill>
          </a:endParaRPr>
        </a:p>
      </xdr:txBody>
    </xdr:sp>
    <xdr:clientData/>
  </xdr:twoCellAnchor>
  <xdr:twoCellAnchor editAs="absolute">
    <xdr:from>
      <xdr:col>12</xdr:col>
      <xdr:colOff>1416626</xdr:colOff>
      <xdr:row>3</xdr:row>
      <xdr:rowOff>0</xdr:rowOff>
    </xdr:from>
    <xdr:to>
      <xdr:col>16</xdr:col>
      <xdr:colOff>70976</xdr:colOff>
      <xdr:row>3</xdr:row>
      <xdr:rowOff>504000</xdr:rowOff>
    </xdr:to>
    <xdr:sp macro="[0]!УдалитьСтрокуNEA" textlink="">
      <xdr:nvSpPr>
        <xdr:cNvPr id="5" name="Скругленный прямоугольник 4">
          <a:extLst>
            <a:ext uri="{FF2B5EF4-FFF2-40B4-BE49-F238E27FC236}">
              <a16:creationId xmlns:a16="http://schemas.microsoft.com/office/drawing/2014/main" xmlns="" id="{00000000-0008-0000-0500-000005000000}"/>
            </a:ext>
          </a:extLst>
        </xdr:cNvPr>
        <xdr:cNvSpPr/>
      </xdr:nvSpPr>
      <xdr:spPr>
        <a:xfrm>
          <a:off x="23343176" y="1009650"/>
          <a:ext cx="5760000" cy="504000"/>
        </a:xfrm>
        <a:prstGeom prst="roundRect">
          <a:avLst/>
        </a:prstGeom>
        <a:gradFill>
          <a:gsLst>
            <a:gs pos="79000">
              <a:srgbClr val="FF6D6D"/>
            </a:gs>
            <a:gs pos="100000">
              <a:srgbClr val="A30101"/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Удалить строку / контракт</a:t>
          </a:r>
        </a:p>
      </xdr:txBody>
    </xdr:sp>
    <xdr:clientData/>
  </xdr:twoCellAnchor>
  <xdr:twoCellAnchor editAs="absolute">
    <xdr:from>
      <xdr:col>19</xdr:col>
      <xdr:colOff>819150</xdr:colOff>
      <xdr:row>2</xdr:row>
      <xdr:rowOff>209550</xdr:rowOff>
    </xdr:from>
    <xdr:to>
      <xdr:col>22</xdr:col>
      <xdr:colOff>864150</xdr:colOff>
      <xdr:row>3</xdr:row>
      <xdr:rowOff>465900</xdr:rowOff>
    </xdr:to>
    <xdr:sp macro="[0]!ДобавитьППАктNEA" textlink="">
      <xdr:nvSpPr>
        <xdr:cNvPr id="7" name="Скругленный прямоугольник 6">
          <a:extLst>
            <a:ext uri="{FF2B5EF4-FFF2-40B4-BE49-F238E27FC236}">
              <a16:creationId xmlns:a16="http://schemas.microsoft.com/office/drawing/2014/main" xmlns="" id="{00000000-0008-0000-0500-000007000000}"/>
            </a:ext>
          </a:extLst>
        </xdr:cNvPr>
        <xdr:cNvSpPr/>
      </xdr:nvSpPr>
      <xdr:spPr>
        <a:xfrm>
          <a:off x="34709100" y="971550"/>
          <a:ext cx="5760000" cy="504000"/>
        </a:xfrm>
        <a:prstGeom prst="roundRect">
          <a:avLst/>
        </a:prstGeom>
        <a:gradFill>
          <a:gsLst>
            <a:gs pos="79000">
              <a:srgbClr val="FFC000"/>
            </a:gs>
            <a:gs pos="100000">
              <a:schemeClr val="accent6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200" b="1">
              <a:solidFill>
                <a:schemeClr val="tx1"/>
              </a:solidFill>
            </a:rPr>
            <a:t>Добавить Акт/ПП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880628</xdr:colOff>
      <xdr:row>3</xdr:row>
      <xdr:rowOff>0</xdr:rowOff>
    </xdr:from>
    <xdr:to>
      <xdr:col>8</xdr:col>
      <xdr:colOff>1420928</xdr:colOff>
      <xdr:row>4</xdr:row>
      <xdr:rowOff>1080</xdr:rowOff>
    </xdr:to>
    <xdr:sp macro="[0]!ДобавитьКонтрактIKZ" textlink="">
      <xdr:nvSpPr>
        <xdr:cNvPr id="2" name="Скругленный прямоугольник 1"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SpPr/>
      </xdr:nvSpPr>
      <xdr:spPr>
        <a:xfrm>
          <a:off x="11358128" y="1009650"/>
          <a:ext cx="5760000" cy="504000"/>
        </a:xfrm>
        <a:prstGeom prst="roundRect">
          <a:avLst/>
        </a:prstGeom>
        <a:gradFill>
          <a:gsLst>
            <a:gs pos="79000">
              <a:srgbClr val="92D050"/>
            </a:gs>
            <a:gs pos="100000">
              <a:schemeClr val="accent3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Добавить</a:t>
          </a:r>
          <a:r>
            <a:rPr lang="ru-RU" sz="3600" b="1" baseline="0">
              <a:solidFill>
                <a:schemeClr val="tx1"/>
              </a:solidFill>
            </a:rPr>
            <a:t> контракт</a:t>
          </a:r>
          <a:endParaRPr lang="ru-RU" sz="3600" b="1">
            <a:solidFill>
              <a:schemeClr val="tx1"/>
            </a:solidFill>
          </a:endParaRPr>
        </a:p>
      </xdr:txBody>
    </xdr:sp>
    <xdr:clientData/>
  </xdr:twoCellAnchor>
  <xdr:twoCellAnchor editAs="absolute">
    <xdr:from>
      <xdr:col>12</xdr:col>
      <xdr:colOff>1409700</xdr:colOff>
      <xdr:row>3</xdr:row>
      <xdr:rowOff>10350</xdr:rowOff>
    </xdr:from>
    <xdr:to>
      <xdr:col>15</xdr:col>
      <xdr:colOff>1877610</xdr:colOff>
      <xdr:row>4</xdr:row>
      <xdr:rowOff>0</xdr:rowOff>
    </xdr:to>
    <xdr:sp macro="[0]!УдалитьСтрокуIKZ" textlink="">
      <xdr:nvSpPr>
        <xdr:cNvPr id="3" name="Скругленный прямоугольник 2">
          <a:extLst>
            <a:ext uri="{FF2B5EF4-FFF2-40B4-BE49-F238E27FC236}">
              <a16:creationId xmlns:a16="http://schemas.microsoft.com/office/drawing/2014/main" xmlns="" id="{00000000-0008-0000-0600-000003000000}"/>
            </a:ext>
          </a:extLst>
        </xdr:cNvPr>
        <xdr:cNvSpPr/>
      </xdr:nvSpPr>
      <xdr:spPr>
        <a:xfrm>
          <a:off x="23260050" y="1020000"/>
          <a:ext cx="5760000" cy="504000"/>
        </a:xfrm>
        <a:prstGeom prst="roundRect">
          <a:avLst/>
        </a:prstGeom>
        <a:gradFill>
          <a:gsLst>
            <a:gs pos="79000">
              <a:srgbClr val="FF6D6D"/>
            </a:gs>
            <a:gs pos="100000">
              <a:srgbClr val="A30101"/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Удалить строку / контракт</a:t>
          </a:r>
        </a:p>
      </xdr:txBody>
    </xdr:sp>
    <xdr:clientData fPrintsWithSheet="0"/>
  </xdr:twoCellAnchor>
  <xdr:twoCellAnchor editAs="absolute">
    <xdr:from>
      <xdr:col>19</xdr:col>
      <xdr:colOff>785580</xdr:colOff>
      <xdr:row>3</xdr:row>
      <xdr:rowOff>10350</xdr:rowOff>
    </xdr:from>
    <xdr:to>
      <xdr:col>22</xdr:col>
      <xdr:colOff>868680</xdr:colOff>
      <xdr:row>4</xdr:row>
      <xdr:rowOff>0</xdr:rowOff>
    </xdr:to>
    <xdr:sp macro="[0]!ДобавитьППАктIKZ" textlink="">
      <xdr:nvSpPr>
        <xdr:cNvPr id="4" name="Скругленный прямоугольник 3">
          <a:extLst>
            <a:ext uri="{FF2B5EF4-FFF2-40B4-BE49-F238E27FC236}">
              <a16:creationId xmlns:a16="http://schemas.microsoft.com/office/drawing/2014/main" xmlns="" id="{00000000-0008-0000-0600-000004000000}"/>
            </a:ext>
          </a:extLst>
        </xdr:cNvPr>
        <xdr:cNvSpPr/>
      </xdr:nvSpPr>
      <xdr:spPr>
        <a:xfrm>
          <a:off x="34606950" y="1020000"/>
          <a:ext cx="5760000" cy="504000"/>
        </a:xfrm>
        <a:prstGeom prst="roundRect">
          <a:avLst/>
        </a:prstGeom>
        <a:gradFill>
          <a:gsLst>
            <a:gs pos="79000">
              <a:srgbClr val="FFC000"/>
            </a:gs>
            <a:gs pos="100000">
              <a:schemeClr val="accent6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200" b="1">
              <a:solidFill>
                <a:schemeClr val="tx1"/>
              </a:solidFill>
            </a:rPr>
            <a:t>Добавить Акт/ПП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6">
    <tabColor rgb="FFFFFF00"/>
  </sheetPr>
  <dimension ref="A1:W20"/>
  <sheetViews>
    <sheetView showGridLines="0" topLeftCell="A7" zoomScale="70" zoomScaleNormal="70" workbookViewId="0">
      <selection activeCell="M5" sqref="M5:N5"/>
    </sheetView>
  </sheetViews>
  <sheetFormatPr defaultColWidth="0" defaultRowHeight="15" x14ac:dyDescent="0.25"/>
  <cols>
    <col min="1" max="2" width="9.140625" style="8" customWidth="1"/>
    <col min="3" max="3" width="25.28515625" style="8" customWidth="1"/>
    <col min="4" max="5" width="9.140625" style="8" customWidth="1"/>
    <col min="6" max="6" width="11.7109375" style="8" customWidth="1"/>
    <col min="7" max="7" width="19" style="8" customWidth="1"/>
    <col min="8" max="8" width="6.5703125" style="8" customWidth="1"/>
    <col min="9" max="9" width="5.5703125" style="8" customWidth="1"/>
    <col min="10" max="10" width="15" style="8" customWidth="1"/>
    <col min="11" max="11" width="14.85546875" style="8" customWidth="1"/>
    <col min="12" max="12" width="21.28515625" style="8" customWidth="1"/>
    <col min="13" max="13" width="10.140625" style="8" customWidth="1"/>
    <col min="14" max="14" width="17.140625" style="8" bestFit="1" customWidth="1"/>
    <col min="15" max="22" width="9.140625" style="8" hidden="1" customWidth="1"/>
    <col min="23" max="23" width="30.7109375" style="8" hidden="1" customWidth="1"/>
    <col min="24" max="16384" width="9.140625" style="8" hidden="1"/>
  </cols>
  <sheetData>
    <row r="1" spans="1:14" ht="27" customHeight="1" thickBot="1" x14ac:dyDescent="0.3">
      <c r="A1" s="173" t="s">
        <v>141</v>
      </c>
      <c r="B1" s="174"/>
      <c r="C1" s="174"/>
      <c r="D1" s="174"/>
      <c r="E1" s="173"/>
      <c r="F1" s="174"/>
      <c r="G1" s="174"/>
      <c r="H1" s="174"/>
      <c r="I1" s="174"/>
      <c r="J1" s="174"/>
      <c r="K1" s="174"/>
      <c r="L1" s="174"/>
      <c r="M1" s="174"/>
      <c r="N1" s="175"/>
    </row>
    <row r="3" spans="1:14" thickBot="1" x14ac:dyDescent="0.35">
      <c r="I3" s="16"/>
      <c r="J3" s="16"/>
      <c r="K3" s="16"/>
      <c r="L3" s="16"/>
      <c r="M3" s="16"/>
      <c r="N3" s="16"/>
    </row>
    <row r="4" spans="1:14" ht="32.25" customHeight="1" thickBot="1" x14ac:dyDescent="0.3">
      <c r="A4" s="209" t="s">
        <v>25</v>
      </c>
      <c r="B4" s="210"/>
      <c r="C4" s="4">
        <v>8194222.0499999998</v>
      </c>
      <c r="D4" s="5"/>
      <c r="E4" s="211" t="s">
        <v>140</v>
      </c>
      <c r="F4" s="212"/>
      <c r="G4" s="213"/>
      <c r="H4" s="214">
        <v>2000000</v>
      </c>
      <c r="I4" s="215"/>
      <c r="J4" s="216"/>
      <c r="K4" s="17"/>
      <c r="L4" s="81" t="s">
        <v>55</v>
      </c>
      <c r="M4" s="211">
        <v>5000000</v>
      </c>
      <c r="N4" s="213"/>
    </row>
    <row r="5" spans="1:14" ht="30.75" customHeight="1" thickBot="1" x14ac:dyDescent="0.3">
      <c r="A5" s="209" t="s">
        <v>26</v>
      </c>
      <c r="B5" s="210"/>
      <c r="C5" s="6">
        <f>C4-G15+J15</f>
        <v>2611346.5200000005</v>
      </c>
      <c r="D5" s="5"/>
      <c r="E5" s="211" t="s">
        <v>53</v>
      </c>
      <c r="F5" s="212"/>
      <c r="G5" s="213"/>
      <c r="H5" s="204">
        <f>H4-G12</f>
        <v>1601563.6</v>
      </c>
      <c r="I5" s="205"/>
      <c r="J5" s="206"/>
      <c r="K5" s="17"/>
      <c r="L5" s="81" t="s">
        <v>54</v>
      </c>
      <c r="M5" s="207">
        <f>M4-G13</f>
        <v>2154619.8600000003</v>
      </c>
      <c r="N5" s="208"/>
    </row>
    <row r="6" spans="1:14" ht="14.45" x14ac:dyDescent="0.3">
      <c r="C6" s="7"/>
      <c r="D6" s="9"/>
      <c r="E6" s="9"/>
      <c r="F6" s="9"/>
      <c r="G6" s="9"/>
      <c r="H6" s="9"/>
      <c r="I6" s="9"/>
      <c r="J6" s="9"/>
      <c r="K6" s="9"/>
      <c r="L6" s="9"/>
    </row>
    <row r="7" spans="1:14" thickBot="1" x14ac:dyDescent="0.35"/>
    <row r="8" spans="1:14" ht="72" customHeight="1" thickBot="1" x14ac:dyDescent="0.3">
      <c r="A8" s="217" t="s">
        <v>27</v>
      </c>
      <c r="B8" s="218"/>
      <c r="C8" s="219"/>
      <c r="D8" s="217" t="s">
        <v>28</v>
      </c>
      <c r="E8" s="218"/>
      <c r="F8" s="219"/>
      <c r="G8" s="220" t="s">
        <v>29</v>
      </c>
      <c r="H8" s="221"/>
      <c r="I8" s="222"/>
      <c r="J8" s="220" t="s">
        <v>142</v>
      </c>
      <c r="K8" s="221"/>
      <c r="L8" s="222"/>
      <c r="M8" s="217" t="s">
        <v>30</v>
      </c>
      <c r="N8" s="219"/>
    </row>
    <row r="9" spans="1:14" ht="41.25" customHeight="1" thickBot="1" x14ac:dyDescent="0.3">
      <c r="A9" s="195" t="s">
        <v>31</v>
      </c>
      <c r="B9" s="196"/>
      <c r="C9" s="197"/>
      <c r="D9" s="194">
        <f>'Состоявшиеся аукционы'!G2</f>
        <v>0</v>
      </c>
      <c r="E9" s="194"/>
      <c r="F9" s="194"/>
      <c r="G9" s="194">
        <f>'Состоявшиеся аукционы'!Q2</f>
        <v>0</v>
      </c>
      <c r="H9" s="194"/>
      <c r="I9" s="194"/>
      <c r="J9" s="191">
        <f>'Состоявшиеся аукционы'!AB2</f>
        <v>0</v>
      </c>
      <c r="K9" s="192"/>
      <c r="L9" s="193"/>
      <c r="M9" s="194">
        <f t="shared" ref="M9:M15" si="0">D9-G9</f>
        <v>0</v>
      </c>
      <c r="N9" s="194"/>
    </row>
    <row r="10" spans="1:14" ht="78.75" customHeight="1" thickBot="1" x14ac:dyDescent="0.3">
      <c r="A10" s="195" t="s">
        <v>49</v>
      </c>
      <c r="B10" s="196"/>
      <c r="C10" s="197"/>
      <c r="D10" s="194">
        <f>'Несостоявшиеся аукционы'!G2</f>
        <v>0</v>
      </c>
      <c r="E10" s="194"/>
      <c r="F10" s="194"/>
      <c r="G10" s="194">
        <f>'Несостоявшиеся аукционы'!Q2</f>
        <v>0</v>
      </c>
      <c r="H10" s="194"/>
      <c r="I10" s="194"/>
      <c r="J10" s="191">
        <f>'Несостоявшиеся аукционы'!AB2</f>
        <v>0</v>
      </c>
      <c r="K10" s="192"/>
      <c r="L10" s="193"/>
      <c r="M10" s="194">
        <f t="shared" si="0"/>
        <v>0</v>
      </c>
      <c r="N10" s="194"/>
    </row>
    <row r="11" spans="1:14" ht="40.5" customHeight="1" thickBot="1" x14ac:dyDescent="0.3">
      <c r="A11" s="195" t="s">
        <v>83</v>
      </c>
      <c r="B11" s="196"/>
      <c r="C11" s="197"/>
      <c r="D11" s="191">
        <f>'Иные конкурентные закупки'!G2</f>
        <v>1367088</v>
      </c>
      <c r="E11" s="192"/>
      <c r="F11" s="193"/>
      <c r="G11" s="191">
        <f>'Иные конкурентные закупки'!Q2</f>
        <v>1241120.1600000001</v>
      </c>
      <c r="H11" s="192"/>
      <c r="I11" s="193"/>
      <c r="J11" s="191">
        <f>'Иные конкурентные закупки'!AB2</f>
        <v>0</v>
      </c>
      <c r="K11" s="192"/>
      <c r="L11" s="193"/>
      <c r="M11" s="191">
        <f t="shared" si="0"/>
        <v>125967.83999999985</v>
      </c>
      <c r="N11" s="193"/>
    </row>
    <row r="12" spans="1:14" ht="54.75" customHeight="1" thickBot="1" x14ac:dyDescent="0.3">
      <c r="A12" s="198" t="s">
        <v>50</v>
      </c>
      <c r="B12" s="199"/>
      <c r="C12" s="200"/>
      <c r="D12" s="194">
        <f>'Ед. поставщик п.4 ч.1'!H2</f>
        <v>398436.4</v>
      </c>
      <c r="E12" s="194"/>
      <c r="F12" s="194"/>
      <c r="G12" s="194">
        <f>D12</f>
        <v>398436.4</v>
      </c>
      <c r="H12" s="194"/>
      <c r="I12" s="194"/>
      <c r="J12" s="191">
        <f>'Ед. поставщик п.4 ч.1'!V2</f>
        <v>0</v>
      </c>
      <c r="K12" s="192"/>
      <c r="L12" s="193"/>
      <c r="M12" s="194">
        <f t="shared" si="0"/>
        <v>0</v>
      </c>
      <c r="N12" s="194"/>
    </row>
    <row r="13" spans="1:14" ht="45.75" customHeight="1" thickBot="1" x14ac:dyDescent="0.3">
      <c r="A13" s="198" t="s">
        <v>51</v>
      </c>
      <c r="B13" s="199"/>
      <c r="C13" s="200"/>
      <c r="D13" s="194">
        <f>'Ед. поставщик п.5 ч.1'!H2</f>
        <v>2845380.1399999997</v>
      </c>
      <c r="E13" s="194"/>
      <c r="F13" s="194"/>
      <c r="G13" s="194">
        <f>D13</f>
        <v>2845380.1399999997</v>
      </c>
      <c r="H13" s="194"/>
      <c r="I13" s="194"/>
      <c r="J13" s="191">
        <f>'Ед. поставщик п.5 ч.1'!V2</f>
        <v>0.17</v>
      </c>
      <c r="K13" s="192"/>
      <c r="L13" s="193"/>
      <c r="M13" s="194">
        <f t="shared" si="0"/>
        <v>0</v>
      </c>
      <c r="N13" s="194"/>
    </row>
    <row r="14" spans="1:14" ht="45.75" customHeight="1" thickBot="1" x14ac:dyDescent="0.3">
      <c r="A14" s="188" t="s">
        <v>52</v>
      </c>
      <c r="B14" s="189"/>
      <c r="C14" s="190"/>
      <c r="D14" s="191">
        <f>'Ед.поставщик за искл. п.4,5 ч.1'!G2</f>
        <v>1097939</v>
      </c>
      <c r="E14" s="192"/>
      <c r="F14" s="193"/>
      <c r="G14" s="191">
        <f>D14</f>
        <v>1097939</v>
      </c>
      <c r="H14" s="192"/>
      <c r="I14" s="193"/>
      <c r="J14" s="191">
        <f>'Ед.поставщик за искл. п.4,5 ч.1'!T2</f>
        <v>0</v>
      </c>
      <c r="K14" s="192"/>
      <c r="L14" s="193"/>
      <c r="M14" s="194">
        <f t="shared" si="0"/>
        <v>0</v>
      </c>
      <c r="N14" s="194"/>
    </row>
    <row r="15" spans="1:14" ht="21" thickBot="1" x14ac:dyDescent="0.3">
      <c r="A15" s="201" t="s">
        <v>143</v>
      </c>
      <c r="B15" s="202"/>
      <c r="C15" s="203"/>
      <c r="D15" s="194">
        <f>SUM(D9:D14)</f>
        <v>5708843.5399999991</v>
      </c>
      <c r="E15" s="194"/>
      <c r="F15" s="194"/>
      <c r="G15" s="191">
        <f>SUM(G9:G14)</f>
        <v>5582875.6999999993</v>
      </c>
      <c r="H15" s="192"/>
      <c r="I15" s="193"/>
      <c r="J15" s="191">
        <f>SUM(J9:J14)</f>
        <v>0.17</v>
      </c>
      <c r="K15" s="192"/>
      <c r="L15" s="193"/>
      <c r="M15" s="194">
        <f t="shared" si="0"/>
        <v>125967.83999999985</v>
      </c>
      <c r="N15" s="194"/>
    </row>
    <row r="18" spans="1:12" thickBot="1" x14ac:dyDescent="0.35"/>
    <row r="19" spans="1:12" ht="23.25" customHeight="1" x14ac:dyDescent="0.25">
      <c r="A19" s="176" t="s">
        <v>35</v>
      </c>
      <c r="B19" s="177"/>
      <c r="C19" s="178"/>
      <c r="D19" s="182">
        <f>'Ед. поставщик п.4 ч.1'!P2+'Ед. поставщик п.5 ч.1'!P2+'Ед.поставщик за искл. п.4,5 ч.1'!N2+'Состоявшиеся аукционы'!V2+'Несостоявшиеся аукционы'!V2+'Иные конкурентные закупки'!V2</f>
        <v>1357410.9700000002</v>
      </c>
      <c r="E19" s="183"/>
      <c r="F19" s="183"/>
      <c r="G19" s="184"/>
      <c r="I19" s="15"/>
      <c r="J19" s="15"/>
      <c r="K19" s="15"/>
      <c r="L19" s="15"/>
    </row>
    <row r="20" spans="1:12" ht="24" customHeight="1" thickBot="1" x14ac:dyDescent="0.3">
      <c r="A20" s="179"/>
      <c r="B20" s="180"/>
      <c r="C20" s="181"/>
      <c r="D20" s="185"/>
      <c r="E20" s="186"/>
      <c r="F20" s="186"/>
      <c r="G20" s="187"/>
      <c r="I20" s="15"/>
      <c r="J20" s="15"/>
      <c r="K20" s="15"/>
      <c r="L20" s="15"/>
    </row>
  </sheetData>
  <mergeCells count="52">
    <mergeCell ref="H5:J5"/>
    <mergeCell ref="M5:N5"/>
    <mergeCell ref="M11:N11"/>
    <mergeCell ref="J11:L11"/>
    <mergeCell ref="A4:B4"/>
    <mergeCell ref="E4:G4"/>
    <mergeCell ref="H4:J4"/>
    <mergeCell ref="M4:N4"/>
    <mergeCell ref="A5:B5"/>
    <mergeCell ref="A8:C8"/>
    <mergeCell ref="D8:F8"/>
    <mergeCell ref="G8:I8"/>
    <mergeCell ref="M8:N8"/>
    <mergeCell ref="J8:L8"/>
    <mergeCell ref="E5:G5"/>
    <mergeCell ref="A10:C10"/>
    <mergeCell ref="D10:F10"/>
    <mergeCell ref="G10:I10"/>
    <mergeCell ref="M10:N10"/>
    <mergeCell ref="J10:L10"/>
    <mergeCell ref="A9:C9"/>
    <mergeCell ref="D9:F9"/>
    <mergeCell ref="G9:I9"/>
    <mergeCell ref="M9:N9"/>
    <mergeCell ref="J9:L9"/>
    <mergeCell ref="J13:L13"/>
    <mergeCell ref="A15:C15"/>
    <mergeCell ref="D15:F15"/>
    <mergeCell ref="G15:I15"/>
    <mergeCell ref="M15:N15"/>
    <mergeCell ref="J15:L15"/>
    <mergeCell ref="A13:C13"/>
    <mergeCell ref="D13:F13"/>
    <mergeCell ref="G13:I13"/>
    <mergeCell ref="J14:L14"/>
    <mergeCell ref="M14:N14"/>
    <mergeCell ref="A1:D1"/>
    <mergeCell ref="E1:N1"/>
    <mergeCell ref="A19:C20"/>
    <mergeCell ref="D19:G20"/>
    <mergeCell ref="A14:C14"/>
    <mergeCell ref="D14:F14"/>
    <mergeCell ref="G14:I14"/>
    <mergeCell ref="M12:N12"/>
    <mergeCell ref="J12:L12"/>
    <mergeCell ref="A11:C11"/>
    <mergeCell ref="D11:F11"/>
    <mergeCell ref="G11:I11"/>
    <mergeCell ref="G12:I12"/>
    <mergeCell ref="A12:C12"/>
    <mergeCell ref="D12:F12"/>
    <mergeCell ref="M13:N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4">
    <tabColor rgb="FFFF0000"/>
    <pageSetUpPr fitToPage="1"/>
  </sheetPr>
  <dimension ref="A1:X20"/>
  <sheetViews>
    <sheetView showGridLines="0" topLeftCell="D1" zoomScale="50" zoomScaleNormal="50" workbookViewId="0">
      <pane ySplit="8" topLeftCell="A15" activePane="bottomLeft" state="frozen"/>
      <selection activeCell="I1" sqref="I1"/>
      <selection pane="bottomLeft" activeCell="O16" sqref="O16"/>
    </sheetView>
  </sheetViews>
  <sheetFormatPr defaultColWidth="0" defaultRowHeight="18.75" x14ac:dyDescent="0.25"/>
  <cols>
    <col min="1" max="1" width="9.140625" style="3" customWidth="1"/>
    <col min="2" max="3" width="35" style="3" customWidth="1"/>
    <col min="4" max="4" width="32.85546875" style="3" customWidth="1"/>
    <col min="5" max="5" width="24.7109375" style="11" customWidth="1"/>
    <col min="6" max="6" width="27.5703125" style="3" customWidth="1"/>
    <col min="7" max="7" width="49.140625" style="3" customWidth="1"/>
    <col min="8" max="8" width="26.85546875" style="10" customWidth="1"/>
    <col min="9" max="9" width="21.85546875" style="10" customWidth="1"/>
    <col min="10" max="10" width="33.5703125" style="3" customWidth="1"/>
    <col min="11" max="12" width="28.28515625" style="3" customWidth="1"/>
    <col min="13" max="13" width="34.85546875" style="3" customWidth="1"/>
    <col min="14" max="14" width="28.85546875" style="11" customWidth="1"/>
    <col min="15" max="15" width="28.85546875" style="3" customWidth="1"/>
    <col min="16" max="16" width="24" style="26" customWidth="1"/>
    <col min="17" max="17" width="24" style="11" bestFit="1" customWidth="1"/>
    <col min="18" max="18" width="23.42578125" style="2" customWidth="1"/>
    <col min="19" max="20" width="23.7109375" style="2" customWidth="1"/>
    <col min="21" max="21" width="24.5703125" style="11" customWidth="1"/>
    <col min="22" max="22" width="25.5703125" style="26" customWidth="1"/>
    <col min="23" max="23" width="17.7109375" style="2" customWidth="1"/>
    <col min="24" max="16384" width="9.140625" style="2" hidden="1"/>
  </cols>
  <sheetData>
    <row r="1" spans="1:24" ht="18.600000000000001" thickBot="1" x14ac:dyDescent="0.35"/>
    <row r="2" spans="1:24" ht="39.950000000000003" customHeight="1" thickBot="1" x14ac:dyDescent="0.3">
      <c r="A2" s="68"/>
      <c r="B2" s="68"/>
      <c r="C2" s="68"/>
      <c r="D2" s="68"/>
      <c r="E2" s="68"/>
      <c r="F2" s="10"/>
      <c r="G2" s="83" t="s">
        <v>24</v>
      </c>
      <c r="H2" s="80">
        <f>SUM(H9:H9999)</f>
        <v>398436.4</v>
      </c>
      <c r="K2" s="223"/>
      <c r="L2" s="223"/>
      <c r="M2" s="223"/>
      <c r="N2" s="224" t="s">
        <v>137</v>
      </c>
      <c r="O2" s="226"/>
      <c r="P2" s="69">
        <f>SUM(P9:P9999)</f>
        <v>0</v>
      </c>
      <c r="R2" s="68"/>
      <c r="S2" s="224" t="s">
        <v>45</v>
      </c>
      <c r="T2" s="225"/>
      <c r="U2" s="226"/>
      <c r="V2" s="70">
        <f>SUM(V9:V9999)</f>
        <v>0</v>
      </c>
    </row>
    <row r="3" spans="1:24" ht="18" x14ac:dyDescent="0.3">
      <c r="A3" s="223"/>
      <c r="B3" s="223"/>
      <c r="C3" s="223"/>
      <c r="D3" s="223"/>
      <c r="E3" s="223"/>
      <c r="N3" s="68"/>
    </row>
    <row r="4" spans="1:24" ht="39.950000000000003" customHeight="1" x14ac:dyDescent="0.3">
      <c r="J4" s="227"/>
      <c r="K4" s="227"/>
      <c r="M4" s="227"/>
      <c r="N4" s="227"/>
      <c r="O4" s="227"/>
      <c r="P4" s="227"/>
    </row>
    <row r="6" spans="1:24" ht="159" customHeight="1" x14ac:dyDescent="0.25">
      <c r="A6" s="51" t="s">
        <v>8</v>
      </c>
      <c r="B6" s="51" t="s">
        <v>47</v>
      </c>
      <c r="C6" s="51" t="s">
        <v>145</v>
      </c>
      <c r="D6" s="51" t="s">
        <v>10</v>
      </c>
      <c r="E6" s="50" t="s">
        <v>1</v>
      </c>
      <c r="F6" s="51" t="s">
        <v>2</v>
      </c>
      <c r="G6" s="51" t="s">
        <v>3</v>
      </c>
      <c r="H6" s="53" t="s">
        <v>4</v>
      </c>
      <c r="I6" s="53" t="s">
        <v>22</v>
      </c>
      <c r="J6" s="51" t="s">
        <v>46</v>
      </c>
      <c r="K6" s="51" t="s">
        <v>5</v>
      </c>
      <c r="L6" s="51" t="s">
        <v>82</v>
      </c>
      <c r="M6" s="51" t="s">
        <v>44</v>
      </c>
      <c r="N6" s="50" t="s">
        <v>7</v>
      </c>
      <c r="O6" s="51" t="s">
        <v>6</v>
      </c>
      <c r="P6" s="52" t="s">
        <v>23</v>
      </c>
      <c r="Q6" s="50" t="s">
        <v>9</v>
      </c>
      <c r="R6" s="49" t="s">
        <v>40</v>
      </c>
      <c r="S6" s="49" t="s">
        <v>103</v>
      </c>
      <c r="T6" s="49" t="s">
        <v>104</v>
      </c>
      <c r="U6" s="50" t="s">
        <v>41</v>
      </c>
      <c r="V6" s="52" t="s">
        <v>105</v>
      </c>
      <c r="W6" s="49" t="s">
        <v>42</v>
      </c>
    </row>
    <row r="7" spans="1:24" ht="18" x14ac:dyDescent="0.3">
      <c r="A7" s="60" t="s">
        <v>36</v>
      </c>
      <c r="B7" s="60" t="s">
        <v>110</v>
      </c>
      <c r="C7" s="60" t="s">
        <v>111</v>
      </c>
      <c r="D7" s="60" t="s">
        <v>112</v>
      </c>
      <c r="E7" s="60" t="s">
        <v>113</v>
      </c>
      <c r="F7" s="60" t="s">
        <v>114</v>
      </c>
      <c r="G7" s="60" t="s">
        <v>115</v>
      </c>
      <c r="H7" s="60" t="s">
        <v>116</v>
      </c>
      <c r="I7" s="60" t="s">
        <v>117</v>
      </c>
      <c r="J7" s="60" t="s">
        <v>118</v>
      </c>
      <c r="K7" s="60" t="s">
        <v>119</v>
      </c>
      <c r="L7" s="60" t="s">
        <v>120</v>
      </c>
      <c r="M7" s="60" t="s">
        <v>121</v>
      </c>
      <c r="N7" s="60" t="s">
        <v>122</v>
      </c>
      <c r="O7" s="60" t="s">
        <v>123</v>
      </c>
      <c r="P7" s="60" t="s">
        <v>124</v>
      </c>
      <c r="Q7" s="60" t="s">
        <v>125</v>
      </c>
      <c r="R7" s="60" t="s">
        <v>126</v>
      </c>
      <c r="S7" s="60" t="s">
        <v>127</v>
      </c>
      <c r="T7" s="60" t="s">
        <v>128</v>
      </c>
      <c r="U7" s="60" t="s">
        <v>129</v>
      </c>
      <c r="V7" s="60" t="s">
        <v>130</v>
      </c>
      <c r="W7" s="60" t="s">
        <v>131</v>
      </c>
    </row>
    <row r="8" spans="1:24" s="14" customFormat="1" ht="93.75" x14ac:dyDescent="0.25">
      <c r="A8" s="54">
        <v>1</v>
      </c>
      <c r="B8" s="54" t="s">
        <v>56</v>
      </c>
      <c r="C8" s="54"/>
      <c r="D8" s="54" t="s">
        <v>58</v>
      </c>
      <c r="E8" s="55" t="s">
        <v>57</v>
      </c>
      <c r="F8" s="55" t="s">
        <v>107</v>
      </c>
      <c r="G8" s="54" t="s">
        <v>59</v>
      </c>
      <c r="H8" s="61">
        <v>20000</v>
      </c>
      <c r="I8" s="61">
        <f>H8-P8</f>
        <v>0</v>
      </c>
      <c r="J8" s="54" t="s">
        <v>60</v>
      </c>
      <c r="K8" s="54" t="s">
        <v>61</v>
      </c>
      <c r="L8" s="54"/>
      <c r="M8" s="54" t="s">
        <v>62</v>
      </c>
      <c r="N8" s="55">
        <v>43840</v>
      </c>
      <c r="O8" s="54" t="s">
        <v>144</v>
      </c>
      <c r="P8" s="84">
        <v>20000</v>
      </c>
      <c r="Q8" s="55">
        <v>43840</v>
      </c>
      <c r="R8" s="54"/>
      <c r="S8" s="61"/>
      <c r="T8" s="61"/>
      <c r="U8" s="55"/>
      <c r="V8" s="61"/>
      <c r="W8" s="57" t="s">
        <v>64</v>
      </c>
    </row>
    <row r="9" spans="1:24" s="85" customFormat="1" ht="93.75" x14ac:dyDescent="0.25">
      <c r="A9" s="87">
        <v>1</v>
      </c>
      <c r="B9" s="88" t="s">
        <v>56</v>
      </c>
      <c r="C9" s="88"/>
      <c r="D9" s="88"/>
      <c r="E9" s="94" t="s">
        <v>211</v>
      </c>
      <c r="F9" s="93" t="s">
        <v>212</v>
      </c>
      <c r="G9" s="88" t="s">
        <v>213</v>
      </c>
      <c r="H9" s="90">
        <v>1000</v>
      </c>
      <c r="I9" s="91">
        <f>IF(X9 = 49, H9 + SUM(S9:S9) - SUM(T9:T9) - SUM(P9:P9) - V9,0)</f>
        <v>1000</v>
      </c>
      <c r="J9" s="88" t="s">
        <v>214</v>
      </c>
      <c r="K9" s="88" t="s">
        <v>158</v>
      </c>
      <c r="L9" s="88"/>
      <c r="M9" s="88" t="s">
        <v>215</v>
      </c>
      <c r="N9" s="93"/>
      <c r="O9" s="86" t="s">
        <v>216</v>
      </c>
      <c r="P9" s="90"/>
      <c r="Q9" s="89"/>
      <c r="R9" s="88"/>
      <c r="S9" s="90"/>
      <c r="T9" s="90"/>
      <c r="U9" s="90"/>
      <c r="V9" s="95"/>
      <c r="W9" s="92"/>
      <c r="X9" s="85">
        <v>49</v>
      </c>
    </row>
    <row r="10" spans="1:24" s="85" customFormat="1" ht="93.75" x14ac:dyDescent="0.25">
      <c r="A10" s="87">
        <v>2</v>
      </c>
      <c r="B10" s="88" t="s">
        <v>56</v>
      </c>
      <c r="C10" s="88"/>
      <c r="D10" s="88"/>
      <c r="E10" s="94" t="s">
        <v>159</v>
      </c>
      <c r="F10" s="93" t="s">
        <v>212</v>
      </c>
      <c r="G10" s="88" t="s">
        <v>213</v>
      </c>
      <c r="H10" s="90">
        <v>9400</v>
      </c>
      <c r="I10" s="91">
        <f>IF(X10 = 50, H10 + SUM(S10:S10) - SUM(T10:T10) - SUM(P10:P10) - V10,0)</f>
        <v>9400</v>
      </c>
      <c r="J10" s="88" t="s">
        <v>214</v>
      </c>
      <c r="K10" s="88" t="s">
        <v>158</v>
      </c>
      <c r="L10" s="88"/>
      <c r="M10" s="88" t="s">
        <v>215</v>
      </c>
      <c r="N10" s="93"/>
      <c r="O10" s="86" t="s">
        <v>216</v>
      </c>
      <c r="P10" s="90"/>
      <c r="Q10" s="89"/>
      <c r="R10" s="88"/>
      <c r="S10" s="90"/>
      <c r="T10" s="90"/>
      <c r="U10" s="90"/>
      <c r="V10" s="95"/>
      <c r="W10" s="92"/>
      <c r="X10" s="85">
        <v>50</v>
      </c>
    </row>
    <row r="11" spans="1:24" s="85" customFormat="1" ht="94.9" customHeight="1" x14ac:dyDescent="0.25">
      <c r="A11" s="110">
        <v>3</v>
      </c>
      <c r="B11" s="111" t="s">
        <v>56</v>
      </c>
      <c r="C11" s="111"/>
      <c r="D11" s="111"/>
      <c r="E11" s="120" t="s">
        <v>153</v>
      </c>
      <c r="F11" s="118" t="s">
        <v>237</v>
      </c>
      <c r="G11" s="111" t="s">
        <v>238</v>
      </c>
      <c r="H11" s="113">
        <v>36000</v>
      </c>
      <c r="I11" s="114">
        <f>IF(X11 = 51, H11 + SUM(S11:S11) - SUM(T11:T11) - SUM(P11:P11) - V11,0)</f>
        <v>36000</v>
      </c>
      <c r="J11" s="111" t="s">
        <v>239</v>
      </c>
      <c r="K11" s="111" t="s">
        <v>154</v>
      </c>
      <c r="L11" s="111"/>
      <c r="M11" s="111" t="s">
        <v>215</v>
      </c>
      <c r="N11" s="118"/>
      <c r="O11" s="118" t="s">
        <v>240</v>
      </c>
      <c r="P11" s="113"/>
      <c r="Q11" s="112"/>
      <c r="R11" s="111"/>
      <c r="S11" s="113"/>
      <c r="T11" s="113"/>
      <c r="U11" s="113"/>
      <c r="V11" s="121"/>
      <c r="W11" s="108"/>
      <c r="X11" s="85">
        <v>51</v>
      </c>
    </row>
    <row r="12" spans="1:24" s="85" customFormat="1" ht="112.5" x14ac:dyDescent="0.25">
      <c r="A12" s="110">
        <v>4</v>
      </c>
      <c r="B12" s="111" t="s">
        <v>56</v>
      </c>
      <c r="C12" s="111"/>
      <c r="D12" s="111"/>
      <c r="E12" s="120" t="s">
        <v>241</v>
      </c>
      <c r="F12" s="118" t="s">
        <v>237</v>
      </c>
      <c r="G12" s="111" t="s">
        <v>242</v>
      </c>
      <c r="H12" s="113">
        <v>24000</v>
      </c>
      <c r="I12" s="114">
        <f>IF(X12 = 52, H12 + SUM(S12:S12) - SUM(T12:T12) - SUM(P12:P12) - V12,0)</f>
        <v>24000</v>
      </c>
      <c r="J12" s="111" t="s">
        <v>239</v>
      </c>
      <c r="K12" s="111" t="s">
        <v>154</v>
      </c>
      <c r="L12" s="111"/>
      <c r="M12" s="111" t="s">
        <v>215</v>
      </c>
      <c r="N12" s="118"/>
      <c r="O12" s="118" t="s">
        <v>240</v>
      </c>
      <c r="P12" s="113"/>
      <c r="Q12" s="112"/>
      <c r="R12" s="111"/>
      <c r="S12" s="113"/>
      <c r="T12" s="113"/>
      <c r="U12" s="113"/>
      <c r="V12" s="121"/>
      <c r="W12" s="108"/>
      <c r="X12" s="85">
        <v>52</v>
      </c>
    </row>
    <row r="13" spans="1:24" s="85" customFormat="1" ht="112.5" x14ac:dyDescent="0.25">
      <c r="A13" s="110">
        <v>5</v>
      </c>
      <c r="B13" s="111" t="s">
        <v>56</v>
      </c>
      <c r="C13" s="111"/>
      <c r="D13" s="111"/>
      <c r="E13" s="120" t="s">
        <v>57</v>
      </c>
      <c r="F13" s="118" t="s">
        <v>237</v>
      </c>
      <c r="G13" s="111" t="s">
        <v>243</v>
      </c>
      <c r="H13" s="113">
        <v>72000</v>
      </c>
      <c r="I13" s="114">
        <f>IF(X13 = 53, H13 + SUM(S13:S13) - SUM(T13:T13) - SUM(P13:P13) - V13,0)</f>
        <v>72000</v>
      </c>
      <c r="J13" s="111" t="s">
        <v>244</v>
      </c>
      <c r="K13" s="111" t="s">
        <v>167</v>
      </c>
      <c r="L13" s="111"/>
      <c r="M13" s="111" t="s">
        <v>215</v>
      </c>
      <c r="N13" s="118"/>
      <c r="O13" s="118" t="s">
        <v>240</v>
      </c>
      <c r="P13" s="113"/>
      <c r="Q13" s="112"/>
      <c r="R13" s="111"/>
      <c r="S13" s="113"/>
      <c r="T13" s="113"/>
      <c r="U13" s="113"/>
      <c r="V13" s="121"/>
      <c r="W13" s="108"/>
      <c r="X13" s="85">
        <v>53</v>
      </c>
    </row>
    <row r="14" spans="1:24" s="85" customFormat="1" ht="112.5" x14ac:dyDescent="0.25">
      <c r="A14" s="110">
        <v>6</v>
      </c>
      <c r="B14" s="111" t="s">
        <v>56</v>
      </c>
      <c r="C14" s="111"/>
      <c r="D14" s="111"/>
      <c r="E14" s="112" t="s">
        <v>245</v>
      </c>
      <c r="F14" s="118" t="s">
        <v>237</v>
      </c>
      <c r="G14" s="111" t="s">
        <v>246</v>
      </c>
      <c r="H14" s="113">
        <v>7200</v>
      </c>
      <c r="I14" s="114">
        <f>IF(X14 = 54, H14 + SUM(S14:S14) - SUM(T14:T14) - SUM(P14:P14) - V14,0)</f>
        <v>7200</v>
      </c>
      <c r="J14" s="111" t="s">
        <v>247</v>
      </c>
      <c r="K14" s="111" t="s">
        <v>248</v>
      </c>
      <c r="L14" s="111"/>
      <c r="M14" s="111" t="s">
        <v>215</v>
      </c>
      <c r="N14" s="118"/>
      <c r="O14" s="118" t="s">
        <v>240</v>
      </c>
      <c r="P14" s="113"/>
      <c r="Q14" s="112"/>
      <c r="R14" s="111"/>
      <c r="S14" s="113"/>
      <c r="T14" s="113"/>
      <c r="U14" s="113"/>
      <c r="V14" s="121"/>
      <c r="W14" s="108"/>
      <c r="X14" s="85">
        <v>54</v>
      </c>
    </row>
    <row r="15" spans="1:24" s="85" customFormat="1" ht="75" x14ac:dyDescent="0.25">
      <c r="A15" s="138">
        <v>7</v>
      </c>
      <c r="B15" s="134" t="s">
        <v>56</v>
      </c>
      <c r="C15" s="134"/>
      <c r="D15" s="134"/>
      <c r="E15" s="139" t="s">
        <v>279</v>
      </c>
      <c r="F15" s="169" t="s">
        <v>237</v>
      </c>
      <c r="G15" s="134" t="s">
        <v>280</v>
      </c>
      <c r="H15" s="135">
        <v>8000</v>
      </c>
      <c r="I15" s="140">
        <f>IF(X15 = 55, H15 + SUM(S15:S15) - SUM(T15:T15) - SUM(P15:P15) - V15,0)</f>
        <v>8000</v>
      </c>
      <c r="J15" s="134" t="s">
        <v>281</v>
      </c>
      <c r="K15" s="134" t="s">
        <v>282</v>
      </c>
      <c r="L15" s="134"/>
      <c r="M15" s="134" t="s">
        <v>215</v>
      </c>
      <c r="N15" s="169"/>
      <c r="O15" s="169" t="s">
        <v>283</v>
      </c>
      <c r="P15" s="135"/>
      <c r="Q15" s="139"/>
      <c r="R15" s="134"/>
      <c r="S15" s="135"/>
      <c r="T15" s="135"/>
      <c r="U15" s="135"/>
      <c r="V15" s="172"/>
      <c r="W15" s="137"/>
      <c r="X15" s="85">
        <v>55</v>
      </c>
    </row>
    <row r="16" spans="1:24" s="85" customFormat="1" ht="93.75" x14ac:dyDescent="0.25">
      <c r="A16" s="138">
        <v>8</v>
      </c>
      <c r="B16" s="134" t="s">
        <v>56</v>
      </c>
      <c r="C16" s="134"/>
      <c r="D16" s="134"/>
      <c r="E16" s="139" t="s">
        <v>284</v>
      </c>
      <c r="F16" s="169" t="s">
        <v>285</v>
      </c>
      <c r="G16" s="134" t="s">
        <v>286</v>
      </c>
      <c r="H16" s="135">
        <v>28761.599999999999</v>
      </c>
      <c r="I16" s="140">
        <f>IF(X16 = 56, H16 + SUM(S16:S16) - SUM(T16:T16) - SUM(P16:P16) - V16,0)</f>
        <v>28761.599999999999</v>
      </c>
      <c r="J16" s="134" t="s">
        <v>287</v>
      </c>
      <c r="K16" s="134" t="s">
        <v>288</v>
      </c>
      <c r="L16" s="134"/>
      <c r="M16" s="134" t="s">
        <v>289</v>
      </c>
      <c r="N16" s="169"/>
      <c r="O16" s="169" t="s">
        <v>290</v>
      </c>
      <c r="P16" s="135"/>
      <c r="Q16" s="139"/>
      <c r="R16" s="134"/>
      <c r="S16" s="135"/>
      <c r="T16" s="135"/>
      <c r="U16" s="135"/>
      <c r="V16" s="172"/>
      <c r="W16" s="137"/>
      <c r="X16" s="85">
        <v>56</v>
      </c>
    </row>
    <row r="17" spans="1:24" s="85" customFormat="1" ht="93.75" x14ac:dyDescent="0.25">
      <c r="A17" s="138">
        <v>9</v>
      </c>
      <c r="B17" s="134" t="s">
        <v>56</v>
      </c>
      <c r="C17" s="134"/>
      <c r="D17" s="134"/>
      <c r="E17" s="139" t="s">
        <v>291</v>
      </c>
      <c r="F17" s="169" t="s">
        <v>285</v>
      </c>
      <c r="G17" s="134" t="s">
        <v>292</v>
      </c>
      <c r="H17" s="135">
        <v>8400</v>
      </c>
      <c r="I17" s="140">
        <f>IF(X17 = 57, H17 + SUM(S17:S17) - SUM(T17:T17) - SUM(P17:P17) - V17,0)</f>
        <v>8400</v>
      </c>
      <c r="J17" s="134" t="s">
        <v>287</v>
      </c>
      <c r="K17" s="134" t="s">
        <v>288</v>
      </c>
      <c r="L17" s="134"/>
      <c r="M17" s="134" t="s">
        <v>289</v>
      </c>
      <c r="N17" s="169"/>
      <c r="O17" s="169" t="s">
        <v>290</v>
      </c>
      <c r="P17" s="135"/>
      <c r="Q17" s="139"/>
      <c r="R17" s="134"/>
      <c r="S17" s="135"/>
      <c r="T17" s="135"/>
      <c r="U17" s="135"/>
      <c r="V17" s="172"/>
      <c r="W17" s="137"/>
      <c r="X17" s="85">
        <v>57</v>
      </c>
    </row>
    <row r="18" spans="1:24" s="85" customFormat="1" ht="93.75" x14ac:dyDescent="0.25">
      <c r="A18" s="138">
        <v>10</v>
      </c>
      <c r="B18" s="134" t="s">
        <v>56</v>
      </c>
      <c r="C18" s="134"/>
      <c r="D18" s="134"/>
      <c r="E18" s="139" t="s">
        <v>293</v>
      </c>
      <c r="F18" s="169" t="s">
        <v>285</v>
      </c>
      <c r="G18" s="134" t="s">
        <v>294</v>
      </c>
      <c r="H18" s="135">
        <v>157474.79999999999</v>
      </c>
      <c r="I18" s="140">
        <f>IF(X18 = 58, H18 + SUM(S18:S18) - SUM(T18:T18) - SUM(P18:P18) - V18,0)</f>
        <v>157474.79999999999</v>
      </c>
      <c r="J18" s="134" t="s">
        <v>287</v>
      </c>
      <c r="K18" s="134" t="s">
        <v>288</v>
      </c>
      <c r="L18" s="134"/>
      <c r="M18" s="134" t="s">
        <v>289</v>
      </c>
      <c r="N18" s="169"/>
      <c r="O18" s="169" t="s">
        <v>290</v>
      </c>
      <c r="P18" s="135"/>
      <c r="Q18" s="139"/>
      <c r="R18" s="134"/>
      <c r="S18" s="135"/>
      <c r="T18" s="135"/>
      <c r="U18" s="135"/>
      <c r="V18" s="172"/>
      <c r="W18" s="137"/>
      <c r="X18" s="85">
        <v>58</v>
      </c>
    </row>
    <row r="19" spans="1:24" s="85" customFormat="1" ht="93.75" x14ac:dyDescent="0.25">
      <c r="A19" s="138">
        <v>11</v>
      </c>
      <c r="B19" s="134" t="s">
        <v>56</v>
      </c>
      <c r="C19" s="134"/>
      <c r="D19" s="134"/>
      <c r="E19" s="139" t="s">
        <v>295</v>
      </c>
      <c r="F19" s="169" t="s">
        <v>285</v>
      </c>
      <c r="G19" s="134" t="s">
        <v>296</v>
      </c>
      <c r="H19" s="135">
        <v>46200</v>
      </c>
      <c r="I19" s="140">
        <f>IF(X19 = 59, H19 + SUM(S19:S19) - SUM(T19:T19) - SUM(P19:P19) - V19,0)</f>
        <v>46200</v>
      </c>
      <c r="J19" s="134" t="s">
        <v>287</v>
      </c>
      <c r="K19" s="134" t="s">
        <v>288</v>
      </c>
      <c r="L19" s="134"/>
      <c r="M19" s="134" t="s">
        <v>289</v>
      </c>
      <c r="N19" s="169"/>
      <c r="O19" s="169" t="s">
        <v>290</v>
      </c>
      <c r="P19" s="135"/>
      <c r="Q19" s="139"/>
      <c r="R19" s="134"/>
      <c r="S19" s="135"/>
      <c r="T19" s="135"/>
      <c r="U19" s="135"/>
      <c r="V19" s="172"/>
      <c r="W19" s="137"/>
      <c r="X19" s="85">
        <v>59</v>
      </c>
    </row>
    <row r="20" spans="1:24" ht="18" x14ac:dyDescent="0.3">
      <c r="X20" s="2">
        <v>60</v>
      </c>
    </row>
  </sheetData>
  <sheetProtection algorithmName="SHA-512" hashValue="C4hbvwKfMg+kjZMOFtf7Ho6wjKZKeS+ugsVwC2tGZvdmQVnimGddRRvNNbQZ0dquMgzd0waUIt/nKWOcXxNudA==" saltValue="4mJ2Q+K1YXH2OMj8x8QhHg==" spinCount="100000" sheet="1" objects="1" scenarios="1" formatCells="0" formatColumns="0" formatRows="0"/>
  <mergeCells count="7">
    <mergeCell ref="A3:E3"/>
    <mergeCell ref="S2:U2"/>
    <mergeCell ref="N2:O2"/>
    <mergeCell ref="J4:K4"/>
    <mergeCell ref="M4:N4"/>
    <mergeCell ref="O4:P4"/>
    <mergeCell ref="K2:M2"/>
  </mergeCells>
  <pageMargins left="0.23622047244094491" right="0.23622047244094491" top="0.74803149606299213" bottom="0.74803149606299213" header="0.31496062992125984" footer="0.31496062992125984"/>
  <pageSetup paperSize="9" scale="23" fitToHeight="0" orientation="landscape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rgb="FFFF0000"/>
    <pageSetUpPr fitToPage="1"/>
  </sheetPr>
  <dimension ref="A1:X45"/>
  <sheetViews>
    <sheetView showGridLines="0" topLeftCell="F1" zoomScale="51" zoomScaleNormal="51" workbookViewId="0">
      <pane ySplit="8" topLeftCell="A42" activePane="bottomLeft" state="frozen"/>
      <selection pane="bottomLeft" activeCell="K44" sqref="K44"/>
    </sheetView>
  </sheetViews>
  <sheetFormatPr defaultColWidth="0" defaultRowHeight="18.75" x14ac:dyDescent="0.25"/>
  <cols>
    <col min="1" max="1" width="14" style="3" customWidth="1"/>
    <col min="2" max="2" width="40.28515625" style="3" customWidth="1"/>
    <col min="3" max="3" width="34" style="3" customWidth="1"/>
    <col min="4" max="4" width="25.42578125" style="3" customWidth="1"/>
    <col min="5" max="5" width="23.85546875" style="3" customWidth="1"/>
    <col min="6" max="6" width="32.42578125" style="3" customWidth="1"/>
    <col min="7" max="7" width="27.42578125" style="11" customWidth="1"/>
    <col min="8" max="8" width="38.42578125" style="3" bestFit="1" customWidth="1"/>
    <col min="9" max="9" width="33" style="3" customWidth="1"/>
    <col min="10" max="11" width="27.28515625" style="26" customWidth="1"/>
    <col min="12" max="12" width="21.42578125" style="3" customWidth="1"/>
    <col min="13" max="13" width="26.5703125" style="3" customWidth="1"/>
    <col min="14" max="14" width="28.140625" style="11" customWidth="1"/>
    <col min="15" max="15" width="39.28515625" style="3" customWidth="1"/>
    <col min="16" max="16" width="24.7109375" style="26" customWidth="1"/>
    <col min="17" max="17" width="24.42578125" style="11" customWidth="1"/>
    <col min="18" max="18" width="23.42578125" style="3" customWidth="1"/>
    <col min="19" max="19" width="25.7109375" style="3" customWidth="1"/>
    <col min="20" max="20" width="26" style="3" customWidth="1"/>
    <col min="21" max="21" width="23.7109375" style="11" customWidth="1"/>
    <col min="22" max="22" width="24" style="10" customWidth="1"/>
    <col min="23" max="23" width="21.85546875" style="2" customWidth="1"/>
    <col min="24" max="16384" width="9.140625" style="2" hidden="1"/>
  </cols>
  <sheetData>
    <row r="1" spans="1:24" ht="18.600000000000001" thickBot="1" x14ac:dyDescent="0.35"/>
    <row r="2" spans="1:24" ht="39.950000000000003" customHeight="1" thickBot="1" x14ac:dyDescent="0.3">
      <c r="E2" s="68"/>
      <c r="F2" s="303" t="s">
        <v>24</v>
      </c>
      <c r="G2" s="304"/>
      <c r="H2" s="80">
        <f>SUM(H9:H9999)</f>
        <v>2845380.1399999997</v>
      </c>
      <c r="I2" s="68"/>
      <c r="N2" s="224" t="s">
        <v>137</v>
      </c>
      <c r="O2" s="226"/>
      <c r="P2" s="69">
        <f>SUM(P9:P9999)</f>
        <v>807822.97000000009</v>
      </c>
      <c r="R2" s="68"/>
      <c r="S2" s="224" t="s">
        <v>45</v>
      </c>
      <c r="T2" s="225"/>
      <c r="U2" s="226"/>
      <c r="V2" s="70">
        <f>SUM(V9:V9999)</f>
        <v>0.17</v>
      </c>
    </row>
    <row r="3" spans="1:24" ht="18" x14ac:dyDescent="0.3">
      <c r="F3" s="2"/>
      <c r="G3" s="2"/>
      <c r="H3" s="2"/>
      <c r="I3" s="2"/>
      <c r="N3" s="2"/>
      <c r="O3" s="2"/>
      <c r="R3" s="2"/>
      <c r="S3" s="2"/>
      <c r="T3" s="2"/>
      <c r="U3" s="2"/>
    </row>
    <row r="4" spans="1:24" ht="39.950000000000003" customHeight="1" x14ac:dyDescent="0.3">
      <c r="F4" s="2"/>
      <c r="G4" s="2"/>
      <c r="H4" s="2"/>
      <c r="I4" s="2"/>
      <c r="N4" s="2"/>
      <c r="O4" s="2"/>
      <c r="R4" s="2"/>
      <c r="S4" s="2"/>
      <c r="T4" s="2"/>
      <c r="U4" s="2"/>
    </row>
    <row r="6" spans="1:24" ht="150" x14ac:dyDescent="0.25">
      <c r="A6" s="18" t="s">
        <v>8</v>
      </c>
      <c r="B6" s="18" t="s">
        <v>47</v>
      </c>
      <c r="C6" s="18" t="s">
        <v>145</v>
      </c>
      <c r="D6" s="18" t="s">
        <v>10</v>
      </c>
      <c r="E6" s="18" t="s">
        <v>1</v>
      </c>
      <c r="F6" s="18" t="s">
        <v>2</v>
      </c>
      <c r="G6" s="24" t="s">
        <v>3</v>
      </c>
      <c r="H6" s="18" t="s">
        <v>4</v>
      </c>
      <c r="I6" s="18" t="s">
        <v>22</v>
      </c>
      <c r="J6" s="27" t="s">
        <v>46</v>
      </c>
      <c r="K6" s="27" t="s">
        <v>5</v>
      </c>
      <c r="L6" s="18" t="s">
        <v>106</v>
      </c>
      <c r="M6" s="18" t="s">
        <v>39</v>
      </c>
      <c r="N6" s="24" t="s">
        <v>37</v>
      </c>
      <c r="O6" s="18" t="s">
        <v>6</v>
      </c>
      <c r="P6" s="27" t="s">
        <v>23</v>
      </c>
      <c r="Q6" s="24" t="s">
        <v>9</v>
      </c>
      <c r="R6" s="23" t="s">
        <v>40</v>
      </c>
      <c r="S6" s="23" t="s">
        <v>103</v>
      </c>
      <c r="T6" s="23" t="s">
        <v>104</v>
      </c>
      <c r="U6" s="22" t="s">
        <v>41</v>
      </c>
      <c r="V6" s="25" t="s">
        <v>43</v>
      </c>
      <c r="W6" s="1" t="s">
        <v>42</v>
      </c>
    </row>
    <row r="7" spans="1:24" ht="18" x14ac:dyDescent="0.3">
      <c r="A7" s="60" t="s">
        <v>36</v>
      </c>
      <c r="B7" s="60" t="s">
        <v>110</v>
      </c>
      <c r="C7" s="60" t="s">
        <v>111</v>
      </c>
      <c r="D7" s="60" t="s">
        <v>112</v>
      </c>
      <c r="E7" s="60" t="s">
        <v>113</v>
      </c>
      <c r="F7" s="60" t="s">
        <v>114</v>
      </c>
      <c r="G7" s="60" t="s">
        <v>115</v>
      </c>
      <c r="H7" s="60" t="s">
        <v>116</v>
      </c>
      <c r="I7" s="60" t="s">
        <v>117</v>
      </c>
      <c r="J7" s="60" t="s">
        <v>118</v>
      </c>
      <c r="K7" s="60" t="s">
        <v>119</v>
      </c>
      <c r="L7" s="60" t="s">
        <v>120</v>
      </c>
      <c r="M7" s="60" t="s">
        <v>121</v>
      </c>
      <c r="N7" s="60" t="s">
        <v>122</v>
      </c>
      <c r="O7" s="60" t="s">
        <v>123</v>
      </c>
      <c r="P7" s="60" t="s">
        <v>124</v>
      </c>
      <c r="Q7" s="60" t="s">
        <v>125</v>
      </c>
      <c r="R7" s="60" t="s">
        <v>126</v>
      </c>
      <c r="S7" s="60" t="s">
        <v>127</v>
      </c>
      <c r="T7" s="60" t="s">
        <v>128</v>
      </c>
      <c r="U7" s="60" t="s">
        <v>129</v>
      </c>
      <c r="V7" s="60" t="s">
        <v>130</v>
      </c>
      <c r="W7" s="60" t="s">
        <v>131</v>
      </c>
    </row>
    <row r="8" spans="1:24" s="14" customFormat="1" ht="131.25" x14ac:dyDescent="0.25">
      <c r="A8" s="21" t="s">
        <v>36</v>
      </c>
      <c r="B8" s="21" t="s">
        <v>56</v>
      </c>
      <c r="C8" s="21"/>
      <c r="D8" s="21" t="s">
        <v>58</v>
      </c>
      <c r="E8" s="21" t="s">
        <v>57</v>
      </c>
      <c r="F8" s="59">
        <v>43839</v>
      </c>
      <c r="G8" s="20" t="s">
        <v>59</v>
      </c>
      <c r="H8" s="19">
        <v>20000</v>
      </c>
      <c r="I8" s="19">
        <v>0</v>
      </c>
      <c r="J8" s="58">
        <v>2353019514</v>
      </c>
      <c r="K8" s="28" t="s">
        <v>61</v>
      </c>
      <c r="L8" s="21"/>
      <c r="M8" s="21" t="s">
        <v>62</v>
      </c>
      <c r="N8" s="20">
        <v>43840</v>
      </c>
      <c r="O8" s="21" t="s">
        <v>63</v>
      </c>
      <c r="P8" s="28">
        <v>20000</v>
      </c>
      <c r="Q8" s="20">
        <v>43840</v>
      </c>
      <c r="R8" s="21"/>
      <c r="S8" s="54"/>
      <c r="T8" s="54"/>
      <c r="U8" s="20"/>
      <c r="V8" s="19"/>
      <c r="W8" s="12" t="s">
        <v>64</v>
      </c>
    </row>
    <row r="9" spans="1:24" s="85" customFormat="1" ht="54" customHeight="1" x14ac:dyDescent="0.25">
      <c r="A9" s="228">
        <v>1</v>
      </c>
      <c r="B9" s="234" t="s">
        <v>56</v>
      </c>
      <c r="C9" s="234"/>
      <c r="D9" s="234"/>
      <c r="E9" s="234" t="s">
        <v>159</v>
      </c>
      <c r="F9" s="230">
        <v>44560</v>
      </c>
      <c r="G9" s="238" t="s">
        <v>157</v>
      </c>
      <c r="H9" s="232">
        <v>11000</v>
      </c>
      <c r="I9" s="240">
        <f>IF(X9 = 13, H9 + SUM(S9:S22) - SUM(T9:T22) - SUM(P9:P22) - V9,0)</f>
        <v>952.42000000000007</v>
      </c>
      <c r="J9" s="242">
        <v>7707049388</v>
      </c>
      <c r="K9" s="244" t="s">
        <v>158</v>
      </c>
      <c r="L9" s="234"/>
      <c r="M9" s="234" t="s">
        <v>156</v>
      </c>
      <c r="N9" s="150">
        <v>44592</v>
      </c>
      <c r="O9" s="230" t="s">
        <v>147</v>
      </c>
      <c r="P9" s="144">
        <v>726.62</v>
      </c>
      <c r="Q9" s="145">
        <v>44608</v>
      </c>
      <c r="R9" s="146"/>
      <c r="S9" s="144"/>
      <c r="T9" s="144"/>
      <c r="U9" s="232"/>
      <c r="V9" s="236"/>
      <c r="W9" s="246"/>
      <c r="X9" s="85">
        <v>13</v>
      </c>
    </row>
    <row r="10" spans="1:24" x14ac:dyDescent="0.25">
      <c r="A10" s="229"/>
      <c r="B10" s="235"/>
      <c r="C10" s="235"/>
      <c r="D10" s="235"/>
      <c r="E10" s="235"/>
      <c r="F10" s="231"/>
      <c r="G10" s="239"/>
      <c r="H10" s="233"/>
      <c r="I10" s="241"/>
      <c r="J10" s="243"/>
      <c r="K10" s="245"/>
      <c r="L10" s="235"/>
      <c r="M10" s="235"/>
      <c r="N10" s="155">
        <v>44620</v>
      </c>
      <c r="O10" s="231"/>
      <c r="P10" s="152">
        <v>682.42</v>
      </c>
      <c r="Q10" s="153">
        <v>44641</v>
      </c>
      <c r="R10" s="154"/>
      <c r="S10" s="152"/>
      <c r="T10" s="152"/>
      <c r="U10" s="233"/>
      <c r="V10" s="237"/>
      <c r="W10" s="247"/>
      <c r="X10" s="2">
        <v>13</v>
      </c>
    </row>
    <row r="11" spans="1:24" x14ac:dyDescent="0.25">
      <c r="A11" s="229"/>
      <c r="B11" s="235"/>
      <c r="C11" s="235"/>
      <c r="D11" s="235"/>
      <c r="E11" s="235"/>
      <c r="F11" s="231"/>
      <c r="G11" s="239"/>
      <c r="H11" s="233"/>
      <c r="I11" s="241"/>
      <c r="J11" s="243"/>
      <c r="K11" s="245"/>
      <c r="L11" s="235"/>
      <c r="M11" s="235"/>
      <c r="N11" s="155">
        <v>44651</v>
      </c>
      <c r="O11" s="231"/>
      <c r="P11" s="152">
        <v>943.67</v>
      </c>
      <c r="Q11" s="153" t="s">
        <v>165</v>
      </c>
      <c r="R11" s="154"/>
      <c r="S11" s="152"/>
      <c r="T11" s="152"/>
      <c r="U11" s="233"/>
      <c r="V11" s="237"/>
      <c r="W11" s="247"/>
      <c r="X11" s="2">
        <v>13</v>
      </c>
    </row>
    <row r="12" spans="1:24" x14ac:dyDescent="0.25">
      <c r="A12" s="229"/>
      <c r="B12" s="235"/>
      <c r="C12" s="235"/>
      <c r="D12" s="235"/>
      <c r="E12" s="235"/>
      <c r="F12" s="231"/>
      <c r="G12" s="239"/>
      <c r="H12" s="233"/>
      <c r="I12" s="241"/>
      <c r="J12" s="243"/>
      <c r="K12" s="245"/>
      <c r="L12" s="235"/>
      <c r="M12" s="235"/>
      <c r="N12" s="155">
        <v>44681</v>
      </c>
      <c r="O12" s="231"/>
      <c r="P12" s="152">
        <v>769.14</v>
      </c>
      <c r="Q12" s="153" t="s">
        <v>166</v>
      </c>
      <c r="R12" s="154"/>
      <c r="S12" s="152"/>
      <c r="T12" s="152"/>
      <c r="U12" s="233"/>
      <c r="V12" s="237"/>
      <c r="W12" s="247"/>
      <c r="X12" s="2">
        <v>13</v>
      </c>
    </row>
    <row r="13" spans="1:24" x14ac:dyDescent="0.25">
      <c r="A13" s="229"/>
      <c r="B13" s="235"/>
      <c r="C13" s="235"/>
      <c r="D13" s="235"/>
      <c r="E13" s="235"/>
      <c r="F13" s="231"/>
      <c r="G13" s="239"/>
      <c r="H13" s="233"/>
      <c r="I13" s="241"/>
      <c r="J13" s="243"/>
      <c r="K13" s="245"/>
      <c r="L13" s="235"/>
      <c r="M13" s="235"/>
      <c r="N13" s="155">
        <v>44712</v>
      </c>
      <c r="O13" s="231"/>
      <c r="P13" s="152">
        <v>973.78</v>
      </c>
      <c r="Q13" s="153" t="s">
        <v>175</v>
      </c>
      <c r="R13" s="154"/>
      <c r="S13" s="152"/>
      <c r="T13" s="152"/>
      <c r="U13" s="233"/>
      <c r="V13" s="237"/>
      <c r="W13" s="247"/>
      <c r="X13" s="2">
        <v>13</v>
      </c>
    </row>
    <row r="14" spans="1:24" x14ac:dyDescent="0.25">
      <c r="A14" s="229"/>
      <c r="B14" s="235"/>
      <c r="C14" s="235"/>
      <c r="D14" s="235"/>
      <c r="E14" s="235"/>
      <c r="F14" s="231"/>
      <c r="G14" s="239"/>
      <c r="H14" s="233"/>
      <c r="I14" s="241"/>
      <c r="J14" s="243"/>
      <c r="K14" s="245"/>
      <c r="L14" s="235"/>
      <c r="M14" s="235"/>
      <c r="N14" s="155">
        <v>44742</v>
      </c>
      <c r="O14" s="231"/>
      <c r="P14" s="152">
        <v>772.94</v>
      </c>
      <c r="Q14" s="153" t="s">
        <v>177</v>
      </c>
      <c r="R14" s="154"/>
      <c r="S14" s="152"/>
      <c r="T14" s="152"/>
      <c r="U14" s="233"/>
      <c r="V14" s="237"/>
      <c r="W14" s="247"/>
      <c r="X14" s="2">
        <v>13</v>
      </c>
    </row>
    <row r="15" spans="1:24" x14ac:dyDescent="0.25">
      <c r="A15" s="229"/>
      <c r="B15" s="235"/>
      <c r="C15" s="235"/>
      <c r="D15" s="235"/>
      <c r="E15" s="235"/>
      <c r="F15" s="231"/>
      <c r="G15" s="239"/>
      <c r="H15" s="233"/>
      <c r="I15" s="241"/>
      <c r="J15" s="243"/>
      <c r="K15" s="245"/>
      <c r="L15" s="235"/>
      <c r="M15" s="235"/>
      <c r="N15" s="155">
        <v>44773</v>
      </c>
      <c r="O15" s="231"/>
      <c r="P15" s="152">
        <v>717.13</v>
      </c>
      <c r="Q15" s="153" t="s">
        <v>182</v>
      </c>
      <c r="R15" s="154"/>
      <c r="S15" s="152"/>
      <c r="T15" s="152"/>
      <c r="U15" s="233"/>
      <c r="V15" s="237"/>
      <c r="W15" s="247"/>
      <c r="X15" s="2">
        <v>13</v>
      </c>
    </row>
    <row r="16" spans="1:24" x14ac:dyDescent="0.25">
      <c r="A16" s="229"/>
      <c r="B16" s="235"/>
      <c r="C16" s="235"/>
      <c r="D16" s="235"/>
      <c r="E16" s="235"/>
      <c r="F16" s="231"/>
      <c r="G16" s="239"/>
      <c r="H16" s="233"/>
      <c r="I16" s="241"/>
      <c r="J16" s="243"/>
      <c r="K16" s="245"/>
      <c r="L16" s="235"/>
      <c r="M16" s="235"/>
      <c r="N16" s="155">
        <v>44804</v>
      </c>
      <c r="O16" s="231"/>
      <c r="P16" s="152">
        <v>704.78</v>
      </c>
      <c r="Q16" s="153" t="s">
        <v>186</v>
      </c>
      <c r="R16" s="154"/>
      <c r="S16" s="152"/>
      <c r="T16" s="152"/>
      <c r="U16" s="233"/>
      <c r="V16" s="237"/>
      <c r="W16" s="247"/>
      <c r="X16" s="2">
        <v>13</v>
      </c>
    </row>
    <row r="17" spans="1:24" x14ac:dyDescent="0.25">
      <c r="A17" s="229"/>
      <c r="B17" s="235"/>
      <c r="C17" s="235"/>
      <c r="D17" s="235"/>
      <c r="E17" s="235"/>
      <c r="F17" s="231"/>
      <c r="G17" s="239"/>
      <c r="H17" s="233"/>
      <c r="I17" s="241"/>
      <c r="J17" s="243"/>
      <c r="K17" s="245"/>
      <c r="L17" s="235"/>
      <c r="M17" s="235"/>
      <c r="N17" s="155">
        <v>44834</v>
      </c>
      <c r="O17" s="231"/>
      <c r="P17" s="152">
        <v>33.020000000000003</v>
      </c>
      <c r="Q17" s="153" t="s">
        <v>190</v>
      </c>
      <c r="R17" s="154"/>
      <c r="S17" s="152"/>
      <c r="T17" s="152"/>
      <c r="U17" s="233"/>
      <c r="V17" s="237"/>
      <c r="W17" s="247"/>
      <c r="X17" s="2">
        <v>13</v>
      </c>
    </row>
    <row r="18" spans="1:24" x14ac:dyDescent="0.25">
      <c r="A18" s="229"/>
      <c r="B18" s="235"/>
      <c r="C18" s="235"/>
      <c r="D18" s="235"/>
      <c r="E18" s="235"/>
      <c r="F18" s="231"/>
      <c r="G18" s="239"/>
      <c r="H18" s="233"/>
      <c r="I18" s="241"/>
      <c r="J18" s="243"/>
      <c r="K18" s="245"/>
      <c r="L18" s="235"/>
      <c r="M18" s="235"/>
      <c r="N18" s="155">
        <v>44834</v>
      </c>
      <c r="O18" s="231"/>
      <c r="P18" s="152">
        <v>805.62</v>
      </c>
      <c r="Q18" s="153" t="s">
        <v>190</v>
      </c>
      <c r="R18" s="154"/>
      <c r="S18" s="152"/>
      <c r="T18" s="152"/>
      <c r="U18" s="233"/>
      <c r="V18" s="237"/>
      <c r="W18" s="247"/>
      <c r="X18" s="2">
        <v>13</v>
      </c>
    </row>
    <row r="19" spans="1:24" x14ac:dyDescent="0.25">
      <c r="A19" s="229"/>
      <c r="B19" s="235"/>
      <c r="C19" s="235"/>
      <c r="D19" s="235"/>
      <c r="E19" s="235"/>
      <c r="F19" s="231"/>
      <c r="G19" s="239"/>
      <c r="H19" s="233"/>
      <c r="I19" s="241"/>
      <c r="J19" s="243"/>
      <c r="K19" s="245"/>
      <c r="L19" s="235"/>
      <c r="M19" s="235"/>
      <c r="N19" s="155">
        <v>44865</v>
      </c>
      <c r="O19" s="231"/>
      <c r="P19" s="152">
        <v>871.99</v>
      </c>
      <c r="Q19" s="153" t="s">
        <v>198</v>
      </c>
      <c r="R19" s="154"/>
      <c r="S19" s="152"/>
      <c r="T19" s="152"/>
      <c r="U19" s="233"/>
      <c r="V19" s="237"/>
      <c r="W19" s="247"/>
      <c r="X19" s="2">
        <v>13</v>
      </c>
    </row>
    <row r="20" spans="1:24" x14ac:dyDescent="0.25">
      <c r="A20" s="229"/>
      <c r="B20" s="235"/>
      <c r="C20" s="235"/>
      <c r="D20" s="235"/>
      <c r="E20" s="235"/>
      <c r="F20" s="231"/>
      <c r="G20" s="239"/>
      <c r="H20" s="233"/>
      <c r="I20" s="241"/>
      <c r="J20" s="243"/>
      <c r="K20" s="245"/>
      <c r="L20" s="235"/>
      <c r="M20" s="235"/>
      <c r="N20" s="155">
        <v>44895</v>
      </c>
      <c r="O20" s="231"/>
      <c r="P20" s="152">
        <v>1010.2</v>
      </c>
      <c r="Q20" s="153" t="s">
        <v>205</v>
      </c>
      <c r="R20" s="154"/>
      <c r="S20" s="152"/>
      <c r="T20" s="152"/>
      <c r="U20" s="233"/>
      <c r="V20" s="237"/>
      <c r="W20" s="247"/>
      <c r="X20" s="2">
        <v>13</v>
      </c>
    </row>
    <row r="21" spans="1:24" s="143" customFormat="1" x14ac:dyDescent="0.25">
      <c r="A21" s="229"/>
      <c r="B21" s="235"/>
      <c r="C21" s="235"/>
      <c r="D21" s="235"/>
      <c r="E21" s="235"/>
      <c r="F21" s="231"/>
      <c r="G21" s="239"/>
      <c r="H21" s="233"/>
      <c r="I21" s="241"/>
      <c r="J21" s="243"/>
      <c r="K21" s="245"/>
      <c r="L21" s="235"/>
      <c r="M21" s="235"/>
      <c r="N21" s="165">
        <v>44926</v>
      </c>
      <c r="O21" s="231"/>
      <c r="P21" s="166">
        <v>172.08</v>
      </c>
      <c r="Q21" s="167" t="s">
        <v>266</v>
      </c>
      <c r="R21" s="168"/>
      <c r="S21" s="166"/>
      <c r="T21" s="166"/>
      <c r="U21" s="233"/>
      <c r="V21" s="237"/>
      <c r="W21" s="247"/>
      <c r="X21" s="143">
        <v>13</v>
      </c>
    </row>
    <row r="22" spans="1:24" s="143" customFormat="1" x14ac:dyDescent="0.25">
      <c r="A22" s="302"/>
      <c r="B22" s="249"/>
      <c r="C22" s="249"/>
      <c r="D22" s="249"/>
      <c r="E22" s="249"/>
      <c r="F22" s="250"/>
      <c r="G22" s="251"/>
      <c r="H22" s="252"/>
      <c r="I22" s="253"/>
      <c r="J22" s="254"/>
      <c r="K22" s="255"/>
      <c r="L22" s="249"/>
      <c r="M22" s="249"/>
      <c r="N22" s="151">
        <v>44926</v>
      </c>
      <c r="O22" s="250"/>
      <c r="P22" s="147">
        <v>864.19</v>
      </c>
      <c r="Q22" s="148" t="s">
        <v>266</v>
      </c>
      <c r="R22" s="149"/>
      <c r="S22" s="147"/>
      <c r="T22" s="147"/>
      <c r="U22" s="252"/>
      <c r="V22" s="256"/>
      <c r="W22" s="248"/>
      <c r="X22" s="143">
        <v>13</v>
      </c>
    </row>
    <row r="23" spans="1:24" s="85" customFormat="1" ht="72" customHeight="1" x14ac:dyDescent="0.25">
      <c r="A23" s="266">
        <v>2</v>
      </c>
      <c r="B23" s="275" t="s">
        <v>56</v>
      </c>
      <c r="C23" s="275"/>
      <c r="D23" s="275"/>
      <c r="E23" s="275" t="s">
        <v>192</v>
      </c>
      <c r="F23" s="269" t="s">
        <v>187</v>
      </c>
      <c r="G23" s="284" t="s">
        <v>193</v>
      </c>
      <c r="H23" s="272">
        <v>257225.44</v>
      </c>
      <c r="I23" s="287">
        <f>IF(X23 = 46, H23 + SUM(S23:S25) - SUM(T23:T25) - SUM(P23:P25) - V23,0)</f>
        <v>-1.6298157268224145E-11</v>
      </c>
      <c r="J23" s="314">
        <v>2312054894</v>
      </c>
      <c r="K23" s="317" t="s">
        <v>150</v>
      </c>
      <c r="L23" s="275"/>
      <c r="M23" s="275" t="s">
        <v>191</v>
      </c>
      <c r="N23" s="105">
        <v>44865</v>
      </c>
      <c r="O23" s="269" t="s">
        <v>194</v>
      </c>
      <c r="P23" s="98">
        <v>7464.37</v>
      </c>
      <c r="Q23" s="97" t="s">
        <v>199</v>
      </c>
      <c r="R23" s="96"/>
      <c r="S23" s="98"/>
      <c r="T23" s="98"/>
      <c r="U23" s="272" t="s">
        <v>269</v>
      </c>
      <c r="V23" s="278">
        <v>0.17</v>
      </c>
      <c r="W23" s="281"/>
      <c r="X23" s="85">
        <v>46</v>
      </c>
    </row>
    <row r="24" spans="1:24" x14ac:dyDescent="0.25">
      <c r="A24" s="267"/>
      <c r="B24" s="276"/>
      <c r="C24" s="276"/>
      <c r="D24" s="276"/>
      <c r="E24" s="276"/>
      <c r="F24" s="270"/>
      <c r="G24" s="285"/>
      <c r="H24" s="273"/>
      <c r="I24" s="288"/>
      <c r="J24" s="315"/>
      <c r="K24" s="318"/>
      <c r="L24" s="276"/>
      <c r="M24" s="276"/>
      <c r="N24" s="106">
        <v>44895</v>
      </c>
      <c r="O24" s="270"/>
      <c r="P24" s="99">
        <v>146780.1</v>
      </c>
      <c r="Q24" s="100" t="s">
        <v>200</v>
      </c>
      <c r="R24" s="101"/>
      <c r="S24" s="99"/>
      <c r="T24" s="99"/>
      <c r="U24" s="273"/>
      <c r="V24" s="279"/>
      <c r="W24" s="282"/>
      <c r="X24" s="2">
        <v>46</v>
      </c>
    </row>
    <row r="25" spans="1:24" x14ac:dyDescent="0.25">
      <c r="A25" s="268"/>
      <c r="B25" s="277"/>
      <c r="C25" s="277"/>
      <c r="D25" s="277"/>
      <c r="E25" s="277"/>
      <c r="F25" s="271"/>
      <c r="G25" s="286"/>
      <c r="H25" s="274"/>
      <c r="I25" s="289"/>
      <c r="J25" s="316"/>
      <c r="K25" s="319"/>
      <c r="L25" s="277"/>
      <c r="M25" s="277"/>
      <c r="N25" s="107">
        <v>44914</v>
      </c>
      <c r="O25" s="271"/>
      <c r="P25" s="102">
        <v>102980.8</v>
      </c>
      <c r="Q25" s="103" t="s">
        <v>204</v>
      </c>
      <c r="R25" s="104"/>
      <c r="S25" s="102"/>
      <c r="T25" s="102"/>
      <c r="U25" s="274"/>
      <c r="V25" s="280"/>
      <c r="W25" s="283"/>
      <c r="X25" s="2">
        <v>46</v>
      </c>
    </row>
    <row r="26" spans="1:24" s="85" customFormat="1" ht="72" customHeight="1" x14ac:dyDescent="0.25">
      <c r="A26" s="228">
        <v>3</v>
      </c>
      <c r="B26" s="234" t="s">
        <v>56</v>
      </c>
      <c r="C26" s="234"/>
      <c r="D26" s="234"/>
      <c r="E26" s="234" t="s">
        <v>270</v>
      </c>
      <c r="F26" s="230" t="s">
        <v>271</v>
      </c>
      <c r="G26" s="238" t="s">
        <v>272</v>
      </c>
      <c r="H26" s="232">
        <v>474789</v>
      </c>
      <c r="I26" s="240">
        <f>IF(X26 = 55, H26 + SUM(S26:S30) - SUM(T26:T30) - SUM(P26:P30) - V26,0)</f>
        <v>0</v>
      </c>
      <c r="J26" s="242">
        <v>235300578903</v>
      </c>
      <c r="K26" s="244" t="s">
        <v>148</v>
      </c>
      <c r="L26" s="234"/>
      <c r="M26" s="234" t="s">
        <v>273</v>
      </c>
      <c r="N26" s="150">
        <v>44834</v>
      </c>
      <c r="O26" s="230" t="s">
        <v>274</v>
      </c>
      <c r="P26" s="144">
        <v>126787.5</v>
      </c>
      <c r="Q26" s="145" t="s">
        <v>275</v>
      </c>
      <c r="R26" s="146"/>
      <c r="S26" s="144"/>
      <c r="T26" s="144"/>
      <c r="U26" s="232"/>
      <c r="V26" s="236"/>
      <c r="W26" s="246"/>
      <c r="X26" s="85">
        <v>55</v>
      </c>
    </row>
    <row r="27" spans="1:24" s="143" customFormat="1" x14ac:dyDescent="0.25">
      <c r="A27" s="229"/>
      <c r="B27" s="235"/>
      <c r="C27" s="235"/>
      <c r="D27" s="235"/>
      <c r="E27" s="235"/>
      <c r="F27" s="231"/>
      <c r="G27" s="239"/>
      <c r="H27" s="233"/>
      <c r="I27" s="241"/>
      <c r="J27" s="243"/>
      <c r="K27" s="245"/>
      <c r="L27" s="235"/>
      <c r="M27" s="235"/>
      <c r="N27" s="165">
        <v>44865</v>
      </c>
      <c r="O27" s="231"/>
      <c r="P27" s="166">
        <v>116644.5</v>
      </c>
      <c r="Q27" s="167" t="s">
        <v>198</v>
      </c>
      <c r="R27" s="168"/>
      <c r="S27" s="166"/>
      <c r="T27" s="166"/>
      <c r="U27" s="233"/>
      <c r="V27" s="237"/>
      <c r="W27" s="247"/>
      <c r="X27" s="143">
        <v>55</v>
      </c>
    </row>
    <row r="28" spans="1:24" s="143" customFormat="1" x14ac:dyDescent="0.25">
      <c r="A28" s="229"/>
      <c r="B28" s="235"/>
      <c r="C28" s="235"/>
      <c r="D28" s="235"/>
      <c r="E28" s="235"/>
      <c r="F28" s="231"/>
      <c r="G28" s="239"/>
      <c r="H28" s="233"/>
      <c r="I28" s="241"/>
      <c r="J28" s="243"/>
      <c r="K28" s="245"/>
      <c r="L28" s="235"/>
      <c r="M28" s="235"/>
      <c r="N28" s="165">
        <v>44865</v>
      </c>
      <c r="O28" s="231"/>
      <c r="P28" s="152">
        <v>241.5</v>
      </c>
      <c r="Q28" s="167" t="s">
        <v>276</v>
      </c>
      <c r="R28" s="168"/>
      <c r="S28" s="166"/>
      <c r="T28" s="166"/>
      <c r="U28" s="233"/>
      <c r="V28" s="237"/>
      <c r="W28" s="247"/>
      <c r="X28" s="143">
        <v>55</v>
      </c>
    </row>
    <row r="29" spans="1:24" s="143" customFormat="1" x14ac:dyDescent="0.25">
      <c r="A29" s="229"/>
      <c r="B29" s="235"/>
      <c r="C29" s="235"/>
      <c r="D29" s="235"/>
      <c r="E29" s="235"/>
      <c r="F29" s="231"/>
      <c r="G29" s="239"/>
      <c r="H29" s="233"/>
      <c r="I29" s="241"/>
      <c r="J29" s="243"/>
      <c r="K29" s="245"/>
      <c r="L29" s="235"/>
      <c r="M29" s="235"/>
      <c r="N29" s="165">
        <v>44895</v>
      </c>
      <c r="O29" s="231"/>
      <c r="P29" s="152">
        <v>103120.5</v>
      </c>
      <c r="Q29" s="167" t="s">
        <v>277</v>
      </c>
      <c r="R29" s="168"/>
      <c r="S29" s="166"/>
      <c r="T29" s="166"/>
      <c r="U29" s="233"/>
      <c r="V29" s="237"/>
      <c r="W29" s="247"/>
      <c r="X29" s="143">
        <v>55</v>
      </c>
    </row>
    <row r="30" spans="1:24" s="143" customFormat="1" x14ac:dyDescent="0.25">
      <c r="A30" s="229"/>
      <c r="B30" s="235"/>
      <c r="C30" s="235"/>
      <c r="D30" s="235"/>
      <c r="E30" s="235"/>
      <c r="F30" s="231"/>
      <c r="G30" s="239"/>
      <c r="H30" s="233"/>
      <c r="I30" s="241"/>
      <c r="J30" s="243"/>
      <c r="K30" s="245"/>
      <c r="L30" s="235"/>
      <c r="M30" s="235"/>
      <c r="N30" s="165">
        <v>44925</v>
      </c>
      <c r="O30" s="231"/>
      <c r="P30" s="166">
        <v>127995</v>
      </c>
      <c r="Q30" s="167" t="s">
        <v>278</v>
      </c>
      <c r="R30" s="168"/>
      <c r="S30" s="166"/>
      <c r="T30" s="166"/>
      <c r="U30" s="233"/>
      <c r="V30" s="237"/>
      <c r="W30" s="247"/>
      <c r="X30" s="143">
        <v>55</v>
      </c>
    </row>
    <row r="31" spans="1:24" s="85" customFormat="1" ht="56.25" x14ac:dyDescent="0.25">
      <c r="A31" s="156">
        <v>4</v>
      </c>
      <c r="B31" s="157" t="s">
        <v>56</v>
      </c>
      <c r="C31" s="157"/>
      <c r="D31" s="157"/>
      <c r="E31" s="157" t="s">
        <v>151</v>
      </c>
      <c r="F31" s="171" t="s">
        <v>218</v>
      </c>
      <c r="G31" s="158" t="s">
        <v>221</v>
      </c>
      <c r="H31" s="159">
        <v>24918.78</v>
      </c>
      <c r="I31" s="160">
        <f>IF(X31 = 56, H31 + SUM(S31:S31) - SUM(T31:T31) - SUM(P31:P31) - V31,0)</f>
        <v>24918.78</v>
      </c>
      <c r="J31" s="161">
        <v>2369002347</v>
      </c>
      <c r="K31" s="162" t="s">
        <v>222</v>
      </c>
      <c r="L31" s="157"/>
      <c r="M31" s="157" t="s">
        <v>215</v>
      </c>
      <c r="N31" s="171"/>
      <c r="O31" s="171" t="s">
        <v>223</v>
      </c>
      <c r="P31" s="159"/>
      <c r="Q31" s="158"/>
      <c r="R31" s="157"/>
      <c r="S31" s="159"/>
      <c r="T31" s="159"/>
      <c r="U31" s="159"/>
      <c r="V31" s="163"/>
      <c r="W31" s="164"/>
      <c r="X31" s="85">
        <v>56</v>
      </c>
    </row>
    <row r="32" spans="1:24" s="85" customFormat="1" ht="93.75" x14ac:dyDescent="0.25">
      <c r="A32" s="110">
        <v>5</v>
      </c>
      <c r="B32" s="111" t="s">
        <v>56</v>
      </c>
      <c r="C32" s="111"/>
      <c r="D32" s="111"/>
      <c r="E32" s="111" t="s">
        <v>217</v>
      </c>
      <c r="F32" s="118" t="s">
        <v>218</v>
      </c>
      <c r="G32" s="112" t="s">
        <v>219</v>
      </c>
      <c r="H32" s="113">
        <v>45256.44</v>
      </c>
      <c r="I32" s="114">
        <f>IF(X32 = 57, H32 + SUM(S32:S32) - SUM(T32:T32) - SUM(P32:P32) - V32,0)</f>
        <v>45256.44</v>
      </c>
      <c r="J32" s="115">
        <v>2308131994</v>
      </c>
      <c r="K32" s="116" t="s">
        <v>220</v>
      </c>
      <c r="L32" s="111"/>
      <c r="M32" s="170" t="s">
        <v>215</v>
      </c>
      <c r="N32" s="118"/>
      <c r="O32" s="118" t="s">
        <v>223</v>
      </c>
      <c r="P32" s="113"/>
      <c r="Q32" s="112"/>
      <c r="R32" s="111"/>
      <c r="S32" s="113"/>
      <c r="T32" s="113"/>
      <c r="U32" s="113"/>
      <c r="V32" s="117"/>
      <c r="W32" s="108"/>
      <c r="X32" s="85">
        <v>57</v>
      </c>
    </row>
    <row r="33" spans="1:24" s="85" customFormat="1" ht="54" customHeight="1" x14ac:dyDescent="0.25">
      <c r="A33" s="290">
        <v>6</v>
      </c>
      <c r="B33" s="260" t="s">
        <v>56</v>
      </c>
      <c r="C33" s="260"/>
      <c r="D33" s="260"/>
      <c r="E33" s="260" t="s">
        <v>236</v>
      </c>
      <c r="F33" s="293" t="s">
        <v>218</v>
      </c>
      <c r="G33" s="296" t="s">
        <v>231</v>
      </c>
      <c r="H33" s="299">
        <v>460063</v>
      </c>
      <c r="I33" s="305">
        <f>IF(X33 = 58, H33 + SUM(S33:S35) - SUM(T33:T35) - SUM(P33:P35) - V33,0)</f>
        <v>394301.88</v>
      </c>
      <c r="J33" s="308">
        <v>2308119595</v>
      </c>
      <c r="K33" s="311" t="s">
        <v>146</v>
      </c>
      <c r="L33" s="260"/>
      <c r="M33" s="260" t="s">
        <v>215</v>
      </c>
      <c r="N33" s="128" t="s">
        <v>265</v>
      </c>
      <c r="O33" s="293" t="s">
        <v>232</v>
      </c>
      <c r="P33" s="123">
        <v>21504.21</v>
      </c>
      <c r="Q33" s="131" t="s">
        <v>264</v>
      </c>
      <c r="R33" s="122"/>
      <c r="S33" s="123"/>
      <c r="T33" s="123"/>
      <c r="U33" s="299"/>
      <c r="V33" s="257"/>
      <c r="W33" s="263"/>
      <c r="X33" s="85">
        <v>58</v>
      </c>
    </row>
    <row r="34" spans="1:24" x14ac:dyDescent="0.25">
      <c r="A34" s="291"/>
      <c r="B34" s="261"/>
      <c r="C34" s="261"/>
      <c r="D34" s="261"/>
      <c r="E34" s="261"/>
      <c r="F34" s="294"/>
      <c r="G34" s="297"/>
      <c r="H34" s="300"/>
      <c r="I34" s="306"/>
      <c r="J34" s="309"/>
      <c r="K34" s="312"/>
      <c r="L34" s="261"/>
      <c r="M34" s="261"/>
      <c r="N34" s="129" t="s">
        <v>268</v>
      </c>
      <c r="O34" s="294"/>
      <c r="P34" s="124">
        <v>17021.11</v>
      </c>
      <c r="Q34" s="133" t="s">
        <v>267</v>
      </c>
      <c r="R34" s="125"/>
      <c r="S34" s="124"/>
      <c r="T34" s="124"/>
      <c r="U34" s="300"/>
      <c r="V34" s="258"/>
      <c r="W34" s="264"/>
      <c r="X34" s="2">
        <v>58</v>
      </c>
    </row>
    <row r="35" spans="1:24" x14ac:dyDescent="0.25">
      <c r="A35" s="292"/>
      <c r="B35" s="262"/>
      <c r="C35" s="262"/>
      <c r="D35" s="262"/>
      <c r="E35" s="262"/>
      <c r="F35" s="295"/>
      <c r="G35" s="298"/>
      <c r="H35" s="301"/>
      <c r="I35" s="307"/>
      <c r="J35" s="310"/>
      <c r="K35" s="313"/>
      <c r="L35" s="262"/>
      <c r="M35" s="262"/>
      <c r="N35" s="130" t="s">
        <v>268</v>
      </c>
      <c r="O35" s="295"/>
      <c r="P35" s="126">
        <v>27235.8</v>
      </c>
      <c r="Q35" s="132" t="s">
        <v>267</v>
      </c>
      <c r="R35" s="127"/>
      <c r="S35" s="126"/>
      <c r="T35" s="126"/>
      <c r="U35" s="301"/>
      <c r="V35" s="259"/>
      <c r="W35" s="265"/>
      <c r="X35" s="2">
        <v>58</v>
      </c>
    </row>
    <row r="36" spans="1:24" s="85" customFormat="1" ht="75" x14ac:dyDescent="0.25">
      <c r="A36" s="110">
        <v>7</v>
      </c>
      <c r="B36" s="111" t="s">
        <v>56</v>
      </c>
      <c r="C36" s="111"/>
      <c r="D36" s="111"/>
      <c r="E36" s="111" t="s">
        <v>234</v>
      </c>
      <c r="F36" s="118" t="s">
        <v>218</v>
      </c>
      <c r="G36" s="112" t="s">
        <v>233</v>
      </c>
      <c r="H36" s="113">
        <v>27331.200000000001</v>
      </c>
      <c r="I36" s="114">
        <f>IF(X36 = 59, H36 + SUM(S36:S36) - SUM(T36:T36) - SUM(P36:P36) - V36,0)</f>
        <v>27331.200000000001</v>
      </c>
      <c r="J36" s="115">
        <v>2310163739</v>
      </c>
      <c r="K36" s="116" t="s">
        <v>152</v>
      </c>
      <c r="L36" s="111"/>
      <c r="M36" s="111" t="s">
        <v>215</v>
      </c>
      <c r="N36" s="118"/>
      <c r="O36" s="118" t="s">
        <v>235</v>
      </c>
      <c r="P36" s="113"/>
      <c r="Q36" s="112"/>
      <c r="R36" s="111"/>
      <c r="S36" s="113"/>
      <c r="T36" s="113"/>
      <c r="U36" s="113"/>
      <c r="V36" s="117"/>
      <c r="W36" s="108"/>
      <c r="X36" s="85">
        <v>59</v>
      </c>
    </row>
    <row r="37" spans="1:24" s="85" customFormat="1" ht="75" x14ac:dyDescent="0.25">
      <c r="A37" s="110">
        <v>8</v>
      </c>
      <c r="B37" s="111" t="s">
        <v>56</v>
      </c>
      <c r="C37" s="111"/>
      <c r="D37" s="111"/>
      <c r="E37" s="111" t="s">
        <v>226</v>
      </c>
      <c r="F37" s="118" t="s">
        <v>227</v>
      </c>
      <c r="G37" s="112" t="s">
        <v>228</v>
      </c>
      <c r="H37" s="113">
        <v>30012.16</v>
      </c>
      <c r="I37" s="114">
        <f>IF(X37 = 60, H37 + SUM(S37:S37) - SUM(T37:T37) - SUM(P37:P37) - V37,0)</f>
        <v>30012.16</v>
      </c>
      <c r="J37" s="115">
        <v>274062111</v>
      </c>
      <c r="K37" s="116" t="s">
        <v>161</v>
      </c>
      <c r="L37" s="111"/>
      <c r="M37" s="111" t="s">
        <v>229</v>
      </c>
      <c r="N37" s="118"/>
      <c r="O37" s="118" t="s">
        <v>230</v>
      </c>
      <c r="P37" s="113"/>
      <c r="Q37" s="112"/>
      <c r="R37" s="111"/>
      <c r="S37" s="113"/>
      <c r="T37" s="113"/>
      <c r="U37" s="113"/>
      <c r="V37" s="117"/>
      <c r="W37" s="108"/>
      <c r="X37" s="85">
        <v>60</v>
      </c>
    </row>
    <row r="38" spans="1:24" s="85" customFormat="1" ht="127.15" customHeight="1" x14ac:dyDescent="0.25">
      <c r="A38" s="110">
        <v>9</v>
      </c>
      <c r="B38" s="111" t="s">
        <v>56</v>
      </c>
      <c r="C38" s="111"/>
      <c r="D38" s="111"/>
      <c r="E38" s="111" t="s">
        <v>160</v>
      </c>
      <c r="F38" s="118" t="s">
        <v>237</v>
      </c>
      <c r="G38" s="112" t="s">
        <v>260</v>
      </c>
      <c r="H38" s="113">
        <v>114400</v>
      </c>
      <c r="I38" s="114">
        <f>IF(X38 = 61, H38 + SUM(S38:S38) - SUM(T38:T38) - SUM(P38:P38) - V38,0)</f>
        <v>114400</v>
      </c>
      <c r="J38" s="115">
        <v>2353017179</v>
      </c>
      <c r="K38" s="116" t="s">
        <v>167</v>
      </c>
      <c r="L38" s="111"/>
      <c r="M38" s="111" t="s">
        <v>215</v>
      </c>
      <c r="N38" s="118"/>
      <c r="O38" s="118" t="s">
        <v>261</v>
      </c>
      <c r="P38" s="113"/>
      <c r="Q38" s="112"/>
      <c r="R38" s="111"/>
      <c r="S38" s="113"/>
      <c r="T38" s="113"/>
      <c r="U38" s="113"/>
      <c r="V38" s="117"/>
      <c r="W38" s="108"/>
      <c r="X38" s="85">
        <v>61</v>
      </c>
    </row>
    <row r="39" spans="1:24" s="85" customFormat="1" ht="93.75" x14ac:dyDescent="0.25">
      <c r="A39" s="110">
        <v>10</v>
      </c>
      <c r="B39" s="111" t="s">
        <v>56</v>
      </c>
      <c r="C39" s="111"/>
      <c r="D39" s="111"/>
      <c r="E39" s="111" t="s">
        <v>249</v>
      </c>
      <c r="F39" s="118" t="s">
        <v>237</v>
      </c>
      <c r="G39" s="112" t="s">
        <v>185</v>
      </c>
      <c r="H39" s="113">
        <v>598920</v>
      </c>
      <c r="I39" s="114">
        <f>IF(X39 = 62, H39 + SUM(S39:S39) - SUM(T39:T39) - SUM(P39:P39) - V39,0)</f>
        <v>598920</v>
      </c>
      <c r="J39" s="115">
        <v>235300578903</v>
      </c>
      <c r="K39" s="116" t="s">
        <v>148</v>
      </c>
      <c r="L39" s="111"/>
      <c r="M39" s="111" t="s">
        <v>250</v>
      </c>
      <c r="N39" s="118"/>
      <c r="O39" s="118" t="s">
        <v>298</v>
      </c>
      <c r="P39" s="113"/>
      <c r="Q39" s="112"/>
      <c r="R39" s="111"/>
      <c r="S39" s="113"/>
      <c r="T39" s="113"/>
      <c r="U39" s="113"/>
      <c r="V39" s="117"/>
      <c r="W39" s="108"/>
      <c r="X39" s="85">
        <v>62</v>
      </c>
    </row>
    <row r="40" spans="1:24" s="85" customFormat="1" ht="93.75" x14ac:dyDescent="0.25">
      <c r="A40" s="110">
        <v>11</v>
      </c>
      <c r="B40" s="111" t="s">
        <v>56</v>
      </c>
      <c r="C40" s="111"/>
      <c r="D40" s="111"/>
      <c r="E40" s="111" t="s">
        <v>279</v>
      </c>
      <c r="F40" s="118" t="s">
        <v>285</v>
      </c>
      <c r="G40" s="112" t="s">
        <v>301</v>
      </c>
      <c r="H40" s="113">
        <v>540855.12</v>
      </c>
      <c r="I40" s="114">
        <f>IF(X40 = 63, H40 + SUM(S40:S40) - SUM(T40:T40) - SUM(P40:P40) - V40,0)</f>
        <v>540855.12</v>
      </c>
      <c r="J40" s="115">
        <v>2353020735</v>
      </c>
      <c r="K40" s="116" t="s">
        <v>288</v>
      </c>
      <c r="L40" s="111"/>
      <c r="M40" s="111" t="s">
        <v>302</v>
      </c>
      <c r="N40" s="118"/>
      <c r="O40" s="118" t="s">
        <v>290</v>
      </c>
      <c r="P40" s="113"/>
      <c r="Q40" s="112"/>
      <c r="R40" s="111"/>
      <c r="S40" s="113"/>
      <c r="T40" s="113"/>
      <c r="U40" s="113"/>
      <c r="V40" s="117"/>
      <c r="W40" s="108"/>
      <c r="X40" s="85">
        <v>63</v>
      </c>
    </row>
    <row r="41" spans="1:24" s="85" customFormat="1" ht="93.75" x14ac:dyDescent="0.25">
      <c r="A41" s="138">
        <v>12</v>
      </c>
      <c r="B41" s="134" t="s">
        <v>56</v>
      </c>
      <c r="C41" s="134"/>
      <c r="D41" s="134"/>
      <c r="E41" s="134" t="s">
        <v>299</v>
      </c>
      <c r="F41" s="169" t="s">
        <v>285</v>
      </c>
      <c r="G41" s="112" t="s">
        <v>303</v>
      </c>
      <c r="H41" s="113">
        <v>179400</v>
      </c>
      <c r="I41" s="140">
        <f>IF(X41 = 65, H41 + SUM(S41:S41) - SUM(T41:T41) - SUM(P41:P41) - V41,0)</f>
        <v>179400</v>
      </c>
      <c r="J41" s="115">
        <v>2353020735</v>
      </c>
      <c r="K41" s="116" t="s">
        <v>288</v>
      </c>
      <c r="L41" s="134"/>
      <c r="M41" s="111" t="s">
        <v>302</v>
      </c>
      <c r="N41" s="169"/>
      <c r="O41" s="118" t="s">
        <v>290</v>
      </c>
      <c r="P41" s="135"/>
      <c r="Q41" s="139"/>
      <c r="R41" s="134"/>
      <c r="S41" s="135"/>
      <c r="T41" s="135"/>
      <c r="U41" s="135"/>
      <c r="V41" s="136"/>
      <c r="W41" s="137"/>
      <c r="X41" s="85">
        <v>65</v>
      </c>
    </row>
    <row r="42" spans="1:24" s="85" customFormat="1" ht="87.6" customHeight="1" x14ac:dyDescent="0.25">
      <c r="A42" s="138">
        <v>13</v>
      </c>
      <c r="B42" s="134" t="s">
        <v>56</v>
      </c>
      <c r="C42" s="134"/>
      <c r="D42" s="134"/>
      <c r="E42" s="134" t="s">
        <v>300</v>
      </c>
      <c r="F42" s="169" t="s">
        <v>285</v>
      </c>
      <c r="G42" s="139" t="s">
        <v>304</v>
      </c>
      <c r="H42" s="135">
        <v>66360</v>
      </c>
      <c r="I42" s="140">
        <f>IF(X42 = 66, H42 + SUM(S42:S42) - SUM(T42:T42) - SUM(P42:P42) - V42,0)</f>
        <v>66360</v>
      </c>
      <c r="J42" s="141">
        <v>2353020735</v>
      </c>
      <c r="K42" s="142" t="s">
        <v>288</v>
      </c>
      <c r="L42" s="134"/>
      <c r="M42" s="134" t="s">
        <v>289</v>
      </c>
      <c r="N42" s="169"/>
      <c r="O42" s="169" t="s">
        <v>290</v>
      </c>
      <c r="P42" s="135"/>
      <c r="Q42" s="139"/>
      <c r="R42" s="134"/>
      <c r="S42" s="135"/>
      <c r="T42" s="135"/>
      <c r="U42" s="135"/>
      <c r="V42" s="136"/>
      <c r="W42" s="137"/>
      <c r="X42" s="85">
        <v>66</v>
      </c>
    </row>
    <row r="43" spans="1:24" s="85" customFormat="1" ht="93.75" x14ac:dyDescent="0.25">
      <c r="A43" s="138">
        <v>14</v>
      </c>
      <c r="B43" s="134" t="s">
        <v>56</v>
      </c>
      <c r="C43" s="134"/>
      <c r="D43" s="134"/>
      <c r="E43" s="111" t="s">
        <v>252</v>
      </c>
      <c r="F43" s="169" t="s">
        <v>253</v>
      </c>
      <c r="G43" s="112" t="s">
        <v>254</v>
      </c>
      <c r="H43" s="135">
        <v>9000</v>
      </c>
      <c r="I43" s="140">
        <f>IF(X43 = 67, H43 + SUM(S43:S43) - SUM(T43:T43) - SUM(P43:P43) - V43,0)</f>
        <v>9000</v>
      </c>
      <c r="J43" s="141">
        <v>2335015365</v>
      </c>
      <c r="K43" s="142" t="s">
        <v>155</v>
      </c>
      <c r="L43" s="134"/>
      <c r="M43" s="134" t="s">
        <v>255</v>
      </c>
      <c r="N43" s="169"/>
      <c r="O43" s="118" t="s">
        <v>256</v>
      </c>
      <c r="P43" s="135"/>
      <c r="Q43" s="139"/>
      <c r="R43" s="134"/>
      <c r="S43" s="135"/>
      <c r="T43" s="135"/>
      <c r="U43" s="135"/>
      <c r="V43" s="136"/>
      <c r="W43" s="137"/>
      <c r="X43" s="85">
        <v>67</v>
      </c>
    </row>
    <row r="44" spans="1:24" s="85" customFormat="1" ht="75" x14ac:dyDescent="0.25">
      <c r="A44" s="138">
        <v>15</v>
      </c>
      <c r="B44" s="134" t="s">
        <v>56</v>
      </c>
      <c r="C44" s="134"/>
      <c r="D44" s="134"/>
      <c r="E44" s="134" t="s">
        <v>297</v>
      </c>
      <c r="F44" s="169" t="s">
        <v>257</v>
      </c>
      <c r="G44" s="112" t="s">
        <v>258</v>
      </c>
      <c r="H44" s="113">
        <v>5849</v>
      </c>
      <c r="I44" s="140">
        <f>IF(X44 = 68, H44 + SUM(S44:S44) - SUM(T44:T44) - SUM(P44:P44) - V44,0)</f>
        <v>5849</v>
      </c>
      <c r="J44" s="115">
        <v>235002152355</v>
      </c>
      <c r="K44" s="142" t="s">
        <v>195</v>
      </c>
      <c r="L44" s="134"/>
      <c r="M44" s="111" t="s">
        <v>259</v>
      </c>
      <c r="N44" s="169"/>
      <c r="O44" s="118" t="s">
        <v>251</v>
      </c>
      <c r="P44" s="135"/>
      <c r="Q44" s="139"/>
      <c r="R44" s="134"/>
      <c r="S44" s="135"/>
      <c r="T44" s="135"/>
      <c r="U44" s="135"/>
      <c r="V44" s="136"/>
      <c r="W44" s="137"/>
      <c r="X44" s="85">
        <v>68</v>
      </c>
    </row>
    <row r="45" spans="1:24" ht="18" x14ac:dyDescent="0.3">
      <c r="X45" s="2">
        <v>69</v>
      </c>
    </row>
  </sheetData>
  <sheetProtection algorithmName="SHA-512" hashValue="vIJSaJo1W+/ydNvuMejibJpojg+XfUMEWTd08/EeHpsI2C64Q5Mo/rOUiP2qutu/DBY7AJuC2Ly7l4qDEWlP/A==" saltValue="jMmluoZeQsu1Edo+otLpwA==" spinCount="100000" sheet="1" objects="1" scenarios="1" formatCells="0" formatColumns="0" formatRows="0"/>
  <mergeCells count="71">
    <mergeCell ref="A9:A22"/>
    <mergeCell ref="B9:B22"/>
    <mergeCell ref="C9:C22"/>
    <mergeCell ref="S2:U2"/>
    <mergeCell ref="F2:G2"/>
    <mergeCell ref="N2:O2"/>
    <mergeCell ref="A33:A35"/>
    <mergeCell ref="F33:F35"/>
    <mergeCell ref="G33:G35"/>
    <mergeCell ref="H33:H35"/>
    <mergeCell ref="B33:B35"/>
    <mergeCell ref="A23:A25"/>
    <mergeCell ref="O23:O25"/>
    <mergeCell ref="U23:U25"/>
    <mergeCell ref="B23:B25"/>
    <mergeCell ref="V23:V25"/>
    <mergeCell ref="C23:C25"/>
    <mergeCell ref="D23:D25"/>
    <mergeCell ref="E23:E25"/>
    <mergeCell ref="F23:F25"/>
    <mergeCell ref="G23:G25"/>
    <mergeCell ref="H23:H25"/>
    <mergeCell ref="I23:I25"/>
    <mergeCell ref="J23:J25"/>
    <mergeCell ref="K23:K25"/>
    <mergeCell ref="L23:L25"/>
    <mergeCell ref="M23:M25"/>
    <mergeCell ref="V33:V35"/>
    <mergeCell ref="C33:C35"/>
    <mergeCell ref="W33:W35"/>
    <mergeCell ref="D33:D35"/>
    <mergeCell ref="E33:E35"/>
    <mergeCell ref="I33:I35"/>
    <mergeCell ref="J33:J35"/>
    <mergeCell ref="K33:K35"/>
    <mergeCell ref="L33:L35"/>
    <mergeCell ref="M33:M35"/>
    <mergeCell ref="O33:O35"/>
    <mergeCell ref="U33:U35"/>
    <mergeCell ref="W26:W30"/>
    <mergeCell ref="W9:W22"/>
    <mergeCell ref="D9:D22"/>
    <mergeCell ref="E9:E22"/>
    <mergeCell ref="F9:F22"/>
    <mergeCell ref="G9:G22"/>
    <mergeCell ref="H9:H22"/>
    <mergeCell ref="I9:I22"/>
    <mergeCell ref="J9:J22"/>
    <mergeCell ref="K9:K22"/>
    <mergeCell ref="L9:L22"/>
    <mergeCell ref="M9:M22"/>
    <mergeCell ref="O9:O22"/>
    <mergeCell ref="U9:U22"/>
    <mergeCell ref="V9:V22"/>
    <mergeCell ref="W23:W25"/>
    <mergeCell ref="A26:A30"/>
    <mergeCell ref="O26:O30"/>
    <mergeCell ref="U26:U30"/>
    <mergeCell ref="B26:B30"/>
    <mergeCell ref="V26:V30"/>
    <mergeCell ref="C26:C30"/>
    <mergeCell ref="D26:D30"/>
    <mergeCell ref="E26:E30"/>
    <mergeCell ref="F26:F30"/>
    <mergeCell ref="G26:G30"/>
    <mergeCell ref="H26:H30"/>
    <mergeCell ref="I26:I30"/>
    <mergeCell ref="J26:J30"/>
    <mergeCell ref="K26:K30"/>
    <mergeCell ref="L26:L30"/>
    <mergeCell ref="M26:M30"/>
  </mergeCells>
  <pageMargins left="0.25" right="0.25" top="0.75" bottom="0.75" header="0.3" footer="0.3"/>
  <pageSetup paperSize="9" scale="22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8">
    <tabColor rgb="FF00B050"/>
  </sheetPr>
  <dimension ref="A1:V10"/>
  <sheetViews>
    <sheetView showGridLines="0" zoomScale="50" zoomScaleNormal="50" workbookViewId="0">
      <pane ySplit="8" topLeftCell="A9" activePane="bottomLeft" state="frozen"/>
      <selection pane="bottomLeft" activeCell="G9" sqref="G9"/>
    </sheetView>
  </sheetViews>
  <sheetFormatPr defaultColWidth="0" defaultRowHeight="18.75" x14ac:dyDescent="0.25"/>
  <cols>
    <col min="1" max="1" width="14" style="3" customWidth="1"/>
    <col min="2" max="2" width="25.42578125" style="3" customWidth="1"/>
    <col min="3" max="3" width="39.5703125" style="3" bestFit="1" customWidth="1"/>
    <col min="4" max="4" width="23.85546875" style="3" customWidth="1"/>
    <col min="5" max="5" width="32.42578125" style="3" customWidth="1"/>
    <col min="6" max="6" width="27.42578125" style="11" customWidth="1"/>
    <col min="7" max="7" width="27.42578125" style="3" customWidth="1"/>
    <col min="8" max="8" width="33" style="3" customWidth="1"/>
    <col min="9" max="10" width="27.28515625" style="10" customWidth="1"/>
    <col min="11" max="11" width="26.5703125" style="3" customWidth="1"/>
    <col min="12" max="12" width="38.42578125" style="11" customWidth="1"/>
    <col min="13" max="13" width="37.5703125" style="3" customWidth="1"/>
    <col min="14" max="14" width="24.7109375" style="10" customWidth="1"/>
    <col min="15" max="15" width="24.42578125" style="11" customWidth="1"/>
    <col min="16" max="16" width="24.28515625" style="11" customWidth="1"/>
    <col min="17" max="17" width="27.42578125" style="11" customWidth="1"/>
    <col min="18" max="18" width="27.140625" style="11" customWidth="1"/>
    <col min="19" max="19" width="23.42578125" style="11" customWidth="1"/>
    <col min="20" max="20" width="22.85546875" style="10" customWidth="1"/>
    <col min="21" max="21" width="21.85546875" style="2" customWidth="1"/>
    <col min="22" max="16384" width="9.140625" style="2" hidden="1"/>
  </cols>
  <sheetData>
    <row r="1" spans="1:22" ht="18.600000000000001" thickBot="1" x14ac:dyDescent="0.35"/>
    <row r="2" spans="1:22" ht="39.950000000000003" customHeight="1" thickBot="1" x14ac:dyDescent="0.3">
      <c r="B2" s="68"/>
      <c r="C2" s="68"/>
      <c r="D2" s="68"/>
      <c r="E2" s="303" t="s">
        <v>24</v>
      </c>
      <c r="F2" s="304"/>
      <c r="G2" s="80">
        <f>SUM(G9:G9999)</f>
        <v>1097939</v>
      </c>
      <c r="L2" s="320" t="s">
        <v>137</v>
      </c>
      <c r="M2" s="321"/>
      <c r="N2" s="69">
        <f>SUM(N9:N9999)</f>
        <v>0</v>
      </c>
      <c r="P2" s="68"/>
      <c r="Q2" s="224" t="s">
        <v>45</v>
      </c>
      <c r="R2" s="225"/>
      <c r="S2" s="226"/>
      <c r="T2" s="70">
        <f>SUM(T9:T9999)</f>
        <v>0</v>
      </c>
    </row>
    <row r="3" spans="1:22" ht="18" x14ac:dyDescent="0.3">
      <c r="E3" s="2"/>
      <c r="F3" s="2"/>
      <c r="G3" s="2"/>
      <c r="H3" s="2"/>
      <c r="L3" s="2"/>
      <c r="M3" s="2"/>
      <c r="P3" s="2"/>
      <c r="Q3" s="2"/>
      <c r="R3" s="2"/>
      <c r="S3" s="2"/>
    </row>
    <row r="4" spans="1:22" ht="39.950000000000003" customHeight="1" x14ac:dyDescent="0.3">
      <c r="E4" s="2"/>
      <c r="F4" s="2"/>
      <c r="G4" s="2"/>
      <c r="H4" s="2"/>
      <c r="L4" s="2"/>
      <c r="M4" s="2"/>
      <c r="P4" s="2"/>
      <c r="Q4" s="2"/>
      <c r="R4" s="2"/>
      <c r="S4" s="2"/>
    </row>
    <row r="6" spans="1:22" ht="150" x14ac:dyDescent="0.25">
      <c r="A6" s="23" t="s">
        <v>8</v>
      </c>
      <c r="B6" s="23" t="s">
        <v>21</v>
      </c>
      <c r="C6" s="23" t="s">
        <v>10</v>
      </c>
      <c r="D6" s="23" t="s">
        <v>15</v>
      </c>
      <c r="E6" s="23" t="s">
        <v>0</v>
      </c>
      <c r="F6" s="22" t="s">
        <v>3</v>
      </c>
      <c r="G6" s="23" t="s">
        <v>38</v>
      </c>
      <c r="H6" s="23" t="s">
        <v>22</v>
      </c>
      <c r="I6" s="71" t="s">
        <v>46</v>
      </c>
      <c r="J6" s="71" t="s">
        <v>5</v>
      </c>
      <c r="K6" s="23" t="s">
        <v>39</v>
      </c>
      <c r="L6" s="22" t="s">
        <v>37</v>
      </c>
      <c r="M6" s="23" t="s">
        <v>6</v>
      </c>
      <c r="N6" s="71" t="s">
        <v>23</v>
      </c>
      <c r="O6" s="22" t="s">
        <v>9</v>
      </c>
      <c r="P6" s="22" t="s">
        <v>40</v>
      </c>
      <c r="Q6" s="22" t="s">
        <v>103</v>
      </c>
      <c r="R6" s="22" t="s">
        <v>104</v>
      </c>
      <c r="S6" s="22" t="s">
        <v>41</v>
      </c>
      <c r="T6" s="71" t="s">
        <v>43</v>
      </c>
      <c r="U6" s="13" t="s">
        <v>42</v>
      </c>
    </row>
    <row r="7" spans="1:22" ht="18" x14ac:dyDescent="0.3">
      <c r="A7" s="60" t="s">
        <v>36</v>
      </c>
      <c r="B7" s="60" t="s">
        <v>110</v>
      </c>
      <c r="C7" s="60" t="s">
        <v>111</v>
      </c>
      <c r="D7" s="60" t="s">
        <v>112</v>
      </c>
      <c r="E7" s="60" t="s">
        <v>113</v>
      </c>
      <c r="F7" s="60" t="s">
        <v>114</v>
      </c>
      <c r="G7" s="60" t="s">
        <v>115</v>
      </c>
      <c r="H7" s="60" t="s">
        <v>116</v>
      </c>
      <c r="I7" s="60" t="s">
        <v>117</v>
      </c>
      <c r="J7" s="60" t="s">
        <v>118</v>
      </c>
      <c r="K7" s="60" t="s">
        <v>119</v>
      </c>
      <c r="L7" s="60" t="s">
        <v>120</v>
      </c>
      <c r="M7" s="60" t="s">
        <v>121</v>
      </c>
      <c r="N7" s="60" t="s">
        <v>122</v>
      </c>
      <c r="O7" s="60" t="s">
        <v>123</v>
      </c>
      <c r="P7" s="60" t="s">
        <v>124</v>
      </c>
      <c r="Q7" s="60" t="s">
        <v>125</v>
      </c>
      <c r="R7" s="60" t="s">
        <v>126</v>
      </c>
      <c r="S7" s="60" t="s">
        <v>127</v>
      </c>
      <c r="T7" s="60" t="s">
        <v>128</v>
      </c>
      <c r="U7" s="60" t="s">
        <v>129</v>
      </c>
    </row>
    <row r="8" spans="1:22" s="14" customFormat="1" ht="131.25" x14ac:dyDescent="0.25">
      <c r="A8" s="72" t="s">
        <v>36</v>
      </c>
      <c r="B8" s="72" t="s">
        <v>67</v>
      </c>
      <c r="C8" s="72" t="s">
        <v>66</v>
      </c>
      <c r="D8" s="72" t="s">
        <v>48</v>
      </c>
      <c r="E8" s="77">
        <v>43823</v>
      </c>
      <c r="F8" s="73" t="s">
        <v>65</v>
      </c>
      <c r="G8" s="74">
        <v>100000</v>
      </c>
      <c r="H8" s="74">
        <v>90000</v>
      </c>
      <c r="I8" s="78">
        <v>2308091759</v>
      </c>
      <c r="J8" s="72" t="s">
        <v>68</v>
      </c>
      <c r="K8" s="72" t="s">
        <v>69</v>
      </c>
      <c r="L8" s="73">
        <v>43801</v>
      </c>
      <c r="M8" s="72" t="s">
        <v>70</v>
      </c>
      <c r="N8" s="74">
        <v>10000</v>
      </c>
      <c r="O8" s="73">
        <v>43489</v>
      </c>
      <c r="P8" s="73"/>
      <c r="Q8" s="73"/>
      <c r="R8" s="73"/>
      <c r="S8" s="73"/>
      <c r="T8" s="74"/>
      <c r="U8" s="75" t="s">
        <v>64</v>
      </c>
    </row>
    <row r="9" spans="1:22" s="85" customFormat="1" ht="93.75" x14ac:dyDescent="0.25">
      <c r="A9" s="110">
        <v>1</v>
      </c>
      <c r="B9" s="111"/>
      <c r="C9" s="111"/>
      <c r="D9" s="111" t="s">
        <v>149</v>
      </c>
      <c r="E9" s="118">
        <v>44925</v>
      </c>
      <c r="F9" s="112" t="s">
        <v>193</v>
      </c>
      <c r="G9" s="113">
        <v>1097939</v>
      </c>
      <c r="H9" s="114">
        <f>IF(V9 = 4, G9 + SUM(Q9:Q9) - SUM(R9:R9) - SUM(N9:N9) - T9,0)</f>
        <v>1097939</v>
      </c>
      <c r="I9" s="119">
        <v>2312054894</v>
      </c>
      <c r="J9" s="111" t="s">
        <v>150</v>
      </c>
      <c r="K9" s="111" t="s">
        <v>224</v>
      </c>
      <c r="L9" s="118"/>
      <c r="M9" s="111" t="s">
        <v>225</v>
      </c>
      <c r="N9" s="113"/>
      <c r="O9" s="118"/>
      <c r="P9" s="112"/>
      <c r="Q9" s="113"/>
      <c r="R9" s="113"/>
      <c r="S9" s="112"/>
      <c r="T9" s="113"/>
      <c r="U9" s="108"/>
      <c r="V9" s="85">
        <v>4</v>
      </c>
    </row>
    <row r="10" spans="1:22" ht="18" x14ac:dyDescent="0.3">
      <c r="V10" s="2">
        <v>5</v>
      </c>
    </row>
  </sheetData>
  <sheetProtection algorithmName="SHA-512" hashValue="f59oPB6w/Gquq6Hc3BV93lHmtvePG5WgbPuytqQZD00b/jL+0E7XiI0f09KUXPqhmYz7tZFlLsqRopoeaCkOlQ==" saltValue="FKYEZ+fP6I9oycJ/a/rsDA==" spinCount="100000" sheet="1" objects="1" scenarios="1" formatCells="0" formatColumns="0" formatRows="0"/>
  <mergeCells count="3">
    <mergeCell ref="Q2:S2"/>
    <mergeCell ref="E2:F2"/>
    <mergeCell ref="L2:M2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9">
    <tabColor theme="3" tint="0.39997558519241921"/>
  </sheetPr>
  <dimension ref="A1:AL9"/>
  <sheetViews>
    <sheetView showGridLines="0" zoomScale="50" zoomScaleNormal="50" workbookViewId="0">
      <pane ySplit="8" topLeftCell="A9" activePane="bottomLeft" state="frozen"/>
      <selection pane="bottomLeft" activeCell="A8" sqref="A8"/>
    </sheetView>
  </sheetViews>
  <sheetFormatPr defaultColWidth="0" defaultRowHeight="18.75" x14ac:dyDescent="0.25"/>
  <cols>
    <col min="1" max="1" width="9.140625" style="3" customWidth="1"/>
    <col min="2" max="2" width="44" style="3" customWidth="1"/>
    <col min="3" max="3" width="30.7109375" style="3" customWidth="1"/>
    <col min="4" max="6" width="33.7109375" style="3" customWidth="1"/>
    <col min="7" max="8" width="22.28515625" style="10" customWidth="1"/>
    <col min="9" max="9" width="24.28515625" style="29" customWidth="1"/>
    <col min="10" max="10" width="28.42578125" style="29" customWidth="1"/>
    <col min="11" max="12" width="19.5703125" style="3" customWidth="1"/>
    <col min="13" max="13" width="25.7109375" style="3" customWidth="1"/>
    <col min="14" max="14" width="24.42578125" style="11" bestFit="1" customWidth="1"/>
    <col min="15" max="15" width="24.42578125" style="3" customWidth="1"/>
    <col min="16" max="16" width="31.5703125" style="3" customWidth="1"/>
    <col min="17" max="18" width="21.85546875" style="10" customWidth="1"/>
    <col min="19" max="19" width="23.5703125" style="3" customWidth="1"/>
    <col min="20" max="20" width="31.28515625" style="11" customWidth="1"/>
    <col min="21" max="21" width="27.7109375" style="11" customWidth="1"/>
    <col min="22" max="22" width="25.42578125" style="10" customWidth="1"/>
    <col min="23" max="23" width="25" style="11" customWidth="1"/>
    <col min="24" max="24" width="24.5703125" style="3" customWidth="1"/>
    <col min="25" max="25" width="24.85546875" style="3" customWidth="1"/>
    <col min="26" max="26" width="24" style="3" customWidth="1"/>
    <col min="27" max="27" width="23.7109375" style="11" customWidth="1"/>
    <col min="28" max="28" width="19.140625" style="10" customWidth="1"/>
    <col min="29" max="29" width="23.140625" style="3" customWidth="1"/>
    <col min="30" max="30" width="9.140625" style="2" hidden="1" customWidth="1"/>
    <col min="31" max="31" width="8.5703125" style="2" hidden="1" customWidth="1"/>
    <col min="32" max="38" width="0" style="2" hidden="1" customWidth="1"/>
    <col min="39" max="16384" width="9.140625" style="2" hidden="1"/>
  </cols>
  <sheetData>
    <row r="1" spans="1:30" ht="18.600000000000001" thickBot="1" x14ac:dyDescent="0.35"/>
    <row r="2" spans="1:30" ht="39.950000000000003" customHeight="1" thickBot="1" x14ac:dyDescent="0.3">
      <c r="E2" s="303" t="s">
        <v>139</v>
      </c>
      <c r="F2" s="304"/>
      <c r="G2" s="82">
        <f>SUM(G9:G9999)</f>
        <v>0</v>
      </c>
      <c r="O2" s="303" t="s">
        <v>24</v>
      </c>
      <c r="P2" s="304"/>
      <c r="Q2" s="80">
        <f>SUM(Q9:Q9999)</f>
        <v>0</v>
      </c>
      <c r="T2" s="224" t="s">
        <v>137</v>
      </c>
      <c r="U2" s="226"/>
      <c r="V2" s="69">
        <f>SUM(V9:V9999)</f>
        <v>0</v>
      </c>
      <c r="X2" s="68"/>
      <c r="Y2" s="224" t="s">
        <v>45</v>
      </c>
      <c r="Z2" s="225"/>
      <c r="AA2" s="226"/>
      <c r="AB2" s="70">
        <f>SUM(AB9:AB9999)</f>
        <v>0</v>
      </c>
    </row>
    <row r="3" spans="1:30" ht="18" x14ac:dyDescent="0.3">
      <c r="T3" s="2"/>
      <c r="U3" s="2"/>
      <c r="X3" s="2"/>
      <c r="Y3" s="2"/>
      <c r="Z3" s="2"/>
      <c r="AA3" s="2"/>
    </row>
    <row r="4" spans="1:30" ht="39.950000000000003" customHeight="1" x14ac:dyDescent="0.3">
      <c r="T4" s="2"/>
      <c r="U4" s="2"/>
      <c r="X4" s="2"/>
      <c r="Y4" s="2"/>
      <c r="Z4" s="2"/>
      <c r="AA4" s="2"/>
    </row>
    <row r="6" spans="1:30" ht="150" x14ac:dyDescent="0.25">
      <c r="A6" s="18" t="s">
        <v>8</v>
      </c>
      <c r="B6" s="18" t="s">
        <v>47</v>
      </c>
      <c r="C6" s="18" t="s">
        <v>33</v>
      </c>
      <c r="D6" s="18" t="s">
        <v>10</v>
      </c>
      <c r="E6" s="18" t="s">
        <v>11</v>
      </c>
      <c r="F6" s="18" t="s">
        <v>12</v>
      </c>
      <c r="G6" s="25" t="s">
        <v>13</v>
      </c>
      <c r="H6" s="25" t="s">
        <v>34</v>
      </c>
      <c r="I6" s="30" t="s">
        <v>16</v>
      </c>
      <c r="J6" s="30" t="s">
        <v>17</v>
      </c>
      <c r="K6" s="18" t="s">
        <v>14</v>
      </c>
      <c r="L6" s="18" t="s">
        <v>32</v>
      </c>
      <c r="M6" s="18" t="s">
        <v>15</v>
      </c>
      <c r="N6" s="24" t="s">
        <v>0</v>
      </c>
      <c r="O6" s="18" t="s">
        <v>46</v>
      </c>
      <c r="P6" s="18" t="s">
        <v>5</v>
      </c>
      <c r="Q6" s="25" t="s">
        <v>18</v>
      </c>
      <c r="R6" s="25" t="s">
        <v>22</v>
      </c>
      <c r="S6" s="18" t="s">
        <v>19</v>
      </c>
      <c r="T6" s="24" t="s">
        <v>37</v>
      </c>
      <c r="U6" s="24" t="s">
        <v>20</v>
      </c>
      <c r="V6" s="25" t="s">
        <v>23</v>
      </c>
      <c r="W6" s="24" t="s">
        <v>9</v>
      </c>
      <c r="X6" s="23" t="s">
        <v>40</v>
      </c>
      <c r="Y6" s="23" t="s">
        <v>103</v>
      </c>
      <c r="Z6" s="23" t="s">
        <v>104</v>
      </c>
      <c r="AA6" s="22" t="s">
        <v>41</v>
      </c>
      <c r="AB6" s="25" t="s">
        <v>43</v>
      </c>
      <c r="AC6" s="18" t="s">
        <v>42</v>
      </c>
    </row>
    <row r="7" spans="1:30" ht="18" x14ac:dyDescent="0.3">
      <c r="A7" s="60" t="s">
        <v>36</v>
      </c>
      <c r="B7" s="60" t="s">
        <v>110</v>
      </c>
      <c r="C7" s="60" t="s">
        <v>111</v>
      </c>
      <c r="D7" s="60" t="s">
        <v>112</v>
      </c>
      <c r="E7" s="60" t="s">
        <v>113</v>
      </c>
      <c r="F7" s="60" t="s">
        <v>114</v>
      </c>
      <c r="G7" s="60" t="s">
        <v>115</v>
      </c>
      <c r="H7" s="60" t="s">
        <v>116</v>
      </c>
      <c r="I7" s="60" t="s">
        <v>117</v>
      </c>
      <c r="J7" s="60" t="s">
        <v>118</v>
      </c>
      <c r="K7" s="60" t="s">
        <v>119</v>
      </c>
      <c r="L7" s="60" t="s">
        <v>120</v>
      </c>
      <c r="M7" s="60" t="s">
        <v>121</v>
      </c>
      <c r="N7" s="60" t="s">
        <v>122</v>
      </c>
      <c r="O7" s="60" t="s">
        <v>123</v>
      </c>
      <c r="P7" s="60" t="s">
        <v>124</v>
      </c>
      <c r="Q7" s="60" t="s">
        <v>125</v>
      </c>
      <c r="R7" s="60" t="s">
        <v>126</v>
      </c>
      <c r="S7" s="60" t="s">
        <v>127</v>
      </c>
      <c r="T7" s="60" t="s">
        <v>128</v>
      </c>
      <c r="U7" s="60" t="s">
        <v>129</v>
      </c>
      <c r="V7" s="60" t="s">
        <v>130</v>
      </c>
      <c r="W7" s="60" t="s">
        <v>131</v>
      </c>
      <c r="X7" s="60" t="s">
        <v>132</v>
      </c>
      <c r="Y7" s="60" t="s">
        <v>133</v>
      </c>
      <c r="Z7" s="60" t="s">
        <v>134</v>
      </c>
      <c r="AA7" s="60" t="s">
        <v>135</v>
      </c>
      <c r="AB7" s="60" t="s">
        <v>136</v>
      </c>
      <c r="AC7" s="60" t="s">
        <v>138</v>
      </c>
    </row>
    <row r="8" spans="1:30" ht="168.75" x14ac:dyDescent="0.25">
      <c r="A8" s="21" t="s">
        <v>36</v>
      </c>
      <c r="B8" s="21"/>
      <c r="C8" s="21" t="s">
        <v>73</v>
      </c>
      <c r="D8" s="21" t="s">
        <v>74</v>
      </c>
      <c r="E8" s="21" t="s">
        <v>71</v>
      </c>
      <c r="F8" s="21" t="s">
        <v>72</v>
      </c>
      <c r="G8" s="19">
        <v>15500.01</v>
      </c>
      <c r="H8" s="19">
        <f t="shared" ref="H8" si="0">G8-Q8</f>
        <v>6725</v>
      </c>
      <c r="I8" s="31">
        <v>6</v>
      </c>
      <c r="J8" s="31">
        <v>0</v>
      </c>
      <c r="K8" s="21" t="s">
        <v>75</v>
      </c>
      <c r="L8" s="21" t="s">
        <v>76</v>
      </c>
      <c r="M8" s="21" t="s">
        <v>77</v>
      </c>
      <c r="N8" s="20">
        <v>43655</v>
      </c>
      <c r="O8" s="21" t="s">
        <v>79</v>
      </c>
      <c r="P8" s="21" t="s">
        <v>78</v>
      </c>
      <c r="Q8" s="19">
        <v>8775.01</v>
      </c>
      <c r="R8" s="19">
        <f>Q8-V8</f>
        <v>0</v>
      </c>
      <c r="S8" s="21" t="s">
        <v>80</v>
      </c>
      <c r="T8" s="20">
        <v>43677</v>
      </c>
      <c r="U8" s="20" t="s">
        <v>81</v>
      </c>
      <c r="V8" s="19">
        <v>8775.01</v>
      </c>
      <c r="W8" s="20">
        <v>43696</v>
      </c>
      <c r="X8" s="21"/>
      <c r="Y8" s="54"/>
      <c r="Z8" s="54"/>
      <c r="AA8" s="20"/>
      <c r="AB8" s="19"/>
      <c r="AC8" s="21" t="s">
        <v>64</v>
      </c>
    </row>
    <row r="9" spans="1:30" ht="18" x14ac:dyDescent="0.3">
      <c r="AD9" s="2">
        <v>2</v>
      </c>
    </row>
  </sheetData>
  <sheetProtection algorithmName="SHA-512" hashValue="G7EFz13PpBk78EqldukIQOqU+krqeEpDQv9Vit7ij0APvX7JDousiqHaj82ZPCZo/dSBvo3Zza7Om/Njg7w87Q==" saltValue="rqPO3eZIsOHld4WI8vW4pA==" spinCount="100000" sheet="1" objects="1" scenarios="1" formatCells="0" formatColumns="0" formatRows="0"/>
  <mergeCells count="4">
    <mergeCell ref="E2:F2"/>
    <mergeCell ref="O2:P2"/>
    <mergeCell ref="Y2:AA2"/>
    <mergeCell ref="T2:U2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0">
    <tabColor theme="3" tint="0.39997558519241921"/>
  </sheetPr>
  <dimension ref="A1:AL9"/>
  <sheetViews>
    <sheetView showGridLines="0" zoomScale="50" zoomScaleNormal="50" workbookViewId="0">
      <pane ySplit="8" topLeftCell="A9" activePane="bottomLeft" state="frozen"/>
      <selection pane="bottomLeft" activeCell="A8" sqref="A8"/>
    </sheetView>
  </sheetViews>
  <sheetFormatPr defaultColWidth="0" defaultRowHeight="18.75" x14ac:dyDescent="0.25"/>
  <cols>
    <col min="1" max="1" width="9.140625" style="3" customWidth="1"/>
    <col min="2" max="2" width="47.140625" style="3" customWidth="1"/>
    <col min="3" max="3" width="34.42578125" style="3" customWidth="1"/>
    <col min="4" max="6" width="33.7109375" style="3" customWidth="1"/>
    <col min="7" max="7" width="22.28515625" style="10" customWidth="1"/>
    <col min="8" max="8" width="22.28515625" style="2" customWidth="1"/>
    <col min="9" max="9" width="24.28515625" style="29" customWidth="1"/>
    <col min="10" max="10" width="28.42578125" style="29" customWidth="1"/>
    <col min="11" max="12" width="19.5703125" style="3" customWidth="1"/>
    <col min="13" max="13" width="25.7109375" style="3" customWidth="1"/>
    <col min="14" max="14" width="24.42578125" style="11" bestFit="1" customWidth="1"/>
    <col min="15" max="15" width="24.42578125" style="3" customWidth="1"/>
    <col min="16" max="16" width="31.5703125" style="3" customWidth="1"/>
    <col min="17" max="17" width="27" style="10" customWidth="1"/>
    <col min="18" max="18" width="21.85546875" style="2" customWidth="1"/>
    <col min="19" max="19" width="23.5703125" style="2" customWidth="1"/>
    <col min="20" max="20" width="32.42578125" style="2" customWidth="1"/>
    <col min="21" max="21" width="27.7109375" style="2" customWidth="1"/>
    <col min="22" max="22" width="25.42578125" style="2" customWidth="1"/>
    <col min="23" max="23" width="25" style="2" customWidth="1"/>
    <col min="24" max="26" width="25.140625" style="2" customWidth="1"/>
    <col min="27" max="27" width="23.85546875" style="2" customWidth="1"/>
    <col min="28" max="28" width="20.28515625" style="2" customWidth="1"/>
    <col min="29" max="29" width="20" style="2" customWidth="1"/>
    <col min="30" max="38" width="0" style="2" hidden="1" customWidth="1"/>
    <col min="39" max="16384" width="9.140625" style="2" hidden="1"/>
  </cols>
  <sheetData>
    <row r="1" spans="1:30" ht="18.600000000000001" thickBot="1" x14ac:dyDescent="0.35"/>
    <row r="2" spans="1:30" ht="39.950000000000003" customHeight="1" thickBot="1" x14ac:dyDescent="0.3">
      <c r="E2" s="303" t="s">
        <v>139</v>
      </c>
      <c r="F2" s="304"/>
      <c r="G2" s="82">
        <f>SUM(G9:G9999)</f>
        <v>0</v>
      </c>
      <c r="H2" s="10"/>
      <c r="O2" s="303" t="s">
        <v>24</v>
      </c>
      <c r="P2" s="304"/>
      <c r="Q2" s="80">
        <f>SUM(Q9:Q9999)</f>
        <v>0</v>
      </c>
      <c r="T2" s="224" t="s">
        <v>137</v>
      </c>
      <c r="U2" s="226"/>
      <c r="V2" s="69">
        <f>SUM(V9:V9999)</f>
        <v>0</v>
      </c>
      <c r="X2" s="68"/>
      <c r="Y2" s="224" t="s">
        <v>45</v>
      </c>
      <c r="Z2" s="225"/>
      <c r="AA2" s="226"/>
      <c r="AB2" s="70">
        <f>SUM(AB9:AB9999)</f>
        <v>0</v>
      </c>
    </row>
    <row r="4" spans="1:30" ht="39.950000000000003" customHeight="1" x14ac:dyDescent="0.3"/>
    <row r="6" spans="1:30" ht="150" x14ac:dyDescent="0.25">
      <c r="A6" s="18" t="s">
        <v>8</v>
      </c>
      <c r="B6" s="18" t="s">
        <v>47</v>
      </c>
      <c r="C6" s="18" t="s">
        <v>33</v>
      </c>
      <c r="D6" s="18" t="s">
        <v>10</v>
      </c>
      <c r="E6" s="18" t="s">
        <v>11</v>
      </c>
      <c r="F6" s="18" t="s">
        <v>12</v>
      </c>
      <c r="G6" s="25" t="s">
        <v>13</v>
      </c>
      <c r="H6" s="1" t="s">
        <v>34</v>
      </c>
      <c r="I6" s="30" t="s">
        <v>16</v>
      </c>
      <c r="J6" s="30" t="s">
        <v>17</v>
      </c>
      <c r="K6" s="18" t="s">
        <v>14</v>
      </c>
      <c r="L6" s="18" t="s">
        <v>32</v>
      </c>
      <c r="M6" s="18" t="s">
        <v>15</v>
      </c>
      <c r="N6" s="24" t="s">
        <v>0</v>
      </c>
      <c r="O6" s="18" t="s">
        <v>46</v>
      </c>
      <c r="P6" s="18" t="s">
        <v>5</v>
      </c>
      <c r="Q6" s="25" t="s">
        <v>38</v>
      </c>
      <c r="R6" s="1" t="s">
        <v>22</v>
      </c>
      <c r="S6" s="1" t="s">
        <v>19</v>
      </c>
      <c r="T6" s="1" t="s">
        <v>37</v>
      </c>
      <c r="U6" s="1" t="s">
        <v>20</v>
      </c>
      <c r="V6" s="1" t="s">
        <v>23</v>
      </c>
      <c r="W6" s="1" t="s">
        <v>9</v>
      </c>
      <c r="X6" s="13" t="s">
        <v>40</v>
      </c>
      <c r="Y6" s="13" t="s">
        <v>103</v>
      </c>
      <c r="Z6" s="13" t="s">
        <v>104</v>
      </c>
      <c r="AA6" s="13" t="s">
        <v>41</v>
      </c>
      <c r="AB6" s="1" t="s">
        <v>43</v>
      </c>
      <c r="AC6" s="1" t="s">
        <v>42</v>
      </c>
    </row>
    <row r="7" spans="1:30" ht="18" x14ac:dyDescent="0.3">
      <c r="A7" s="60" t="s">
        <v>36</v>
      </c>
      <c r="B7" s="60" t="s">
        <v>110</v>
      </c>
      <c r="C7" s="60" t="s">
        <v>111</v>
      </c>
      <c r="D7" s="60" t="s">
        <v>112</v>
      </c>
      <c r="E7" s="60" t="s">
        <v>113</v>
      </c>
      <c r="F7" s="60" t="s">
        <v>114</v>
      </c>
      <c r="G7" s="60" t="s">
        <v>115</v>
      </c>
      <c r="H7" s="60" t="s">
        <v>116</v>
      </c>
      <c r="I7" s="60" t="s">
        <v>117</v>
      </c>
      <c r="J7" s="60" t="s">
        <v>118</v>
      </c>
      <c r="K7" s="60" t="s">
        <v>119</v>
      </c>
      <c r="L7" s="60" t="s">
        <v>120</v>
      </c>
      <c r="M7" s="60" t="s">
        <v>121</v>
      </c>
      <c r="N7" s="60" t="s">
        <v>122</v>
      </c>
      <c r="O7" s="60" t="s">
        <v>123</v>
      </c>
      <c r="P7" s="60" t="s">
        <v>124</v>
      </c>
      <c r="Q7" s="60" t="s">
        <v>125</v>
      </c>
      <c r="R7" s="60" t="s">
        <v>126</v>
      </c>
      <c r="S7" s="60" t="s">
        <v>127</v>
      </c>
      <c r="T7" s="60" t="s">
        <v>128</v>
      </c>
      <c r="U7" s="60" t="s">
        <v>129</v>
      </c>
      <c r="V7" s="60" t="s">
        <v>130</v>
      </c>
      <c r="W7" s="60" t="s">
        <v>131</v>
      </c>
      <c r="X7" s="60" t="s">
        <v>132</v>
      </c>
      <c r="Y7" s="60" t="s">
        <v>133</v>
      </c>
      <c r="Z7" s="60" t="s">
        <v>134</v>
      </c>
      <c r="AA7" s="60" t="s">
        <v>135</v>
      </c>
      <c r="AB7" s="60" t="s">
        <v>136</v>
      </c>
      <c r="AC7" s="60" t="s">
        <v>138</v>
      </c>
    </row>
    <row r="8" spans="1:30" ht="168.75" x14ac:dyDescent="0.25">
      <c r="A8" s="54" t="s">
        <v>36</v>
      </c>
      <c r="B8" s="54"/>
      <c r="C8" s="54" t="s">
        <v>73</v>
      </c>
      <c r="D8" s="54" t="s">
        <v>74</v>
      </c>
      <c r="E8" s="54" t="s">
        <v>71</v>
      </c>
      <c r="F8" s="54" t="s">
        <v>72</v>
      </c>
      <c r="G8" s="56">
        <v>15500.01</v>
      </c>
      <c r="H8" s="56">
        <f t="shared" ref="H8" si="0">G8-Q8</f>
        <v>6725</v>
      </c>
      <c r="I8" s="79">
        <v>6</v>
      </c>
      <c r="J8" s="79">
        <v>0</v>
      </c>
      <c r="K8" s="54" t="s">
        <v>75</v>
      </c>
      <c r="L8" s="54" t="s">
        <v>76</v>
      </c>
      <c r="M8" s="54" t="s">
        <v>77</v>
      </c>
      <c r="N8" s="55">
        <v>43655</v>
      </c>
      <c r="O8" s="54" t="s">
        <v>79</v>
      </c>
      <c r="P8" s="54" t="s">
        <v>78</v>
      </c>
      <c r="Q8" s="56">
        <v>8775.01</v>
      </c>
      <c r="R8" s="56">
        <f>Q8-V8</f>
        <v>0</v>
      </c>
      <c r="S8" s="54" t="s">
        <v>80</v>
      </c>
      <c r="T8" s="55">
        <v>43677</v>
      </c>
      <c r="U8" s="54" t="s">
        <v>81</v>
      </c>
      <c r="V8" s="56">
        <v>8775.01</v>
      </c>
      <c r="W8" s="55">
        <v>43696</v>
      </c>
      <c r="X8" s="54"/>
      <c r="Y8" s="54"/>
      <c r="Z8" s="54"/>
      <c r="AA8" s="54"/>
      <c r="AB8" s="56"/>
      <c r="AC8" s="57" t="s">
        <v>64</v>
      </c>
    </row>
    <row r="9" spans="1:30" ht="18" x14ac:dyDescent="0.3">
      <c r="AD9" s="2">
        <v>2</v>
      </c>
    </row>
  </sheetData>
  <sheetProtection algorithmName="SHA-512" hashValue="24kanf7f8z75jD3mZpcl1lsq5HMd6OQwJg2eJFw2/4900mJAYXh2jcWcthjRVh8+e7/x1+1K+plDClgW/nwafw==" saltValue="zlX36LFzsD76exCuUPgeBg==" spinCount="100000" sheet="1" objects="1" scenarios="1" formatCells="0" formatColumns="0" formatRows="0"/>
  <mergeCells count="4">
    <mergeCell ref="E2:F2"/>
    <mergeCell ref="O2:P2"/>
    <mergeCell ref="Y2:AA2"/>
    <mergeCell ref="T2:U2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1">
    <tabColor theme="3" tint="0.39997558519241921"/>
  </sheetPr>
  <dimension ref="A1:AD27"/>
  <sheetViews>
    <sheetView showGridLines="0" tabSelected="1" topLeftCell="I1" zoomScale="50" zoomScaleNormal="50" workbookViewId="0">
      <pane ySplit="8" topLeftCell="A9" activePane="bottomLeft" state="frozen"/>
      <selection pane="bottomLeft" activeCell="P9" sqref="P9:P17"/>
    </sheetView>
  </sheetViews>
  <sheetFormatPr defaultColWidth="0" defaultRowHeight="18.75" x14ac:dyDescent="0.25"/>
  <cols>
    <col min="1" max="1" width="9.140625" style="2" customWidth="1"/>
    <col min="2" max="2" width="47.140625" style="2" customWidth="1"/>
    <col min="3" max="3" width="33.28515625" style="2" customWidth="1"/>
    <col min="4" max="6" width="33.7109375" style="2" customWidth="1"/>
    <col min="7" max="8" width="22.28515625" style="2" customWidth="1"/>
    <col min="9" max="9" width="24.28515625" style="2" customWidth="1"/>
    <col min="10" max="10" width="28.42578125" style="2" customWidth="1"/>
    <col min="11" max="12" width="19.5703125" style="2" customWidth="1"/>
    <col min="13" max="13" width="27.7109375" style="2" customWidth="1"/>
    <col min="14" max="14" width="24.42578125" style="2" bestFit="1" customWidth="1"/>
    <col min="15" max="15" width="27.42578125" style="2" customWidth="1"/>
    <col min="16" max="16" width="31.5703125" style="2" customWidth="1"/>
    <col min="17" max="18" width="21.85546875" style="2" customWidth="1"/>
    <col min="19" max="19" width="23.5703125" style="2" customWidth="1"/>
    <col min="20" max="20" width="31.85546875" style="2" customWidth="1"/>
    <col min="21" max="21" width="27.7109375" style="2" customWidth="1"/>
    <col min="22" max="22" width="25.42578125" style="2" customWidth="1"/>
    <col min="23" max="23" width="25" style="2" customWidth="1"/>
    <col min="24" max="26" width="29.42578125" style="2" customWidth="1"/>
    <col min="27" max="27" width="26.28515625" style="2" customWidth="1"/>
    <col min="28" max="28" width="25.140625" style="2" customWidth="1"/>
    <col min="29" max="29" width="19.140625" style="2" customWidth="1"/>
    <col min="30" max="16384" width="9.140625" style="2" hidden="1"/>
  </cols>
  <sheetData>
    <row r="1" spans="1:30" ht="18.600000000000001" thickBot="1" x14ac:dyDescent="0.35"/>
    <row r="2" spans="1:30" ht="39.950000000000003" customHeight="1" thickBot="1" x14ac:dyDescent="0.3">
      <c r="E2" s="303" t="s">
        <v>139</v>
      </c>
      <c r="F2" s="304"/>
      <c r="G2" s="82">
        <f>SUM(G9:G9999)</f>
        <v>1367088</v>
      </c>
      <c r="H2" s="10"/>
      <c r="O2" s="303" t="s">
        <v>24</v>
      </c>
      <c r="P2" s="304"/>
      <c r="Q2" s="80">
        <f>SUM(Q9:Q9999)</f>
        <v>1241120.1600000001</v>
      </c>
      <c r="T2" s="224" t="s">
        <v>137</v>
      </c>
      <c r="U2" s="226"/>
      <c r="V2" s="69">
        <f>SUM(V9:V9999)</f>
        <v>549588</v>
      </c>
      <c r="X2" s="68"/>
      <c r="Y2" s="224" t="s">
        <v>45</v>
      </c>
      <c r="Z2" s="225"/>
      <c r="AA2" s="226"/>
      <c r="AB2" s="70">
        <f>SUM(AB9:AB9999)</f>
        <v>0</v>
      </c>
    </row>
    <row r="4" spans="1:30" ht="39.950000000000003" customHeight="1" x14ac:dyDescent="0.3">
      <c r="P4" s="223"/>
      <c r="Q4" s="223"/>
      <c r="R4" s="223"/>
      <c r="T4" s="68"/>
      <c r="U4" s="68"/>
    </row>
    <row r="6" spans="1:30" ht="150" x14ac:dyDescent="0.25">
      <c r="A6" s="1" t="s">
        <v>8</v>
      </c>
      <c r="B6" s="1" t="s">
        <v>47</v>
      </c>
      <c r="C6" s="1" t="s">
        <v>33</v>
      </c>
      <c r="D6" s="1" t="s">
        <v>10</v>
      </c>
      <c r="E6" s="1" t="s">
        <v>11</v>
      </c>
      <c r="F6" s="1" t="s">
        <v>12</v>
      </c>
      <c r="G6" s="1" t="s">
        <v>13</v>
      </c>
      <c r="H6" s="1" t="s">
        <v>34</v>
      </c>
      <c r="I6" s="1" t="s">
        <v>16</v>
      </c>
      <c r="J6" s="1" t="s">
        <v>17</v>
      </c>
      <c r="K6" s="1" t="s">
        <v>14</v>
      </c>
      <c r="L6" s="1" t="s">
        <v>32</v>
      </c>
      <c r="M6" s="1" t="s">
        <v>15</v>
      </c>
      <c r="N6" s="1" t="s">
        <v>0</v>
      </c>
      <c r="O6" s="1" t="s">
        <v>46</v>
      </c>
      <c r="P6" s="1" t="s">
        <v>5</v>
      </c>
      <c r="Q6" s="1" t="s">
        <v>18</v>
      </c>
      <c r="R6" s="1" t="s">
        <v>22</v>
      </c>
      <c r="S6" s="1" t="s">
        <v>19</v>
      </c>
      <c r="T6" s="1" t="s">
        <v>37</v>
      </c>
      <c r="U6" s="1" t="s">
        <v>20</v>
      </c>
      <c r="V6" s="1" t="s">
        <v>23</v>
      </c>
      <c r="W6" s="1" t="s">
        <v>9</v>
      </c>
      <c r="X6" s="13" t="s">
        <v>40</v>
      </c>
      <c r="Y6" s="13" t="s">
        <v>103</v>
      </c>
      <c r="Z6" s="13" t="s">
        <v>104</v>
      </c>
      <c r="AA6" s="13" t="s">
        <v>41</v>
      </c>
      <c r="AB6" s="1" t="s">
        <v>43</v>
      </c>
      <c r="AC6" s="1" t="s">
        <v>42</v>
      </c>
    </row>
    <row r="7" spans="1:30" ht="18" x14ac:dyDescent="0.3">
      <c r="A7" s="76">
        <v>1</v>
      </c>
      <c r="B7" s="76">
        <v>2</v>
      </c>
      <c r="C7" s="76">
        <v>3</v>
      </c>
      <c r="D7" s="76">
        <v>4</v>
      </c>
      <c r="E7" s="76">
        <v>5</v>
      </c>
      <c r="F7" s="76">
        <v>6</v>
      </c>
      <c r="G7" s="76">
        <v>7</v>
      </c>
      <c r="H7" s="76">
        <v>8</v>
      </c>
      <c r="I7" s="76">
        <v>9</v>
      </c>
      <c r="J7" s="76">
        <v>10</v>
      </c>
      <c r="K7" s="76">
        <v>11</v>
      </c>
      <c r="L7" s="76">
        <v>12</v>
      </c>
      <c r="M7" s="76">
        <v>13</v>
      </c>
      <c r="N7" s="76">
        <v>14</v>
      </c>
      <c r="O7" s="76">
        <v>15</v>
      </c>
      <c r="P7" s="76">
        <v>16</v>
      </c>
      <c r="Q7" s="76">
        <v>17</v>
      </c>
      <c r="R7" s="76">
        <v>18</v>
      </c>
      <c r="S7" s="76">
        <v>19</v>
      </c>
      <c r="T7" s="76">
        <v>20</v>
      </c>
      <c r="U7" s="76">
        <v>21</v>
      </c>
      <c r="V7" s="76">
        <v>22</v>
      </c>
      <c r="W7" s="76">
        <v>23</v>
      </c>
      <c r="X7" s="76">
        <v>24</v>
      </c>
      <c r="Y7" s="76">
        <v>25</v>
      </c>
      <c r="Z7" s="76">
        <v>26</v>
      </c>
      <c r="AA7" s="76">
        <v>27</v>
      </c>
      <c r="AB7" s="76">
        <v>28</v>
      </c>
      <c r="AC7" s="76">
        <v>29</v>
      </c>
    </row>
    <row r="8" spans="1:30" ht="168.75" x14ac:dyDescent="0.25">
      <c r="A8" s="21" t="s">
        <v>36</v>
      </c>
      <c r="B8" s="21"/>
      <c r="C8" s="21" t="s">
        <v>73</v>
      </c>
      <c r="D8" s="21" t="s">
        <v>74</v>
      </c>
      <c r="E8" s="21" t="s">
        <v>71</v>
      </c>
      <c r="F8" s="21" t="s">
        <v>72</v>
      </c>
      <c r="G8" s="19">
        <v>15500.01</v>
      </c>
      <c r="H8" s="19">
        <f t="shared" ref="H8" si="0">G8-Q8</f>
        <v>6725</v>
      </c>
      <c r="I8" s="31">
        <v>6</v>
      </c>
      <c r="J8" s="31">
        <v>0</v>
      </c>
      <c r="K8" s="21" t="s">
        <v>75</v>
      </c>
      <c r="L8" s="21" t="s">
        <v>76</v>
      </c>
      <c r="M8" s="21" t="s">
        <v>77</v>
      </c>
      <c r="N8" s="20">
        <v>43655</v>
      </c>
      <c r="O8" s="20" t="s">
        <v>79</v>
      </c>
      <c r="P8" s="21" t="s">
        <v>78</v>
      </c>
      <c r="Q8" s="19">
        <v>8775.01</v>
      </c>
      <c r="R8" s="19">
        <f>Q8-V8</f>
        <v>0</v>
      </c>
      <c r="S8" s="21" t="s">
        <v>80</v>
      </c>
      <c r="T8" s="20">
        <v>43677</v>
      </c>
      <c r="U8" s="21" t="s">
        <v>81</v>
      </c>
      <c r="V8" s="19">
        <v>8775.01</v>
      </c>
      <c r="W8" s="20">
        <v>43696</v>
      </c>
      <c r="X8" s="21"/>
      <c r="Y8" s="54"/>
      <c r="Z8" s="54"/>
      <c r="AA8" s="21"/>
      <c r="AB8" s="19"/>
      <c r="AC8" s="12" t="s">
        <v>64</v>
      </c>
    </row>
    <row r="9" spans="1:30" s="85" customFormat="1" ht="176.45" customHeight="1" x14ac:dyDescent="0.25">
      <c r="A9" s="290">
        <v>1</v>
      </c>
      <c r="B9" s="260"/>
      <c r="C9" s="260" t="s">
        <v>162</v>
      </c>
      <c r="D9" s="260"/>
      <c r="E9" s="260" t="s">
        <v>163</v>
      </c>
      <c r="F9" s="260" t="s">
        <v>164</v>
      </c>
      <c r="G9" s="299">
        <v>624240</v>
      </c>
      <c r="H9" s="305">
        <f>IF(AD9 = 1, G9 - Q9,0)</f>
        <v>66540</v>
      </c>
      <c r="I9" s="299"/>
      <c r="J9" s="299"/>
      <c r="K9" s="260"/>
      <c r="L9" s="260"/>
      <c r="M9" s="260" t="s">
        <v>168</v>
      </c>
      <c r="N9" s="293" t="s">
        <v>169</v>
      </c>
      <c r="O9" s="322">
        <v>2308080429</v>
      </c>
      <c r="P9" s="260" t="s">
        <v>170</v>
      </c>
      <c r="Q9" s="299">
        <v>557700</v>
      </c>
      <c r="R9" s="305">
        <f>IF(AD9 = 1, Q9 + SUM(Y9:Y17) - SUM(Z9:Z17) - SUM(V9:V17) - AB9,0)</f>
        <v>8112</v>
      </c>
      <c r="S9" s="260" t="s">
        <v>172</v>
      </c>
      <c r="T9" s="128" t="s">
        <v>166</v>
      </c>
      <c r="U9" s="260" t="s">
        <v>171</v>
      </c>
      <c r="V9" s="123">
        <v>52728</v>
      </c>
      <c r="W9" s="128" t="s">
        <v>173</v>
      </c>
      <c r="X9" s="122"/>
      <c r="Y9" s="123"/>
      <c r="Z9" s="123"/>
      <c r="AA9" s="260"/>
      <c r="AB9" s="299"/>
      <c r="AC9" s="263"/>
      <c r="AD9" s="85">
        <v>1</v>
      </c>
    </row>
    <row r="10" spans="1:30" x14ac:dyDescent="0.25">
      <c r="A10" s="291"/>
      <c r="B10" s="261"/>
      <c r="C10" s="261"/>
      <c r="D10" s="261"/>
      <c r="E10" s="261"/>
      <c r="F10" s="261"/>
      <c r="G10" s="300"/>
      <c r="H10" s="306"/>
      <c r="I10" s="300"/>
      <c r="J10" s="300"/>
      <c r="K10" s="261"/>
      <c r="L10" s="261"/>
      <c r="M10" s="261"/>
      <c r="N10" s="294"/>
      <c r="O10" s="323"/>
      <c r="P10" s="261"/>
      <c r="Q10" s="300"/>
      <c r="R10" s="306"/>
      <c r="S10" s="261"/>
      <c r="T10" s="129" t="s">
        <v>174</v>
      </c>
      <c r="U10" s="261"/>
      <c r="V10" s="124">
        <v>62868</v>
      </c>
      <c r="W10" s="129" t="s">
        <v>176</v>
      </c>
      <c r="X10" s="125"/>
      <c r="Y10" s="124"/>
      <c r="Z10" s="124"/>
      <c r="AA10" s="261"/>
      <c r="AB10" s="300"/>
      <c r="AC10" s="264"/>
      <c r="AD10" s="2">
        <v>1</v>
      </c>
    </row>
    <row r="11" spans="1:30" x14ac:dyDescent="0.25">
      <c r="A11" s="291"/>
      <c r="B11" s="261"/>
      <c r="C11" s="261"/>
      <c r="D11" s="261"/>
      <c r="E11" s="261"/>
      <c r="F11" s="261"/>
      <c r="G11" s="300"/>
      <c r="H11" s="306"/>
      <c r="I11" s="300"/>
      <c r="J11" s="300"/>
      <c r="K11" s="261"/>
      <c r="L11" s="261"/>
      <c r="M11" s="261"/>
      <c r="N11" s="294"/>
      <c r="O11" s="323"/>
      <c r="P11" s="261"/>
      <c r="Q11" s="300"/>
      <c r="R11" s="306"/>
      <c r="S11" s="261"/>
      <c r="T11" s="129" t="s">
        <v>179</v>
      </c>
      <c r="U11" s="261"/>
      <c r="V11" s="124">
        <v>60840</v>
      </c>
      <c r="W11" s="129" t="s">
        <v>178</v>
      </c>
      <c r="X11" s="125"/>
      <c r="Y11" s="124"/>
      <c r="Z11" s="124"/>
      <c r="AA11" s="261"/>
      <c r="AB11" s="300"/>
      <c r="AC11" s="264"/>
      <c r="AD11" s="2">
        <v>1</v>
      </c>
    </row>
    <row r="12" spans="1:30" x14ac:dyDescent="0.25">
      <c r="A12" s="291"/>
      <c r="B12" s="261"/>
      <c r="C12" s="261"/>
      <c r="D12" s="261"/>
      <c r="E12" s="261"/>
      <c r="F12" s="261"/>
      <c r="G12" s="300"/>
      <c r="H12" s="306"/>
      <c r="I12" s="300"/>
      <c r="J12" s="300"/>
      <c r="K12" s="261"/>
      <c r="L12" s="261"/>
      <c r="M12" s="261"/>
      <c r="N12" s="294"/>
      <c r="O12" s="323"/>
      <c r="P12" s="261"/>
      <c r="Q12" s="300"/>
      <c r="R12" s="306"/>
      <c r="S12" s="261"/>
      <c r="T12" s="129" t="s">
        <v>180</v>
      </c>
      <c r="U12" s="261"/>
      <c r="V12" s="124">
        <v>62868</v>
      </c>
      <c r="W12" s="129" t="s">
        <v>181</v>
      </c>
      <c r="X12" s="125"/>
      <c r="Y12" s="124"/>
      <c r="Z12" s="124"/>
      <c r="AA12" s="261"/>
      <c r="AB12" s="300"/>
      <c r="AC12" s="264"/>
      <c r="AD12" s="2">
        <v>1</v>
      </c>
    </row>
    <row r="13" spans="1:30" x14ac:dyDescent="0.25">
      <c r="A13" s="291"/>
      <c r="B13" s="261"/>
      <c r="C13" s="261"/>
      <c r="D13" s="261"/>
      <c r="E13" s="261"/>
      <c r="F13" s="261"/>
      <c r="G13" s="300"/>
      <c r="H13" s="306"/>
      <c r="I13" s="300"/>
      <c r="J13" s="300"/>
      <c r="K13" s="261"/>
      <c r="L13" s="261"/>
      <c r="M13" s="261"/>
      <c r="N13" s="294"/>
      <c r="O13" s="323"/>
      <c r="P13" s="261"/>
      <c r="Q13" s="300"/>
      <c r="R13" s="306"/>
      <c r="S13" s="261"/>
      <c r="T13" s="129" t="s">
        <v>184</v>
      </c>
      <c r="U13" s="261"/>
      <c r="V13" s="124">
        <v>62868</v>
      </c>
      <c r="W13" s="129" t="s">
        <v>183</v>
      </c>
      <c r="X13" s="125"/>
      <c r="Y13" s="124"/>
      <c r="Z13" s="124"/>
      <c r="AA13" s="261"/>
      <c r="AB13" s="300"/>
      <c r="AC13" s="264"/>
      <c r="AD13" s="2">
        <v>1</v>
      </c>
    </row>
    <row r="14" spans="1:30" x14ac:dyDescent="0.25">
      <c r="A14" s="291"/>
      <c r="B14" s="261"/>
      <c r="C14" s="261"/>
      <c r="D14" s="261"/>
      <c r="E14" s="261"/>
      <c r="F14" s="261"/>
      <c r="G14" s="300"/>
      <c r="H14" s="306"/>
      <c r="I14" s="300"/>
      <c r="J14" s="300"/>
      <c r="K14" s="261"/>
      <c r="L14" s="261"/>
      <c r="M14" s="261"/>
      <c r="N14" s="294"/>
      <c r="O14" s="323"/>
      <c r="P14" s="261"/>
      <c r="Q14" s="300"/>
      <c r="R14" s="306"/>
      <c r="S14" s="261"/>
      <c r="T14" s="129" t="s">
        <v>188</v>
      </c>
      <c r="U14" s="261"/>
      <c r="V14" s="124">
        <v>60840</v>
      </c>
      <c r="W14" s="129" t="s">
        <v>189</v>
      </c>
      <c r="X14" s="125"/>
      <c r="Y14" s="124"/>
      <c r="Z14" s="124"/>
      <c r="AA14" s="261"/>
      <c r="AB14" s="300"/>
      <c r="AC14" s="264"/>
      <c r="AD14" s="2">
        <v>1</v>
      </c>
    </row>
    <row r="15" spans="1:30" x14ac:dyDescent="0.25">
      <c r="A15" s="291"/>
      <c r="B15" s="261"/>
      <c r="C15" s="261"/>
      <c r="D15" s="261"/>
      <c r="E15" s="261"/>
      <c r="F15" s="261"/>
      <c r="G15" s="300"/>
      <c r="H15" s="306"/>
      <c r="I15" s="300"/>
      <c r="J15" s="300"/>
      <c r="K15" s="261"/>
      <c r="L15" s="261"/>
      <c r="M15" s="261"/>
      <c r="N15" s="294"/>
      <c r="O15" s="323"/>
      <c r="P15" s="261"/>
      <c r="Q15" s="300"/>
      <c r="R15" s="306"/>
      <c r="S15" s="261"/>
      <c r="T15" s="129" t="s">
        <v>197</v>
      </c>
      <c r="U15" s="261"/>
      <c r="V15" s="124">
        <v>62868</v>
      </c>
      <c r="W15" s="129" t="s">
        <v>196</v>
      </c>
      <c r="X15" s="125"/>
      <c r="Y15" s="124"/>
      <c r="Z15" s="124"/>
      <c r="AA15" s="261"/>
      <c r="AB15" s="300"/>
      <c r="AC15" s="264"/>
      <c r="AD15" s="2">
        <v>1</v>
      </c>
    </row>
    <row r="16" spans="1:30" x14ac:dyDescent="0.25">
      <c r="A16" s="291"/>
      <c r="B16" s="261"/>
      <c r="C16" s="261"/>
      <c r="D16" s="261"/>
      <c r="E16" s="261"/>
      <c r="F16" s="261"/>
      <c r="G16" s="300"/>
      <c r="H16" s="306"/>
      <c r="I16" s="300"/>
      <c r="J16" s="300"/>
      <c r="K16" s="261"/>
      <c r="L16" s="261"/>
      <c r="M16" s="261"/>
      <c r="N16" s="294"/>
      <c r="O16" s="323"/>
      <c r="P16" s="261"/>
      <c r="Q16" s="300"/>
      <c r="R16" s="306"/>
      <c r="S16" s="261"/>
      <c r="T16" s="129" t="s">
        <v>203</v>
      </c>
      <c r="U16" s="261"/>
      <c r="V16" s="124">
        <v>60840</v>
      </c>
      <c r="W16" s="129" t="s">
        <v>202</v>
      </c>
      <c r="X16" s="125"/>
      <c r="Y16" s="124"/>
      <c r="Z16" s="124"/>
      <c r="AA16" s="261"/>
      <c r="AB16" s="300"/>
      <c r="AC16" s="264"/>
      <c r="AD16" s="2">
        <v>1</v>
      </c>
    </row>
    <row r="17" spans="1:30" x14ac:dyDescent="0.25">
      <c r="A17" s="292"/>
      <c r="B17" s="262"/>
      <c r="C17" s="262"/>
      <c r="D17" s="262"/>
      <c r="E17" s="262"/>
      <c r="F17" s="262"/>
      <c r="G17" s="301"/>
      <c r="H17" s="307"/>
      <c r="I17" s="301"/>
      <c r="J17" s="301"/>
      <c r="K17" s="262"/>
      <c r="L17" s="262"/>
      <c r="M17" s="262"/>
      <c r="N17" s="295"/>
      <c r="O17" s="324"/>
      <c r="P17" s="262"/>
      <c r="Q17" s="301"/>
      <c r="R17" s="307"/>
      <c r="S17" s="262"/>
      <c r="T17" s="130" t="s">
        <v>263</v>
      </c>
      <c r="U17" s="262"/>
      <c r="V17" s="126">
        <v>62868</v>
      </c>
      <c r="W17" s="130" t="s">
        <v>262</v>
      </c>
      <c r="X17" s="127"/>
      <c r="Y17" s="126"/>
      <c r="Z17" s="126"/>
      <c r="AA17" s="262"/>
      <c r="AB17" s="301"/>
      <c r="AC17" s="265"/>
      <c r="AD17" s="2">
        <v>1</v>
      </c>
    </row>
    <row r="18" spans="1:30" s="85" customFormat="1" ht="93.75" x14ac:dyDescent="0.25">
      <c r="A18" s="87">
        <v>2</v>
      </c>
      <c r="B18" s="88"/>
      <c r="C18" s="88" t="s">
        <v>206</v>
      </c>
      <c r="D18" s="88"/>
      <c r="E18" s="88" t="s">
        <v>207</v>
      </c>
      <c r="F18" s="88" t="s">
        <v>164</v>
      </c>
      <c r="G18" s="90">
        <v>742848</v>
      </c>
      <c r="H18" s="91">
        <f>IF(AD18 = 3, G18 - Q18,0)</f>
        <v>59427.839999999967</v>
      </c>
      <c r="I18" s="90"/>
      <c r="J18" s="90"/>
      <c r="K18" s="88"/>
      <c r="L18" s="88"/>
      <c r="M18" s="88" t="s">
        <v>207</v>
      </c>
      <c r="N18" s="93" t="s">
        <v>201</v>
      </c>
      <c r="O18" s="109">
        <v>2304067057</v>
      </c>
      <c r="P18" s="88" t="s">
        <v>208</v>
      </c>
      <c r="Q18" s="90">
        <v>683420.16000000003</v>
      </c>
      <c r="R18" s="91">
        <f>IF(AD18 = 3, Q18 + SUM(Y18:Y18) - SUM(Z18:Z18) - SUM(V18:V18) - AB18,0)</f>
        <v>683420.16000000003</v>
      </c>
      <c r="S18" s="88" t="s">
        <v>209</v>
      </c>
      <c r="T18" s="93"/>
      <c r="U18" s="88" t="s">
        <v>210</v>
      </c>
      <c r="V18" s="90"/>
      <c r="W18" s="93"/>
      <c r="X18" s="88"/>
      <c r="Y18" s="90"/>
      <c r="Z18" s="90"/>
      <c r="AA18" s="88"/>
      <c r="AB18" s="90"/>
      <c r="AC18" s="92"/>
      <c r="AD18" s="85">
        <v>3</v>
      </c>
    </row>
    <row r="19" spans="1:30" ht="18" x14ac:dyDescent="0.3">
      <c r="M19" s="3"/>
      <c r="AD19" s="2">
        <v>4</v>
      </c>
    </row>
    <row r="20" spans="1:30" ht="18" x14ac:dyDescent="0.3">
      <c r="M20" s="3"/>
    </row>
    <row r="21" spans="1:30" ht="18" x14ac:dyDescent="0.3">
      <c r="M21" s="3"/>
    </row>
    <row r="22" spans="1:30" ht="18" x14ac:dyDescent="0.3">
      <c r="M22" s="3"/>
    </row>
    <row r="23" spans="1:30" ht="18" x14ac:dyDescent="0.3">
      <c r="M23" s="3"/>
    </row>
    <row r="24" spans="1:30" ht="18" x14ac:dyDescent="0.3">
      <c r="M24" s="3"/>
    </row>
    <row r="25" spans="1:30" ht="18" x14ac:dyDescent="0.3">
      <c r="M25" s="3"/>
    </row>
    <row r="26" spans="1:30" ht="18" x14ac:dyDescent="0.3">
      <c r="M26" s="3"/>
    </row>
    <row r="27" spans="1:30" ht="18" x14ac:dyDescent="0.3">
      <c r="M27" s="3"/>
    </row>
  </sheetData>
  <sheetProtection algorithmName="SHA-512" hashValue="V69Cp7cdZhKwFdZ0+DQRt27VasOhLJKOL9GlYSjUk8rVsHoJuZdLntDzZqKZCbl4uzWSaCpESVDlFLNj+fDdxA==" saltValue="HAyKcIJknR54uNhtIaApKA==" spinCount="100000" sheet="1" objects="1" scenarios="1" formatCells="0" formatColumns="0" formatRows="0"/>
  <mergeCells count="28">
    <mergeCell ref="A9:A17"/>
    <mergeCell ref="U9:U17"/>
    <mergeCell ref="AA9:AA17"/>
    <mergeCell ref="B9:B17"/>
    <mergeCell ref="AB9:AB17"/>
    <mergeCell ref="C9:C17"/>
    <mergeCell ref="S9:S17"/>
    <mergeCell ref="P4:R4"/>
    <mergeCell ref="E2:F2"/>
    <mergeCell ref="O2:P2"/>
    <mergeCell ref="Y2:AA2"/>
    <mergeCell ref="T2:U2"/>
    <mergeCell ref="AC9:AC17"/>
    <mergeCell ref="D9:D17"/>
    <mergeCell ref="E9:E17"/>
    <mergeCell ref="F9:F17"/>
    <mergeCell ref="G9:G17"/>
    <mergeCell ref="H9:H17"/>
    <mergeCell ref="I9:I17"/>
    <mergeCell ref="J9:J17"/>
    <mergeCell ref="K9:K17"/>
    <mergeCell ref="L9:L17"/>
    <mergeCell ref="M9:M17"/>
    <mergeCell ref="N9:N17"/>
    <mergeCell ref="O9:O17"/>
    <mergeCell ref="P9:P17"/>
    <mergeCell ref="Q9:Q17"/>
    <mergeCell ref="R9:R17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tabColor theme="3" tint="0.39997558519241921"/>
  </sheetPr>
  <dimension ref="A1:K83"/>
  <sheetViews>
    <sheetView workbookViewId="0">
      <selection activeCell="F20" sqref="F20"/>
    </sheetView>
  </sheetViews>
  <sheetFormatPr defaultColWidth="9.140625" defaultRowHeight="15.75" x14ac:dyDescent="0.25"/>
  <cols>
    <col min="1" max="1" width="15.28515625" style="33" customWidth="1"/>
    <col min="2" max="2" width="17.42578125" style="33" customWidth="1"/>
    <col min="3" max="3" width="17.28515625" style="33" customWidth="1"/>
    <col min="4" max="4" width="38.85546875" style="33" customWidth="1"/>
    <col min="5" max="5" width="15.5703125" style="33" bestFit="1" customWidth="1"/>
    <col min="6" max="11" width="16.140625" style="33" customWidth="1"/>
    <col min="12" max="16384" width="9.140625" style="33"/>
  </cols>
  <sheetData>
    <row r="1" spans="1:11" x14ac:dyDescent="0.25">
      <c r="A1" s="47">
        <v>19</v>
      </c>
      <c r="B1" s="47">
        <v>11</v>
      </c>
      <c r="C1" s="47">
        <v>9</v>
      </c>
      <c r="D1" s="327" t="s">
        <v>50</v>
      </c>
      <c r="E1" s="32"/>
      <c r="F1" s="62" t="s">
        <v>108</v>
      </c>
      <c r="G1" s="66" t="s">
        <v>108</v>
      </c>
      <c r="H1" s="65" t="s">
        <v>108</v>
      </c>
      <c r="I1" s="64" t="s">
        <v>108</v>
      </c>
      <c r="J1" s="63" t="s">
        <v>108</v>
      </c>
      <c r="K1" s="67" t="s">
        <v>108</v>
      </c>
    </row>
    <row r="2" spans="1:11" x14ac:dyDescent="0.25">
      <c r="A2" s="48" t="s">
        <v>84</v>
      </c>
      <c r="B2" s="47" t="s">
        <v>85</v>
      </c>
      <c r="C2" s="47" t="s">
        <v>86</v>
      </c>
      <c r="D2" s="328"/>
      <c r="E2" s="32"/>
      <c r="F2" s="62">
        <v>59</v>
      </c>
      <c r="G2" s="66">
        <v>68</v>
      </c>
      <c r="H2" s="65">
        <v>4</v>
      </c>
      <c r="I2" s="64">
        <v>0</v>
      </c>
      <c r="J2" s="63">
        <v>0</v>
      </c>
      <c r="K2" s="67">
        <v>3</v>
      </c>
    </row>
    <row r="3" spans="1:11" ht="15.6" x14ac:dyDescent="0.3">
      <c r="A3" s="34"/>
      <c r="B3" s="32"/>
      <c r="C3" s="32"/>
      <c r="D3" s="32"/>
      <c r="E3" s="32"/>
      <c r="F3" s="62" t="s">
        <v>109</v>
      </c>
      <c r="G3" s="66" t="s">
        <v>109</v>
      </c>
      <c r="H3" s="65" t="s">
        <v>109</v>
      </c>
      <c r="I3" s="64" t="s">
        <v>109</v>
      </c>
      <c r="J3" s="63" t="s">
        <v>109</v>
      </c>
      <c r="K3" s="67" t="s">
        <v>109</v>
      </c>
    </row>
    <row r="4" spans="1:11" x14ac:dyDescent="0.25">
      <c r="A4" s="43">
        <v>44</v>
      </c>
      <c r="B4" s="44">
        <v>15</v>
      </c>
      <c r="C4" s="44">
        <v>9</v>
      </c>
      <c r="D4" s="329" t="s">
        <v>102</v>
      </c>
      <c r="E4" s="32"/>
      <c r="F4" s="62">
        <v>60</v>
      </c>
      <c r="G4" s="66">
        <v>69</v>
      </c>
      <c r="H4" s="65">
        <v>5</v>
      </c>
      <c r="I4" s="64">
        <v>0</v>
      </c>
      <c r="J4" s="63">
        <v>0</v>
      </c>
      <c r="K4" s="67">
        <v>4</v>
      </c>
    </row>
    <row r="5" spans="1:11" x14ac:dyDescent="0.25">
      <c r="A5" s="43" t="s">
        <v>89</v>
      </c>
      <c r="B5" s="44" t="s">
        <v>88</v>
      </c>
      <c r="C5" s="44" t="s">
        <v>87</v>
      </c>
      <c r="D5" s="330"/>
      <c r="E5" s="32"/>
      <c r="F5" s="32"/>
      <c r="G5" s="32"/>
    </row>
    <row r="6" spans="1:11" ht="15.6" x14ac:dyDescent="0.3">
      <c r="A6" s="34"/>
      <c r="B6" s="32"/>
      <c r="C6" s="32"/>
      <c r="D6" s="32"/>
      <c r="E6" s="32"/>
      <c r="F6" s="32"/>
      <c r="G6" s="32"/>
    </row>
    <row r="7" spans="1:11" x14ac:dyDescent="0.25">
      <c r="A7" s="45">
        <v>9</v>
      </c>
      <c r="B7" s="46">
        <v>1</v>
      </c>
      <c r="C7" s="46">
        <v>9</v>
      </c>
      <c r="D7" s="331" t="s">
        <v>52</v>
      </c>
      <c r="E7" s="32"/>
      <c r="F7" s="32"/>
      <c r="G7" s="32"/>
    </row>
    <row r="8" spans="1:11" x14ac:dyDescent="0.25">
      <c r="A8" s="45" t="s">
        <v>90</v>
      </c>
      <c r="B8" s="46" t="s">
        <v>91</v>
      </c>
      <c r="C8" s="46" t="s">
        <v>92</v>
      </c>
      <c r="D8" s="332"/>
      <c r="E8" s="32"/>
      <c r="F8" s="32"/>
      <c r="G8" s="32"/>
    </row>
    <row r="9" spans="1:11" ht="15.6" x14ac:dyDescent="0.3">
      <c r="A9" s="34"/>
      <c r="B9" s="32"/>
      <c r="C9" s="32"/>
      <c r="D9" s="32"/>
      <c r="E9" s="32"/>
      <c r="F9" s="32"/>
      <c r="G9" s="32"/>
    </row>
    <row r="10" spans="1:11" x14ac:dyDescent="0.25">
      <c r="A10" s="41">
        <v>8</v>
      </c>
      <c r="B10" s="42">
        <v>0</v>
      </c>
      <c r="C10" s="42">
        <v>9</v>
      </c>
      <c r="D10" s="333" t="s">
        <v>31</v>
      </c>
      <c r="E10" s="32"/>
      <c r="F10" s="32"/>
      <c r="G10" s="32"/>
    </row>
    <row r="11" spans="1:11" x14ac:dyDescent="0.25">
      <c r="A11" s="41" t="s">
        <v>93</v>
      </c>
      <c r="B11" s="42" t="s">
        <v>94</v>
      </c>
      <c r="C11" s="42" t="s">
        <v>95</v>
      </c>
      <c r="D11" s="334"/>
      <c r="E11" s="32"/>
      <c r="F11" s="32"/>
      <c r="G11" s="32"/>
    </row>
    <row r="12" spans="1:11" ht="15.6" x14ac:dyDescent="0.3">
      <c r="A12" s="34"/>
      <c r="B12" s="32"/>
      <c r="C12" s="32"/>
      <c r="D12" s="32"/>
      <c r="E12" s="32"/>
      <c r="F12" s="32"/>
      <c r="G12" s="32"/>
    </row>
    <row r="13" spans="1:11" x14ac:dyDescent="0.25">
      <c r="A13" s="39">
        <v>8</v>
      </c>
      <c r="B13" s="40">
        <v>0</v>
      </c>
      <c r="C13" s="40">
        <v>9</v>
      </c>
      <c r="D13" s="335" t="s">
        <v>49</v>
      </c>
      <c r="E13" s="32"/>
      <c r="F13" s="32"/>
      <c r="G13" s="32"/>
    </row>
    <row r="14" spans="1:11" ht="31.5" x14ac:dyDescent="0.25">
      <c r="A14" s="39" t="s">
        <v>96</v>
      </c>
      <c r="B14" s="40" t="s">
        <v>97</v>
      </c>
      <c r="C14" s="40" t="s">
        <v>98</v>
      </c>
      <c r="D14" s="336"/>
      <c r="E14" s="32"/>
      <c r="F14" s="32"/>
      <c r="G14" s="32"/>
    </row>
    <row r="15" spans="1:11" ht="15.6" x14ac:dyDescent="0.3">
      <c r="A15" s="34"/>
      <c r="B15" s="32"/>
      <c r="C15" s="32"/>
      <c r="D15" s="32"/>
      <c r="E15" s="32"/>
      <c r="F15" s="32"/>
      <c r="G15" s="32"/>
    </row>
    <row r="16" spans="1:11" x14ac:dyDescent="0.25">
      <c r="A16" s="37">
        <v>18</v>
      </c>
      <c r="B16" s="38">
        <v>2</v>
      </c>
      <c r="C16" s="38">
        <v>9</v>
      </c>
      <c r="D16" s="325" t="s">
        <v>83</v>
      </c>
      <c r="E16" s="32"/>
      <c r="F16" s="32"/>
      <c r="G16" s="32"/>
    </row>
    <row r="17" spans="1:4" x14ac:dyDescent="0.25">
      <c r="A17" s="37" t="s">
        <v>99</v>
      </c>
      <c r="B17" s="38" t="s">
        <v>100</v>
      </c>
      <c r="C17" s="38" t="s">
        <v>101</v>
      </c>
      <c r="D17" s="326"/>
    </row>
    <row r="18" spans="1:4" ht="15.6" x14ac:dyDescent="0.3">
      <c r="A18" s="34"/>
    </row>
    <row r="19" spans="1:4" ht="15.6" x14ac:dyDescent="0.3">
      <c r="A19" s="34"/>
    </row>
    <row r="20" spans="1:4" ht="15.6" x14ac:dyDescent="0.3">
      <c r="A20" s="34"/>
    </row>
    <row r="21" spans="1:4" ht="15.6" x14ac:dyDescent="0.3">
      <c r="A21" s="34"/>
    </row>
    <row r="22" spans="1:4" ht="15.6" x14ac:dyDescent="0.3">
      <c r="A22" s="34"/>
    </row>
    <row r="23" spans="1:4" ht="15.6" x14ac:dyDescent="0.3">
      <c r="A23" s="34"/>
    </row>
    <row r="24" spans="1:4" ht="15.6" x14ac:dyDescent="0.3">
      <c r="A24" s="34"/>
    </row>
    <row r="25" spans="1:4" ht="15.6" x14ac:dyDescent="0.3">
      <c r="A25" s="34"/>
    </row>
    <row r="26" spans="1:4" ht="15.6" x14ac:dyDescent="0.3">
      <c r="A26" s="34"/>
    </row>
    <row r="27" spans="1:4" ht="15.6" x14ac:dyDescent="0.3">
      <c r="A27" s="34"/>
    </row>
    <row r="28" spans="1:4" ht="15.6" x14ac:dyDescent="0.3">
      <c r="A28" s="34"/>
    </row>
    <row r="29" spans="1:4" ht="15.6" x14ac:dyDescent="0.3">
      <c r="A29" s="34"/>
    </row>
    <row r="30" spans="1:4" ht="15.6" x14ac:dyDescent="0.3">
      <c r="A30" s="34"/>
    </row>
    <row r="31" spans="1:4" ht="15.6" x14ac:dyDescent="0.3">
      <c r="A31" s="34"/>
    </row>
    <row r="32" spans="1:4" ht="15.6" x14ac:dyDescent="0.3">
      <c r="A32" s="34"/>
    </row>
    <row r="33" spans="1:1" ht="15.6" x14ac:dyDescent="0.3">
      <c r="A33" s="34"/>
    </row>
    <row r="34" spans="1:1" ht="15.6" x14ac:dyDescent="0.3">
      <c r="A34" s="34"/>
    </row>
    <row r="35" spans="1:1" x14ac:dyDescent="0.25">
      <c r="A35" s="34"/>
    </row>
    <row r="36" spans="1:1" x14ac:dyDescent="0.25">
      <c r="A36" s="34"/>
    </row>
    <row r="37" spans="1:1" x14ac:dyDescent="0.25">
      <c r="A37" s="34"/>
    </row>
    <row r="38" spans="1:1" x14ac:dyDescent="0.25">
      <c r="A38" s="34"/>
    </row>
    <row r="39" spans="1:1" x14ac:dyDescent="0.25">
      <c r="A39" s="34"/>
    </row>
    <row r="40" spans="1:1" x14ac:dyDescent="0.25">
      <c r="A40" s="34"/>
    </row>
    <row r="41" spans="1:1" x14ac:dyDescent="0.25">
      <c r="A41" s="34"/>
    </row>
    <row r="42" spans="1:1" x14ac:dyDescent="0.25">
      <c r="A42" s="34"/>
    </row>
    <row r="43" spans="1:1" x14ac:dyDescent="0.25">
      <c r="A43" s="34"/>
    </row>
    <row r="44" spans="1:1" x14ac:dyDescent="0.25">
      <c r="A44" s="34"/>
    </row>
    <row r="45" spans="1:1" x14ac:dyDescent="0.25">
      <c r="A45" s="34"/>
    </row>
    <row r="81" spans="1:1" x14ac:dyDescent="0.25">
      <c r="A81" s="35"/>
    </row>
    <row r="82" spans="1:1" x14ac:dyDescent="0.25">
      <c r="A82" s="35"/>
    </row>
    <row r="83" spans="1:1" x14ac:dyDescent="0.25">
      <c r="A83" s="36"/>
    </row>
  </sheetData>
  <mergeCells count="6">
    <mergeCell ref="D16:D17"/>
    <mergeCell ref="D1:D2"/>
    <mergeCell ref="D4:D5"/>
    <mergeCell ref="D7:D8"/>
    <mergeCell ref="D10:D11"/>
    <mergeCell ref="D13:D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Общая информация</vt:lpstr>
      <vt:lpstr>Ед. поставщик п.4 ч.1</vt:lpstr>
      <vt:lpstr>Ед. поставщик п.5 ч.1</vt:lpstr>
      <vt:lpstr>Ед.поставщик за искл. п.4,5 ч.1</vt:lpstr>
      <vt:lpstr>Состоявшиеся аукционы</vt:lpstr>
      <vt:lpstr>Несостоявшиеся аукционы</vt:lpstr>
      <vt:lpstr>Иные конкурентные закупки</vt:lpstr>
      <vt:lpstr>Настройки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Компьютер № 3</dc:creator>
  <cp:lastModifiedBy>Костя</cp:lastModifiedBy>
  <cp:lastPrinted>2022-11-08T10:34:42Z</cp:lastPrinted>
  <dcterms:created xsi:type="dcterms:W3CDTF">2017-01-25T04:28:39Z</dcterms:created>
  <dcterms:modified xsi:type="dcterms:W3CDTF">2023-02-13T14:29:08Z</dcterms:modified>
</cp:coreProperties>
</file>