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195" yWindow="0" windowWidth="20730" windowHeight="11760" firstSheet="4" activeTab="6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44525"/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H2" i="31"/>
  <c r="P2" i="31"/>
  <c r="V2" i="31"/>
  <c r="H2" i="27" l="1"/>
  <c r="P2" i="27"/>
  <c r="V2" i="27"/>
  <c r="I183" i="31"/>
  <c r="I186" i="31"/>
  <c r="I181" i="31"/>
  <c r="H28" i="20"/>
  <c r="R28" i="20"/>
  <c r="I119" i="27"/>
  <c r="I31" i="31"/>
  <c r="I31" i="27"/>
  <c r="I22" i="27"/>
  <c r="I77" i="31"/>
  <c r="I40" i="31"/>
  <c r="I86" i="31"/>
  <c r="I13" i="27"/>
  <c r="I9" i="27"/>
  <c r="H18" i="20"/>
  <c r="R18" i="20"/>
  <c r="I173" i="31"/>
  <c r="I89" i="27"/>
  <c r="I89" i="31"/>
  <c r="I40" i="27"/>
  <c r="I49" i="27"/>
  <c r="I116" i="27"/>
  <c r="I49" i="31"/>
  <c r="I131" i="27"/>
  <c r="I193" i="31"/>
  <c r="I192" i="31"/>
  <c r="I191" i="31"/>
  <c r="I130" i="27"/>
  <c r="I129" i="27"/>
  <c r="I128" i="27"/>
  <c r="G2" i="19"/>
  <c r="N2" i="19"/>
  <c r="T2" i="19"/>
  <c r="I123" i="27"/>
  <c r="I121" i="27"/>
  <c r="I107" i="27"/>
  <c r="I127" i="27"/>
  <c r="I126" i="27"/>
  <c r="I125" i="27"/>
  <c r="H14" i="19"/>
  <c r="I118" i="27"/>
  <c r="I115" i="27"/>
  <c r="I109" i="27"/>
  <c r="I180" i="31"/>
  <c r="I179" i="31"/>
  <c r="I114" i="27"/>
  <c r="I113" i="27"/>
  <c r="I112" i="27"/>
  <c r="I111" i="27"/>
  <c r="I178" i="31"/>
  <c r="I177" i="31"/>
  <c r="I170" i="31"/>
  <c r="I107" i="31"/>
  <c r="I136" i="31"/>
  <c r="I63" i="27"/>
  <c r="I102" i="27"/>
  <c r="I172" i="31"/>
  <c r="I106" i="27"/>
  <c r="I105" i="27"/>
  <c r="I84" i="27"/>
  <c r="I53" i="27"/>
  <c r="I78" i="27"/>
  <c r="I73" i="27"/>
  <c r="I58" i="27"/>
  <c r="I159" i="31"/>
  <c r="I149" i="31"/>
  <c r="H9" i="19"/>
  <c r="I104" i="27"/>
  <c r="I169" i="31"/>
  <c r="I168" i="31"/>
  <c r="I167" i="31"/>
  <c r="I166" i="31"/>
  <c r="I101" i="27"/>
  <c r="I100" i="27"/>
  <c r="I165" i="31"/>
  <c r="I164" i="31"/>
  <c r="I99" i="27"/>
  <c r="I98" i="27"/>
  <c r="I112" i="31"/>
  <c r="I93" i="27"/>
  <c r="I128" i="31"/>
  <c r="I97" i="27"/>
  <c r="I26" i="31"/>
  <c r="I96" i="27"/>
  <c r="I95" i="27"/>
  <c r="I148" i="31"/>
  <c r="I147" i="31" l="1"/>
  <c r="I146" i="31"/>
  <c r="I52" i="27"/>
  <c r="I9" i="31" l="1"/>
  <c r="H9" i="20"/>
  <c r="R9" i="20"/>
  <c r="I23" i="31" l="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<sst xmlns="http://schemas.openxmlformats.org/spreadsheetml/2006/main" count="1772" uniqueCount="713">
  <si>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</si>
  <si>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</si>
  <si>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</si>
  <si>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</si>
  <si>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</si>
  <si>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</si>
  <si>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</si>
  <si>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</si>
  <si>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</si>
  <si>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</si>
  <si>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</si>
  <si>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</si>
  <si>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</si>
  <si>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</si>
  <si>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</si>
  <si>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</si>
  <si>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</si>
  <si>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</si>
  <si>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</si>
  <si>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</si>
  <si>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</si>
  <si>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</si>
  <si>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</si>
  <si>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</si>
  <si>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</si>
  <si>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</si>
  <si>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</si>
  <si>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</si>
  <si>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</si>
  <si>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</si>
  <si>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</si>
  <si>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</si>
  <si>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</si>
  <si>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</si>
  <si>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</si>
  <si>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</si>
  <si>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</si>
  <si>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</si>
  <si>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</si>
  <si>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</si>
  <si>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</si>
  <si>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</si>
  <si>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</si>
  <si>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</si>
  <si>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</si>
  <si>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</si>
  <si>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</si>
  <si>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</si>
  <si>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</si>
  <si>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</si>
  <si>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</si>
  <si>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</si>
  <si>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</si>
  <si>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</si>
  <si>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</si>
  <si>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</si>
  <si>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</si>
  <si>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</si>
  <si>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</si>
  <si>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</si>
  <si>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</si>
  <si>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</si>
  <si>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</si>
  <si>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</si>
  <si>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</si>
  <si>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</si>
  <si>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</si>
  <si>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</si>
  <si>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</si>
  <si>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</si>
  <si>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</si>
  <si>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</si>
  <si>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</si>
  <si>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</si>
  <si>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</si>
  <si>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</si>
  <si>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</si>
  <si>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</si>
  <si>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</si>
  <si>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</si>
  <si>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</si>
  <si>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</si>
  <si>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</si>
  <si>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</si>
  <si>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</si>
  <si>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</si>
  <si>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</si>
  <si>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</si>
  <si>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</si>
  <si>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</si>
  <si>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</si>
  <si>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</si>
  <si>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</si>
  <si>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</si>
  <si>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</si>
  <si>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</si>
  <si>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</si>
  <si>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</si>
  <si>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</si>
  <si>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</si>
  <si>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</si>
  <si>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</si>
  <si>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</si>
  <si>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</si>
  <si>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</si>
  <si>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</si>
  <si>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</si>
  <si>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</si>
  <si>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</si>
  <si>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</si>
  <si>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</si>
  <si>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</si>
  <si>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</si>
  <si>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</si>
  <si>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</si>
  <si>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</si>
  <si>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</si>
  <si>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</si>
  <si>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</si>
  <si>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</si>
  <si>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</si>
  <si>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</si>
  <si>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</si>
  <si>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</si>
  <si>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</si>
  <si>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</si>
  <si>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</si>
  <si>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</si>
  <si>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</si>
  <si>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</si>
  <si>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</si>
  <si>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</si>
  <si>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</si>
  <si>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</si>
  <si>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</si>
  <si>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</si>
  <si>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</si>
  <si>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</si>
  <si>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</si>
  <si>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</si>
  <si>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</si>
  <si>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</si>
  <si>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</si>
  <si>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</si>
  <si>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</si>
  <si>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</si>
  <si>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</si>
  <si>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</si>
  <si>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</si>
  <si>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</si>
  <si>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</si>
  <si>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</si>
  <si>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</si>
  <si>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</si>
  <si>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</si>
  <si>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</si>
  <si>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</si>
  <si>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</si>
  <si>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</si>
  <si>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</si>
  <si>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</si>
  <si>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</si>
  <si>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</si>
  <si>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</si>
  <si>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</si>
  <si>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</si>
  <si>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</si>
  <si>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</si>
  <si>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</si>
  <si>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</si>
  <si>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</si>
  <si>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</si>
  <si>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</si>
  <si>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</si>
  <si>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</si>
  <si>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</si>
  <si>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</si>
  <si>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</si>
  <si>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</si>
  <si>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</si>
  <si>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</si>
  <si>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</si>
  <si>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</si>
  <si>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</si>
  <si>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</si>
  <si>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</si>
  <si>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</si>
  <si>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</si>
  <si>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</si>
  <si>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</si>
  <si>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</si>
  <si>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</si>
  <si>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</si>
  <si>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</si>
  <si>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</si>
  <si>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</si>
  <si>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</si>
  <si>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</si>
  <si>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</si>
  <si>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</si>
  <si>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</si>
  <si>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</si>
  <si>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</si>
  <si>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</si>
  <si>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</si>
  <si>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</si>
  <si>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</si>
  <si>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</si>
  <si>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</si>
  <si>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</si>
  <si>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</si>
  <si>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</si>
  <si>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</si>
  <si>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</si>
  <si>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</si>
  <si>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</si>
  <si>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</si>
  <si>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</si>
  <si>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</si>
  <si>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</si>
  <si>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</si>
  <si>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</si>
  <si>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</si>
  <si>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</si>
  <si>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</si>
  <si>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</si>
  <si>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</si>
  <si>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</si>
  <si>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</si>
  <si>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</si>
  <si>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</si>
  <si>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</si>
  <si>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</si>
  <si>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</si>
  <si>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</si>
  <si>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</si>
  <si>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</si>
  <si>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</si>
  <si>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</si>
  <si>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</si>
  <si>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</si>
  <si>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</si>
  <si>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</si>
  <si>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</si>
  <si>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</si>
  <si>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</si>
  <si>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</si>
  <si>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</si>
  <si>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</si>
  <si>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</si>
  <si>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</si>
  <si>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</si>
  <si>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</si>
  <si>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</si>
  <si>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</si>
  <si>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</si>
  <si>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</si>
  <si>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</si>
  <si>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</si>
  <si>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</si>
  <si>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</si>
  <si>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</si>
  <si>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</si>
  <si>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</si>
  <si>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</si>
  <si>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</si>
  <si>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</si>
  <si>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</si>
  <si>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</si>
  <si>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</si>
  <si>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</si>
  <si>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</si>
  <si>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</si>
  <si>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</si>
  <si>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</si>
  <si>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</si>
  <si>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</si>
  <si>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</si>
  <si>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</si>
  <si>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</si>
  <si>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</si>
  <si>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</si>
  <si>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</si>
  <si>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</si>
  <si>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</si>
  <si>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</si>
  <si>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</si>
  <si>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</si>
  <si>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</si>
  <si>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</si>
  <si>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</si>
  <si>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</si>
  <si>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</si>
  <si>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</si>
  <si>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</si>
  <si>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</si>
  <si>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</si>
  <si>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</si>
  <si>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</si>
  <si>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</si>
  <si>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</si>
  <si>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</si>
  <si>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</si>
  <si>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</si>
  <si>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</si>
  <si>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</si>
  <si>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</si>
  <si>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</si>
  <si>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</si>
  <si>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</si>
  <si>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</si>
  <si>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</si>
  <si>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</si>
  <si>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</si>
  <si>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</si>
  <si>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</si>
  <si>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</si>
  <si>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</si>
  <si>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№ 14-СВО</t>
  </si>
  <si>
    <t>Услуги по организации горячего питания детей участников СВО (услуги по приготовлению)</t>
  </si>
  <si>
    <t>№ 15-СВО</t>
  </si>
  <si>
    <t>Услуги по организации горячего питания детей участников СВО (стоимость набора продуктов)</t>
  </si>
  <si>
    <t>№ АТ00-004027</t>
  </si>
  <si>
    <t>09.03.2023г.</t>
  </si>
  <si>
    <t>ООО "АйТи Мониторинг"</t>
  </si>
  <si>
    <t>с 09.03.2023г. по 31.12.2023г.</t>
  </si>
  <si>
    <t>в течение 10 рабочих дней с даты получения документов на оплату от Исполнителя</t>
  </si>
  <si>
    <t>Услуги по предоставлению права использования программы для ЭВМ</t>
  </si>
  <si>
    <t>6663003127</t>
  </si>
  <si>
    <t>АО "ПФ "СКБ Контур"</t>
  </si>
  <si>
    <t>в течение 10 рабочих дней с даты подписания Сторонами акта сдачи-приемки оказанных услуг</t>
  </si>
  <si>
    <t>№ 1/2023/11</t>
  </si>
  <si>
    <t>14.03.2023г.</t>
  </si>
  <si>
    <t>Услуги музея</t>
  </si>
  <si>
    <t>2310052884</t>
  </si>
  <si>
    <t>ГБУК КК "КГИАМЗ им.Е.Д.Фелицына</t>
  </si>
  <si>
    <t xml:space="preserve">с 14.03.2023г. по 23.12.2023г. </t>
  </si>
  <si>
    <t>№ 8</t>
  </si>
  <si>
    <t>20.03.2023г.</t>
  </si>
  <si>
    <t>Услуги по техническому обслуживанию и ремонту автобуса</t>
  </si>
  <si>
    <t>235303483777</t>
  </si>
  <si>
    <t>И.П.Аполонов А.А.</t>
  </si>
  <si>
    <t>с 20.03.2023г. по 31.12.2023г.</t>
  </si>
  <si>
    <t>Оплата 30% предоплаты в течение 5 рабочих дней со дня получения счета , окончательный расчет в течение 5 рабочих дней после получения акта оказанных услуг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</si>
  <si>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</si>
  <si>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</si>
  <si>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</si>
  <si>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</si>
  <si>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</si>
  <si>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</si>
  <si>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</si>
  <si>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14 марта 2023г.</t>
  </si>
  <si>
    <t>22 марта 2023г.</t>
  </si>
  <si>
    <t>20 марта 2023г.</t>
  </si>
  <si>
    <t>23 марта 2023г.</t>
  </si>
  <si>
    <t>09 марта 2023г.</t>
  </si>
  <si>
    <t>15 марта 2023г.</t>
  </si>
  <si>
    <t>17 марта 2023г.</t>
  </si>
  <si>
    <t>№ К062780/23</t>
  </si>
  <si>
    <t>04.04.2023г.</t>
  </si>
  <si>
    <t>с 04.04.2023г. по 04.04.2024г.</t>
  </si>
  <si>
    <t>Дополнительное соглашение № 1 от 06.03.2023г.</t>
  </si>
  <si>
    <t>03.04.2023г.</t>
  </si>
  <si>
    <t>с 03.04.2023г. по 19.05.2023г.</t>
  </si>
  <si>
    <t>№ 06-04/2023</t>
  </si>
  <si>
    <t>06.04.2023г.</t>
  </si>
  <si>
    <t>235303782209</t>
  </si>
  <si>
    <t>ИП Пастухов Б.П.</t>
  </si>
  <si>
    <t>с 06.04.2023г. по 17.04.2023г.</t>
  </si>
  <si>
    <t>в течение 10 рабочих дней с момента подписания Заказчиком документа о приемке оказанных услуг и представления Исполни-телем документа на оплату.</t>
  </si>
  <si>
    <t>04 апреля 2023г.</t>
  </si>
  <si>
    <t>31 марта 2023г.</t>
  </si>
  <si>
    <t>05 апреля 2023г.</t>
  </si>
  <si>
    <t>01 апреля 2023г.</t>
  </si>
  <si>
    <t>27 марта 2023г.</t>
  </si>
  <si>
    <t>06 апреля 2023г.</t>
  </si>
  <si>
    <t>07 апреля 2023г.</t>
  </si>
  <si>
    <t>03 апреля 2023г.</t>
  </si>
  <si>
    <t>10 апреля 2023г.</t>
  </si>
  <si>
    <t>13 апреля 2023г.</t>
  </si>
  <si>
    <t>14 апреля 2023г.</t>
  </si>
  <si>
    <t>21 апреля 2023г.</t>
  </si>
  <si>
    <t>30 марта 2023г.</t>
  </si>
  <si>
    <t>24 марта 2023г.</t>
  </si>
  <si>
    <t>18 апреля 2023г.</t>
  </si>
  <si>
    <t>№ СП007419/23</t>
  </si>
  <si>
    <t>19.04.2023г.</t>
  </si>
  <si>
    <t>Выдача сертификата и лицензии на программы для ЭВМ</t>
  </si>
  <si>
    <t>6673240328</t>
  </si>
  <si>
    <t>ООО "Сертум-Про"</t>
  </si>
  <si>
    <t xml:space="preserve">с 19.04.2023г. по 31.12.2023г. </t>
  </si>
  <si>
    <t>в течение 10 (десяти) рабочих дней после подписания акта сдачи-приемки и получения документов на оплату..</t>
  </si>
  <si>
    <t>№ 88</t>
  </si>
  <si>
    <t>21.04.2023г.</t>
  </si>
  <si>
    <t>Поставка учебно-наглядных пособий</t>
  </si>
  <si>
    <t>2350009645</t>
  </si>
  <si>
    <t>ООО "Художественный салон "Сокол"</t>
  </si>
  <si>
    <t>с 21.04.2023г. по 08.06.2023г.</t>
  </si>
  <si>
    <t>в течение 7 (семи) рабочих дней с момента подписания документов о приемке товара.</t>
  </si>
  <si>
    <t>№  99</t>
  </si>
  <si>
    <t>12.05.2023г.</t>
  </si>
  <si>
    <t>Поставка дез.средств, хоз.товаров</t>
  </si>
  <si>
    <t>с 12.05.2023г. по 31.12.2023г.</t>
  </si>
  <si>
    <t>№ 30</t>
  </si>
  <si>
    <t>17.05.2023г.</t>
  </si>
  <si>
    <t>Поставка шин</t>
  </si>
  <si>
    <t>ООО "Навигатор Плюс"</t>
  </si>
  <si>
    <t>с 17.05.2023г. по 27.05.2023г.</t>
  </si>
  <si>
    <t>не более 10 рабочих дней с момента подписания Заказчиком документа о приемке товара и представления Поставщиком документа на оплату.</t>
  </si>
  <si>
    <t>№ КС1/386-23</t>
  </si>
  <si>
    <t>Услуги по восстановлению доступа и технической поддержке корпоративных сервисов</t>
  </si>
  <si>
    <t>2312038420</t>
  </si>
  <si>
    <t>ФГБОУ ВО "КубГУ"</t>
  </si>
  <si>
    <t>в течение 10 рабочих дней с даты подписания Сторонами акта сдачи-приемки оказанных услуг и предоставления счета на оплату</t>
  </si>
  <si>
    <t>№ 82/23</t>
  </si>
  <si>
    <t>№ 82-1/23</t>
  </si>
  <si>
    <t>24.04.2023г.</t>
  </si>
  <si>
    <t>Услуги по проведению медосмотров сотрудников</t>
  </si>
  <si>
    <t>2353006498</t>
  </si>
  <si>
    <t>ГБУЗ "Тимашевская ЦРБ"</t>
  </si>
  <si>
    <t>с 24.04.2023г. по 30.12.2023г.</t>
  </si>
  <si>
    <t>в течение 10 рабочих дней с момента подписания обеими Сторонами акта  оказанных услуг</t>
  </si>
  <si>
    <t>в течение 10 рабочих дней с момента подписания обеими Сторонами акта оказанных услуг</t>
  </si>
  <si>
    <t>№ 2023.157503</t>
  </si>
  <si>
    <t>24.05.2023г.</t>
  </si>
  <si>
    <t>Поставка линолеума</t>
  </si>
  <si>
    <t>ООО "Интерактив-Сервис"</t>
  </si>
  <si>
    <t>с 24.05.2023г. по 31.12.2023г.</t>
  </si>
  <si>
    <t xml:space="preserve">не позднее 7 дней с момента подписания Заказчиком документа о поставке товара и представления Поставщиком документа на оплату </t>
  </si>
  <si>
    <t>№21/23</t>
  </si>
  <si>
    <t>18.05.2023г.</t>
  </si>
  <si>
    <t>Услуги по ассенизации</t>
  </si>
  <si>
    <t>2333011443</t>
  </si>
  <si>
    <t>ООО "Водоканал"</t>
  </si>
  <si>
    <t>с 18.05.2023г. по 31.12.2023г.</t>
  </si>
  <si>
    <t>№ 98</t>
  </si>
  <si>
    <t>19.05.2023г.</t>
  </si>
  <si>
    <t>Поставка посуды</t>
  </si>
  <si>
    <t>с 19.05.2023г. по 31.12.2023г.</t>
  </si>
  <si>
    <t>№ 14/23/2</t>
  </si>
  <si>
    <t>22.05.2023г.</t>
  </si>
  <si>
    <t>с 22.05.2023г. по 31.08.2023г.</t>
  </si>
  <si>
    <t>№ 14-Л</t>
  </si>
  <si>
    <t>Услуги по организации питания детей в летнем лагере (стоимость продуктов)</t>
  </si>
  <si>
    <t>с 29.05.2023г. по 18.06.2023г.</t>
  </si>
  <si>
    <t>№ 14-П</t>
  </si>
  <si>
    <t>25.05.2023г.</t>
  </si>
  <si>
    <t>Услуги по организации питания детей в летнем лагере (услуги по приготовлению)</t>
  </si>
  <si>
    <t>№ 4390/220</t>
  </si>
  <si>
    <t>31.05.2023г.</t>
  </si>
  <si>
    <t>Поставка периодических печатных изданий</t>
  </si>
  <si>
    <t>7724490000</t>
  </si>
  <si>
    <t>АО "Почта России"</t>
  </si>
  <si>
    <t>с 01.07.2023г. по 31.12.2023г.</t>
  </si>
  <si>
    <t>Авансовый платеж в размере 100% перечисляется в течение 7 рабочих дней с даты заключения контракта</t>
  </si>
  <si>
    <t>03 мая 2023г.</t>
  </si>
  <si>
    <t>01 мая 2023г.</t>
  </si>
  <si>
    <t>04 мая 2023г.</t>
  </si>
  <si>
    <t>19 пареля 2023г.</t>
  </si>
  <si>
    <t>28 апреля 2023г.</t>
  </si>
  <si>
    <t>30 апреля 2023г.</t>
  </si>
  <si>
    <t>29 апреля 2023г.</t>
  </si>
  <si>
    <t>05 мая 2023г.</t>
  </si>
  <si>
    <t>12 мая 2023г.</t>
  </si>
  <si>
    <t>16 мая 2023г.</t>
  </si>
  <si>
    <t>18 мая 2023г.</t>
  </si>
  <si>
    <t>22 мая 2023г.</t>
  </si>
  <si>
    <t>19 мая 2023г.</t>
  </si>
  <si>
    <t>23 мая 2023г.</t>
  </si>
  <si>
    <t>26 мая 2023г.</t>
  </si>
  <si>
    <t>31 мая 2023г.</t>
  </si>
  <si>
    <t>№ А0048571</t>
  </si>
  <si>
    <t>13.04.2023г.</t>
  </si>
  <si>
    <t>Поставка учебной литературы</t>
  </si>
  <si>
    <t>7715995942</t>
  </si>
  <si>
    <t>АО "Издательство "Просвещение"</t>
  </si>
  <si>
    <t>с 13.04.2023г. по 25.08.2023г.</t>
  </si>
  <si>
    <t>в течение 10 рабочих дней со дня подписания Заказчиком УПД (товарной накладной), сформированной Поставщиком в ЭДО.</t>
  </si>
  <si>
    <t>№ 23-10609</t>
  </si>
  <si>
    <t>18.04.2023г.</t>
  </si>
  <si>
    <t xml:space="preserve">Изготовление и поставка полиграфической продукции строгого учета </t>
  </si>
  <si>
    <t>7706526550</t>
  </si>
  <si>
    <t>ООО "СпецБланк-Москва"</t>
  </si>
  <si>
    <t>с 18.04.2023г. по 28.05.2023г.</t>
  </si>
  <si>
    <t>в течение 7-ми (семи) рабочих дней с момента получения Продукции, счета-фактуры, накладнй и акта сдачи-приемки.</t>
  </si>
  <si>
    <t>№ А0056464</t>
  </si>
  <si>
    <t>26.06.2023г.</t>
  </si>
  <si>
    <t xml:space="preserve">с 26.06.2023г. по         30.09.2023г. </t>
  </si>
  <si>
    <t>в течение 7 рабочих дней со дня подписания Заказчиком УПД (товарной накладной), сформированного Поставщиком в системе ЭДО.</t>
  </si>
  <si>
    <t>№ 18</t>
  </si>
  <si>
    <t>27.04.2023г.</t>
  </si>
  <si>
    <t>Поставка учебно-педагогической документации</t>
  </si>
  <si>
    <t>ООО "Краснодарский учколлектор"</t>
  </si>
  <si>
    <t>с 27.04.2023г. по 11.08.2023г.</t>
  </si>
  <si>
    <t>в течение 7 рабочих дней с момента подписания Сторонами документов</t>
  </si>
  <si>
    <t>№ 1408</t>
  </si>
  <si>
    <t>14.06.2023г.</t>
  </si>
  <si>
    <t>Услуги по проведению специальной оценки условий труда</t>
  </si>
  <si>
    <t>2310136750</t>
  </si>
  <si>
    <t>ООО "Карьера"</t>
  </si>
  <si>
    <t>с 14.06.2023г. по 06.09.2023г.</t>
  </si>
  <si>
    <t>Оплата 30% предоплаты в течение 5 рабочих дней со дня получения счета , окончательный расчет в течение 5 рабочих дней с момента подписания Заказчиком акта сдачи-приема услуг</t>
  </si>
  <si>
    <t>№ 24</t>
  </si>
  <si>
    <t>01.06.2023г.</t>
  </si>
  <si>
    <t>с 01.06.2023г. по 31.12.2023г.</t>
  </si>
  <si>
    <t>01 июня 2023г.</t>
  </si>
  <si>
    <t>25 мая 2023г.</t>
  </si>
  <si>
    <t>02 июня 2023г.</t>
  </si>
  <si>
    <t>05 июня 2023г.</t>
  </si>
  <si>
    <t>07 июня 2023г.</t>
  </si>
  <si>
    <t>15 июня 2023г.</t>
  </si>
  <si>
    <t>16 июня 2023г.</t>
  </si>
  <si>
    <t>19 июня 2023г.</t>
  </si>
  <si>
    <t>18 июня 2023г.</t>
  </si>
  <si>
    <t>27 июня 2023г.</t>
  </si>
  <si>
    <t>Дополнительное соглашение о расторжении б/н от 07.06.2023г.</t>
  </si>
  <si>
    <t xml:space="preserve">Дополнительное соглашение о расторжении б/н от 07.06.2023г. </t>
  </si>
  <si>
    <t>Дополнительное соглашение о расторжении б/н от 19.06.2023г.</t>
  </si>
  <si>
    <t>Дополнительное соглашение о расторжении б/н от 20.02.2023г.</t>
  </si>
  <si>
    <t>Дополнительное ссоглашение о расторжении б/н от 09.01.2023г.</t>
  </si>
  <si>
    <t>Дополнительное соглашение о расторжении б/н от 14.06.2023г.</t>
  </si>
  <si>
    <t>Дополнительное соглашение о расторжении б/н от 14.04.2023г.</t>
  </si>
  <si>
    <t>Дополнительное соглашение о расторжении б/н от  07.06.2023г.</t>
  </si>
  <si>
    <t>Дополнительное соглашение о расторжении б/н от 30.06.2023г.</t>
  </si>
  <si>
    <t>МБОУ СОШ № 14</t>
  </si>
  <si>
    <t>№ 31</t>
  </si>
  <si>
    <t>30.06.2023г.</t>
  </si>
  <si>
    <t xml:space="preserve"> с 30.06.2023г. по 14.07.2023г.</t>
  </si>
  <si>
    <t>№ 175</t>
  </si>
  <si>
    <t>12.07.2023г.</t>
  </si>
  <si>
    <t>Поставка краски, эмали</t>
  </si>
  <si>
    <t>с 12.07.2023г. по 31.12.2023г.</t>
  </si>
  <si>
    <t>23.06.2023г.</t>
  </si>
  <si>
    <t>с 23.06.2023г. по 30.12.2023г.</t>
  </si>
  <si>
    <t>21.07.2023г.</t>
  </si>
  <si>
    <t>24.07.2023г.</t>
  </si>
  <si>
    <t>Услуга по обследованию и опрессовке центрального отопления</t>
  </si>
  <si>
    <t>2315160361</t>
  </si>
  <si>
    <t>ООО "ГРЦ"</t>
  </si>
  <si>
    <t>с 21.07.2023г. по 31.08.2023г.</t>
  </si>
  <si>
    <t>в течение 10 рабочих дней с момента подписания акта выплненных работ и предоставления документов на оплату</t>
  </si>
  <si>
    <t>Право использования программы для ЭВМ и услуги по её сопровождению</t>
  </si>
  <si>
    <t xml:space="preserve">с 24.07.2023г. по 31.12.2023г. </t>
  </si>
  <si>
    <t>в течение 10 рабочих дней с момента выставления счета Оператором и подписания обеими Сторонами акта оказанных услуг</t>
  </si>
  <si>
    <t>ИП Быстров А.А.</t>
  </si>
  <si>
    <t>17.07.2023г.</t>
  </si>
  <si>
    <t>№ 30/Т</t>
  </si>
  <si>
    <t>№ К1038638/23</t>
  </si>
  <si>
    <t>№ ЦБ-505</t>
  </si>
  <si>
    <t>№ 111/23</t>
  </si>
  <si>
    <t>№ 111-1/23</t>
  </si>
  <si>
    <t>Поставка краски ВД</t>
  </si>
  <si>
    <t>235305536400</t>
  </si>
  <si>
    <t xml:space="preserve">с 17.07.2023г. по 31.12.2023г. </t>
  </si>
  <si>
    <t>в течение 10 (десяти) рабочих дней с момента подписания Заказчиком документа о приемке товара и представления Поставщиком документа на оплату.</t>
  </si>
  <si>
    <t>№ 185</t>
  </si>
  <si>
    <t>с 21.07.2023г. по 31.12.2023г.</t>
  </si>
  <si>
    <t>№ 204</t>
  </si>
  <si>
    <t>Поставка плинтуса</t>
  </si>
  <si>
    <t>03 июля 2023г.</t>
  </si>
  <si>
    <t>12 июля 2023г.</t>
  </si>
  <si>
    <t>04 июля 2023г.</t>
  </si>
  <si>
    <t>30 июня 2023г.</t>
  </si>
  <si>
    <t>4 июля 2023г.</t>
  </si>
  <si>
    <t>06 июля 2023г.</t>
  </si>
  <si>
    <t>01 июля 2023г.</t>
  </si>
  <si>
    <t>21 июля 2023г.</t>
  </si>
  <si>
    <t>05 июля 2023г.</t>
  </si>
  <si>
    <t>10 июля 2023г.</t>
  </si>
  <si>
    <t>11 июля 2023г.</t>
  </si>
  <si>
    <t>17 июля 2023г.</t>
  </si>
  <si>
    <t>19 июля 2023г.</t>
  </si>
  <si>
    <t>25 июля 2023г.</t>
  </si>
  <si>
    <t>27 июля 2023г.</t>
  </si>
  <si>
    <t>24 июля 2023г.</t>
  </si>
  <si>
    <t>28 июля 2023г.</t>
  </si>
  <si>
    <t>№ 81</t>
  </si>
  <si>
    <t>11.07.2023г.</t>
  </si>
  <si>
    <t>Поставка мебели ученической</t>
  </si>
  <si>
    <t>2308172990</t>
  </si>
  <si>
    <t>ООО "Лидер-Юг"</t>
  </si>
  <si>
    <t xml:space="preserve">с 11.07.2023г. по 31.12.2023г. </t>
  </si>
  <si>
    <t>№ А0074366</t>
  </si>
  <si>
    <t>09.08.2023г.</t>
  </si>
  <si>
    <t xml:space="preserve">с 09.08.2023г. по 30.10.2023г. </t>
  </si>
  <si>
    <t xml:space="preserve"> № 490</t>
  </si>
  <si>
    <t>17.08.2023г.</t>
  </si>
  <si>
    <t>Услуги по формированию карты водителя</t>
  </si>
  <si>
    <t xml:space="preserve">с 17.08.2023г. по 30.12.2023г. </t>
  </si>
  <si>
    <t>в течение 10 (десяти) рабочих дней с момента подписания Акта выполненных работ на основании выставленного счета.</t>
  </si>
  <si>
    <t>№ 1/2023/35</t>
  </si>
  <si>
    <t>23.08.2023г.</t>
  </si>
  <si>
    <t>ГБУК КК "КГИАМЗ им.Е.Д.Фелицына"</t>
  </si>
  <si>
    <t>с 23.08.2023г. по 23.12.2023г.</t>
  </si>
  <si>
    <t>Оплата 30% предоплаты в течение 5 рабочих дней со дня получения счета, окончательный расчет в течение 5 рабочих дней после получения акта окзанных услуг</t>
  </si>
  <si>
    <t>24.08.2023г.</t>
  </si>
  <si>
    <t>№ 2</t>
  </si>
  <si>
    <t>231107998282</t>
  </si>
  <si>
    <t>ИП Даценко И.Н.</t>
  </si>
  <si>
    <t>с 24.08.2023г. по 31.12.2023г.</t>
  </si>
  <si>
    <t>Поставка видеорегистратора, жесткого диска (антитеррор)</t>
  </si>
  <si>
    <t>Поставка USB-проигрывателя-тюнера-усилителя, рупорного громкоговорителя (противопожарная безопасность)</t>
  </si>
  <si>
    <t>31 июля 2023г.</t>
  </si>
  <si>
    <t>02 августа 2023г.</t>
  </si>
  <si>
    <t>04 августа 2023г.</t>
  </si>
  <si>
    <t>09 августа 2023г.</t>
  </si>
  <si>
    <t>31 августа 2023г.</t>
  </si>
  <si>
    <t>03 августа 2023г.</t>
  </si>
  <si>
    <t>01 августа 2023г.</t>
  </si>
  <si>
    <t>16 июля 2023г.</t>
  </si>
  <si>
    <t>08 августа 2023г.</t>
  </si>
  <si>
    <t>22 августа 2023г.</t>
  </si>
  <si>
    <t>15 августа 2023г.</t>
  </si>
  <si>
    <t>10 августа 2023г.</t>
  </si>
  <si>
    <t>17 августа 2023г.</t>
  </si>
  <si>
    <t>19 августа 2023г.</t>
  </si>
  <si>
    <t>25 августа 2023г.</t>
  </si>
  <si>
    <t>31 августа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</si>
  <si>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</si>
  <si>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</si>
  <si>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</si>
  <si>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</si>
  <si>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</si>
  <si>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№ 055-08/2023-ЭЛ</t>
  </si>
  <si>
    <t>07.09.2023г.</t>
  </si>
  <si>
    <t>Услуги по измерению сопротивления контуров заземления</t>
  </si>
  <si>
    <t>234702451800</t>
  </si>
  <si>
    <t>ИП Должиков С.С.</t>
  </si>
  <si>
    <t>с 07.09.2023г. по 31.12.2023г.</t>
  </si>
  <si>
    <t>в течение 10 (десяти) рабочих дней с момента подписания Заказчиком акта выполненных работ и представления Поставщиком документа на оплату.</t>
  </si>
  <si>
    <t>№ 08-09/2023-3</t>
  </si>
  <si>
    <t>Услуги по тех.обслуживанию и ремонту  автобуса</t>
  </si>
  <si>
    <t>с 08.09.2023г. по 31.12.2023г.</t>
  </si>
  <si>
    <t>08.09.2023г.</t>
  </si>
  <si>
    <t>в течение 10 (десяти) рабочих дней с момента подписания Заказчиком документа о приемке оказанных услуг и представления Исполнителем документа на оплату.</t>
  </si>
  <si>
    <t>01.09.2023г.</t>
  </si>
  <si>
    <t>Услуги по оранизации питания учащихся 5-11 кл.</t>
  </si>
  <si>
    <t>с 01.09.2023г. по 29.12.2023г.</t>
  </si>
  <si>
    <t>№ 25-09/2023</t>
  </si>
  <si>
    <t>25.09.2023г.</t>
  </si>
  <si>
    <t>с 25.09.2023г. по 31.12.2023г.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</si>
  <si>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</si>
  <si>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</si>
  <si>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</si>
  <si>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</si>
  <si>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31 августа 2023г</t>
  </si>
  <si>
    <t>04 сентября 2023г.</t>
  </si>
  <si>
    <t>03 сентября 2023г.</t>
  </si>
  <si>
    <t>05 сентября 2023г.</t>
  </si>
  <si>
    <t>06 сентября 2023г.</t>
  </si>
  <si>
    <t>08 сентября 2023г.</t>
  </si>
  <si>
    <t>15 сентября 2023г.</t>
  </si>
  <si>
    <t>11 сентября 2023г.</t>
  </si>
  <si>
    <t>19 сентября 2023г.</t>
  </si>
  <si>
    <t>28 августа 2023г.</t>
  </si>
  <si>
    <t>24 августа 2023г.</t>
  </si>
  <si>
    <t>21 сентября 2023г.</t>
  </si>
  <si>
    <t>10.10.2023г.</t>
  </si>
  <si>
    <t>Охранные услуги</t>
  </si>
  <si>
    <t>2304067057</t>
  </si>
  <si>
    <t>ООО ЧОО "Легион"</t>
  </si>
  <si>
    <t>с 20.10.2023г. по 31.12.2023г.</t>
  </si>
  <si>
    <t>в течение не более чем 7 (семь) рабочих дней с даты подписания Заказчиком документа о приемке.</t>
  </si>
  <si>
    <t>11.10.2023г.</t>
  </si>
  <si>
    <t>Услуги по заключению договора ОСАГО</t>
  </si>
  <si>
    <t>7710026574</t>
  </si>
  <si>
    <t>САО "ВСК"</t>
  </si>
  <si>
    <t>c 11.10.2023г. по 31.12.2023г.</t>
  </si>
  <si>
    <t>в течение 10 рабочих дней, со дня подписания акта выполненных работ на основании акта приема-передачи.</t>
  </si>
  <si>
    <t>№ 5092/220</t>
  </si>
  <si>
    <t>17.10.2023г.</t>
  </si>
  <si>
    <t>Услуги по подписке на периодические печатные издания</t>
  </si>
  <si>
    <t>с 17.10.2023г. по 30.09.2024г.</t>
  </si>
  <si>
    <t>авансовый платеж в размере 100% в течение 7 рабочих дней с даты заключения Контракта</t>
  </si>
  <si>
    <t>№ 247</t>
  </si>
  <si>
    <t>20.10.2023г.</t>
  </si>
  <si>
    <t>Услуги по поставке хоз.товаров</t>
  </si>
  <si>
    <t xml:space="preserve">в течение 10 (десяти) рабочих дней с момента подписания товарной накладной </t>
  </si>
  <si>
    <t>19.10.2023г.</t>
  </si>
  <si>
    <t>Услуги по ремонту техники</t>
  </si>
  <si>
    <t>ИП Рысин А.В.</t>
  </si>
  <si>
    <t>с 19.10.2023г. по 31.12.2023г.</t>
  </si>
  <si>
    <t>в течение 10 (десяти) рабочих дней с даты подписания Заказчиком акта о выполненных работах (оказанных услугах)</t>
  </si>
  <si>
    <t>№  32</t>
  </si>
  <si>
    <t>25.10.2023г.</t>
  </si>
  <si>
    <t>Услуги по поставке автошины</t>
  </si>
  <si>
    <t>с 25.10.2023г. по 31.12.2023г.</t>
  </si>
  <si>
    <t xml:space="preserve">не более 10 (десяти) рабочих дней с момента подписания Заказчиком документа о приемке товара и представления Поставщиком документа на оплату </t>
  </si>
  <si>
    <t>№ 31/23</t>
  </si>
  <si>
    <t>26.10.2023г.</t>
  </si>
  <si>
    <t>с 26.10.2023г. по 31.12.2023г.</t>
  </si>
  <si>
    <t>в течение 10 дней с момента принятия услуг от Исполнителя</t>
  </si>
  <si>
    <t>02 октября 2023г.</t>
  </si>
  <si>
    <t>25 сентября 2023г.</t>
  </si>
  <si>
    <t>01 октября 2023г.</t>
  </si>
  <si>
    <t>30 сентября 2023г.</t>
  </si>
  <si>
    <t>17 октября 2023г.</t>
  </si>
  <si>
    <t>16 сентября 2023г.</t>
  </si>
  <si>
    <t>03 октября 2023г.</t>
  </si>
  <si>
    <t>06 октября 2023г.</t>
  </si>
  <si>
    <t>09 октября 2023г.</t>
  </si>
  <si>
    <t>20 октября 2023г.</t>
  </si>
  <si>
    <t>24 октября 2023г.</t>
  </si>
  <si>
    <t>13 октября 2023г.</t>
  </si>
  <si>
    <t>18 октября 2023г.</t>
  </si>
  <si>
    <t>27 сентября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</si>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</sst>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70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Border="1" applyAlignment="1" applyProtection="1">
      <alignment horizontal="center" vertical="center" wrapText="1"/>
      <protection locked="0"/>
    </xf>
    <xf numFmtId="4" fontId="1" fillId="0" borderId="49" xfId="0" applyNumberFormat="1" applyFont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168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Border="1" applyAlignment="1" applyProtection="1">
      <alignment horizontal="center" vertical="center" wrapText="1"/>
      <protection locked="0"/>
    </xf>
    <xf numFmtId="4" fontId="1" fillId="0" borderId="53" xfId="0" applyNumberFormat="1" applyFont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Border="1" applyAlignment="1" applyProtection="1">
      <alignment horizontal="center" vertical="center" wrapText="1"/>
      <protection locked="0"/>
    </xf>
    <xf numFmtId="4" fontId="1" fillId="0" borderId="65" xfId="0" applyNumberFormat="1" applyFont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Border="1" applyAlignment="1" applyProtection="1">
      <alignment horizontal="center" vertical="center" wrapText="1"/>
      <protection locked="0"/>
    </xf>
    <xf numFmtId="165" fontId="1" fillId="0" borderId="68" xfId="0" applyNumberFormat="1" applyFont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Border="1" applyAlignment="1" applyProtection="1">
      <alignment horizontal="center" vertical="center" wrapText="1"/>
      <protection locked="0"/>
    </xf>
    <xf numFmtId="165" fontId="1" fillId="0" borderId="71" xfId="0" applyNumberFormat="1" applyFont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Border="1" applyAlignment="1" applyProtection="1">
      <alignment horizontal="center" vertical="center" wrapText="1"/>
      <protection locked="0"/>
    </xf>
    <xf numFmtId="4" fontId="1" fillId="0" borderId="72" xfId="0" applyNumberFormat="1" applyFont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1" xfId="0" applyNumberFormat="1" applyFont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7" xfId="0" applyNumberFormat="1" applyFont="1" applyBorder="1" applyAlignment="1" applyProtection="1">
      <alignment horizontal="center" vertical="center" wrapText="1"/>
      <protection locked="0"/>
    </xf>
    <xf numFmtId="49" fontId="1" fillId="0" borderId="77" xfId="0" applyNumberFormat="1" applyFont="1" applyBorder="1" applyAlignment="1" applyProtection="1">
      <alignment horizontal="center" vertical="center" wrapText="1"/>
      <protection locked="0"/>
    </xf>
    <xf numFmtId="4" fontId="1" fillId="0" borderId="80" xfId="0" applyNumberFormat="1" applyFont="1" applyBorder="1" applyAlignment="1" applyProtection="1">
      <alignment horizontal="center" vertical="center" wrapText="1"/>
      <protection locked="0"/>
    </xf>
    <xf numFmtId="49" fontId="1" fillId="0" borderId="80" xfId="0" applyNumberFormat="1" applyFont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7" xfId="0" applyNumberFormat="1" applyFont="1" applyBorder="1" applyAlignment="1" applyProtection="1">
      <alignment horizontal="center" vertical="center" wrapText="1"/>
      <protection locked="0"/>
    </xf>
    <xf numFmtId="14" fontId="1" fillId="0" borderId="80" xfId="0" applyNumberFormat="1" applyFont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>
      <alignment horizontal="center" vertical="center" wrapText="1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165" fontId="16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1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>
      <alignment horizontal="center" vertical="center" wrapText="1"/>
    </xf>
    <xf numFmtId="2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80" xfId="0" applyNumberFormat="1" applyFont="1" applyFill="1" applyBorder="1" applyAlignment="1">
      <alignment horizontal="center" vertical="center" wrapText="1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10" zoomScale="70" zoomScaleNormal="70" workbookViewId="0">
      <selection activeCell="C5" sqref="C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349" t="s">
        <v>141</v>
      </c>
      <c r="B1" s="350"/>
      <c r="C1" s="350"/>
      <c r="D1" s="350"/>
      <c r="E1" s="349" t="s">
        <v>524</v>
      </c>
      <c r="F1" s="350"/>
      <c r="G1" s="350"/>
      <c r="H1" s="350"/>
      <c r="I1" s="350"/>
      <c r="J1" s="350"/>
      <c r="K1" s="350"/>
      <c r="L1" s="350"/>
      <c r="M1" s="350"/>
      <c r="N1" s="351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325" t="s">
        <v>25</v>
      </c>
      <c r="B4" s="326"/>
      <c r="C4" s="4">
        <v>9709369.8499999996</v>
      </c>
      <c r="D4" s="5"/>
      <c r="E4" s="327" t="s">
        <v>140</v>
      </c>
      <c r="F4" s="328"/>
      <c r="G4" s="329"/>
      <c r="H4" s="330">
        <v>2000000</v>
      </c>
      <c r="I4" s="331"/>
      <c r="J4" s="332"/>
      <c r="K4" s="17"/>
      <c r="L4" s="81" t="s">
        <v>55</v>
      </c>
      <c r="M4" s="327">
        <v>4822665.37</v>
      </c>
      <c r="N4" s="329"/>
    </row>
    <row r="5" spans="1:14" ht="30.75" customHeight="1" thickBot="1" x14ac:dyDescent="0.3">
      <c r="A5" s="325" t="s">
        <v>26</v>
      </c>
      <c r="B5" s="326"/>
      <c r="C5" s="6">
        <f>C4-G15+J15</f>
        <v>-139231.12000000163</v>
      </c>
      <c r="D5" s="5"/>
      <c r="E5" s="327" t="s">
        <v>53</v>
      </c>
      <c r="F5" s="328"/>
      <c r="G5" s="329"/>
      <c r="H5" s="317">
        <f>H4-G12</f>
        <v>591059.09000000008</v>
      </c>
      <c r="I5" s="318"/>
      <c r="J5" s="319"/>
      <c r="K5" s="17"/>
      <c r="L5" s="81" t="s">
        <v>54</v>
      </c>
      <c r="M5" s="320">
        <f>M4-G13</f>
        <v>132426.8900000006</v>
      </c>
      <c r="N5" s="321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333" t="s">
        <v>27</v>
      </c>
      <c r="B8" s="334"/>
      <c r="C8" s="335"/>
      <c r="D8" s="333" t="s">
        <v>28</v>
      </c>
      <c r="E8" s="334"/>
      <c r="F8" s="335"/>
      <c r="G8" s="336" t="s">
        <v>29</v>
      </c>
      <c r="H8" s="337"/>
      <c r="I8" s="338"/>
      <c r="J8" s="336" t="s">
        <v>142</v>
      </c>
      <c r="K8" s="337"/>
      <c r="L8" s="338"/>
      <c r="M8" s="333" t="s">
        <v>30</v>
      </c>
      <c r="N8" s="335"/>
    </row>
    <row r="9" spans="1:14" ht="41.25" customHeight="1" thickBot="1" x14ac:dyDescent="0.3">
      <c r="A9" s="339" t="s">
        <v>31</v>
      </c>
      <c r="B9" s="340"/>
      <c r="C9" s="341"/>
      <c r="D9" s="342">
        <f>'Состоявшиеся аукционы'!G2</f>
        <v>0</v>
      </c>
      <c r="E9" s="342"/>
      <c r="F9" s="342"/>
      <c r="G9" s="342">
        <f>'Состоявшиеся аукционы'!Q2</f>
        <v>0</v>
      </c>
      <c r="H9" s="342"/>
      <c r="I9" s="342"/>
      <c r="J9" s="322">
        <f>'Состоявшиеся аукционы'!AB2</f>
        <v>0</v>
      </c>
      <c r="K9" s="324"/>
      <c r="L9" s="323"/>
      <c r="M9" s="342">
        <f t="shared" ref="M9:M15" si="0">D9-G9</f>
        <v>0</v>
      </c>
      <c r="N9" s="342"/>
    </row>
    <row r="10" spans="1:14" ht="78.75" customHeight="1" thickBot="1" x14ac:dyDescent="0.3">
      <c r="A10" s="339" t="s">
        <v>49</v>
      </c>
      <c r="B10" s="340"/>
      <c r="C10" s="341"/>
      <c r="D10" s="342">
        <f>'Несостоявшиеся аукционы'!G2</f>
        <v>0</v>
      </c>
      <c r="E10" s="342"/>
      <c r="F10" s="342"/>
      <c r="G10" s="342">
        <f>'Несостоявшиеся аукционы'!Q2</f>
        <v>0</v>
      </c>
      <c r="H10" s="342"/>
      <c r="I10" s="342"/>
      <c r="J10" s="322">
        <f>'Несостоявшиеся аукционы'!AB2</f>
        <v>0</v>
      </c>
      <c r="K10" s="324"/>
      <c r="L10" s="323"/>
      <c r="M10" s="342">
        <f t="shared" si="0"/>
        <v>0</v>
      </c>
      <c r="N10" s="342"/>
    </row>
    <row r="11" spans="1:14" ht="40.5" customHeight="1" thickBot="1" x14ac:dyDescent="0.3">
      <c r="A11" s="339" t="s">
        <v>83</v>
      </c>
      <c r="B11" s="340"/>
      <c r="C11" s="341"/>
      <c r="D11" s="322">
        <f>'Иные конкурентные закупки'!G2</f>
        <v>2451970.1799999997</v>
      </c>
      <c r="E11" s="324"/>
      <c r="F11" s="323"/>
      <c r="G11" s="322">
        <f>'Иные конкурентные закупки'!Q2</f>
        <v>2326002.34</v>
      </c>
      <c r="H11" s="324"/>
      <c r="I11" s="323"/>
      <c r="J11" s="322">
        <f>'Иные конкурентные закупки'!AB2</f>
        <v>8112</v>
      </c>
      <c r="K11" s="324"/>
      <c r="L11" s="323"/>
      <c r="M11" s="322">
        <f t="shared" si="0"/>
        <v>125967.83999999985</v>
      </c>
      <c r="N11" s="323"/>
    </row>
    <row r="12" spans="1:14" ht="54.75" customHeight="1" thickBot="1" x14ac:dyDescent="0.3">
      <c r="A12" s="346" t="s">
        <v>50</v>
      </c>
      <c r="B12" s="347"/>
      <c r="C12" s="348"/>
      <c r="D12" s="342">
        <f>'Ед. поставщик п.4 ч.1'!H2</f>
        <v>1408940.91</v>
      </c>
      <c r="E12" s="342"/>
      <c r="F12" s="342"/>
      <c r="G12" s="342">
        <f>D12</f>
        <v>1408940.91</v>
      </c>
      <c r="H12" s="342"/>
      <c r="I12" s="342"/>
      <c r="J12" s="322">
        <f>'Ед. поставщик п.4 ч.1'!V2</f>
        <v>108591.51999999999</v>
      </c>
      <c r="K12" s="324"/>
      <c r="L12" s="323"/>
      <c r="M12" s="342">
        <f t="shared" si="0"/>
        <v>0</v>
      </c>
      <c r="N12" s="342"/>
    </row>
    <row r="13" spans="1:14" ht="45.75" customHeight="1" thickBot="1" x14ac:dyDescent="0.3">
      <c r="A13" s="346" t="s">
        <v>51</v>
      </c>
      <c r="B13" s="347"/>
      <c r="C13" s="348"/>
      <c r="D13" s="342">
        <f>'Ед. поставщик п.5 ч.1'!H2</f>
        <v>4690238.4799999995</v>
      </c>
      <c r="E13" s="342"/>
      <c r="F13" s="342"/>
      <c r="G13" s="342">
        <f>D13</f>
        <v>4690238.4799999995</v>
      </c>
      <c r="H13" s="342"/>
      <c r="I13" s="342"/>
      <c r="J13" s="322">
        <f>'Ед. поставщик п.5 ч.1'!V2</f>
        <v>349657.29</v>
      </c>
      <c r="K13" s="324"/>
      <c r="L13" s="323"/>
      <c r="M13" s="342">
        <f t="shared" si="0"/>
        <v>0</v>
      </c>
      <c r="N13" s="342"/>
    </row>
    <row r="14" spans="1:14" ht="45.75" customHeight="1" thickBot="1" x14ac:dyDescent="0.3">
      <c r="A14" s="364" t="s">
        <v>52</v>
      </c>
      <c r="B14" s="365"/>
      <c r="C14" s="366"/>
      <c r="D14" s="322">
        <f>'Ед.поставщик за искл. п.4,5 ч.1'!G2</f>
        <v>1889780.05</v>
      </c>
      <c r="E14" s="324"/>
      <c r="F14" s="323"/>
      <c r="G14" s="322">
        <f>D14</f>
        <v>1889780.05</v>
      </c>
      <c r="H14" s="324"/>
      <c r="I14" s="323"/>
      <c r="J14" s="322">
        <f>'Ед.поставщик за искл. п.4,5 ч.1'!T2</f>
        <v>0</v>
      </c>
      <c r="K14" s="324"/>
      <c r="L14" s="323"/>
      <c r="M14" s="342">
        <f t="shared" si="0"/>
        <v>0</v>
      </c>
      <c r="N14" s="342"/>
    </row>
    <row r="15" spans="1:14" ht="21" thickBot="1" x14ac:dyDescent="0.3">
      <c r="A15" s="343" t="s">
        <v>143</v>
      </c>
      <c r="B15" s="344"/>
      <c r="C15" s="345"/>
      <c r="D15" s="342">
        <f>SUM(D9:D14)</f>
        <v>10440929.620000001</v>
      </c>
      <c r="E15" s="342"/>
      <c r="F15" s="342"/>
      <c r="G15" s="322">
        <f>SUM(G9:G14)</f>
        <v>10314961.780000001</v>
      </c>
      <c r="H15" s="324"/>
      <c r="I15" s="323"/>
      <c r="J15" s="322">
        <f>SUM(J9:J14)</f>
        <v>466360.80999999994</v>
      </c>
      <c r="K15" s="324"/>
      <c r="L15" s="323"/>
      <c r="M15" s="342">
        <f t="shared" si="0"/>
        <v>125967.83999999985</v>
      </c>
      <c r="N15" s="342"/>
    </row>
    <row r="18" spans="1:12" thickBot="1" x14ac:dyDescent="0.35"/>
    <row r="19" spans="1:12" ht="23.25" customHeight="1" x14ac:dyDescent="0.25">
      <c r="A19" s="352" t="s">
        <v>35</v>
      </c>
      <c r="B19" s="353"/>
      <c r="C19" s="354"/>
      <c r="D19" s="358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8103451.0400000028</v>
      </c>
      <c r="E19" s="359"/>
      <c r="F19" s="359"/>
      <c r="G19" s="360"/>
      <c r="I19" s="15"/>
      <c r="J19" s="15"/>
      <c r="K19" s="15"/>
      <c r="L19" s="15"/>
    </row>
    <row r="20" spans="1:12" ht="24" customHeight="1" thickBot="1" x14ac:dyDescent="0.3">
      <c r="A20" s="355"/>
      <c r="B20" s="356"/>
      <c r="C20" s="357"/>
      <c r="D20" s="361"/>
      <c r="E20" s="362"/>
      <c r="F20" s="362"/>
      <c r="G20" s="363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132"/>
  <sheetViews>
    <sheetView showGridLines="0" topLeftCell="D1" zoomScale="50" zoomScaleNormal="50" workbookViewId="0">
      <pane ySplit="8" topLeftCell="A123" activePane="bottomLeft" state="frozen"/>
      <selection activeCell="I1" sqref="I1"/>
      <selection pane="bottomLeft" activeCell="N120" sqref="N120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1408940.91</v>
      </c>
      <c r="K2" s="415"/>
      <c r="L2" s="415"/>
      <c r="M2" s="415"/>
      <c r="N2" s="416" t="s">
        <v>137</v>
      </c>
      <c r="O2" s="418"/>
      <c r="P2" s="69">
        <f>SUM(P9:P9999)</f>
        <v>1080860.1000000001</v>
      </c>
      <c r="R2" s="68"/>
      <c r="S2" s="416" t="s">
        <v>45</v>
      </c>
      <c r="T2" s="417"/>
      <c r="U2" s="418"/>
      <c r="V2" s="70">
        <f>SUM(V9:V9999)</f>
        <v>108591.51999999999</v>
      </c>
    </row>
    <row r="3" spans="1:24" ht="18" x14ac:dyDescent="0.3">
      <c r="A3" s="415"/>
      <c r="B3" s="415"/>
      <c r="C3" s="415"/>
      <c r="D3" s="415"/>
      <c r="E3" s="415"/>
      <c r="N3" s="68"/>
    </row>
    <row r="4" spans="1:24" ht="39.950000000000003" customHeight="1" x14ac:dyDescent="0.3">
      <c r="J4" s="419"/>
      <c r="K4" s="419"/>
      <c r="M4" s="419"/>
      <c r="N4" s="419"/>
      <c r="O4" s="419"/>
      <c r="P4" s="419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27.15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480">
        <v>1</v>
      </c>
      <c r="B9" s="437" t="s">
        <v>56</v>
      </c>
      <c r="C9" s="437"/>
      <c r="D9" s="437"/>
      <c r="E9" s="489" t="s">
        <v>210</v>
      </c>
      <c r="F9" s="434" t="s">
        <v>211</v>
      </c>
      <c r="G9" s="437" t="s">
        <v>212</v>
      </c>
      <c r="H9" s="440">
        <v>1000</v>
      </c>
      <c r="I9" s="443">
        <f>IF(X9 = 49, H9 + SUM(S9:S12) - SUM(T9:T12) - SUM(P9:P12) - V9,0)</f>
        <v>689.71</v>
      </c>
      <c r="J9" s="437" t="s">
        <v>213</v>
      </c>
      <c r="K9" s="437" t="s">
        <v>157</v>
      </c>
      <c r="L9" s="437"/>
      <c r="M9" s="437" t="s">
        <v>214</v>
      </c>
      <c r="N9" s="304" t="s">
        <v>562</v>
      </c>
      <c r="O9" s="434" t="s">
        <v>215</v>
      </c>
      <c r="P9" s="294">
        <v>79.56</v>
      </c>
      <c r="Q9" s="293" t="s">
        <v>564</v>
      </c>
      <c r="R9" s="292"/>
      <c r="S9" s="294"/>
      <c r="T9" s="294"/>
      <c r="U9" s="440"/>
      <c r="V9" s="483"/>
      <c r="W9" s="486"/>
      <c r="X9" s="85">
        <v>49</v>
      </c>
    </row>
    <row r="10" spans="1:24" x14ac:dyDescent="0.25">
      <c r="A10" s="481"/>
      <c r="B10" s="438"/>
      <c r="C10" s="438"/>
      <c r="D10" s="438"/>
      <c r="E10" s="490"/>
      <c r="F10" s="435"/>
      <c r="G10" s="438"/>
      <c r="H10" s="441"/>
      <c r="I10" s="444"/>
      <c r="J10" s="438"/>
      <c r="K10" s="438"/>
      <c r="L10" s="438"/>
      <c r="M10" s="438"/>
      <c r="N10" s="306" t="s">
        <v>602</v>
      </c>
      <c r="O10" s="435"/>
      <c r="P10" s="298">
        <v>19.63</v>
      </c>
      <c r="Q10" s="299" t="s">
        <v>605</v>
      </c>
      <c r="R10" s="300"/>
      <c r="S10" s="298"/>
      <c r="T10" s="298"/>
      <c r="U10" s="441"/>
      <c r="V10" s="484"/>
      <c r="W10" s="487"/>
      <c r="X10" s="2">
        <v>49</v>
      </c>
    </row>
    <row r="11" spans="1:24" x14ac:dyDescent="0.25">
      <c r="A11" s="481"/>
      <c r="B11" s="438"/>
      <c r="C11" s="438"/>
      <c r="D11" s="438"/>
      <c r="E11" s="490"/>
      <c r="F11" s="435"/>
      <c r="G11" s="438"/>
      <c r="H11" s="441"/>
      <c r="I11" s="444"/>
      <c r="J11" s="438"/>
      <c r="K11" s="438"/>
      <c r="L11" s="438"/>
      <c r="M11" s="438"/>
      <c r="N11" s="306" t="s">
        <v>606</v>
      </c>
      <c r="O11" s="435"/>
      <c r="P11" s="298">
        <v>36.96</v>
      </c>
      <c r="Q11" s="299" t="s">
        <v>648</v>
      </c>
      <c r="R11" s="300"/>
      <c r="S11" s="298"/>
      <c r="T11" s="298"/>
      <c r="U11" s="441"/>
      <c r="V11" s="484"/>
      <c r="W11" s="487"/>
      <c r="X11" s="2">
        <v>49</v>
      </c>
    </row>
    <row r="12" spans="1:24" x14ac:dyDescent="0.25">
      <c r="A12" s="482"/>
      <c r="B12" s="439"/>
      <c r="C12" s="439"/>
      <c r="D12" s="439"/>
      <c r="E12" s="491"/>
      <c r="F12" s="436"/>
      <c r="G12" s="439"/>
      <c r="H12" s="442"/>
      <c r="I12" s="445"/>
      <c r="J12" s="439"/>
      <c r="K12" s="439"/>
      <c r="L12" s="439"/>
      <c r="M12" s="439"/>
      <c r="N12" s="307" t="s">
        <v>695</v>
      </c>
      <c r="O12" s="436"/>
      <c r="P12" s="301">
        <v>174.14</v>
      </c>
      <c r="Q12" s="302" t="s">
        <v>703</v>
      </c>
      <c r="R12" s="303"/>
      <c r="S12" s="301"/>
      <c r="T12" s="301"/>
      <c r="U12" s="442"/>
      <c r="V12" s="485"/>
      <c r="W12" s="488"/>
      <c r="X12" s="2">
        <v>49</v>
      </c>
    </row>
    <row r="13" spans="1:24" s="85" customFormat="1" ht="72" customHeight="1" x14ac:dyDescent="0.25">
      <c r="A13" s="480">
        <v>2</v>
      </c>
      <c r="B13" s="437" t="s">
        <v>56</v>
      </c>
      <c r="C13" s="437"/>
      <c r="D13" s="437"/>
      <c r="E13" s="489" t="s">
        <v>158</v>
      </c>
      <c r="F13" s="434" t="s">
        <v>211</v>
      </c>
      <c r="G13" s="437" t="s">
        <v>212</v>
      </c>
      <c r="H13" s="440">
        <v>9400</v>
      </c>
      <c r="I13" s="443">
        <f>IF(X13 = 50, H13 + SUM(S13:S21) - SUM(T13:T21) - SUM(P13:P21) - V13,0)</f>
        <v>1872.54</v>
      </c>
      <c r="J13" s="437" t="s">
        <v>213</v>
      </c>
      <c r="K13" s="437" t="s">
        <v>157</v>
      </c>
      <c r="L13" s="437"/>
      <c r="M13" s="437" t="s">
        <v>214</v>
      </c>
      <c r="N13" s="304" t="s">
        <v>307</v>
      </c>
      <c r="O13" s="434" t="s">
        <v>215</v>
      </c>
      <c r="P13" s="294">
        <v>867.14</v>
      </c>
      <c r="Q13" s="293" t="s">
        <v>310</v>
      </c>
      <c r="R13" s="292"/>
      <c r="S13" s="294"/>
      <c r="T13" s="294"/>
      <c r="U13" s="440"/>
      <c r="V13" s="483"/>
      <c r="W13" s="486"/>
      <c r="X13" s="85">
        <v>50</v>
      </c>
    </row>
    <row r="14" spans="1:24" x14ac:dyDescent="0.25">
      <c r="A14" s="481"/>
      <c r="B14" s="438"/>
      <c r="C14" s="438"/>
      <c r="D14" s="438"/>
      <c r="E14" s="490"/>
      <c r="F14" s="435"/>
      <c r="G14" s="438"/>
      <c r="H14" s="441"/>
      <c r="I14" s="444"/>
      <c r="J14" s="438"/>
      <c r="K14" s="438"/>
      <c r="L14" s="438"/>
      <c r="M14" s="438"/>
      <c r="N14" s="306" t="s">
        <v>345</v>
      </c>
      <c r="O14" s="435"/>
      <c r="P14" s="298">
        <v>858.19</v>
      </c>
      <c r="Q14" s="299" t="s">
        <v>348</v>
      </c>
      <c r="R14" s="300"/>
      <c r="S14" s="298"/>
      <c r="T14" s="298"/>
      <c r="U14" s="441"/>
      <c r="V14" s="484"/>
      <c r="W14" s="487"/>
      <c r="X14" s="2">
        <v>50</v>
      </c>
    </row>
    <row r="15" spans="1:24" x14ac:dyDescent="0.25">
      <c r="A15" s="481"/>
      <c r="B15" s="438"/>
      <c r="C15" s="438"/>
      <c r="D15" s="438"/>
      <c r="E15" s="490"/>
      <c r="F15" s="435"/>
      <c r="G15" s="438"/>
      <c r="H15" s="441"/>
      <c r="I15" s="444"/>
      <c r="J15" s="438"/>
      <c r="K15" s="438"/>
      <c r="L15" s="438"/>
      <c r="M15" s="438"/>
      <c r="N15" s="306" t="s">
        <v>371</v>
      </c>
      <c r="O15" s="435"/>
      <c r="P15" s="298">
        <v>825.3</v>
      </c>
      <c r="Q15" s="299" t="s">
        <v>376</v>
      </c>
      <c r="R15" s="300"/>
      <c r="S15" s="298"/>
      <c r="T15" s="298"/>
      <c r="U15" s="441"/>
      <c r="V15" s="484"/>
      <c r="W15" s="487"/>
      <c r="X15" s="2">
        <v>50</v>
      </c>
    </row>
    <row r="16" spans="1:24" x14ac:dyDescent="0.25">
      <c r="A16" s="481"/>
      <c r="B16" s="438"/>
      <c r="C16" s="438"/>
      <c r="D16" s="438"/>
      <c r="E16" s="490"/>
      <c r="F16" s="435"/>
      <c r="G16" s="438"/>
      <c r="H16" s="441"/>
      <c r="I16" s="444"/>
      <c r="J16" s="438"/>
      <c r="K16" s="438"/>
      <c r="L16" s="438"/>
      <c r="M16" s="438"/>
      <c r="N16" s="306" t="s">
        <v>460</v>
      </c>
      <c r="O16" s="435"/>
      <c r="P16" s="298">
        <v>846.54</v>
      </c>
      <c r="Q16" s="299" t="s">
        <v>468</v>
      </c>
      <c r="R16" s="300"/>
      <c r="S16" s="298"/>
      <c r="T16" s="298"/>
      <c r="U16" s="441"/>
      <c r="V16" s="484"/>
      <c r="W16" s="487"/>
      <c r="X16" s="2">
        <v>50</v>
      </c>
    </row>
    <row r="17" spans="1:24" x14ac:dyDescent="0.25">
      <c r="A17" s="481"/>
      <c r="B17" s="438"/>
      <c r="C17" s="438"/>
      <c r="D17" s="438"/>
      <c r="E17" s="490"/>
      <c r="F17" s="435"/>
      <c r="G17" s="438"/>
      <c r="H17" s="441"/>
      <c r="I17" s="444"/>
      <c r="J17" s="438"/>
      <c r="K17" s="438"/>
      <c r="L17" s="438"/>
      <c r="M17" s="438"/>
      <c r="N17" s="306" t="s">
        <v>470</v>
      </c>
      <c r="O17" s="435"/>
      <c r="P17" s="298">
        <v>816.37</v>
      </c>
      <c r="Q17" s="299" t="s">
        <v>509</v>
      </c>
      <c r="R17" s="300"/>
      <c r="S17" s="298"/>
      <c r="T17" s="298"/>
      <c r="U17" s="441"/>
      <c r="V17" s="484"/>
      <c r="W17" s="487"/>
      <c r="X17" s="2">
        <v>50</v>
      </c>
    </row>
    <row r="18" spans="1:24" x14ac:dyDescent="0.25">
      <c r="A18" s="481"/>
      <c r="B18" s="438"/>
      <c r="C18" s="438"/>
      <c r="D18" s="438"/>
      <c r="E18" s="490"/>
      <c r="F18" s="435"/>
      <c r="G18" s="438"/>
      <c r="H18" s="441"/>
      <c r="I18" s="444"/>
      <c r="J18" s="438"/>
      <c r="K18" s="438"/>
      <c r="L18" s="438"/>
      <c r="M18" s="438"/>
      <c r="N18" s="306" t="s">
        <v>562</v>
      </c>
      <c r="O18" s="435"/>
      <c r="P18" s="298">
        <v>805.55</v>
      </c>
      <c r="Q18" s="299" t="s">
        <v>564</v>
      </c>
      <c r="R18" s="300"/>
      <c r="S18" s="298"/>
      <c r="T18" s="298"/>
      <c r="U18" s="441"/>
      <c r="V18" s="484"/>
      <c r="W18" s="487"/>
      <c r="X18" s="2">
        <v>50</v>
      </c>
    </row>
    <row r="19" spans="1:24" x14ac:dyDescent="0.25">
      <c r="A19" s="481"/>
      <c r="B19" s="438"/>
      <c r="C19" s="438"/>
      <c r="D19" s="438"/>
      <c r="E19" s="490"/>
      <c r="F19" s="435"/>
      <c r="G19" s="438"/>
      <c r="H19" s="441"/>
      <c r="I19" s="444"/>
      <c r="J19" s="438"/>
      <c r="K19" s="438"/>
      <c r="L19" s="438"/>
      <c r="M19" s="438"/>
      <c r="N19" s="306" t="s">
        <v>602</v>
      </c>
      <c r="O19" s="435"/>
      <c r="P19" s="298">
        <v>930.61</v>
      </c>
      <c r="Q19" s="299" t="s">
        <v>605</v>
      </c>
      <c r="R19" s="300"/>
      <c r="S19" s="298"/>
      <c r="T19" s="298"/>
      <c r="U19" s="441"/>
      <c r="V19" s="484"/>
      <c r="W19" s="487"/>
      <c r="X19" s="2">
        <v>50</v>
      </c>
    </row>
    <row r="20" spans="1:24" x14ac:dyDescent="0.25">
      <c r="A20" s="481"/>
      <c r="B20" s="438"/>
      <c r="C20" s="438"/>
      <c r="D20" s="438"/>
      <c r="E20" s="490"/>
      <c r="F20" s="435"/>
      <c r="G20" s="438"/>
      <c r="H20" s="441"/>
      <c r="I20" s="444"/>
      <c r="J20" s="438"/>
      <c r="K20" s="438"/>
      <c r="L20" s="438"/>
      <c r="M20" s="438"/>
      <c r="N20" s="306" t="s">
        <v>606</v>
      </c>
      <c r="O20" s="435"/>
      <c r="P20" s="298">
        <v>746.09</v>
      </c>
      <c r="Q20" s="299" t="s">
        <v>648</v>
      </c>
      <c r="R20" s="300"/>
      <c r="S20" s="298"/>
      <c r="T20" s="298"/>
      <c r="U20" s="441"/>
      <c r="V20" s="484"/>
      <c r="W20" s="487"/>
      <c r="X20" s="2">
        <v>50</v>
      </c>
    </row>
    <row r="21" spans="1:24" x14ac:dyDescent="0.25">
      <c r="A21" s="482"/>
      <c r="B21" s="439"/>
      <c r="C21" s="439"/>
      <c r="D21" s="439"/>
      <c r="E21" s="491"/>
      <c r="F21" s="436"/>
      <c r="G21" s="439"/>
      <c r="H21" s="442"/>
      <c r="I21" s="445"/>
      <c r="J21" s="439"/>
      <c r="K21" s="439"/>
      <c r="L21" s="439"/>
      <c r="M21" s="439"/>
      <c r="N21" s="307" t="s">
        <v>695</v>
      </c>
      <c r="O21" s="436"/>
      <c r="P21" s="301">
        <v>831.67</v>
      </c>
      <c r="Q21" s="302" t="s">
        <v>704</v>
      </c>
      <c r="R21" s="303"/>
      <c r="S21" s="301"/>
      <c r="T21" s="301"/>
      <c r="U21" s="442"/>
      <c r="V21" s="485"/>
      <c r="W21" s="488"/>
      <c r="X21" s="2">
        <v>50</v>
      </c>
    </row>
    <row r="22" spans="1:24" s="85" customFormat="1" ht="94.9" customHeight="1" x14ac:dyDescent="0.25">
      <c r="A22" s="480">
        <v>3</v>
      </c>
      <c r="B22" s="437" t="s">
        <v>56</v>
      </c>
      <c r="C22" s="437"/>
      <c r="D22" s="437"/>
      <c r="E22" s="489" t="s">
        <v>152</v>
      </c>
      <c r="F22" s="434" t="s">
        <v>236</v>
      </c>
      <c r="G22" s="437" t="s">
        <v>237</v>
      </c>
      <c r="H22" s="440">
        <v>36000</v>
      </c>
      <c r="I22" s="443">
        <f>IF(X22 = 51, H22 + SUM(S22:S30) - SUM(T22:T30) - SUM(P22:P30) - V22,0)</f>
        <v>9000</v>
      </c>
      <c r="J22" s="437" t="s">
        <v>238</v>
      </c>
      <c r="K22" s="437" t="s">
        <v>153</v>
      </c>
      <c r="L22" s="437"/>
      <c r="M22" s="437" t="s">
        <v>214</v>
      </c>
      <c r="N22" s="304" t="s">
        <v>307</v>
      </c>
      <c r="O22" s="434" t="s">
        <v>239</v>
      </c>
      <c r="P22" s="294">
        <v>3000</v>
      </c>
      <c r="Q22" s="293" t="s">
        <v>308</v>
      </c>
      <c r="R22" s="292"/>
      <c r="S22" s="294"/>
      <c r="T22" s="294"/>
      <c r="U22" s="440"/>
      <c r="V22" s="483"/>
      <c r="W22" s="486"/>
      <c r="X22" s="85">
        <v>51</v>
      </c>
    </row>
    <row r="23" spans="1:24" x14ac:dyDescent="0.25">
      <c r="A23" s="481"/>
      <c r="B23" s="438"/>
      <c r="C23" s="438"/>
      <c r="D23" s="438"/>
      <c r="E23" s="490"/>
      <c r="F23" s="435"/>
      <c r="G23" s="438"/>
      <c r="H23" s="441"/>
      <c r="I23" s="444"/>
      <c r="J23" s="438"/>
      <c r="K23" s="438"/>
      <c r="L23" s="438"/>
      <c r="M23" s="438"/>
      <c r="N23" s="306" t="s">
        <v>345</v>
      </c>
      <c r="O23" s="435"/>
      <c r="P23" s="298">
        <v>3000</v>
      </c>
      <c r="Q23" s="299" t="s">
        <v>344</v>
      </c>
      <c r="R23" s="300"/>
      <c r="S23" s="298"/>
      <c r="T23" s="298"/>
      <c r="U23" s="441"/>
      <c r="V23" s="484"/>
      <c r="W23" s="487"/>
      <c r="X23" s="2">
        <v>51</v>
      </c>
    </row>
    <row r="24" spans="1:24" x14ac:dyDescent="0.25">
      <c r="A24" s="481"/>
      <c r="B24" s="438"/>
      <c r="C24" s="438"/>
      <c r="D24" s="438"/>
      <c r="E24" s="490"/>
      <c r="F24" s="435"/>
      <c r="G24" s="438"/>
      <c r="H24" s="441"/>
      <c r="I24" s="444"/>
      <c r="J24" s="438"/>
      <c r="K24" s="438"/>
      <c r="L24" s="438"/>
      <c r="M24" s="438"/>
      <c r="N24" s="306" t="s">
        <v>371</v>
      </c>
      <c r="O24" s="435"/>
      <c r="P24" s="298">
        <v>3000</v>
      </c>
      <c r="Q24" s="299" t="s">
        <v>372</v>
      </c>
      <c r="R24" s="300"/>
      <c r="S24" s="298"/>
      <c r="T24" s="298"/>
      <c r="U24" s="441"/>
      <c r="V24" s="484"/>
      <c r="W24" s="487"/>
      <c r="X24" s="2">
        <v>51</v>
      </c>
    </row>
    <row r="25" spans="1:24" x14ac:dyDescent="0.25">
      <c r="A25" s="481"/>
      <c r="B25" s="438"/>
      <c r="C25" s="438"/>
      <c r="D25" s="438"/>
      <c r="E25" s="490"/>
      <c r="F25" s="435"/>
      <c r="G25" s="438"/>
      <c r="H25" s="441"/>
      <c r="I25" s="444"/>
      <c r="J25" s="438"/>
      <c r="K25" s="438"/>
      <c r="L25" s="438"/>
      <c r="M25" s="438"/>
      <c r="N25" s="306" t="s">
        <v>460</v>
      </c>
      <c r="O25" s="435"/>
      <c r="P25" s="298">
        <v>3000</v>
      </c>
      <c r="Q25" s="299" t="s">
        <v>457</v>
      </c>
      <c r="R25" s="300"/>
      <c r="S25" s="298"/>
      <c r="T25" s="298"/>
      <c r="U25" s="441"/>
      <c r="V25" s="484"/>
      <c r="W25" s="487"/>
      <c r="X25" s="2">
        <v>51</v>
      </c>
    </row>
    <row r="26" spans="1:24" x14ac:dyDescent="0.25">
      <c r="A26" s="481"/>
      <c r="B26" s="438"/>
      <c r="C26" s="438"/>
      <c r="D26" s="438"/>
      <c r="E26" s="490"/>
      <c r="F26" s="435"/>
      <c r="G26" s="438"/>
      <c r="H26" s="441"/>
      <c r="I26" s="444"/>
      <c r="J26" s="438"/>
      <c r="K26" s="438"/>
      <c r="L26" s="438"/>
      <c r="M26" s="438"/>
      <c r="N26" s="306" t="s">
        <v>470</v>
      </c>
      <c r="O26" s="435"/>
      <c r="P26" s="298">
        <v>3000</v>
      </c>
      <c r="Q26" s="299" t="s">
        <v>507</v>
      </c>
      <c r="R26" s="300"/>
      <c r="S26" s="298"/>
      <c r="T26" s="298"/>
      <c r="U26" s="441"/>
      <c r="V26" s="484"/>
      <c r="W26" s="487"/>
      <c r="X26" s="2">
        <v>51</v>
      </c>
    </row>
    <row r="27" spans="1:24" x14ac:dyDescent="0.25">
      <c r="A27" s="481"/>
      <c r="B27" s="438"/>
      <c r="C27" s="438"/>
      <c r="D27" s="438"/>
      <c r="E27" s="490"/>
      <c r="F27" s="435"/>
      <c r="G27" s="438"/>
      <c r="H27" s="441"/>
      <c r="I27" s="444"/>
      <c r="J27" s="438"/>
      <c r="K27" s="438"/>
      <c r="L27" s="438"/>
      <c r="M27" s="438"/>
      <c r="N27" s="306" t="s">
        <v>562</v>
      </c>
      <c r="O27" s="435"/>
      <c r="P27" s="298">
        <v>3000</v>
      </c>
      <c r="Q27" s="299" t="s">
        <v>564</v>
      </c>
      <c r="R27" s="300"/>
      <c r="S27" s="298"/>
      <c r="T27" s="298"/>
      <c r="U27" s="441"/>
      <c r="V27" s="484"/>
      <c r="W27" s="487"/>
      <c r="X27" s="2">
        <v>51</v>
      </c>
    </row>
    <row r="28" spans="1:24" x14ac:dyDescent="0.25">
      <c r="A28" s="481"/>
      <c r="B28" s="438"/>
      <c r="C28" s="438"/>
      <c r="D28" s="438"/>
      <c r="E28" s="490"/>
      <c r="F28" s="435"/>
      <c r="G28" s="438"/>
      <c r="H28" s="441"/>
      <c r="I28" s="444"/>
      <c r="J28" s="438"/>
      <c r="K28" s="438"/>
      <c r="L28" s="438"/>
      <c r="M28" s="438"/>
      <c r="N28" s="306" t="s">
        <v>602</v>
      </c>
      <c r="O28" s="435"/>
      <c r="P28" s="298">
        <v>3000</v>
      </c>
      <c r="Q28" s="299" t="s">
        <v>603</v>
      </c>
      <c r="R28" s="300"/>
      <c r="S28" s="298"/>
      <c r="T28" s="298"/>
      <c r="U28" s="441"/>
      <c r="V28" s="484"/>
      <c r="W28" s="487"/>
      <c r="X28" s="2">
        <v>51</v>
      </c>
    </row>
    <row r="29" spans="1:24" x14ac:dyDescent="0.25">
      <c r="A29" s="481"/>
      <c r="B29" s="438"/>
      <c r="C29" s="438"/>
      <c r="D29" s="438"/>
      <c r="E29" s="490"/>
      <c r="F29" s="435"/>
      <c r="G29" s="438"/>
      <c r="H29" s="441"/>
      <c r="I29" s="444"/>
      <c r="J29" s="438"/>
      <c r="K29" s="438"/>
      <c r="L29" s="438"/>
      <c r="M29" s="438"/>
      <c r="N29" s="306" t="s">
        <v>606</v>
      </c>
      <c r="O29" s="435"/>
      <c r="P29" s="298">
        <v>3000</v>
      </c>
      <c r="Q29" s="299" t="s">
        <v>648</v>
      </c>
      <c r="R29" s="300"/>
      <c r="S29" s="298"/>
      <c r="T29" s="298"/>
      <c r="U29" s="441"/>
      <c r="V29" s="484"/>
      <c r="W29" s="487"/>
      <c r="X29" s="2">
        <v>51</v>
      </c>
    </row>
    <row r="30" spans="1:24" x14ac:dyDescent="0.25">
      <c r="A30" s="481"/>
      <c r="B30" s="438"/>
      <c r="C30" s="438"/>
      <c r="D30" s="438"/>
      <c r="E30" s="490"/>
      <c r="F30" s="435"/>
      <c r="G30" s="438"/>
      <c r="H30" s="441"/>
      <c r="I30" s="444"/>
      <c r="J30" s="438"/>
      <c r="K30" s="438"/>
      <c r="L30" s="438"/>
      <c r="M30" s="438"/>
      <c r="N30" s="306" t="s">
        <v>695</v>
      </c>
      <c r="O30" s="435"/>
      <c r="P30" s="298">
        <v>3000</v>
      </c>
      <c r="Q30" s="299" t="s">
        <v>703</v>
      </c>
      <c r="R30" s="300"/>
      <c r="S30" s="298"/>
      <c r="T30" s="298"/>
      <c r="U30" s="441"/>
      <c r="V30" s="484"/>
      <c r="W30" s="487"/>
      <c r="X30" s="2">
        <v>51</v>
      </c>
    </row>
    <row r="31" spans="1:24" s="85" customFormat="1" ht="90" customHeight="1" x14ac:dyDescent="0.25">
      <c r="A31" s="481">
        <v>4</v>
      </c>
      <c r="B31" s="438" t="s">
        <v>56</v>
      </c>
      <c r="C31" s="438"/>
      <c r="D31" s="438"/>
      <c r="E31" s="490" t="s">
        <v>240</v>
      </c>
      <c r="F31" s="435" t="s">
        <v>236</v>
      </c>
      <c r="G31" s="438" t="s">
        <v>241</v>
      </c>
      <c r="H31" s="441">
        <v>24000</v>
      </c>
      <c r="I31" s="444">
        <f>IF(X31 = 52, H31 + SUM(S31:S39) - SUM(T31:T39) - SUM(P31:P39) - V31,0)</f>
        <v>6000</v>
      </c>
      <c r="J31" s="438" t="s">
        <v>238</v>
      </c>
      <c r="K31" s="438" t="s">
        <v>153</v>
      </c>
      <c r="L31" s="438"/>
      <c r="M31" s="438" t="s">
        <v>214</v>
      </c>
      <c r="N31" s="305" t="s">
        <v>307</v>
      </c>
      <c r="O31" s="435" t="s">
        <v>239</v>
      </c>
      <c r="P31" s="297">
        <v>2000</v>
      </c>
      <c r="Q31" s="296" t="s">
        <v>306</v>
      </c>
      <c r="R31" s="295"/>
      <c r="S31" s="297"/>
      <c r="T31" s="297"/>
      <c r="U31" s="441"/>
      <c r="V31" s="484"/>
      <c r="W31" s="487"/>
      <c r="X31" s="85">
        <v>52</v>
      </c>
    </row>
    <row r="32" spans="1:24" x14ac:dyDescent="0.25">
      <c r="A32" s="481"/>
      <c r="B32" s="438"/>
      <c r="C32" s="438"/>
      <c r="D32" s="438"/>
      <c r="E32" s="490"/>
      <c r="F32" s="435"/>
      <c r="G32" s="438"/>
      <c r="H32" s="441"/>
      <c r="I32" s="444"/>
      <c r="J32" s="438"/>
      <c r="K32" s="438"/>
      <c r="L32" s="438"/>
      <c r="M32" s="438"/>
      <c r="N32" s="306" t="s">
        <v>345</v>
      </c>
      <c r="O32" s="435"/>
      <c r="P32" s="298">
        <v>2000</v>
      </c>
      <c r="Q32" s="299" t="s">
        <v>344</v>
      </c>
      <c r="R32" s="300"/>
      <c r="S32" s="298"/>
      <c r="T32" s="298"/>
      <c r="U32" s="441"/>
      <c r="V32" s="484"/>
      <c r="W32" s="487"/>
      <c r="X32" s="2">
        <v>52</v>
      </c>
    </row>
    <row r="33" spans="1:24" x14ac:dyDescent="0.25">
      <c r="A33" s="481"/>
      <c r="B33" s="438"/>
      <c r="C33" s="438"/>
      <c r="D33" s="438"/>
      <c r="E33" s="490"/>
      <c r="F33" s="435"/>
      <c r="G33" s="438"/>
      <c r="H33" s="441"/>
      <c r="I33" s="444"/>
      <c r="J33" s="438"/>
      <c r="K33" s="438"/>
      <c r="L33" s="438"/>
      <c r="M33" s="438"/>
      <c r="N33" s="306" t="s">
        <v>371</v>
      </c>
      <c r="O33" s="435"/>
      <c r="P33" s="298">
        <v>2000</v>
      </c>
      <c r="Q33" s="299" t="s">
        <v>372</v>
      </c>
      <c r="R33" s="300"/>
      <c r="S33" s="298"/>
      <c r="T33" s="298"/>
      <c r="U33" s="441"/>
      <c r="V33" s="484"/>
      <c r="W33" s="487"/>
      <c r="X33" s="2">
        <v>52</v>
      </c>
    </row>
    <row r="34" spans="1:24" x14ac:dyDescent="0.25">
      <c r="A34" s="481"/>
      <c r="B34" s="438"/>
      <c r="C34" s="438"/>
      <c r="D34" s="438"/>
      <c r="E34" s="490"/>
      <c r="F34" s="435"/>
      <c r="G34" s="438"/>
      <c r="H34" s="441"/>
      <c r="I34" s="444"/>
      <c r="J34" s="438"/>
      <c r="K34" s="438"/>
      <c r="L34" s="438"/>
      <c r="M34" s="438"/>
      <c r="N34" s="306" t="s">
        <v>460</v>
      </c>
      <c r="O34" s="435"/>
      <c r="P34" s="298">
        <v>2000</v>
      </c>
      <c r="Q34" s="299" t="s">
        <v>457</v>
      </c>
      <c r="R34" s="300"/>
      <c r="S34" s="298"/>
      <c r="T34" s="298"/>
      <c r="U34" s="441"/>
      <c r="V34" s="484"/>
      <c r="W34" s="487"/>
      <c r="X34" s="2">
        <v>52</v>
      </c>
    </row>
    <row r="35" spans="1:24" x14ac:dyDescent="0.25">
      <c r="A35" s="481"/>
      <c r="B35" s="438"/>
      <c r="C35" s="438"/>
      <c r="D35" s="438"/>
      <c r="E35" s="490"/>
      <c r="F35" s="435"/>
      <c r="G35" s="438"/>
      <c r="H35" s="441"/>
      <c r="I35" s="444"/>
      <c r="J35" s="438"/>
      <c r="K35" s="438"/>
      <c r="L35" s="438"/>
      <c r="M35" s="438"/>
      <c r="N35" s="306" t="s">
        <v>470</v>
      </c>
      <c r="O35" s="435"/>
      <c r="P35" s="298">
        <v>2000</v>
      </c>
      <c r="Q35" s="299" t="s">
        <v>507</v>
      </c>
      <c r="R35" s="300"/>
      <c r="S35" s="298"/>
      <c r="T35" s="298"/>
      <c r="U35" s="441"/>
      <c r="V35" s="484"/>
      <c r="W35" s="487"/>
      <c r="X35" s="2">
        <v>52</v>
      </c>
    </row>
    <row r="36" spans="1:24" x14ac:dyDescent="0.25">
      <c r="A36" s="481"/>
      <c r="B36" s="438"/>
      <c r="C36" s="438"/>
      <c r="D36" s="438"/>
      <c r="E36" s="490"/>
      <c r="F36" s="435"/>
      <c r="G36" s="438"/>
      <c r="H36" s="441"/>
      <c r="I36" s="444"/>
      <c r="J36" s="438"/>
      <c r="K36" s="438"/>
      <c r="L36" s="438"/>
      <c r="M36" s="438"/>
      <c r="N36" s="306" t="s">
        <v>562</v>
      </c>
      <c r="O36" s="435"/>
      <c r="P36" s="298">
        <v>2000</v>
      </c>
      <c r="Q36" s="299" t="s">
        <v>564</v>
      </c>
      <c r="R36" s="300"/>
      <c r="S36" s="298"/>
      <c r="T36" s="298"/>
      <c r="U36" s="441"/>
      <c r="V36" s="484"/>
      <c r="W36" s="487"/>
      <c r="X36" s="2">
        <v>52</v>
      </c>
    </row>
    <row r="37" spans="1:24" x14ac:dyDescent="0.25">
      <c r="A37" s="481"/>
      <c r="B37" s="438"/>
      <c r="C37" s="438"/>
      <c r="D37" s="438"/>
      <c r="E37" s="490"/>
      <c r="F37" s="435"/>
      <c r="G37" s="438"/>
      <c r="H37" s="441"/>
      <c r="I37" s="444"/>
      <c r="J37" s="438"/>
      <c r="K37" s="438"/>
      <c r="L37" s="438"/>
      <c r="M37" s="438"/>
      <c r="N37" s="306" t="s">
        <v>602</v>
      </c>
      <c r="O37" s="435"/>
      <c r="P37" s="298">
        <v>2000</v>
      </c>
      <c r="Q37" s="299" t="s">
        <v>603</v>
      </c>
      <c r="R37" s="300"/>
      <c r="S37" s="298"/>
      <c r="T37" s="298"/>
      <c r="U37" s="441"/>
      <c r="V37" s="484"/>
      <c r="W37" s="487"/>
      <c r="X37" s="2">
        <v>52</v>
      </c>
    </row>
    <row r="38" spans="1:24" x14ac:dyDescent="0.25">
      <c r="A38" s="481"/>
      <c r="B38" s="438"/>
      <c r="C38" s="438"/>
      <c r="D38" s="438"/>
      <c r="E38" s="490"/>
      <c r="F38" s="435"/>
      <c r="G38" s="438"/>
      <c r="H38" s="441"/>
      <c r="I38" s="444"/>
      <c r="J38" s="438"/>
      <c r="K38" s="438"/>
      <c r="L38" s="438"/>
      <c r="M38" s="438"/>
      <c r="N38" s="306" t="s">
        <v>606</v>
      </c>
      <c r="O38" s="435"/>
      <c r="P38" s="298">
        <v>2000</v>
      </c>
      <c r="Q38" s="299" t="s">
        <v>648</v>
      </c>
      <c r="R38" s="300"/>
      <c r="S38" s="298"/>
      <c r="T38" s="298"/>
      <c r="U38" s="441"/>
      <c r="V38" s="484"/>
      <c r="W38" s="487"/>
      <c r="X38" s="2">
        <v>52</v>
      </c>
    </row>
    <row r="39" spans="1:24" x14ac:dyDescent="0.25">
      <c r="A39" s="482"/>
      <c r="B39" s="439"/>
      <c r="C39" s="439"/>
      <c r="D39" s="439"/>
      <c r="E39" s="491"/>
      <c r="F39" s="436"/>
      <c r="G39" s="439"/>
      <c r="H39" s="442"/>
      <c r="I39" s="445"/>
      <c r="J39" s="439"/>
      <c r="K39" s="439"/>
      <c r="L39" s="439"/>
      <c r="M39" s="439"/>
      <c r="N39" s="307" t="s">
        <v>695</v>
      </c>
      <c r="O39" s="436"/>
      <c r="P39" s="301">
        <v>2000</v>
      </c>
      <c r="Q39" s="302" t="s">
        <v>703</v>
      </c>
      <c r="R39" s="303"/>
      <c r="S39" s="301"/>
      <c r="T39" s="301"/>
      <c r="U39" s="442"/>
      <c r="V39" s="485"/>
      <c r="W39" s="488"/>
      <c r="X39" s="2">
        <v>52</v>
      </c>
    </row>
    <row r="40" spans="1:24" s="85" customFormat="1" ht="90" customHeight="1" x14ac:dyDescent="0.25">
      <c r="A40" s="480">
        <v>5</v>
      </c>
      <c r="B40" s="437" t="s">
        <v>56</v>
      </c>
      <c r="C40" s="437"/>
      <c r="D40" s="437"/>
      <c r="E40" s="489" t="s">
        <v>57</v>
      </c>
      <c r="F40" s="434" t="s">
        <v>236</v>
      </c>
      <c r="G40" s="437" t="s">
        <v>242</v>
      </c>
      <c r="H40" s="440">
        <v>72000</v>
      </c>
      <c r="I40" s="443">
        <f>IF(X40 = 53, H40 + SUM(S40:S48) - SUM(T40:T48) - SUM(P40:P48) - V40,0)</f>
        <v>18000</v>
      </c>
      <c r="J40" s="437" t="s">
        <v>243</v>
      </c>
      <c r="K40" s="437" t="s">
        <v>166</v>
      </c>
      <c r="L40" s="437"/>
      <c r="M40" s="437" t="s">
        <v>214</v>
      </c>
      <c r="N40" s="304" t="s">
        <v>307</v>
      </c>
      <c r="O40" s="434" t="s">
        <v>239</v>
      </c>
      <c r="P40" s="294">
        <v>6000</v>
      </c>
      <c r="Q40" s="293" t="s">
        <v>314</v>
      </c>
      <c r="R40" s="292"/>
      <c r="S40" s="294"/>
      <c r="T40" s="294"/>
      <c r="U40" s="440"/>
      <c r="V40" s="483"/>
      <c r="W40" s="486"/>
      <c r="X40" s="85">
        <v>53</v>
      </c>
    </row>
    <row r="41" spans="1:24" x14ac:dyDescent="0.25">
      <c r="A41" s="481"/>
      <c r="B41" s="438"/>
      <c r="C41" s="438"/>
      <c r="D41" s="438"/>
      <c r="E41" s="490"/>
      <c r="F41" s="435"/>
      <c r="G41" s="438"/>
      <c r="H41" s="441"/>
      <c r="I41" s="444"/>
      <c r="J41" s="438"/>
      <c r="K41" s="438"/>
      <c r="L41" s="438"/>
      <c r="M41" s="438"/>
      <c r="N41" s="306" t="s">
        <v>345</v>
      </c>
      <c r="O41" s="435"/>
      <c r="P41" s="298">
        <v>6000</v>
      </c>
      <c r="Q41" s="299" t="s">
        <v>349</v>
      </c>
      <c r="R41" s="300"/>
      <c r="S41" s="298"/>
      <c r="T41" s="298"/>
      <c r="U41" s="441"/>
      <c r="V41" s="484"/>
      <c r="W41" s="487"/>
      <c r="X41" s="2">
        <v>53</v>
      </c>
    </row>
    <row r="42" spans="1:24" x14ac:dyDescent="0.25">
      <c r="A42" s="481"/>
      <c r="B42" s="438"/>
      <c r="C42" s="438"/>
      <c r="D42" s="438"/>
      <c r="E42" s="490"/>
      <c r="F42" s="435"/>
      <c r="G42" s="438"/>
      <c r="H42" s="441"/>
      <c r="I42" s="444"/>
      <c r="J42" s="438"/>
      <c r="K42" s="438"/>
      <c r="L42" s="438"/>
      <c r="M42" s="438"/>
      <c r="N42" s="306" t="s">
        <v>371</v>
      </c>
      <c r="O42" s="435"/>
      <c r="P42" s="298">
        <v>6000</v>
      </c>
      <c r="Q42" s="299" t="s">
        <v>376</v>
      </c>
      <c r="R42" s="300"/>
      <c r="S42" s="298"/>
      <c r="T42" s="298"/>
      <c r="U42" s="441"/>
      <c r="V42" s="484"/>
      <c r="W42" s="487"/>
      <c r="X42" s="2">
        <v>53</v>
      </c>
    </row>
    <row r="43" spans="1:24" x14ac:dyDescent="0.25">
      <c r="A43" s="481"/>
      <c r="B43" s="438"/>
      <c r="C43" s="438"/>
      <c r="D43" s="438"/>
      <c r="E43" s="490"/>
      <c r="F43" s="435"/>
      <c r="G43" s="438"/>
      <c r="H43" s="441"/>
      <c r="I43" s="444"/>
      <c r="J43" s="438"/>
      <c r="K43" s="438"/>
      <c r="L43" s="438"/>
      <c r="M43" s="438"/>
      <c r="N43" s="306" t="s">
        <v>460</v>
      </c>
      <c r="O43" s="435"/>
      <c r="P43" s="298">
        <v>6000</v>
      </c>
      <c r="Q43" s="299" t="s">
        <v>464</v>
      </c>
      <c r="R43" s="300"/>
      <c r="S43" s="298"/>
      <c r="T43" s="298"/>
      <c r="U43" s="441"/>
      <c r="V43" s="484"/>
      <c r="W43" s="487"/>
      <c r="X43" s="2">
        <v>53</v>
      </c>
    </row>
    <row r="44" spans="1:24" x14ac:dyDescent="0.25">
      <c r="A44" s="481"/>
      <c r="B44" s="438"/>
      <c r="C44" s="438"/>
      <c r="D44" s="438"/>
      <c r="E44" s="490"/>
      <c r="F44" s="435"/>
      <c r="G44" s="438"/>
      <c r="H44" s="441"/>
      <c r="I44" s="444"/>
      <c r="J44" s="438"/>
      <c r="K44" s="438"/>
      <c r="L44" s="438"/>
      <c r="M44" s="438"/>
      <c r="N44" s="306" t="s">
        <v>470</v>
      </c>
      <c r="O44" s="435"/>
      <c r="P44" s="298">
        <v>6000</v>
      </c>
      <c r="Q44" s="299" t="s">
        <v>509</v>
      </c>
      <c r="R44" s="300"/>
      <c r="S44" s="298"/>
      <c r="T44" s="298"/>
      <c r="U44" s="441"/>
      <c r="V44" s="484"/>
      <c r="W44" s="487"/>
      <c r="X44" s="2">
        <v>53</v>
      </c>
    </row>
    <row r="45" spans="1:24" x14ac:dyDescent="0.25">
      <c r="A45" s="481"/>
      <c r="B45" s="438"/>
      <c r="C45" s="438"/>
      <c r="D45" s="438"/>
      <c r="E45" s="490"/>
      <c r="F45" s="435"/>
      <c r="G45" s="438"/>
      <c r="H45" s="441"/>
      <c r="I45" s="444"/>
      <c r="J45" s="438"/>
      <c r="K45" s="438"/>
      <c r="L45" s="438"/>
      <c r="M45" s="438"/>
      <c r="N45" s="306" t="s">
        <v>562</v>
      </c>
      <c r="O45" s="435"/>
      <c r="P45" s="298">
        <v>6000</v>
      </c>
      <c r="Q45" s="299" t="s">
        <v>564</v>
      </c>
      <c r="R45" s="300"/>
      <c r="S45" s="298"/>
      <c r="T45" s="298"/>
      <c r="U45" s="441"/>
      <c r="V45" s="484"/>
      <c r="W45" s="487"/>
      <c r="X45" s="2">
        <v>53</v>
      </c>
    </row>
    <row r="46" spans="1:24" x14ac:dyDescent="0.25">
      <c r="A46" s="481"/>
      <c r="B46" s="438"/>
      <c r="C46" s="438"/>
      <c r="D46" s="438"/>
      <c r="E46" s="490"/>
      <c r="F46" s="435"/>
      <c r="G46" s="438"/>
      <c r="H46" s="441"/>
      <c r="I46" s="444"/>
      <c r="J46" s="438"/>
      <c r="K46" s="438"/>
      <c r="L46" s="438"/>
      <c r="M46" s="438"/>
      <c r="N46" s="306" t="s">
        <v>602</v>
      </c>
      <c r="O46" s="435"/>
      <c r="P46" s="298">
        <v>6000</v>
      </c>
      <c r="Q46" s="299" t="s">
        <v>604</v>
      </c>
      <c r="R46" s="300"/>
      <c r="S46" s="298"/>
      <c r="T46" s="298"/>
      <c r="U46" s="441"/>
      <c r="V46" s="484"/>
      <c r="W46" s="487"/>
      <c r="X46" s="2">
        <v>53</v>
      </c>
    </row>
    <row r="47" spans="1:24" x14ac:dyDescent="0.25">
      <c r="A47" s="481"/>
      <c r="B47" s="438"/>
      <c r="C47" s="438"/>
      <c r="D47" s="438"/>
      <c r="E47" s="490"/>
      <c r="F47" s="435"/>
      <c r="G47" s="438"/>
      <c r="H47" s="441"/>
      <c r="I47" s="444"/>
      <c r="J47" s="438"/>
      <c r="K47" s="438"/>
      <c r="L47" s="438"/>
      <c r="M47" s="438"/>
      <c r="N47" s="306" t="s">
        <v>606</v>
      </c>
      <c r="O47" s="435"/>
      <c r="P47" s="298">
        <v>6000</v>
      </c>
      <c r="Q47" s="299" t="s">
        <v>650</v>
      </c>
      <c r="R47" s="300"/>
      <c r="S47" s="298"/>
      <c r="T47" s="298"/>
      <c r="U47" s="441"/>
      <c r="V47" s="484"/>
      <c r="W47" s="487"/>
      <c r="X47" s="2">
        <v>53</v>
      </c>
    </row>
    <row r="48" spans="1:24" x14ac:dyDescent="0.25">
      <c r="A48" s="482"/>
      <c r="B48" s="439"/>
      <c r="C48" s="439"/>
      <c r="D48" s="439"/>
      <c r="E48" s="491"/>
      <c r="F48" s="436"/>
      <c r="G48" s="439"/>
      <c r="H48" s="442"/>
      <c r="I48" s="445"/>
      <c r="J48" s="439"/>
      <c r="K48" s="439"/>
      <c r="L48" s="439"/>
      <c r="M48" s="439"/>
      <c r="N48" s="307" t="s">
        <v>695</v>
      </c>
      <c r="O48" s="436"/>
      <c r="P48" s="301">
        <v>6000</v>
      </c>
      <c r="Q48" s="302" t="s">
        <v>699</v>
      </c>
      <c r="R48" s="303"/>
      <c r="S48" s="301"/>
      <c r="T48" s="301"/>
      <c r="U48" s="442"/>
      <c r="V48" s="485"/>
      <c r="W48" s="488"/>
      <c r="X48" s="2">
        <v>53</v>
      </c>
    </row>
    <row r="49" spans="1:24" s="85" customFormat="1" ht="90" customHeight="1" x14ac:dyDescent="0.25">
      <c r="A49" s="480">
        <v>6</v>
      </c>
      <c r="B49" s="437" t="s">
        <v>56</v>
      </c>
      <c r="C49" s="437"/>
      <c r="D49" s="437"/>
      <c r="E49" s="492" t="s">
        <v>244</v>
      </c>
      <c r="F49" s="434" t="s">
        <v>236</v>
      </c>
      <c r="G49" s="437" t="s">
        <v>245</v>
      </c>
      <c r="H49" s="440">
        <v>7200</v>
      </c>
      <c r="I49" s="443">
        <f>IF(X49 = 54, H49 + SUM(S49:S51) - SUM(T49:T51) - SUM(P49:P51) - V49,0)</f>
        <v>1800</v>
      </c>
      <c r="J49" s="437" t="s">
        <v>246</v>
      </c>
      <c r="K49" s="437" t="s">
        <v>247</v>
      </c>
      <c r="L49" s="437"/>
      <c r="M49" s="437" t="s">
        <v>214</v>
      </c>
      <c r="N49" s="304" t="s">
        <v>371</v>
      </c>
      <c r="O49" s="434" t="s">
        <v>239</v>
      </c>
      <c r="P49" s="294">
        <v>1800</v>
      </c>
      <c r="Q49" s="293" t="s">
        <v>370</v>
      </c>
      <c r="R49" s="292"/>
      <c r="S49" s="294"/>
      <c r="T49" s="294"/>
      <c r="U49" s="440"/>
      <c r="V49" s="483"/>
      <c r="W49" s="486"/>
      <c r="X49" s="85">
        <v>54</v>
      </c>
    </row>
    <row r="50" spans="1:24" x14ac:dyDescent="0.25">
      <c r="A50" s="481"/>
      <c r="B50" s="438"/>
      <c r="C50" s="438"/>
      <c r="D50" s="438"/>
      <c r="E50" s="494"/>
      <c r="F50" s="435"/>
      <c r="G50" s="438"/>
      <c r="H50" s="441"/>
      <c r="I50" s="444"/>
      <c r="J50" s="438"/>
      <c r="K50" s="438"/>
      <c r="L50" s="438"/>
      <c r="M50" s="438"/>
      <c r="N50" s="306" t="s">
        <v>562</v>
      </c>
      <c r="O50" s="435"/>
      <c r="P50" s="298">
        <v>1800</v>
      </c>
      <c r="Q50" s="299" t="s">
        <v>563</v>
      </c>
      <c r="R50" s="300"/>
      <c r="S50" s="298"/>
      <c r="T50" s="298"/>
      <c r="U50" s="441"/>
      <c r="V50" s="484"/>
      <c r="W50" s="487"/>
      <c r="X50" s="2">
        <v>54</v>
      </c>
    </row>
    <row r="51" spans="1:24" x14ac:dyDescent="0.25">
      <c r="A51" s="482"/>
      <c r="B51" s="439"/>
      <c r="C51" s="439"/>
      <c r="D51" s="439"/>
      <c r="E51" s="493"/>
      <c r="F51" s="436"/>
      <c r="G51" s="439"/>
      <c r="H51" s="442"/>
      <c r="I51" s="445"/>
      <c r="J51" s="439"/>
      <c r="K51" s="439"/>
      <c r="L51" s="439"/>
      <c r="M51" s="439"/>
      <c r="N51" s="307" t="s">
        <v>695</v>
      </c>
      <c r="O51" s="436"/>
      <c r="P51" s="301">
        <v>1800</v>
      </c>
      <c r="Q51" s="302" t="s">
        <v>698</v>
      </c>
      <c r="R51" s="303"/>
      <c r="S51" s="301"/>
      <c r="T51" s="301"/>
      <c r="U51" s="442"/>
      <c r="V51" s="485"/>
      <c r="W51" s="488"/>
      <c r="X51" s="2">
        <v>54</v>
      </c>
    </row>
    <row r="52" spans="1:24" s="85" customFormat="1" ht="75" x14ac:dyDescent="0.25">
      <c r="A52" s="116">
        <v>7</v>
      </c>
      <c r="B52" s="112" t="s">
        <v>56</v>
      </c>
      <c r="C52" s="112"/>
      <c r="D52" s="112"/>
      <c r="E52" s="117" t="s">
        <v>277</v>
      </c>
      <c r="F52" s="121" t="s">
        <v>236</v>
      </c>
      <c r="G52" s="112" t="s">
        <v>278</v>
      </c>
      <c r="H52" s="113">
        <v>8000</v>
      </c>
      <c r="I52" s="118">
        <f>IF(X52 = 55, H52 + SUM(S52:S52) - SUM(T52:T52) - SUM(P52:P52) - V52,0)</f>
        <v>0</v>
      </c>
      <c r="J52" s="112" t="s">
        <v>279</v>
      </c>
      <c r="K52" s="112" t="s">
        <v>280</v>
      </c>
      <c r="L52" s="112"/>
      <c r="M52" s="112" t="s">
        <v>214</v>
      </c>
      <c r="N52" s="121" t="s">
        <v>312</v>
      </c>
      <c r="O52" s="121" t="s">
        <v>281</v>
      </c>
      <c r="P52" s="113">
        <v>8000</v>
      </c>
      <c r="Q52" s="117" t="s">
        <v>311</v>
      </c>
      <c r="R52" s="112"/>
      <c r="S52" s="113"/>
      <c r="T52" s="113"/>
      <c r="U52" s="113"/>
      <c r="V52" s="134"/>
      <c r="W52" s="115"/>
      <c r="X52" s="85">
        <v>55</v>
      </c>
    </row>
    <row r="53" spans="1:24" s="85" customFormat="1" ht="72" customHeight="1" x14ac:dyDescent="0.25">
      <c r="A53" s="373">
        <v>8</v>
      </c>
      <c r="B53" s="382" t="s">
        <v>56</v>
      </c>
      <c r="C53" s="382"/>
      <c r="D53" s="382"/>
      <c r="E53" s="405" t="s">
        <v>282</v>
      </c>
      <c r="F53" s="376" t="s">
        <v>283</v>
      </c>
      <c r="G53" s="382" t="s">
        <v>284</v>
      </c>
      <c r="H53" s="379">
        <v>28761.599999999999</v>
      </c>
      <c r="I53" s="408">
        <f>IF(X53 = 56, H53 + SUM(S53:S57) - SUM(T53:T57) - SUM(P53:P57) - V53,0)</f>
        <v>0</v>
      </c>
      <c r="J53" s="382" t="s">
        <v>285</v>
      </c>
      <c r="K53" s="382" t="s">
        <v>286</v>
      </c>
      <c r="L53" s="382"/>
      <c r="M53" s="382" t="s">
        <v>287</v>
      </c>
      <c r="N53" s="194" t="s">
        <v>307</v>
      </c>
      <c r="O53" s="376" t="s">
        <v>288</v>
      </c>
      <c r="P53" s="187">
        <v>2568</v>
      </c>
      <c r="Q53" s="186" t="s">
        <v>311</v>
      </c>
      <c r="R53" s="185"/>
      <c r="S53" s="187"/>
      <c r="T53" s="187"/>
      <c r="U53" s="379" t="s">
        <v>515</v>
      </c>
      <c r="V53" s="385">
        <v>15921.6</v>
      </c>
      <c r="W53" s="402"/>
      <c r="X53" s="85">
        <v>56</v>
      </c>
    </row>
    <row r="54" spans="1:24" x14ac:dyDescent="0.25">
      <c r="A54" s="374"/>
      <c r="B54" s="383"/>
      <c r="C54" s="383"/>
      <c r="D54" s="383"/>
      <c r="E54" s="406"/>
      <c r="F54" s="377"/>
      <c r="G54" s="383"/>
      <c r="H54" s="380"/>
      <c r="I54" s="409"/>
      <c r="J54" s="383"/>
      <c r="K54" s="383"/>
      <c r="L54" s="383"/>
      <c r="M54" s="383"/>
      <c r="N54" s="195" t="s">
        <v>345</v>
      </c>
      <c r="O54" s="377"/>
      <c r="P54" s="188">
        <v>2910.4</v>
      </c>
      <c r="Q54" s="189" t="s">
        <v>355</v>
      </c>
      <c r="R54" s="190"/>
      <c r="S54" s="188"/>
      <c r="T54" s="188"/>
      <c r="U54" s="380"/>
      <c r="V54" s="386"/>
      <c r="W54" s="403"/>
      <c r="X54" s="2">
        <v>56</v>
      </c>
    </row>
    <row r="55" spans="1:24" x14ac:dyDescent="0.25">
      <c r="A55" s="374"/>
      <c r="B55" s="383"/>
      <c r="C55" s="383"/>
      <c r="D55" s="383"/>
      <c r="E55" s="406"/>
      <c r="F55" s="377"/>
      <c r="G55" s="383"/>
      <c r="H55" s="380"/>
      <c r="I55" s="409"/>
      <c r="J55" s="383"/>
      <c r="K55" s="383"/>
      <c r="L55" s="383"/>
      <c r="M55" s="383"/>
      <c r="N55" s="195" t="s">
        <v>383</v>
      </c>
      <c r="O55" s="377"/>
      <c r="P55" s="188">
        <v>2568</v>
      </c>
      <c r="Q55" s="189" t="s">
        <v>376</v>
      </c>
      <c r="R55" s="190"/>
      <c r="S55" s="188"/>
      <c r="T55" s="188"/>
      <c r="U55" s="380"/>
      <c r="V55" s="386"/>
      <c r="W55" s="403"/>
      <c r="X55" s="2">
        <v>56</v>
      </c>
    </row>
    <row r="56" spans="1:24" x14ac:dyDescent="0.25">
      <c r="A56" s="374"/>
      <c r="B56" s="383"/>
      <c r="C56" s="383"/>
      <c r="D56" s="383"/>
      <c r="E56" s="406"/>
      <c r="F56" s="377"/>
      <c r="G56" s="383"/>
      <c r="H56" s="380"/>
      <c r="I56" s="409"/>
      <c r="J56" s="383"/>
      <c r="K56" s="383"/>
      <c r="L56" s="383"/>
      <c r="M56" s="383"/>
      <c r="N56" s="195" t="s">
        <v>459</v>
      </c>
      <c r="O56" s="377"/>
      <c r="P56" s="188">
        <v>2739.2</v>
      </c>
      <c r="Q56" s="189" t="s">
        <v>463</v>
      </c>
      <c r="R56" s="190"/>
      <c r="S56" s="188"/>
      <c r="T56" s="188"/>
      <c r="U56" s="380"/>
      <c r="V56" s="386"/>
      <c r="W56" s="403"/>
      <c r="X56" s="2">
        <v>56</v>
      </c>
    </row>
    <row r="57" spans="1:24" x14ac:dyDescent="0.25">
      <c r="A57" s="375"/>
      <c r="B57" s="384"/>
      <c r="C57" s="384"/>
      <c r="D57" s="384"/>
      <c r="E57" s="407"/>
      <c r="F57" s="378"/>
      <c r="G57" s="384"/>
      <c r="H57" s="381"/>
      <c r="I57" s="410"/>
      <c r="J57" s="384"/>
      <c r="K57" s="384"/>
      <c r="L57" s="384"/>
      <c r="M57" s="384"/>
      <c r="N57" s="196" t="s">
        <v>467</v>
      </c>
      <c r="O57" s="378"/>
      <c r="P57" s="191">
        <v>2054.4</v>
      </c>
      <c r="Q57" s="192" t="s">
        <v>470</v>
      </c>
      <c r="R57" s="193"/>
      <c r="S57" s="191"/>
      <c r="T57" s="191"/>
      <c r="U57" s="381"/>
      <c r="V57" s="387"/>
      <c r="W57" s="404"/>
      <c r="X57" s="2">
        <v>56</v>
      </c>
    </row>
    <row r="58" spans="1:24" s="85" customFormat="1" ht="72" customHeight="1" x14ac:dyDescent="0.25">
      <c r="A58" s="373">
        <v>9</v>
      </c>
      <c r="B58" s="382" t="s">
        <v>56</v>
      </c>
      <c r="C58" s="382"/>
      <c r="D58" s="382"/>
      <c r="E58" s="405" t="s">
        <v>289</v>
      </c>
      <c r="F58" s="376" t="s">
        <v>283</v>
      </c>
      <c r="G58" s="382" t="s">
        <v>290</v>
      </c>
      <c r="H58" s="379">
        <v>8400</v>
      </c>
      <c r="I58" s="408">
        <f>IF(X58 = 57, H58 + SUM(S58:S62) - SUM(T58:T62) - SUM(P58:P62) - V58,0)</f>
        <v>0</v>
      </c>
      <c r="J58" s="382" t="s">
        <v>285</v>
      </c>
      <c r="K58" s="382" t="s">
        <v>286</v>
      </c>
      <c r="L58" s="382"/>
      <c r="M58" s="382" t="s">
        <v>287</v>
      </c>
      <c r="N58" s="194" t="s">
        <v>307</v>
      </c>
      <c r="O58" s="376" t="s">
        <v>288</v>
      </c>
      <c r="P58" s="187">
        <v>750</v>
      </c>
      <c r="Q58" s="186" t="s">
        <v>313</v>
      </c>
      <c r="R58" s="185"/>
      <c r="S58" s="187"/>
      <c r="T58" s="187"/>
      <c r="U58" s="379" t="s">
        <v>516</v>
      </c>
      <c r="V58" s="385">
        <v>4650</v>
      </c>
      <c r="W58" s="402"/>
      <c r="X58" s="85">
        <v>57</v>
      </c>
    </row>
    <row r="59" spans="1:24" x14ac:dyDescent="0.25">
      <c r="A59" s="374"/>
      <c r="B59" s="383"/>
      <c r="C59" s="383"/>
      <c r="D59" s="383"/>
      <c r="E59" s="406"/>
      <c r="F59" s="377"/>
      <c r="G59" s="383"/>
      <c r="H59" s="380"/>
      <c r="I59" s="409"/>
      <c r="J59" s="383"/>
      <c r="K59" s="383"/>
      <c r="L59" s="383"/>
      <c r="M59" s="383"/>
      <c r="N59" s="195" t="s">
        <v>345</v>
      </c>
      <c r="O59" s="377"/>
      <c r="P59" s="188">
        <v>850</v>
      </c>
      <c r="Q59" s="189" t="s">
        <v>355</v>
      </c>
      <c r="R59" s="190"/>
      <c r="S59" s="188"/>
      <c r="T59" s="188"/>
      <c r="U59" s="380"/>
      <c r="V59" s="386"/>
      <c r="W59" s="403"/>
      <c r="X59" s="2">
        <v>57</v>
      </c>
    </row>
    <row r="60" spans="1:24" x14ac:dyDescent="0.25">
      <c r="A60" s="374"/>
      <c r="B60" s="383"/>
      <c r="C60" s="383"/>
      <c r="D60" s="383"/>
      <c r="E60" s="406"/>
      <c r="F60" s="377"/>
      <c r="G60" s="383"/>
      <c r="H60" s="380"/>
      <c r="I60" s="409"/>
      <c r="J60" s="383"/>
      <c r="K60" s="383"/>
      <c r="L60" s="383"/>
      <c r="M60" s="383"/>
      <c r="N60" s="195" t="s">
        <v>383</v>
      </c>
      <c r="O60" s="377"/>
      <c r="P60" s="188">
        <v>750</v>
      </c>
      <c r="Q60" s="189" t="s">
        <v>377</v>
      </c>
      <c r="R60" s="190"/>
      <c r="S60" s="188"/>
      <c r="T60" s="188"/>
      <c r="U60" s="380"/>
      <c r="V60" s="386"/>
      <c r="W60" s="403"/>
      <c r="X60" s="2">
        <v>57</v>
      </c>
    </row>
    <row r="61" spans="1:24" x14ac:dyDescent="0.25">
      <c r="A61" s="374"/>
      <c r="B61" s="383"/>
      <c r="C61" s="383"/>
      <c r="D61" s="383"/>
      <c r="E61" s="406"/>
      <c r="F61" s="377"/>
      <c r="G61" s="383"/>
      <c r="H61" s="380"/>
      <c r="I61" s="409"/>
      <c r="J61" s="383"/>
      <c r="K61" s="383"/>
      <c r="L61" s="383"/>
      <c r="M61" s="383"/>
      <c r="N61" s="195" t="s">
        <v>459</v>
      </c>
      <c r="O61" s="377"/>
      <c r="P61" s="188">
        <v>800</v>
      </c>
      <c r="Q61" s="189" t="s">
        <v>463</v>
      </c>
      <c r="R61" s="190"/>
      <c r="S61" s="188"/>
      <c r="T61" s="188"/>
      <c r="U61" s="380"/>
      <c r="V61" s="386"/>
      <c r="W61" s="403"/>
      <c r="X61" s="2">
        <v>57</v>
      </c>
    </row>
    <row r="62" spans="1:24" x14ac:dyDescent="0.25">
      <c r="A62" s="375"/>
      <c r="B62" s="384"/>
      <c r="C62" s="384"/>
      <c r="D62" s="384"/>
      <c r="E62" s="407"/>
      <c r="F62" s="378"/>
      <c r="G62" s="384"/>
      <c r="H62" s="381"/>
      <c r="I62" s="410"/>
      <c r="J62" s="384"/>
      <c r="K62" s="384"/>
      <c r="L62" s="384"/>
      <c r="M62" s="384"/>
      <c r="N62" s="196" t="s">
        <v>467</v>
      </c>
      <c r="O62" s="378"/>
      <c r="P62" s="191">
        <v>600</v>
      </c>
      <c r="Q62" s="192" t="s">
        <v>470</v>
      </c>
      <c r="R62" s="193"/>
      <c r="S62" s="191"/>
      <c r="T62" s="191"/>
      <c r="U62" s="381"/>
      <c r="V62" s="387"/>
      <c r="W62" s="404"/>
      <c r="X62" s="2">
        <v>57</v>
      </c>
    </row>
    <row r="63" spans="1:24" s="85" customFormat="1" ht="72" customHeight="1" x14ac:dyDescent="0.25">
      <c r="A63" s="412">
        <v>10</v>
      </c>
      <c r="B63" s="370" t="s">
        <v>56</v>
      </c>
      <c r="C63" s="370"/>
      <c r="D63" s="370"/>
      <c r="E63" s="388" t="s">
        <v>291</v>
      </c>
      <c r="F63" s="391" t="s">
        <v>283</v>
      </c>
      <c r="G63" s="370" t="s">
        <v>292</v>
      </c>
      <c r="H63" s="394">
        <v>157474.79999999999</v>
      </c>
      <c r="I63" s="397">
        <f>IF(X63 = 58, H63 + SUM(S63:S72) - SUM(T63:T72) - SUM(P63:P72) - V63,0)</f>
        <v>-7.2759576141834259E-12</v>
      </c>
      <c r="J63" s="370" t="s">
        <v>285</v>
      </c>
      <c r="K63" s="370" t="s">
        <v>286</v>
      </c>
      <c r="L63" s="370"/>
      <c r="M63" s="370" t="s">
        <v>287</v>
      </c>
      <c r="N63" s="223" t="s">
        <v>307</v>
      </c>
      <c r="O63" s="391" t="s">
        <v>288</v>
      </c>
      <c r="P63" s="219">
        <v>11269.73</v>
      </c>
      <c r="Q63" s="218" t="s">
        <v>311</v>
      </c>
      <c r="R63" s="217"/>
      <c r="S63" s="219"/>
      <c r="T63" s="219"/>
      <c r="U63" s="394" t="s">
        <v>517</v>
      </c>
      <c r="V63" s="367">
        <v>53294.239999999998</v>
      </c>
      <c r="W63" s="400"/>
      <c r="X63" s="85">
        <v>58</v>
      </c>
    </row>
    <row r="64" spans="1:24" x14ac:dyDescent="0.25">
      <c r="A64" s="413"/>
      <c r="B64" s="371"/>
      <c r="C64" s="371"/>
      <c r="D64" s="371"/>
      <c r="E64" s="389"/>
      <c r="F64" s="392"/>
      <c r="G64" s="371"/>
      <c r="H64" s="395"/>
      <c r="I64" s="398"/>
      <c r="J64" s="371"/>
      <c r="K64" s="371"/>
      <c r="L64" s="371"/>
      <c r="M64" s="371"/>
      <c r="N64" s="228" t="s">
        <v>307</v>
      </c>
      <c r="O64" s="392"/>
      <c r="P64" s="225">
        <v>9220.69</v>
      </c>
      <c r="Q64" s="226" t="s">
        <v>311</v>
      </c>
      <c r="R64" s="227"/>
      <c r="S64" s="225"/>
      <c r="T64" s="225"/>
      <c r="U64" s="395"/>
      <c r="V64" s="368"/>
      <c r="W64" s="411"/>
      <c r="X64" s="2">
        <v>58</v>
      </c>
    </row>
    <row r="65" spans="1:24" x14ac:dyDescent="0.25">
      <c r="A65" s="413"/>
      <c r="B65" s="371"/>
      <c r="C65" s="371"/>
      <c r="D65" s="371"/>
      <c r="E65" s="389"/>
      <c r="F65" s="392"/>
      <c r="G65" s="371"/>
      <c r="H65" s="395"/>
      <c r="I65" s="398"/>
      <c r="J65" s="371"/>
      <c r="K65" s="371"/>
      <c r="L65" s="371"/>
      <c r="M65" s="371"/>
      <c r="N65" s="228" t="s">
        <v>345</v>
      </c>
      <c r="O65" s="392"/>
      <c r="P65" s="225">
        <v>10634.23</v>
      </c>
      <c r="Q65" s="226" t="s">
        <v>355</v>
      </c>
      <c r="R65" s="227"/>
      <c r="S65" s="225"/>
      <c r="T65" s="225"/>
      <c r="U65" s="395"/>
      <c r="V65" s="368"/>
      <c r="W65" s="411"/>
      <c r="X65" s="2">
        <v>58</v>
      </c>
    </row>
    <row r="66" spans="1:24" x14ac:dyDescent="0.25">
      <c r="A66" s="413"/>
      <c r="B66" s="371"/>
      <c r="C66" s="371"/>
      <c r="D66" s="371"/>
      <c r="E66" s="389"/>
      <c r="F66" s="392"/>
      <c r="G66" s="371"/>
      <c r="H66" s="395"/>
      <c r="I66" s="398"/>
      <c r="J66" s="371"/>
      <c r="K66" s="371"/>
      <c r="L66" s="371"/>
      <c r="M66" s="371"/>
      <c r="N66" s="228" t="s">
        <v>345</v>
      </c>
      <c r="O66" s="392"/>
      <c r="P66" s="225">
        <v>8700.74</v>
      </c>
      <c r="Q66" s="226" t="s">
        <v>355</v>
      </c>
      <c r="R66" s="227"/>
      <c r="S66" s="225"/>
      <c r="T66" s="225"/>
      <c r="U66" s="395"/>
      <c r="V66" s="368"/>
      <c r="W66" s="411"/>
      <c r="X66" s="2">
        <v>58</v>
      </c>
    </row>
    <row r="67" spans="1:24" x14ac:dyDescent="0.25">
      <c r="A67" s="413"/>
      <c r="B67" s="371"/>
      <c r="C67" s="371"/>
      <c r="D67" s="371"/>
      <c r="E67" s="389"/>
      <c r="F67" s="392"/>
      <c r="G67" s="371"/>
      <c r="H67" s="395"/>
      <c r="I67" s="398"/>
      <c r="J67" s="371"/>
      <c r="K67" s="371"/>
      <c r="L67" s="371"/>
      <c r="M67" s="371"/>
      <c r="N67" s="228" t="s">
        <v>383</v>
      </c>
      <c r="O67" s="392"/>
      <c r="P67" s="225">
        <v>11999.06</v>
      </c>
      <c r="Q67" s="226" t="s">
        <v>375</v>
      </c>
      <c r="R67" s="227"/>
      <c r="S67" s="225"/>
      <c r="T67" s="225"/>
      <c r="U67" s="395"/>
      <c r="V67" s="368"/>
      <c r="W67" s="411"/>
      <c r="X67" s="2">
        <v>58</v>
      </c>
    </row>
    <row r="68" spans="1:24" x14ac:dyDescent="0.25">
      <c r="A68" s="413"/>
      <c r="B68" s="371"/>
      <c r="C68" s="371"/>
      <c r="D68" s="371"/>
      <c r="E68" s="389"/>
      <c r="F68" s="392"/>
      <c r="G68" s="371"/>
      <c r="H68" s="395"/>
      <c r="I68" s="398"/>
      <c r="J68" s="371"/>
      <c r="K68" s="371"/>
      <c r="L68" s="371"/>
      <c r="M68" s="371"/>
      <c r="N68" s="228" t="s">
        <v>383</v>
      </c>
      <c r="O68" s="392"/>
      <c r="P68" s="225">
        <v>9817.41</v>
      </c>
      <c r="Q68" s="226" t="s">
        <v>375</v>
      </c>
      <c r="R68" s="227"/>
      <c r="S68" s="225"/>
      <c r="T68" s="225"/>
      <c r="U68" s="395"/>
      <c r="V68" s="368"/>
      <c r="W68" s="411"/>
      <c r="X68" s="2">
        <v>58</v>
      </c>
    </row>
    <row r="69" spans="1:24" x14ac:dyDescent="0.25">
      <c r="A69" s="413"/>
      <c r="B69" s="371"/>
      <c r="C69" s="371"/>
      <c r="D69" s="371"/>
      <c r="E69" s="389"/>
      <c r="F69" s="392"/>
      <c r="G69" s="371"/>
      <c r="H69" s="395"/>
      <c r="I69" s="398"/>
      <c r="J69" s="371"/>
      <c r="K69" s="371"/>
      <c r="L69" s="371"/>
      <c r="M69" s="371"/>
      <c r="N69" s="228" t="s">
        <v>459</v>
      </c>
      <c r="O69" s="392"/>
      <c r="P69" s="225">
        <v>14127.21</v>
      </c>
      <c r="Q69" s="226" t="s">
        <v>463</v>
      </c>
      <c r="R69" s="227"/>
      <c r="S69" s="225"/>
      <c r="T69" s="225"/>
      <c r="U69" s="395"/>
      <c r="V69" s="368"/>
      <c r="W69" s="411"/>
      <c r="X69" s="2">
        <v>58</v>
      </c>
    </row>
    <row r="70" spans="1:24" x14ac:dyDescent="0.25">
      <c r="A70" s="413"/>
      <c r="B70" s="371"/>
      <c r="C70" s="371"/>
      <c r="D70" s="371"/>
      <c r="E70" s="389"/>
      <c r="F70" s="392"/>
      <c r="G70" s="371"/>
      <c r="H70" s="395"/>
      <c r="I70" s="398"/>
      <c r="J70" s="371"/>
      <c r="K70" s="371"/>
      <c r="L70" s="371"/>
      <c r="M70" s="371"/>
      <c r="N70" s="228" t="s">
        <v>459</v>
      </c>
      <c r="O70" s="392"/>
      <c r="P70" s="225">
        <v>11558.62</v>
      </c>
      <c r="Q70" s="226" t="s">
        <v>463</v>
      </c>
      <c r="R70" s="227"/>
      <c r="S70" s="225"/>
      <c r="T70" s="225"/>
      <c r="U70" s="395"/>
      <c r="V70" s="368"/>
      <c r="W70" s="411"/>
      <c r="X70" s="2">
        <v>58</v>
      </c>
    </row>
    <row r="71" spans="1:24" x14ac:dyDescent="0.25">
      <c r="A71" s="413"/>
      <c r="B71" s="371"/>
      <c r="C71" s="371"/>
      <c r="D71" s="371"/>
      <c r="E71" s="389"/>
      <c r="F71" s="392"/>
      <c r="G71" s="371"/>
      <c r="H71" s="395"/>
      <c r="I71" s="398"/>
      <c r="J71" s="371"/>
      <c r="K71" s="371"/>
      <c r="L71" s="371"/>
      <c r="M71" s="371"/>
      <c r="N71" s="228" t="s">
        <v>467</v>
      </c>
      <c r="O71" s="392"/>
      <c r="P71" s="225">
        <v>9269.08</v>
      </c>
      <c r="Q71" s="226" t="s">
        <v>509</v>
      </c>
      <c r="R71" s="227"/>
      <c r="S71" s="225"/>
      <c r="T71" s="225"/>
      <c r="U71" s="395"/>
      <c r="V71" s="368"/>
      <c r="W71" s="411"/>
      <c r="X71" s="2">
        <v>58</v>
      </c>
    </row>
    <row r="72" spans="1:24" x14ac:dyDescent="0.25">
      <c r="A72" s="414"/>
      <c r="B72" s="372"/>
      <c r="C72" s="372"/>
      <c r="D72" s="372"/>
      <c r="E72" s="390"/>
      <c r="F72" s="393"/>
      <c r="G72" s="372"/>
      <c r="H72" s="396"/>
      <c r="I72" s="399"/>
      <c r="J72" s="372"/>
      <c r="K72" s="372"/>
      <c r="L72" s="372"/>
      <c r="M72" s="372"/>
      <c r="N72" s="224" t="s">
        <v>467</v>
      </c>
      <c r="O72" s="393"/>
      <c r="P72" s="220">
        <v>7583.79</v>
      </c>
      <c r="Q72" s="221" t="s">
        <v>509</v>
      </c>
      <c r="R72" s="222"/>
      <c r="S72" s="220"/>
      <c r="T72" s="220"/>
      <c r="U72" s="396"/>
      <c r="V72" s="369"/>
      <c r="W72" s="401"/>
      <c r="X72" s="2">
        <v>58</v>
      </c>
    </row>
    <row r="73" spans="1:24" s="85" customFormat="1" ht="72" customHeight="1" x14ac:dyDescent="0.25">
      <c r="A73" s="373">
        <v>11</v>
      </c>
      <c r="B73" s="382" t="s">
        <v>56</v>
      </c>
      <c r="C73" s="382"/>
      <c r="D73" s="382"/>
      <c r="E73" s="405" t="s">
        <v>293</v>
      </c>
      <c r="F73" s="376" t="s">
        <v>283</v>
      </c>
      <c r="G73" s="382" t="s">
        <v>294</v>
      </c>
      <c r="H73" s="379">
        <v>46200</v>
      </c>
      <c r="I73" s="408">
        <f>IF(X73 = 59, H73 + SUM(S73:S77) - SUM(T73:T77) - SUM(P73:P77) - V73,0)</f>
        <v>0</v>
      </c>
      <c r="J73" s="382" t="s">
        <v>285</v>
      </c>
      <c r="K73" s="382" t="s">
        <v>286</v>
      </c>
      <c r="L73" s="382"/>
      <c r="M73" s="382" t="s">
        <v>287</v>
      </c>
      <c r="N73" s="194" t="s">
        <v>307</v>
      </c>
      <c r="O73" s="376" t="s">
        <v>288</v>
      </c>
      <c r="P73" s="187">
        <v>5800</v>
      </c>
      <c r="Q73" s="186" t="s">
        <v>313</v>
      </c>
      <c r="R73" s="185"/>
      <c r="S73" s="187"/>
      <c r="T73" s="187"/>
      <c r="U73" s="379" t="s">
        <v>515</v>
      </c>
      <c r="V73" s="385">
        <v>16750</v>
      </c>
      <c r="W73" s="402"/>
      <c r="X73" s="85">
        <v>59</v>
      </c>
    </row>
    <row r="74" spans="1:24" x14ac:dyDescent="0.25">
      <c r="A74" s="374"/>
      <c r="B74" s="383"/>
      <c r="C74" s="383"/>
      <c r="D74" s="383"/>
      <c r="E74" s="406"/>
      <c r="F74" s="377"/>
      <c r="G74" s="383"/>
      <c r="H74" s="380"/>
      <c r="I74" s="409"/>
      <c r="J74" s="383"/>
      <c r="K74" s="383"/>
      <c r="L74" s="383"/>
      <c r="M74" s="383"/>
      <c r="N74" s="195" t="s">
        <v>345</v>
      </c>
      <c r="O74" s="377"/>
      <c r="P74" s="188">
        <v>5475</v>
      </c>
      <c r="Q74" s="189" t="s">
        <v>355</v>
      </c>
      <c r="R74" s="190"/>
      <c r="S74" s="188"/>
      <c r="T74" s="188"/>
      <c r="U74" s="380"/>
      <c r="V74" s="386"/>
      <c r="W74" s="403"/>
      <c r="X74" s="2">
        <v>59</v>
      </c>
    </row>
    <row r="75" spans="1:24" x14ac:dyDescent="0.25">
      <c r="A75" s="374"/>
      <c r="B75" s="383"/>
      <c r="C75" s="383"/>
      <c r="D75" s="383"/>
      <c r="E75" s="406"/>
      <c r="F75" s="377"/>
      <c r="G75" s="383"/>
      <c r="H75" s="380"/>
      <c r="I75" s="409"/>
      <c r="J75" s="383"/>
      <c r="K75" s="383"/>
      <c r="L75" s="383"/>
      <c r="M75" s="383"/>
      <c r="N75" s="195" t="s">
        <v>383</v>
      </c>
      <c r="O75" s="377"/>
      <c r="P75" s="188">
        <v>6125</v>
      </c>
      <c r="Q75" s="189" t="s">
        <v>375</v>
      </c>
      <c r="R75" s="190"/>
      <c r="S75" s="188"/>
      <c r="T75" s="188"/>
      <c r="U75" s="380"/>
      <c r="V75" s="386"/>
      <c r="W75" s="403"/>
      <c r="X75" s="2">
        <v>59</v>
      </c>
    </row>
    <row r="76" spans="1:24" x14ac:dyDescent="0.25">
      <c r="A76" s="374"/>
      <c r="B76" s="383"/>
      <c r="C76" s="383"/>
      <c r="D76" s="383"/>
      <c r="E76" s="406"/>
      <c r="F76" s="377"/>
      <c r="G76" s="383"/>
      <c r="H76" s="380"/>
      <c r="I76" s="409"/>
      <c r="J76" s="383"/>
      <c r="K76" s="383"/>
      <c r="L76" s="383"/>
      <c r="M76" s="383"/>
      <c r="N76" s="195" t="s">
        <v>459</v>
      </c>
      <c r="O76" s="377"/>
      <c r="P76" s="188">
        <v>7275</v>
      </c>
      <c r="Q76" s="189" t="s">
        <v>463</v>
      </c>
      <c r="R76" s="190"/>
      <c r="S76" s="188"/>
      <c r="T76" s="188"/>
      <c r="U76" s="380"/>
      <c r="V76" s="386"/>
      <c r="W76" s="403"/>
      <c r="X76" s="2">
        <v>59</v>
      </c>
    </row>
    <row r="77" spans="1:24" x14ac:dyDescent="0.25">
      <c r="A77" s="375"/>
      <c r="B77" s="384"/>
      <c r="C77" s="384"/>
      <c r="D77" s="384"/>
      <c r="E77" s="407"/>
      <c r="F77" s="378"/>
      <c r="G77" s="384"/>
      <c r="H77" s="381"/>
      <c r="I77" s="410"/>
      <c r="J77" s="384"/>
      <c r="K77" s="384"/>
      <c r="L77" s="384"/>
      <c r="M77" s="384"/>
      <c r="N77" s="196" t="s">
        <v>467</v>
      </c>
      <c r="O77" s="378"/>
      <c r="P77" s="191">
        <v>4775</v>
      </c>
      <c r="Q77" s="192" t="s">
        <v>470</v>
      </c>
      <c r="R77" s="193"/>
      <c r="S77" s="191"/>
      <c r="T77" s="191"/>
      <c r="U77" s="381"/>
      <c r="V77" s="387"/>
      <c r="W77" s="404"/>
      <c r="X77" s="2">
        <v>59</v>
      </c>
    </row>
    <row r="78" spans="1:24" s="85" customFormat="1" ht="72" customHeight="1" x14ac:dyDescent="0.25">
      <c r="A78" s="373">
        <v>12</v>
      </c>
      <c r="B78" s="382" t="s">
        <v>56</v>
      </c>
      <c r="C78" s="382"/>
      <c r="D78" s="382"/>
      <c r="E78" s="405" t="s">
        <v>320</v>
      </c>
      <c r="F78" s="376" t="s">
        <v>283</v>
      </c>
      <c r="G78" s="382" t="s">
        <v>319</v>
      </c>
      <c r="H78" s="379">
        <v>10500</v>
      </c>
      <c r="I78" s="408">
        <f>IF(X78 = 60, H78 + SUM(S78:S83) - SUM(T78:T83) - SUM(P78:P83) - V78,0)</f>
        <v>0</v>
      </c>
      <c r="J78" s="382" t="s">
        <v>285</v>
      </c>
      <c r="K78" s="382" t="s">
        <v>286</v>
      </c>
      <c r="L78" s="382"/>
      <c r="M78" s="382" t="s">
        <v>287</v>
      </c>
      <c r="N78" s="194" t="s">
        <v>345</v>
      </c>
      <c r="O78" s="376" t="s">
        <v>288</v>
      </c>
      <c r="P78" s="187">
        <v>1375</v>
      </c>
      <c r="Q78" s="186" t="s">
        <v>349</v>
      </c>
      <c r="R78" s="185"/>
      <c r="S78" s="187"/>
      <c r="T78" s="187"/>
      <c r="U78" s="379" t="s">
        <v>515</v>
      </c>
      <c r="V78" s="385">
        <v>3700</v>
      </c>
      <c r="W78" s="402"/>
      <c r="X78" s="85">
        <v>60</v>
      </c>
    </row>
    <row r="79" spans="1:24" x14ac:dyDescent="0.25">
      <c r="A79" s="374"/>
      <c r="B79" s="383"/>
      <c r="C79" s="383"/>
      <c r="D79" s="383"/>
      <c r="E79" s="406"/>
      <c r="F79" s="377"/>
      <c r="G79" s="383"/>
      <c r="H79" s="380"/>
      <c r="I79" s="409"/>
      <c r="J79" s="383"/>
      <c r="K79" s="383"/>
      <c r="L79" s="383"/>
      <c r="M79" s="383"/>
      <c r="N79" s="195" t="s">
        <v>345</v>
      </c>
      <c r="O79" s="377"/>
      <c r="P79" s="188">
        <v>1375</v>
      </c>
      <c r="Q79" s="189" t="s">
        <v>349</v>
      </c>
      <c r="R79" s="190"/>
      <c r="S79" s="188"/>
      <c r="T79" s="188"/>
      <c r="U79" s="380"/>
      <c r="V79" s="386"/>
      <c r="W79" s="403"/>
      <c r="X79" s="2">
        <v>60</v>
      </c>
    </row>
    <row r="80" spans="1:24" x14ac:dyDescent="0.25">
      <c r="A80" s="374"/>
      <c r="B80" s="383"/>
      <c r="C80" s="383"/>
      <c r="D80" s="383"/>
      <c r="E80" s="406"/>
      <c r="F80" s="377"/>
      <c r="G80" s="383"/>
      <c r="H80" s="380"/>
      <c r="I80" s="409"/>
      <c r="J80" s="383"/>
      <c r="K80" s="383"/>
      <c r="L80" s="383"/>
      <c r="M80" s="383"/>
      <c r="N80" s="195" t="s">
        <v>345</v>
      </c>
      <c r="O80" s="377"/>
      <c r="P80" s="188">
        <v>-25</v>
      </c>
      <c r="Q80" s="189" t="s">
        <v>382</v>
      </c>
      <c r="R80" s="190"/>
      <c r="S80" s="188"/>
      <c r="T80" s="188"/>
      <c r="U80" s="380"/>
      <c r="V80" s="386"/>
      <c r="W80" s="403"/>
      <c r="X80" s="2">
        <v>60</v>
      </c>
    </row>
    <row r="81" spans="1:24" x14ac:dyDescent="0.25">
      <c r="A81" s="374"/>
      <c r="B81" s="383"/>
      <c r="C81" s="383"/>
      <c r="D81" s="383"/>
      <c r="E81" s="406"/>
      <c r="F81" s="377"/>
      <c r="G81" s="383"/>
      <c r="H81" s="380"/>
      <c r="I81" s="409"/>
      <c r="J81" s="383"/>
      <c r="K81" s="383"/>
      <c r="L81" s="383"/>
      <c r="M81" s="383"/>
      <c r="N81" s="195" t="s">
        <v>383</v>
      </c>
      <c r="O81" s="377"/>
      <c r="P81" s="188">
        <v>1425</v>
      </c>
      <c r="Q81" s="189" t="s">
        <v>377</v>
      </c>
      <c r="R81" s="190"/>
      <c r="S81" s="188"/>
      <c r="T81" s="188"/>
      <c r="U81" s="380"/>
      <c r="V81" s="386"/>
      <c r="W81" s="403"/>
      <c r="X81" s="2">
        <v>60</v>
      </c>
    </row>
    <row r="82" spans="1:24" x14ac:dyDescent="0.25">
      <c r="A82" s="374"/>
      <c r="B82" s="383"/>
      <c r="C82" s="383"/>
      <c r="D82" s="383"/>
      <c r="E82" s="406"/>
      <c r="F82" s="377"/>
      <c r="G82" s="383"/>
      <c r="H82" s="380"/>
      <c r="I82" s="409"/>
      <c r="J82" s="383"/>
      <c r="K82" s="383"/>
      <c r="L82" s="383"/>
      <c r="M82" s="383"/>
      <c r="N82" s="195" t="s">
        <v>459</v>
      </c>
      <c r="O82" s="377"/>
      <c r="P82" s="188">
        <v>1825</v>
      </c>
      <c r="Q82" s="189" t="s">
        <v>463</v>
      </c>
      <c r="R82" s="190"/>
      <c r="S82" s="188"/>
      <c r="T82" s="188"/>
      <c r="U82" s="380"/>
      <c r="V82" s="386"/>
      <c r="W82" s="403"/>
      <c r="X82" s="2">
        <v>60</v>
      </c>
    </row>
    <row r="83" spans="1:24" x14ac:dyDescent="0.25">
      <c r="A83" s="375"/>
      <c r="B83" s="384"/>
      <c r="C83" s="384"/>
      <c r="D83" s="384"/>
      <c r="E83" s="407"/>
      <c r="F83" s="378"/>
      <c r="G83" s="384"/>
      <c r="H83" s="381"/>
      <c r="I83" s="410"/>
      <c r="J83" s="384"/>
      <c r="K83" s="384"/>
      <c r="L83" s="384"/>
      <c r="M83" s="384"/>
      <c r="N83" s="196" t="s">
        <v>467</v>
      </c>
      <c r="O83" s="378"/>
      <c r="P83" s="191">
        <v>825</v>
      </c>
      <c r="Q83" s="192" t="s">
        <v>470</v>
      </c>
      <c r="R83" s="193"/>
      <c r="S83" s="191"/>
      <c r="T83" s="191"/>
      <c r="U83" s="381"/>
      <c r="V83" s="387"/>
      <c r="W83" s="404"/>
      <c r="X83" s="2">
        <v>60</v>
      </c>
    </row>
    <row r="84" spans="1:24" s="85" customFormat="1" ht="72" customHeight="1" x14ac:dyDescent="0.25">
      <c r="A84" s="373">
        <v>13</v>
      </c>
      <c r="B84" s="382" t="s">
        <v>56</v>
      </c>
      <c r="C84" s="382"/>
      <c r="D84" s="382"/>
      <c r="E84" s="405" t="s">
        <v>318</v>
      </c>
      <c r="F84" s="376" t="s">
        <v>283</v>
      </c>
      <c r="G84" s="382" t="s">
        <v>321</v>
      </c>
      <c r="H84" s="379">
        <v>40017.599999999999</v>
      </c>
      <c r="I84" s="408">
        <f>IF(X84 = 61, H84 + SUM(S84:S88) - SUM(T84:T88) - SUM(P84:P88) - V84,0)</f>
        <v>0</v>
      </c>
      <c r="J84" s="382" t="s">
        <v>285</v>
      </c>
      <c r="K84" s="382" t="s">
        <v>286</v>
      </c>
      <c r="L84" s="382"/>
      <c r="M84" s="382" t="s">
        <v>287</v>
      </c>
      <c r="N84" s="194" t="s">
        <v>345</v>
      </c>
      <c r="O84" s="376" t="s">
        <v>288</v>
      </c>
      <c r="P84" s="187">
        <v>5240.3999999999996</v>
      </c>
      <c r="Q84" s="186" t="s">
        <v>357</v>
      </c>
      <c r="R84" s="185"/>
      <c r="S84" s="187"/>
      <c r="T84" s="187"/>
      <c r="U84" s="379" t="s">
        <v>515</v>
      </c>
      <c r="V84" s="385">
        <v>14275.68</v>
      </c>
      <c r="W84" s="402"/>
      <c r="X84" s="85">
        <v>61</v>
      </c>
    </row>
    <row r="85" spans="1:24" ht="16.899999999999999" customHeight="1" x14ac:dyDescent="0.25">
      <c r="A85" s="374"/>
      <c r="B85" s="383"/>
      <c r="C85" s="383"/>
      <c r="D85" s="383"/>
      <c r="E85" s="406"/>
      <c r="F85" s="377"/>
      <c r="G85" s="383"/>
      <c r="H85" s="380"/>
      <c r="I85" s="409"/>
      <c r="J85" s="383"/>
      <c r="K85" s="383"/>
      <c r="L85" s="383"/>
      <c r="M85" s="383"/>
      <c r="N85" s="195" t="s">
        <v>345</v>
      </c>
      <c r="O85" s="377"/>
      <c r="P85" s="188">
        <v>4970.88</v>
      </c>
      <c r="Q85" s="189" t="s">
        <v>357</v>
      </c>
      <c r="R85" s="190"/>
      <c r="S85" s="188"/>
      <c r="T85" s="188"/>
      <c r="U85" s="380"/>
      <c r="V85" s="386"/>
      <c r="W85" s="403"/>
      <c r="X85" s="2">
        <v>61</v>
      </c>
    </row>
    <row r="86" spans="1:24" ht="22.9" customHeight="1" x14ac:dyDescent="0.25">
      <c r="A86" s="374"/>
      <c r="B86" s="383"/>
      <c r="C86" s="383"/>
      <c r="D86" s="383"/>
      <c r="E86" s="406"/>
      <c r="F86" s="377"/>
      <c r="G86" s="383"/>
      <c r="H86" s="380"/>
      <c r="I86" s="409"/>
      <c r="J86" s="383"/>
      <c r="K86" s="383"/>
      <c r="L86" s="383"/>
      <c r="M86" s="383"/>
      <c r="N86" s="195" t="s">
        <v>383</v>
      </c>
      <c r="O86" s="377"/>
      <c r="P86" s="188">
        <v>5430.96</v>
      </c>
      <c r="Q86" s="189" t="s">
        <v>376</v>
      </c>
      <c r="R86" s="190"/>
      <c r="S86" s="188"/>
      <c r="T86" s="188"/>
      <c r="U86" s="380"/>
      <c r="V86" s="386"/>
      <c r="W86" s="403"/>
      <c r="X86" s="2">
        <v>61</v>
      </c>
    </row>
    <row r="87" spans="1:24" x14ac:dyDescent="0.25">
      <c r="A87" s="374"/>
      <c r="B87" s="383"/>
      <c r="C87" s="383"/>
      <c r="D87" s="383"/>
      <c r="E87" s="406"/>
      <c r="F87" s="377"/>
      <c r="G87" s="383"/>
      <c r="H87" s="380"/>
      <c r="I87" s="409"/>
      <c r="J87" s="383"/>
      <c r="K87" s="383"/>
      <c r="L87" s="383"/>
      <c r="M87" s="383"/>
      <c r="N87" s="195" t="s">
        <v>459</v>
      </c>
      <c r="O87" s="377"/>
      <c r="P87" s="188">
        <v>6955.44</v>
      </c>
      <c r="Q87" s="189" t="s">
        <v>463</v>
      </c>
      <c r="R87" s="190"/>
      <c r="S87" s="188"/>
      <c r="T87" s="188"/>
      <c r="U87" s="380"/>
      <c r="V87" s="386"/>
      <c r="W87" s="403"/>
      <c r="X87" s="2">
        <v>61</v>
      </c>
    </row>
    <row r="88" spans="1:24" x14ac:dyDescent="0.25">
      <c r="A88" s="375"/>
      <c r="B88" s="384"/>
      <c r="C88" s="384"/>
      <c r="D88" s="384"/>
      <c r="E88" s="407"/>
      <c r="F88" s="378"/>
      <c r="G88" s="384"/>
      <c r="H88" s="381"/>
      <c r="I88" s="410"/>
      <c r="J88" s="384"/>
      <c r="K88" s="384"/>
      <c r="L88" s="384"/>
      <c r="M88" s="384"/>
      <c r="N88" s="196" t="s">
        <v>467</v>
      </c>
      <c r="O88" s="378"/>
      <c r="P88" s="191">
        <v>3144.24</v>
      </c>
      <c r="Q88" s="192" t="s">
        <v>470</v>
      </c>
      <c r="R88" s="193"/>
      <c r="S88" s="191"/>
      <c r="T88" s="191"/>
      <c r="U88" s="381"/>
      <c r="V88" s="387"/>
      <c r="W88" s="404"/>
      <c r="X88" s="2">
        <v>61</v>
      </c>
    </row>
    <row r="89" spans="1:24" s="85" customFormat="1" ht="118.9" customHeight="1" x14ac:dyDescent="0.25">
      <c r="A89" s="480">
        <v>14</v>
      </c>
      <c r="B89" s="437" t="s">
        <v>56</v>
      </c>
      <c r="C89" s="437"/>
      <c r="D89" s="437"/>
      <c r="E89" s="492" t="s">
        <v>409</v>
      </c>
      <c r="F89" s="434" t="s">
        <v>256</v>
      </c>
      <c r="G89" s="437" t="s">
        <v>410</v>
      </c>
      <c r="H89" s="440">
        <v>12096</v>
      </c>
      <c r="I89" s="443">
        <f>IF(X89 = 62, H89 + SUM(S89:S92) - SUM(T89:T92) - SUM(P89:P92) - V89,0)</f>
        <v>1512</v>
      </c>
      <c r="J89" s="437" t="s">
        <v>411</v>
      </c>
      <c r="K89" s="437" t="s">
        <v>412</v>
      </c>
      <c r="L89" s="437"/>
      <c r="M89" s="437" t="s">
        <v>214</v>
      </c>
      <c r="N89" s="304" t="s">
        <v>315</v>
      </c>
      <c r="O89" s="434" t="s">
        <v>413</v>
      </c>
      <c r="P89" s="294">
        <v>6048</v>
      </c>
      <c r="Q89" s="293" t="s">
        <v>466</v>
      </c>
      <c r="R89" s="292"/>
      <c r="S89" s="294"/>
      <c r="T89" s="294"/>
      <c r="U89" s="440"/>
      <c r="V89" s="483"/>
      <c r="W89" s="486"/>
      <c r="X89" s="85">
        <v>62</v>
      </c>
    </row>
    <row r="90" spans="1:24" x14ac:dyDescent="0.25">
      <c r="A90" s="481"/>
      <c r="B90" s="438"/>
      <c r="C90" s="438"/>
      <c r="D90" s="438"/>
      <c r="E90" s="494"/>
      <c r="F90" s="435"/>
      <c r="G90" s="438"/>
      <c r="H90" s="441"/>
      <c r="I90" s="444"/>
      <c r="J90" s="438"/>
      <c r="K90" s="438"/>
      <c r="L90" s="438"/>
      <c r="M90" s="438"/>
      <c r="N90" s="306" t="s">
        <v>371</v>
      </c>
      <c r="O90" s="435"/>
      <c r="P90" s="298">
        <v>1512</v>
      </c>
      <c r="Q90" s="299" t="s">
        <v>466</v>
      </c>
      <c r="R90" s="300"/>
      <c r="S90" s="298"/>
      <c r="T90" s="298"/>
      <c r="U90" s="441"/>
      <c r="V90" s="484"/>
      <c r="W90" s="487"/>
      <c r="X90" s="2">
        <v>62</v>
      </c>
    </row>
    <row r="91" spans="1:24" x14ac:dyDescent="0.25">
      <c r="A91" s="481"/>
      <c r="B91" s="438"/>
      <c r="C91" s="438"/>
      <c r="D91" s="438"/>
      <c r="E91" s="494"/>
      <c r="F91" s="435"/>
      <c r="G91" s="438"/>
      <c r="H91" s="441"/>
      <c r="I91" s="444"/>
      <c r="J91" s="438"/>
      <c r="K91" s="438"/>
      <c r="L91" s="438"/>
      <c r="M91" s="438"/>
      <c r="N91" s="306" t="s">
        <v>562</v>
      </c>
      <c r="O91" s="435"/>
      <c r="P91" s="298">
        <v>1512</v>
      </c>
      <c r="Q91" s="299" t="s">
        <v>569</v>
      </c>
      <c r="R91" s="300"/>
      <c r="S91" s="298"/>
      <c r="T91" s="298"/>
      <c r="U91" s="441"/>
      <c r="V91" s="484"/>
      <c r="W91" s="487"/>
      <c r="X91" s="2">
        <v>62</v>
      </c>
    </row>
    <row r="92" spans="1:24" x14ac:dyDescent="0.25">
      <c r="A92" s="482"/>
      <c r="B92" s="439"/>
      <c r="C92" s="439"/>
      <c r="D92" s="439"/>
      <c r="E92" s="493"/>
      <c r="F92" s="436"/>
      <c r="G92" s="439"/>
      <c r="H92" s="442"/>
      <c r="I92" s="445"/>
      <c r="J92" s="439"/>
      <c r="K92" s="439"/>
      <c r="L92" s="439"/>
      <c r="M92" s="439"/>
      <c r="N92" s="307" t="s">
        <v>695</v>
      </c>
      <c r="O92" s="436"/>
      <c r="P92" s="301">
        <v>1512</v>
      </c>
      <c r="Q92" s="302" t="s">
        <v>699</v>
      </c>
      <c r="R92" s="303"/>
      <c r="S92" s="301"/>
      <c r="T92" s="301"/>
      <c r="U92" s="442"/>
      <c r="V92" s="485"/>
      <c r="W92" s="488"/>
      <c r="X92" s="2">
        <v>62</v>
      </c>
    </row>
    <row r="93" spans="1:24" s="85" customFormat="1" ht="144" customHeight="1" x14ac:dyDescent="0.25">
      <c r="A93" s="462">
        <v>15</v>
      </c>
      <c r="B93" s="422" t="s">
        <v>56</v>
      </c>
      <c r="C93" s="422"/>
      <c r="D93" s="422"/>
      <c r="E93" s="426" t="s">
        <v>331</v>
      </c>
      <c r="F93" s="428" t="s">
        <v>332</v>
      </c>
      <c r="G93" s="422" t="s">
        <v>333</v>
      </c>
      <c r="H93" s="430">
        <v>2800</v>
      </c>
      <c r="I93" s="432">
        <f>IF(X93 = 63, H93 + SUM(S93:S94) - SUM(T93:T94) - SUM(P93:P94) - V93,0)</f>
        <v>0</v>
      </c>
      <c r="J93" s="422" t="s">
        <v>334</v>
      </c>
      <c r="K93" s="422" t="s">
        <v>335</v>
      </c>
      <c r="L93" s="422"/>
      <c r="M93" s="422" t="s">
        <v>336</v>
      </c>
      <c r="N93" s="163" t="s">
        <v>356</v>
      </c>
      <c r="O93" s="428" t="s">
        <v>343</v>
      </c>
      <c r="P93" s="156">
        <v>840</v>
      </c>
      <c r="Q93" s="155" t="s">
        <v>352</v>
      </c>
      <c r="R93" s="154"/>
      <c r="S93" s="156"/>
      <c r="T93" s="156"/>
      <c r="U93" s="430"/>
      <c r="V93" s="420"/>
      <c r="W93" s="424"/>
      <c r="X93" s="85">
        <v>63</v>
      </c>
    </row>
    <row r="94" spans="1:24" x14ac:dyDescent="0.25">
      <c r="A94" s="463"/>
      <c r="B94" s="423"/>
      <c r="C94" s="423"/>
      <c r="D94" s="423"/>
      <c r="E94" s="427"/>
      <c r="F94" s="429"/>
      <c r="G94" s="423"/>
      <c r="H94" s="431"/>
      <c r="I94" s="433"/>
      <c r="J94" s="423"/>
      <c r="K94" s="423"/>
      <c r="L94" s="423"/>
      <c r="M94" s="423"/>
      <c r="N94" s="165" t="s">
        <v>371</v>
      </c>
      <c r="O94" s="429"/>
      <c r="P94" s="160">
        <v>1960</v>
      </c>
      <c r="Q94" s="161" t="s">
        <v>370</v>
      </c>
      <c r="R94" s="162"/>
      <c r="S94" s="160"/>
      <c r="T94" s="160"/>
      <c r="U94" s="431"/>
      <c r="V94" s="421"/>
      <c r="W94" s="425"/>
      <c r="X94" s="2">
        <v>63</v>
      </c>
    </row>
    <row r="95" spans="1:24" s="85" customFormat="1" ht="112.5" x14ac:dyDescent="0.25">
      <c r="A95" s="135">
        <v>16</v>
      </c>
      <c r="B95" s="137" t="s">
        <v>56</v>
      </c>
      <c r="C95" s="137"/>
      <c r="D95" s="137"/>
      <c r="E95" s="140" t="s">
        <v>337</v>
      </c>
      <c r="F95" s="142" t="s">
        <v>338</v>
      </c>
      <c r="G95" s="137" t="s">
        <v>339</v>
      </c>
      <c r="H95" s="136">
        <v>40920</v>
      </c>
      <c r="I95" s="141">
        <f>IF(X95 = 64, H95 + SUM(S95:S95) - SUM(T95:T95) - SUM(P95:P95) - V95,0)</f>
        <v>0</v>
      </c>
      <c r="J95" s="137" t="s">
        <v>340</v>
      </c>
      <c r="K95" s="137" t="s">
        <v>341</v>
      </c>
      <c r="L95" s="137"/>
      <c r="M95" s="137" t="s">
        <v>342</v>
      </c>
      <c r="N95" s="142" t="s">
        <v>353</v>
      </c>
      <c r="O95" s="121" t="s">
        <v>330</v>
      </c>
      <c r="P95" s="136">
        <v>40920</v>
      </c>
      <c r="Q95" s="140" t="s">
        <v>352</v>
      </c>
      <c r="R95" s="137"/>
      <c r="S95" s="136"/>
      <c r="T95" s="136"/>
      <c r="U95" s="136"/>
      <c r="V95" s="138"/>
      <c r="W95" s="139"/>
      <c r="X95" s="85">
        <v>64</v>
      </c>
    </row>
    <row r="96" spans="1:24" s="85" customFormat="1" ht="96" customHeight="1" x14ac:dyDescent="0.25">
      <c r="A96" s="152">
        <v>17</v>
      </c>
      <c r="B96" s="147" t="s">
        <v>56</v>
      </c>
      <c r="C96" s="147"/>
      <c r="D96" s="147"/>
      <c r="E96" s="149" t="s">
        <v>358</v>
      </c>
      <c r="F96" s="153" t="s">
        <v>359</v>
      </c>
      <c r="G96" s="137" t="s">
        <v>327</v>
      </c>
      <c r="H96" s="150">
        <v>1900</v>
      </c>
      <c r="I96" s="151">
        <f>IF(X96 = 65, H96 + SUM(S96:S96) - SUM(T96:T96) - SUM(P96:P96) - V96,0)</f>
        <v>0</v>
      </c>
      <c r="J96" s="137" t="s">
        <v>328</v>
      </c>
      <c r="K96" s="137" t="s">
        <v>329</v>
      </c>
      <c r="L96" s="147"/>
      <c r="M96" s="137" t="s">
        <v>360</v>
      </c>
      <c r="N96" s="153" t="s">
        <v>370</v>
      </c>
      <c r="O96" s="121" t="s">
        <v>330</v>
      </c>
      <c r="P96" s="150">
        <v>1900</v>
      </c>
      <c r="Q96" s="149" t="s">
        <v>375</v>
      </c>
      <c r="R96" s="147"/>
      <c r="S96" s="150"/>
      <c r="T96" s="150"/>
      <c r="U96" s="150"/>
      <c r="V96" s="146"/>
      <c r="W96" s="148"/>
      <c r="X96" s="85">
        <v>65</v>
      </c>
    </row>
    <row r="97" spans="1:24" s="85" customFormat="1" ht="144" customHeight="1" x14ac:dyDescent="0.25">
      <c r="A97" s="166">
        <v>18</v>
      </c>
      <c r="B97" s="167" t="s">
        <v>56</v>
      </c>
      <c r="C97" s="167"/>
      <c r="D97" s="167"/>
      <c r="E97" s="168" t="s">
        <v>364</v>
      </c>
      <c r="F97" s="172" t="s">
        <v>365</v>
      </c>
      <c r="G97" s="167" t="s">
        <v>339</v>
      </c>
      <c r="H97" s="169">
        <v>9656</v>
      </c>
      <c r="I97" s="170">
        <f>IF(X97 = 66, H97 + SUM(S97:S97) - SUM(T97:T97) - SUM(P97:P97) - V97,0)</f>
        <v>0</v>
      </c>
      <c r="J97" s="167" t="s">
        <v>366</v>
      </c>
      <c r="K97" s="167" t="s">
        <v>367</v>
      </c>
      <c r="L97" s="167"/>
      <c r="M97" s="167" t="s">
        <v>368</v>
      </c>
      <c r="N97" s="172" t="s">
        <v>376</v>
      </c>
      <c r="O97" s="172" t="s">
        <v>369</v>
      </c>
      <c r="P97" s="169">
        <v>9656</v>
      </c>
      <c r="Q97" s="168" t="s">
        <v>380</v>
      </c>
      <c r="R97" s="167"/>
      <c r="S97" s="169"/>
      <c r="T97" s="169"/>
      <c r="U97" s="169"/>
      <c r="V97" s="173"/>
      <c r="W97" s="171"/>
      <c r="X97" s="85">
        <v>66</v>
      </c>
    </row>
    <row r="98" spans="1:24" s="85" customFormat="1" ht="93.75" x14ac:dyDescent="0.25">
      <c r="A98" s="175">
        <v>19</v>
      </c>
      <c r="B98" s="176" t="s">
        <v>56</v>
      </c>
      <c r="C98" s="176"/>
      <c r="D98" s="176"/>
      <c r="E98" s="177" t="s">
        <v>385</v>
      </c>
      <c r="F98" s="181" t="s">
        <v>386</v>
      </c>
      <c r="G98" s="176" t="s">
        <v>387</v>
      </c>
      <c r="H98" s="178">
        <v>4000</v>
      </c>
      <c r="I98" s="179">
        <f>IF(X98 = 67, H98 + SUM(S98:S98) - SUM(T98:T98) - SUM(P98:P98) - V98,0)</f>
        <v>0</v>
      </c>
      <c r="J98" s="176" t="s">
        <v>388</v>
      </c>
      <c r="K98" s="176" t="s">
        <v>389</v>
      </c>
      <c r="L98" s="176"/>
      <c r="M98" s="176" t="s">
        <v>390</v>
      </c>
      <c r="N98" s="181" t="s">
        <v>458</v>
      </c>
      <c r="O98" s="172" t="s">
        <v>391</v>
      </c>
      <c r="P98" s="178">
        <v>4000</v>
      </c>
      <c r="Q98" s="177" t="s">
        <v>457</v>
      </c>
      <c r="R98" s="176"/>
      <c r="S98" s="178"/>
      <c r="T98" s="178"/>
      <c r="U98" s="178"/>
      <c r="V98" s="180"/>
      <c r="W98" s="174"/>
      <c r="X98" s="85">
        <v>67</v>
      </c>
    </row>
    <row r="99" spans="1:24" s="85" customFormat="1" ht="93.75" x14ac:dyDescent="0.25">
      <c r="A99" s="175">
        <v>20</v>
      </c>
      <c r="B99" s="176" t="s">
        <v>56</v>
      </c>
      <c r="C99" s="176"/>
      <c r="D99" s="176"/>
      <c r="E99" s="177" t="s">
        <v>392</v>
      </c>
      <c r="F99" s="181" t="s">
        <v>393</v>
      </c>
      <c r="G99" s="176" t="s">
        <v>394</v>
      </c>
      <c r="H99" s="178">
        <v>7500</v>
      </c>
      <c r="I99" s="179">
        <f>IF(X99 = 68, H99 + SUM(S99:S99) - SUM(T99:T99) - SUM(P99:P99) - V99,0)</f>
        <v>0</v>
      </c>
      <c r="J99" s="176" t="s">
        <v>395</v>
      </c>
      <c r="K99" s="176" t="s">
        <v>396</v>
      </c>
      <c r="L99" s="176"/>
      <c r="M99" s="176" t="s">
        <v>397</v>
      </c>
      <c r="N99" s="181" t="s">
        <v>462</v>
      </c>
      <c r="O99" s="181" t="s">
        <v>398</v>
      </c>
      <c r="P99" s="178">
        <v>7500</v>
      </c>
      <c r="Q99" s="177" t="s">
        <v>463</v>
      </c>
      <c r="R99" s="176"/>
      <c r="S99" s="178"/>
      <c r="T99" s="178"/>
      <c r="U99" s="178"/>
      <c r="V99" s="180"/>
      <c r="W99" s="174"/>
      <c r="X99" s="85">
        <v>68</v>
      </c>
    </row>
    <row r="100" spans="1:24" s="85" customFormat="1" ht="93.75" x14ac:dyDescent="0.25">
      <c r="A100" s="175">
        <v>21</v>
      </c>
      <c r="B100" s="176" t="s">
        <v>56</v>
      </c>
      <c r="C100" s="176"/>
      <c r="D100" s="176"/>
      <c r="E100" s="177" t="s">
        <v>414</v>
      </c>
      <c r="F100" s="181" t="s">
        <v>416</v>
      </c>
      <c r="G100" s="176" t="s">
        <v>417</v>
      </c>
      <c r="H100" s="178">
        <v>26589</v>
      </c>
      <c r="I100" s="179">
        <f>IF(X100 = 69, H100 + SUM(S100:S100) - SUM(T100:T100) - SUM(P100:P100) - V100,0)</f>
        <v>0</v>
      </c>
      <c r="J100" s="176" t="s">
        <v>418</v>
      </c>
      <c r="K100" s="176" t="s">
        <v>419</v>
      </c>
      <c r="L100" s="176"/>
      <c r="M100" s="176" t="s">
        <v>420</v>
      </c>
      <c r="N100" s="181" t="s">
        <v>467</v>
      </c>
      <c r="O100" s="121" t="s">
        <v>421</v>
      </c>
      <c r="P100" s="178">
        <v>26589</v>
      </c>
      <c r="Q100" s="177" t="s">
        <v>469</v>
      </c>
      <c r="R100" s="176"/>
      <c r="S100" s="178"/>
      <c r="T100" s="178"/>
      <c r="U100" s="178"/>
      <c r="V100" s="180"/>
      <c r="W100" s="174"/>
      <c r="X100" s="85">
        <v>69</v>
      </c>
    </row>
    <row r="101" spans="1:24" s="85" customFormat="1" ht="93.75" x14ac:dyDescent="0.25">
      <c r="A101" s="175">
        <v>22</v>
      </c>
      <c r="B101" s="176" t="s">
        <v>56</v>
      </c>
      <c r="C101" s="176"/>
      <c r="D101" s="176"/>
      <c r="E101" s="177" t="s">
        <v>415</v>
      </c>
      <c r="F101" s="181" t="s">
        <v>416</v>
      </c>
      <c r="G101" s="176" t="s">
        <v>417</v>
      </c>
      <c r="H101" s="178">
        <v>10227</v>
      </c>
      <c r="I101" s="179">
        <f>IF(X101 = 70, H101 + SUM(S101:S101) - SUM(T101:T101) - SUM(P101:P101) - V101,0)</f>
        <v>0</v>
      </c>
      <c r="J101" s="176" t="s">
        <v>418</v>
      </c>
      <c r="K101" s="176" t="s">
        <v>419</v>
      </c>
      <c r="L101" s="176"/>
      <c r="M101" s="176" t="s">
        <v>420</v>
      </c>
      <c r="N101" s="181" t="s">
        <v>467</v>
      </c>
      <c r="O101" s="121" t="s">
        <v>422</v>
      </c>
      <c r="P101" s="178">
        <v>10227</v>
      </c>
      <c r="Q101" s="177" t="s">
        <v>469</v>
      </c>
      <c r="R101" s="176"/>
      <c r="S101" s="178"/>
      <c r="T101" s="178"/>
      <c r="U101" s="178"/>
      <c r="V101" s="180"/>
      <c r="W101" s="174"/>
      <c r="X101" s="85">
        <v>70</v>
      </c>
    </row>
    <row r="102" spans="1:24" s="85" customFormat="1" ht="90" customHeight="1" x14ac:dyDescent="0.25">
      <c r="A102" s="412">
        <v>23</v>
      </c>
      <c r="B102" s="370" t="s">
        <v>56</v>
      </c>
      <c r="C102" s="370"/>
      <c r="D102" s="370"/>
      <c r="E102" s="388" t="s">
        <v>429</v>
      </c>
      <c r="F102" s="391" t="s">
        <v>430</v>
      </c>
      <c r="G102" s="370" t="s">
        <v>431</v>
      </c>
      <c r="H102" s="394">
        <v>9760</v>
      </c>
      <c r="I102" s="397">
        <f>IF(X102 = 71, H102 + SUM(S102:S103) - SUM(T102:T103) - SUM(P102:P103) - V102,0)</f>
        <v>0</v>
      </c>
      <c r="J102" s="370" t="s">
        <v>432</v>
      </c>
      <c r="K102" s="370" t="s">
        <v>433</v>
      </c>
      <c r="L102" s="370"/>
      <c r="M102" s="370" t="s">
        <v>434</v>
      </c>
      <c r="N102" s="223" t="s">
        <v>465</v>
      </c>
      <c r="O102" s="391" t="s">
        <v>422</v>
      </c>
      <c r="P102" s="219">
        <v>6328</v>
      </c>
      <c r="Q102" s="218" t="s">
        <v>505</v>
      </c>
      <c r="R102" s="217"/>
      <c r="S102" s="219"/>
      <c r="T102" s="219"/>
      <c r="U102" s="394"/>
      <c r="V102" s="367"/>
      <c r="W102" s="400"/>
      <c r="X102" s="85">
        <v>71</v>
      </c>
    </row>
    <row r="103" spans="1:24" x14ac:dyDescent="0.25">
      <c r="A103" s="414"/>
      <c r="B103" s="372"/>
      <c r="C103" s="372"/>
      <c r="D103" s="372"/>
      <c r="E103" s="390"/>
      <c r="F103" s="393"/>
      <c r="G103" s="372"/>
      <c r="H103" s="396"/>
      <c r="I103" s="399"/>
      <c r="J103" s="372"/>
      <c r="K103" s="372"/>
      <c r="L103" s="372"/>
      <c r="M103" s="372"/>
      <c r="N103" s="224" t="s">
        <v>465</v>
      </c>
      <c r="O103" s="393"/>
      <c r="P103" s="220">
        <v>3432</v>
      </c>
      <c r="Q103" s="221" t="s">
        <v>505</v>
      </c>
      <c r="R103" s="222"/>
      <c r="S103" s="220"/>
      <c r="T103" s="220"/>
      <c r="U103" s="396"/>
      <c r="V103" s="369"/>
      <c r="W103" s="401"/>
      <c r="X103" s="2">
        <v>71</v>
      </c>
    </row>
    <row r="104" spans="1:24" s="85" customFormat="1" ht="112.5" x14ac:dyDescent="0.25">
      <c r="A104" s="175">
        <v>24</v>
      </c>
      <c r="B104" s="176" t="s">
        <v>56</v>
      </c>
      <c r="C104" s="176"/>
      <c r="D104" s="176"/>
      <c r="E104" s="177" t="s">
        <v>448</v>
      </c>
      <c r="F104" s="181" t="s">
        <v>449</v>
      </c>
      <c r="G104" s="176" t="s">
        <v>450</v>
      </c>
      <c r="H104" s="178">
        <v>14119.47</v>
      </c>
      <c r="I104" s="179">
        <f>IF(X104 = 72, H104 + SUM(S104:S104) - SUM(T104:T104) - SUM(P104:P104) - V104,0)</f>
        <v>0</v>
      </c>
      <c r="J104" s="176" t="s">
        <v>451</v>
      </c>
      <c r="K104" s="176" t="s">
        <v>452</v>
      </c>
      <c r="L104" s="176"/>
      <c r="M104" s="176" t="s">
        <v>453</v>
      </c>
      <c r="N104" s="181" t="s">
        <v>505</v>
      </c>
      <c r="O104" s="181" t="s">
        <v>454</v>
      </c>
      <c r="P104" s="178">
        <v>14119.47</v>
      </c>
      <c r="Q104" s="177" t="s">
        <v>507</v>
      </c>
      <c r="R104" s="176"/>
      <c r="S104" s="178"/>
      <c r="T104" s="178"/>
      <c r="U104" s="178"/>
      <c r="V104" s="180"/>
      <c r="W104" s="174"/>
      <c r="X104" s="85">
        <v>72</v>
      </c>
    </row>
    <row r="105" spans="1:24" s="85" customFormat="1" ht="131.25" x14ac:dyDescent="0.25">
      <c r="A105" s="207">
        <v>25</v>
      </c>
      <c r="B105" s="208" t="s">
        <v>56</v>
      </c>
      <c r="C105" s="208"/>
      <c r="D105" s="208"/>
      <c r="E105" s="209" t="s">
        <v>471</v>
      </c>
      <c r="F105" s="213" t="s">
        <v>472</v>
      </c>
      <c r="G105" s="208" t="s">
        <v>473</v>
      </c>
      <c r="H105" s="210">
        <v>151641.60000000001</v>
      </c>
      <c r="I105" s="211">
        <f>IF(X105 = 73, H105 + SUM(S105:S105) - SUM(T105:T105) - SUM(P105:P105) - V105,0)</f>
        <v>0</v>
      </c>
      <c r="J105" s="208" t="s">
        <v>474</v>
      </c>
      <c r="K105" s="208" t="s">
        <v>475</v>
      </c>
      <c r="L105" s="208"/>
      <c r="M105" s="208" t="s">
        <v>476</v>
      </c>
      <c r="N105" s="213" t="s">
        <v>560</v>
      </c>
      <c r="O105" s="213" t="s">
        <v>477</v>
      </c>
      <c r="P105" s="210">
        <v>151641.60000000001</v>
      </c>
      <c r="Q105" s="209" t="s">
        <v>573</v>
      </c>
      <c r="R105" s="208"/>
      <c r="S105" s="210"/>
      <c r="T105" s="210"/>
      <c r="U105" s="210"/>
      <c r="V105" s="212"/>
      <c r="W105" s="203"/>
      <c r="X105" s="85">
        <v>73</v>
      </c>
    </row>
    <row r="106" spans="1:24" s="85" customFormat="1" ht="112.5" x14ac:dyDescent="0.25">
      <c r="A106" s="207">
        <v>26</v>
      </c>
      <c r="B106" s="208" t="s">
        <v>56</v>
      </c>
      <c r="C106" s="208"/>
      <c r="D106" s="208"/>
      <c r="E106" s="209" t="s">
        <v>478</v>
      </c>
      <c r="F106" s="213" t="s">
        <v>479</v>
      </c>
      <c r="G106" s="208" t="s">
        <v>480</v>
      </c>
      <c r="H106" s="210">
        <v>14402</v>
      </c>
      <c r="I106" s="211">
        <f>IF(X106 = 74, H106 + SUM(S106:S106) - SUM(T106:T106) - SUM(P106:P106) - V106,0)</f>
        <v>0</v>
      </c>
      <c r="J106" s="208" t="s">
        <v>481</v>
      </c>
      <c r="K106" s="208" t="s">
        <v>482</v>
      </c>
      <c r="L106" s="208"/>
      <c r="M106" s="208" t="s">
        <v>483</v>
      </c>
      <c r="N106" s="213" t="s">
        <v>463</v>
      </c>
      <c r="O106" s="213" t="s">
        <v>484</v>
      </c>
      <c r="P106" s="210">
        <v>14402</v>
      </c>
      <c r="Q106" s="209" t="s">
        <v>561</v>
      </c>
      <c r="R106" s="208"/>
      <c r="S106" s="210"/>
      <c r="T106" s="210"/>
      <c r="U106" s="210"/>
      <c r="V106" s="212"/>
      <c r="W106" s="203"/>
      <c r="X106" s="85">
        <v>74</v>
      </c>
    </row>
    <row r="107" spans="1:24" s="85" customFormat="1" ht="160.9" customHeight="1" x14ac:dyDescent="0.25">
      <c r="A107" s="464">
        <v>27</v>
      </c>
      <c r="B107" s="470" t="s">
        <v>56</v>
      </c>
      <c r="C107" s="470"/>
      <c r="D107" s="470"/>
      <c r="E107" s="476" t="s">
        <v>495</v>
      </c>
      <c r="F107" s="466" t="s">
        <v>496</v>
      </c>
      <c r="G107" s="470" t="s">
        <v>497</v>
      </c>
      <c r="H107" s="468">
        <v>28000</v>
      </c>
      <c r="I107" s="478">
        <f>IF(X107 = 75, H107 + SUM(S107:S108) - SUM(T107:T108) - SUM(P107:P108) - V107,0)</f>
        <v>0</v>
      </c>
      <c r="J107" s="470" t="s">
        <v>498</v>
      </c>
      <c r="K107" s="470" t="s">
        <v>499</v>
      </c>
      <c r="L107" s="470"/>
      <c r="M107" s="470" t="s">
        <v>500</v>
      </c>
      <c r="N107" s="279" t="s">
        <v>646</v>
      </c>
      <c r="O107" s="466" t="s">
        <v>501</v>
      </c>
      <c r="P107" s="275">
        <v>17334.16</v>
      </c>
      <c r="Q107" s="274" t="s">
        <v>646</v>
      </c>
      <c r="R107" s="273"/>
      <c r="S107" s="275"/>
      <c r="T107" s="275"/>
      <c r="U107" s="468"/>
      <c r="V107" s="472"/>
      <c r="W107" s="474"/>
      <c r="X107" s="85">
        <v>75</v>
      </c>
    </row>
    <row r="108" spans="1:24" x14ac:dyDescent="0.25">
      <c r="A108" s="465"/>
      <c r="B108" s="471"/>
      <c r="C108" s="471"/>
      <c r="D108" s="471"/>
      <c r="E108" s="477"/>
      <c r="F108" s="467"/>
      <c r="G108" s="471"/>
      <c r="H108" s="469"/>
      <c r="I108" s="479"/>
      <c r="J108" s="471"/>
      <c r="K108" s="471"/>
      <c r="L108" s="471"/>
      <c r="M108" s="471"/>
      <c r="N108" s="280" t="s">
        <v>646</v>
      </c>
      <c r="O108" s="467"/>
      <c r="P108" s="276">
        <v>10665.84</v>
      </c>
      <c r="Q108" s="277" t="s">
        <v>646</v>
      </c>
      <c r="R108" s="278"/>
      <c r="S108" s="276"/>
      <c r="T108" s="276"/>
      <c r="U108" s="469"/>
      <c r="V108" s="473"/>
      <c r="W108" s="475"/>
      <c r="X108" s="2">
        <v>75</v>
      </c>
    </row>
    <row r="109" spans="1:24" s="85" customFormat="1" ht="90" customHeight="1" x14ac:dyDescent="0.25">
      <c r="A109" s="460">
        <v>28</v>
      </c>
      <c r="B109" s="448" t="s">
        <v>56</v>
      </c>
      <c r="C109" s="448"/>
      <c r="D109" s="448"/>
      <c r="E109" s="452" t="s">
        <v>549</v>
      </c>
      <c r="F109" s="454" t="s">
        <v>532</v>
      </c>
      <c r="G109" s="448" t="s">
        <v>417</v>
      </c>
      <c r="H109" s="456">
        <v>102925</v>
      </c>
      <c r="I109" s="458">
        <f>IF(X109 = 76, H109 + SUM(S109:S110) - SUM(T109:T110) - SUM(P109:P110) - V109,0)</f>
        <v>0</v>
      </c>
      <c r="J109" s="448" t="s">
        <v>418</v>
      </c>
      <c r="K109" s="448" t="s">
        <v>419</v>
      </c>
      <c r="L109" s="448"/>
      <c r="M109" s="448" t="s">
        <v>533</v>
      </c>
      <c r="N109" s="246" t="s">
        <v>574</v>
      </c>
      <c r="O109" s="454" t="s">
        <v>422</v>
      </c>
      <c r="P109" s="242">
        <v>1823</v>
      </c>
      <c r="Q109" s="241" t="s">
        <v>575</v>
      </c>
      <c r="R109" s="240"/>
      <c r="S109" s="242"/>
      <c r="T109" s="242"/>
      <c r="U109" s="456"/>
      <c r="V109" s="446"/>
      <c r="W109" s="450"/>
      <c r="X109" s="85">
        <v>76</v>
      </c>
    </row>
    <row r="110" spans="1:24" x14ac:dyDescent="0.25">
      <c r="A110" s="461"/>
      <c r="B110" s="449"/>
      <c r="C110" s="449"/>
      <c r="D110" s="449"/>
      <c r="E110" s="453"/>
      <c r="F110" s="455"/>
      <c r="G110" s="449"/>
      <c r="H110" s="457"/>
      <c r="I110" s="459"/>
      <c r="J110" s="449"/>
      <c r="K110" s="449"/>
      <c r="L110" s="449"/>
      <c r="M110" s="449"/>
      <c r="N110" s="247" t="s">
        <v>574</v>
      </c>
      <c r="O110" s="455"/>
      <c r="P110" s="243">
        <v>101102</v>
      </c>
      <c r="Q110" s="244" t="s">
        <v>575</v>
      </c>
      <c r="R110" s="245"/>
      <c r="S110" s="243"/>
      <c r="T110" s="243"/>
      <c r="U110" s="457"/>
      <c r="V110" s="447"/>
      <c r="W110" s="451"/>
      <c r="X110" s="2">
        <v>76</v>
      </c>
    </row>
    <row r="111" spans="1:24" s="85" customFormat="1" ht="93.75" x14ac:dyDescent="0.25">
      <c r="A111" s="230">
        <v>29</v>
      </c>
      <c r="B111" s="231" t="s">
        <v>56</v>
      </c>
      <c r="C111" s="231"/>
      <c r="D111" s="231"/>
      <c r="E111" s="232" t="s">
        <v>550</v>
      </c>
      <c r="F111" s="238" t="s">
        <v>532</v>
      </c>
      <c r="G111" s="176" t="s">
        <v>417</v>
      </c>
      <c r="H111" s="233">
        <v>2950</v>
      </c>
      <c r="I111" s="234">
        <f>IF(X111 = 77, H111 + SUM(S111:S111) - SUM(T111:T111) - SUM(P111:P111) - V111,0)</f>
        <v>0</v>
      </c>
      <c r="J111" s="176" t="s">
        <v>418</v>
      </c>
      <c r="K111" s="176" t="s">
        <v>419</v>
      </c>
      <c r="L111" s="231"/>
      <c r="M111" s="176" t="s">
        <v>533</v>
      </c>
      <c r="N111" s="238" t="s">
        <v>574</v>
      </c>
      <c r="O111" s="121" t="s">
        <v>422</v>
      </c>
      <c r="P111" s="233">
        <v>2950</v>
      </c>
      <c r="Q111" s="232" t="s">
        <v>575</v>
      </c>
      <c r="R111" s="231"/>
      <c r="S111" s="233"/>
      <c r="T111" s="233"/>
      <c r="U111" s="233"/>
      <c r="V111" s="239"/>
      <c r="W111" s="229"/>
      <c r="X111" s="85">
        <v>77</v>
      </c>
    </row>
    <row r="112" spans="1:24" s="85" customFormat="1" ht="112.5" x14ac:dyDescent="0.25">
      <c r="A112" s="230">
        <v>30</v>
      </c>
      <c r="B112" s="231" t="s">
        <v>56</v>
      </c>
      <c r="C112" s="231"/>
      <c r="D112" s="231"/>
      <c r="E112" s="232" t="s">
        <v>546</v>
      </c>
      <c r="F112" s="238" t="s">
        <v>534</v>
      </c>
      <c r="G112" s="231" t="s">
        <v>536</v>
      </c>
      <c r="H112" s="233">
        <v>19000</v>
      </c>
      <c r="I112" s="234">
        <f>IF(X112 = 78, H112 + SUM(S112:S112) - SUM(T112:T112) - SUM(P112:P112) - V112,0)</f>
        <v>0</v>
      </c>
      <c r="J112" s="231" t="s">
        <v>537</v>
      </c>
      <c r="K112" s="231" t="s">
        <v>538</v>
      </c>
      <c r="L112" s="231"/>
      <c r="M112" s="231" t="s">
        <v>539</v>
      </c>
      <c r="N112" s="238" t="s">
        <v>574</v>
      </c>
      <c r="O112" s="121" t="s">
        <v>540</v>
      </c>
      <c r="P112" s="233">
        <v>19000</v>
      </c>
      <c r="Q112" s="232" t="s">
        <v>575</v>
      </c>
      <c r="R112" s="231"/>
      <c r="S112" s="233"/>
      <c r="T112" s="233"/>
      <c r="U112" s="233"/>
      <c r="V112" s="239"/>
      <c r="W112" s="229"/>
      <c r="X112" s="85">
        <v>78</v>
      </c>
    </row>
    <row r="113" spans="1:24" s="85" customFormat="1" ht="131.25" x14ac:dyDescent="0.25">
      <c r="A113" s="230">
        <v>31</v>
      </c>
      <c r="B113" s="231" t="s">
        <v>56</v>
      </c>
      <c r="C113" s="231"/>
      <c r="D113" s="231"/>
      <c r="E113" s="232" t="s">
        <v>547</v>
      </c>
      <c r="F113" s="238" t="s">
        <v>535</v>
      </c>
      <c r="G113" s="231" t="s">
        <v>541</v>
      </c>
      <c r="H113" s="233">
        <v>6000</v>
      </c>
      <c r="I113" s="234">
        <f>IF(X113 = 79, H113 + SUM(S113:S113) - SUM(T113:T113) - SUM(P113:P113) - V113,0)</f>
        <v>0</v>
      </c>
      <c r="J113" s="231" t="s">
        <v>328</v>
      </c>
      <c r="K113" s="231" t="s">
        <v>329</v>
      </c>
      <c r="L113" s="231"/>
      <c r="M113" s="231" t="s">
        <v>542</v>
      </c>
      <c r="N113" s="238" t="s">
        <v>574</v>
      </c>
      <c r="O113" s="121" t="s">
        <v>543</v>
      </c>
      <c r="P113" s="233">
        <v>6000</v>
      </c>
      <c r="Q113" s="232" t="s">
        <v>575</v>
      </c>
      <c r="R113" s="231"/>
      <c r="S113" s="233"/>
      <c r="T113" s="233"/>
      <c r="U113" s="233"/>
      <c r="V113" s="239"/>
      <c r="W113" s="229"/>
      <c r="X113" s="85">
        <v>79</v>
      </c>
    </row>
    <row r="114" spans="1:24" s="85" customFormat="1" ht="150" x14ac:dyDescent="0.25">
      <c r="A114" s="230">
        <v>32</v>
      </c>
      <c r="B114" s="231" t="s">
        <v>56</v>
      </c>
      <c r="C114" s="231"/>
      <c r="D114" s="231"/>
      <c r="E114" s="232" t="s">
        <v>548</v>
      </c>
      <c r="F114" s="238" t="s">
        <v>545</v>
      </c>
      <c r="G114" s="231" t="s">
        <v>551</v>
      </c>
      <c r="H114" s="233">
        <v>20000</v>
      </c>
      <c r="I114" s="234">
        <f>IF(X114 = 80, H114 + SUM(S114:S114) - SUM(T114:T114) - SUM(P114:P114) - V114,0)</f>
        <v>0</v>
      </c>
      <c r="J114" s="231" t="s">
        <v>552</v>
      </c>
      <c r="K114" s="231" t="s">
        <v>544</v>
      </c>
      <c r="L114" s="231"/>
      <c r="M114" s="231" t="s">
        <v>553</v>
      </c>
      <c r="N114" s="238" t="s">
        <v>574</v>
      </c>
      <c r="O114" s="172" t="s">
        <v>554</v>
      </c>
      <c r="P114" s="233">
        <v>20000</v>
      </c>
      <c r="Q114" s="232" t="s">
        <v>575</v>
      </c>
      <c r="R114" s="231"/>
      <c r="S114" s="233"/>
      <c r="T114" s="233"/>
      <c r="U114" s="233"/>
      <c r="V114" s="239"/>
      <c r="W114" s="229"/>
      <c r="X114" s="85">
        <v>80</v>
      </c>
    </row>
    <row r="115" spans="1:24" s="85" customFormat="1" ht="150" x14ac:dyDescent="0.25">
      <c r="A115" s="249">
        <v>33</v>
      </c>
      <c r="B115" s="250" t="s">
        <v>56</v>
      </c>
      <c r="C115" s="250"/>
      <c r="D115" s="250"/>
      <c r="E115" s="251" t="s">
        <v>576</v>
      </c>
      <c r="F115" s="255" t="s">
        <v>577</v>
      </c>
      <c r="G115" s="250" t="s">
        <v>578</v>
      </c>
      <c r="H115" s="252">
        <v>100000</v>
      </c>
      <c r="I115" s="253">
        <f>IF(X115 = 81, H115 + SUM(S115:S115) - SUM(T115:T115) - SUM(P115:P115) - V115,0)</f>
        <v>0</v>
      </c>
      <c r="J115" s="250" t="s">
        <v>579</v>
      </c>
      <c r="K115" s="250" t="s">
        <v>580</v>
      </c>
      <c r="L115" s="250"/>
      <c r="M115" s="231" t="s">
        <v>581</v>
      </c>
      <c r="N115" s="255" t="s">
        <v>608</v>
      </c>
      <c r="O115" s="172" t="s">
        <v>554</v>
      </c>
      <c r="P115" s="252">
        <v>100000</v>
      </c>
      <c r="Q115" s="251" t="s">
        <v>604</v>
      </c>
      <c r="R115" s="250"/>
      <c r="S115" s="252"/>
      <c r="T115" s="252"/>
      <c r="U115" s="252"/>
      <c r="V115" s="254"/>
      <c r="W115" s="248"/>
      <c r="X115" s="85">
        <v>81</v>
      </c>
    </row>
    <row r="116" spans="1:24" s="85" customFormat="1" ht="108" customHeight="1" x14ac:dyDescent="0.25">
      <c r="A116" s="480">
        <v>34</v>
      </c>
      <c r="B116" s="437" t="s">
        <v>56</v>
      </c>
      <c r="C116" s="437"/>
      <c r="D116" s="437"/>
      <c r="E116" s="492" t="s">
        <v>582</v>
      </c>
      <c r="F116" s="434" t="s">
        <v>583</v>
      </c>
      <c r="G116" s="437" t="s">
        <v>473</v>
      </c>
      <c r="H116" s="440">
        <v>26053.5</v>
      </c>
      <c r="I116" s="443">
        <f>IF(X116 = 82, H116 + SUM(S116:S117) - SUM(T116:T117) - SUM(P116:P117) - V116,0)</f>
        <v>0</v>
      </c>
      <c r="J116" s="437" t="s">
        <v>474</v>
      </c>
      <c r="K116" s="437" t="s">
        <v>475</v>
      </c>
      <c r="L116" s="437"/>
      <c r="M116" s="437" t="s">
        <v>584</v>
      </c>
      <c r="N116" s="304" t="s">
        <v>615</v>
      </c>
      <c r="O116" s="434" t="s">
        <v>477</v>
      </c>
      <c r="P116" s="294">
        <v>3399</v>
      </c>
      <c r="Q116" s="293" t="s">
        <v>616</v>
      </c>
      <c r="R116" s="292"/>
      <c r="S116" s="294"/>
      <c r="T116" s="294"/>
      <c r="U116" s="440"/>
      <c r="V116" s="483"/>
      <c r="W116" s="486"/>
      <c r="X116" s="85">
        <v>82</v>
      </c>
    </row>
    <row r="117" spans="1:24" x14ac:dyDescent="0.25">
      <c r="A117" s="482"/>
      <c r="B117" s="439"/>
      <c r="C117" s="439"/>
      <c r="D117" s="439"/>
      <c r="E117" s="493"/>
      <c r="F117" s="436"/>
      <c r="G117" s="439"/>
      <c r="H117" s="442"/>
      <c r="I117" s="445"/>
      <c r="J117" s="439"/>
      <c r="K117" s="439"/>
      <c r="L117" s="439"/>
      <c r="M117" s="439"/>
      <c r="N117" s="307" t="s">
        <v>697</v>
      </c>
      <c r="O117" s="436"/>
      <c r="P117" s="301">
        <v>22654.5</v>
      </c>
      <c r="Q117" s="302" t="s">
        <v>698</v>
      </c>
      <c r="R117" s="303"/>
      <c r="S117" s="301"/>
      <c r="T117" s="301"/>
      <c r="U117" s="442"/>
      <c r="V117" s="485"/>
      <c r="W117" s="488"/>
      <c r="X117" s="2">
        <v>82</v>
      </c>
    </row>
    <row r="118" spans="1:24" s="85" customFormat="1" ht="112.5" x14ac:dyDescent="0.25">
      <c r="A118" s="249">
        <v>35</v>
      </c>
      <c r="B118" s="250" t="s">
        <v>56</v>
      </c>
      <c r="C118" s="250"/>
      <c r="D118" s="250"/>
      <c r="E118" s="251" t="s">
        <v>585</v>
      </c>
      <c r="F118" s="255" t="s">
        <v>586</v>
      </c>
      <c r="G118" s="250" t="s">
        <v>587</v>
      </c>
      <c r="H118" s="252">
        <v>4000</v>
      </c>
      <c r="I118" s="253">
        <f>IF(X118 = 83, H118 + SUM(S118:S118) - SUM(T118:T118) - SUM(P118:P118) - V118,0)</f>
        <v>0</v>
      </c>
      <c r="J118" s="250" t="s">
        <v>246</v>
      </c>
      <c r="K118" s="250" t="s">
        <v>247</v>
      </c>
      <c r="L118" s="250"/>
      <c r="M118" s="231" t="s">
        <v>588</v>
      </c>
      <c r="N118" s="255" t="s">
        <v>614</v>
      </c>
      <c r="O118" s="172" t="s">
        <v>589</v>
      </c>
      <c r="P118" s="252">
        <v>4000</v>
      </c>
      <c r="Q118" s="251" t="s">
        <v>611</v>
      </c>
      <c r="R118" s="250"/>
      <c r="S118" s="252"/>
      <c r="T118" s="252"/>
      <c r="U118" s="252"/>
      <c r="V118" s="254"/>
      <c r="W118" s="248"/>
      <c r="X118" s="85">
        <v>83</v>
      </c>
    </row>
    <row r="119" spans="1:24" s="85" customFormat="1" ht="156" customHeight="1" x14ac:dyDescent="0.25">
      <c r="A119" s="480">
        <v>36</v>
      </c>
      <c r="B119" s="437" t="s">
        <v>56</v>
      </c>
      <c r="C119" s="437"/>
      <c r="D119" s="437"/>
      <c r="E119" s="492" t="s">
        <v>590</v>
      </c>
      <c r="F119" s="434" t="s">
        <v>591</v>
      </c>
      <c r="G119" s="437" t="s">
        <v>333</v>
      </c>
      <c r="H119" s="440">
        <v>3800</v>
      </c>
      <c r="I119" s="443">
        <f>IF(X119 = 84, H119 + SUM(S119:S120) - SUM(T119:T120) - SUM(P119:P120) - V119,0)</f>
        <v>0</v>
      </c>
      <c r="J119" s="437" t="s">
        <v>334</v>
      </c>
      <c r="K119" s="437" t="s">
        <v>592</v>
      </c>
      <c r="L119" s="437"/>
      <c r="M119" s="437" t="s">
        <v>593</v>
      </c>
      <c r="N119" s="304" t="s">
        <v>654</v>
      </c>
      <c r="O119" s="434" t="s">
        <v>594</v>
      </c>
      <c r="P119" s="294">
        <v>1140</v>
      </c>
      <c r="Q119" s="293" t="s">
        <v>644</v>
      </c>
      <c r="R119" s="292"/>
      <c r="S119" s="294"/>
      <c r="T119" s="294"/>
      <c r="U119" s="440"/>
      <c r="V119" s="483"/>
      <c r="W119" s="486"/>
      <c r="X119" s="85">
        <v>84</v>
      </c>
    </row>
    <row r="120" spans="1:24" x14ac:dyDescent="0.25">
      <c r="A120" s="482"/>
      <c r="B120" s="439"/>
      <c r="C120" s="439"/>
      <c r="D120" s="439"/>
      <c r="E120" s="493"/>
      <c r="F120" s="436"/>
      <c r="G120" s="439"/>
      <c r="H120" s="442"/>
      <c r="I120" s="445"/>
      <c r="J120" s="439"/>
      <c r="K120" s="439"/>
      <c r="L120" s="439"/>
      <c r="M120" s="439"/>
      <c r="N120" s="307" t="s">
        <v>695</v>
      </c>
      <c r="O120" s="436"/>
      <c r="P120" s="301">
        <v>2660</v>
      </c>
      <c r="Q120" s="302" t="s">
        <v>698</v>
      </c>
      <c r="R120" s="303"/>
      <c r="S120" s="301"/>
      <c r="T120" s="301"/>
      <c r="U120" s="442"/>
      <c r="V120" s="485"/>
      <c r="W120" s="488"/>
      <c r="X120" s="2">
        <v>84</v>
      </c>
    </row>
    <row r="121" spans="1:24" s="85" customFormat="1" ht="126" customHeight="1" x14ac:dyDescent="0.25">
      <c r="A121" s="464">
        <v>37</v>
      </c>
      <c r="B121" s="470" t="s">
        <v>56</v>
      </c>
      <c r="C121" s="470"/>
      <c r="D121" s="470"/>
      <c r="E121" s="476" t="s">
        <v>57</v>
      </c>
      <c r="F121" s="466" t="s">
        <v>595</v>
      </c>
      <c r="G121" s="470" t="s">
        <v>600</v>
      </c>
      <c r="H121" s="468">
        <v>24550</v>
      </c>
      <c r="I121" s="478">
        <f>IF(X121 = 85, H121 + SUM(S121:S122) - SUM(T121:T122) - SUM(P121:P122) - V121,0)</f>
        <v>0</v>
      </c>
      <c r="J121" s="470" t="s">
        <v>597</v>
      </c>
      <c r="K121" s="470" t="s">
        <v>598</v>
      </c>
      <c r="L121" s="470"/>
      <c r="M121" s="470" t="s">
        <v>599</v>
      </c>
      <c r="N121" s="279" t="s">
        <v>655</v>
      </c>
      <c r="O121" s="466" t="s">
        <v>554</v>
      </c>
      <c r="P121" s="275">
        <v>18900</v>
      </c>
      <c r="Q121" s="274" t="s">
        <v>646</v>
      </c>
      <c r="R121" s="273"/>
      <c r="S121" s="275"/>
      <c r="T121" s="275"/>
      <c r="U121" s="468"/>
      <c r="V121" s="472"/>
      <c r="W121" s="474"/>
      <c r="X121" s="85">
        <v>85</v>
      </c>
    </row>
    <row r="122" spans="1:24" x14ac:dyDescent="0.25">
      <c r="A122" s="465"/>
      <c r="B122" s="471"/>
      <c r="C122" s="471"/>
      <c r="D122" s="471"/>
      <c r="E122" s="477"/>
      <c r="F122" s="467"/>
      <c r="G122" s="471"/>
      <c r="H122" s="469"/>
      <c r="I122" s="479"/>
      <c r="J122" s="471"/>
      <c r="K122" s="471"/>
      <c r="L122" s="471"/>
      <c r="M122" s="471"/>
      <c r="N122" s="280" t="s">
        <v>655</v>
      </c>
      <c r="O122" s="467"/>
      <c r="P122" s="276">
        <v>5650</v>
      </c>
      <c r="Q122" s="277" t="s">
        <v>646</v>
      </c>
      <c r="R122" s="278"/>
      <c r="S122" s="276"/>
      <c r="T122" s="276"/>
      <c r="U122" s="469"/>
      <c r="V122" s="473"/>
      <c r="W122" s="475"/>
      <c r="X122" s="2">
        <v>85</v>
      </c>
    </row>
    <row r="123" spans="1:24" s="85" customFormat="1" ht="126" customHeight="1" x14ac:dyDescent="0.25">
      <c r="A123" s="464">
        <v>38</v>
      </c>
      <c r="B123" s="470" t="s">
        <v>56</v>
      </c>
      <c r="C123" s="470"/>
      <c r="D123" s="470"/>
      <c r="E123" s="476" t="s">
        <v>596</v>
      </c>
      <c r="F123" s="466" t="s">
        <v>595</v>
      </c>
      <c r="G123" s="470" t="s">
        <v>601</v>
      </c>
      <c r="H123" s="468">
        <v>71000</v>
      </c>
      <c r="I123" s="478">
        <f>IF(X123 = 86, H123 + SUM(S123:S124) - SUM(T123:T124) - SUM(P123:P124) - V123,0)</f>
        <v>0</v>
      </c>
      <c r="J123" s="470" t="s">
        <v>597</v>
      </c>
      <c r="K123" s="470" t="s">
        <v>598</v>
      </c>
      <c r="L123" s="470"/>
      <c r="M123" s="470" t="s">
        <v>599</v>
      </c>
      <c r="N123" s="279" t="s">
        <v>655</v>
      </c>
      <c r="O123" s="466" t="s">
        <v>554</v>
      </c>
      <c r="P123" s="275">
        <v>68036</v>
      </c>
      <c r="Q123" s="274" t="s">
        <v>646</v>
      </c>
      <c r="R123" s="273"/>
      <c r="S123" s="275"/>
      <c r="T123" s="275"/>
      <c r="U123" s="468"/>
      <c r="V123" s="472"/>
      <c r="W123" s="474"/>
      <c r="X123" s="85">
        <v>86</v>
      </c>
    </row>
    <row r="124" spans="1:24" x14ac:dyDescent="0.25">
      <c r="A124" s="465"/>
      <c r="B124" s="471"/>
      <c r="C124" s="471"/>
      <c r="D124" s="471"/>
      <c r="E124" s="477"/>
      <c r="F124" s="467"/>
      <c r="G124" s="471"/>
      <c r="H124" s="469"/>
      <c r="I124" s="479"/>
      <c r="J124" s="471"/>
      <c r="K124" s="471"/>
      <c r="L124" s="471"/>
      <c r="M124" s="471"/>
      <c r="N124" s="280" t="s">
        <v>655</v>
      </c>
      <c r="O124" s="467"/>
      <c r="P124" s="276">
        <v>2964</v>
      </c>
      <c r="Q124" s="277" t="s">
        <v>646</v>
      </c>
      <c r="R124" s="278"/>
      <c r="S124" s="276"/>
      <c r="T124" s="276"/>
      <c r="U124" s="469"/>
      <c r="V124" s="473"/>
      <c r="W124" s="475"/>
      <c r="X124" s="2">
        <v>86</v>
      </c>
    </row>
    <row r="125" spans="1:24" s="85" customFormat="1" ht="141.6" customHeight="1" x14ac:dyDescent="0.25">
      <c r="A125" s="266">
        <v>39</v>
      </c>
      <c r="B125" s="267" t="s">
        <v>56</v>
      </c>
      <c r="C125" s="267"/>
      <c r="D125" s="267"/>
      <c r="E125" s="268" t="s">
        <v>623</v>
      </c>
      <c r="F125" s="272" t="s">
        <v>624</v>
      </c>
      <c r="G125" s="267" t="s">
        <v>625</v>
      </c>
      <c r="H125" s="269">
        <v>20000</v>
      </c>
      <c r="I125" s="270">
        <f>IF(X125 = 87, H125 + SUM(S125:S125) - SUM(T125:T125) - SUM(P125:P125) - V125,0)</f>
        <v>0</v>
      </c>
      <c r="J125" s="267" t="s">
        <v>626</v>
      </c>
      <c r="K125" s="267" t="s">
        <v>627</v>
      </c>
      <c r="L125" s="267"/>
      <c r="M125" s="267" t="s">
        <v>628</v>
      </c>
      <c r="N125" s="272" t="s">
        <v>652</v>
      </c>
      <c r="O125" s="272" t="s">
        <v>629</v>
      </c>
      <c r="P125" s="269">
        <v>20000</v>
      </c>
      <c r="Q125" s="268" t="s">
        <v>653</v>
      </c>
      <c r="R125" s="267"/>
      <c r="S125" s="269"/>
      <c r="T125" s="269"/>
      <c r="U125" s="269"/>
      <c r="V125" s="271"/>
      <c r="W125" s="265"/>
      <c r="X125" s="85">
        <v>87</v>
      </c>
    </row>
    <row r="126" spans="1:24" s="85" customFormat="1" ht="156" customHeight="1" x14ac:dyDescent="0.25">
      <c r="A126" s="266">
        <v>40</v>
      </c>
      <c r="B126" s="267" t="s">
        <v>56</v>
      </c>
      <c r="C126" s="267"/>
      <c r="D126" s="267"/>
      <c r="E126" s="268" t="s">
        <v>630</v>
      </c>
      <c r="F126" s="272" t="s">
        <v>633</v>
      </c>
      <c r="G126" s="267" t="s">
        <v>631</v>
      </c>
      <c r="H126" s="269">
        <v>1850</v>
      </c>
      <c r="I126" s="270">
        <f>IF(X126 = 88, H126 + SUM(S126:S126) - SUM(T126:T126) - SUM(P126:P126) - V126,0)</f>
        <v>0</v>
      </c>
      <c r="J126" s="267" t="s">
        <v>366</v>
      </c>
      <c r="K126" s="267" t="s">
        <v>367</v>
      </c>
      <c r="L126" s="267"/>
      <c r="M126" s="267" t="s">
        <v>632</v>
      </c>
      <c r="N126" s="272" t="s">
        <v>652</v>
      </c>
      <c r="O126" s="272" t="s">
        <v>634</v>
      </c>
      <c r="P126" s="269">
        <v>1850</v>
      </c>
      <c r="Q126" s="268" t="s">
        <v>651</v>
      </c>
      <c r="R126" s="267"/>
      <c r="S126" s="269"/>
      <c r="T126" s="269"/>
      <c r="U126" s="269"/>
      <c r="V126" s="271"/>
      <c r="W126" s="265"/>
      <c r="X126" s="85">
        <v>88</v>
      </c>
    </row>
    <row r="127" spans="1:24" s="85" customFormat="1" ht="150" x14ac:dyDescent="0.25">
      <c r="A127" s="266">
        <v>41</v>
      </c>
      <c r="B127" s="267" t="s">
        <v>56</v>
      </c>
      <c r="C127" s="267"/>
      <c r="D127" s="267"/>
      <c r="E127" s="268" t="s">
        <v>638</v>
      </c>
      <c r="F127" s="272" t="s">
        <v>639</v>
      </c>
      <c r="G127" s="267" t="s">
        <v>631</v>
      </c>
      <c r="H127" s="269">
        <v>13265</v>
      </c>
      <c r="I127" s="270">
        <f>IF(X127 = 89, H127 + SUM(S127:S127) - SUM(T127:T127) - SUM(P127:P127) - V127,0)</f>
        <v>0</v>
      </c>
      <c r="J127" s="267" t="s">
        <v>366</v>
      </c>
      <c r="K127" s="267" t="s">
        <v>367</v>
      </c>
      <c r="L127" s="267"/>
      <c r="M127" s="267" t="s">
        <v>640</v>
      </c>
      <c r="N127" s="272" t="s">
        <v>693</v>
      </c>
      <c r="O127" s="272" t="s">
        <v>634</v>
      </c>
      <c r="P127" s="269">
        <v>13265</v>
      </c>
      <c r="Q127" s="268" t="s">
        <v>692</v>
      </c>
      <c r="R127" s="267"/>
      <c r="S127" s="269"/>
      <c r="T127" s="269"/>
      <c r="U127" s="269"/>
      <c r="V127" s="271"/>
      <c r="W127" s="265"/>
      <c r="X127" s="85">
        <v>89</v>
      </c>
    </row>
    <row r="128" spans="1:24" s="85" customFormat="1" ht="93.75" x14ac:dyDescent="0.25">
      <c r="A128" s="282">
        <v>42</v>
      </c>
      <c r="B128" s="283" t="s">
        <v>56</v>
      </c>
      <c r="C128" s="283"/>
      <c r="D128" s="283"/>
      <c r="E128" s="284" t="s">
        <v>268</v>
      </c>
      <c r="F128" s="288" t="s">
        <v>657</v>
      </c>
      <c r="G128" s="283" t="s">
        <v>658</v>
      </c>
      <c r="H128" s="285">
        <v>170855.04000000001</v>
      </c>
      <c r="I128" s="286">
        <f>IF(X128 = 90, H128 + SUM(S128:S128) - SUM(T128:T128) - SUM(P128:P128) - V128,0)</f>
        <v>170855.04000000001</v>
      </c>
      <c r="J128" s="283" t="s">
        <v>659</v>
      </c>
      <c r="K128" s="283" t="s">
        <v>660</v>
      </c>
      <c r="L128" s="283"/>
      <c r="M128" s="283" t="s">
        <v>661</v>
      </c>
      <c r="N128" s="288"/>
      <c r="O128" s="288" t="s">
        <v>662</v>
      </c>
      <c r="P128" s="285"/>
      <c r="Q128" s="284"/>
      <c r="R128" s="283"/>
      <c r="S128" s="285"/>
      <c r="T128" s="285"/>
      <c r="U128" s="285"/>
      <c r="V128" s="287"/>
      <c r="W128" s="281"/>
      <c r="X128" s="85">
        <v>90</v>
      </c>
    </row>
    <row r="129" spans="1:24" s="85" customFormat="1" ht="112.5" x14ac:dyDescent="0.25">
      <c r="A129" s="282">
        <v>43</v>
      </c>
      <c r="B129" s="283" t="s">
        <v>56</v>
      </c>
      <c r="C129" s="283"/>
      <c r="D129" s="283"/>
      <c r="E129" s="284" t="s">
        <v>277</v>
      </c>
      <c r="F129" s="288" t="s">
        <v>663</v>
      </c>
      <c r="G129" s="283" t="s">
        <v>664</v>
      </c>
      <c r="H129" s="285">
        <v>15366</v>
      </c>
      <c r="I129" s="286">
        <f>IF(X129 = 91, H129 + SUM(S129:S129) - SUM(T129:T129) - SUM(P129:P129) - V129,0)</f>
        <v>0</v>
      </c>
      <c r="J129" s="283" t="s">
        <v>665</v>
      </c>
      <c r="K129" s="283" t="s">
        <v>666</v>
      </c>
      <c r="L129" s="283"/>
      <c r="M129" s="283" t="s">
        <v>667</v>
      </c>
      <c r="N129" s="288" t="s">
        <v>707</v>
      </c>
      <c r="O129" s="288" t="s">
        <v>668</v>
      </c>
      <c r="P129" s="285">
        <v>15366</v>
      </c>
      <c r="Q129" s="284" t="s">
        <v>696</v>
      </c>
      <c r="R129" s="283"/>
      <c r="S129" s="285"/>
      <c r="T129" s="285"/>
      <c r="U129" s="285"/>
      <c r="V129" s="287"/>
      <c r="W129" s="281"/>
      <c r="X129" s="85">
        <v>91</v>
      </c>
    </row>
    <row r="130" spans="1:24" s="85" customFormat="1" ht="93.75" x14ac:dyDescent="0.25">
      <c r="A130" s="282">
        <v>44</v>
      </c>
      <c r="B130" s="283" t="s">
        <v>56</v>
      </c>
      <c r="C130" s="283"/>
      <c r="D130" s="283"/>
      <c r="E130" s="284" t="s">
        <v>669</v>
      </c>
      <c r="F130" s="288" t="s">
        <v>670</v>
      </c>
      <c r="G130" s="283" t="s">
        <v>671</v>
      </c>
      <c r="H130" s="285">
        <v>15001.3</v>
      </c>
      <c r="I130" s="286">
        <f>IF(X130 = 92, H130 + SUM(S130:S130) - SUM(T130:T130) - SUM(P130:P130) - V130,0)</f>
        <v>0</v>
      </c>
      <c r="J130" s="283" t="s">
        <v>451</v>
      </c>
      <c r="K130" s="283" t="s">
        <v>452</v>
      </c>
      <c r="L130" s="283"/>
      <c r="M130" s="283" t="s">
        <v>672</v>
      </c>
      <c r="N130" s="288" t="s">
        <v>696</v>
      </c>
      <c r="O130" s="288" t="s">
        <v>673</v>
      </c>
      <c r="P130" s="285">
        <v>15001.3</v>
      </c>
      <c r="Q130" s="284" t="s">
        <v>702</v>
      </c>
      <c r="R130" s="283"/>
      <c r="S130" s="285"/>
      <c r="T130" s="285"/>
      <c r="U130" s="285"/>
      <c r="V130" s="287"/>
      <c r="W130" s="281"/>
      <c r="X130" s="85">
        <v>92</v>
      </c>
    </row>
    <row r="131" spans="1:24" s="85" customFormat="1" ht="56.25" x14ac:dyDescent="0.25">
      <c r="A131" s="282">
        <v>45</v>
      </c>
      <c r="B131" s="283" t="s">
        <v>56</v>
      </c>
      <c r="C131" s="283"/>
      <c r="D131" s="283"/>
      <c r="E131" s="284" t="s">
        <v>688</v>
      </c>
      <c r="F131" s="288" t="s">
        <v>689</v>
      </c>
      <c r="G131" s="283" t="s">
        <v>431</v>
      </c>
      <c r="H131" s="285">
        <v>9760</v>
      </c>
      <c r="I131" s="286">
        <f>IF(X131 = 93, H131 + SUM(S131:S131) - SUM(T131:T131) - SUM(P131:P131) - V131,0)</f>
        <v>9760</v>
      </c>
      <c r="J131" s="283" t="s">
        <v>432</v>
      </c>
      <c r="K131" s="283" t="s">
        <v>433</v>
      </c>
      <c r="L131" s="283"/>
      <c r="M131" s="283" t="s">
        <v>690</v>
      </c>
      <c r="N131" s="288"/>
      <c r="O131" s="288" t="s">
        <v>691</v>
      </c>
      <c r="P131" s="285"/>
      <c r="Q131" s="284"/>
      <c r="R131" s="283"/>
      <c r="S131" s="285"/>
      <c r="T131" s="285"/>
      <c r="U131" s="285"/>
      <c r="V131" s="287"/>
      <c r="W131" s="281"/>
      <c r="X131" s="85">
        <v>93</v>
      </c>
    </row>
    <row r="132" spans="1:24" x14ac:dyDescent="0.25">
      <c r="X132" s="2">
        <v>94</v>
      </c>
    </row>
  </sheetData>
  <sheetProtection algorithmName="SHA-512" hashValue="0cx0vE8RENan+khJkw+pAuFhOCJ9kCos61JaMlJI5tzQyycTtse9zBeaovVFtaU7zMrSh75phdXPK+vFJHXnTw==" saltValue="Pe6zlH3dJgFxDW3xvt/lfA==" spinCount="100000" sheet="1" objects="1" scenarios="1" formatCells="0" formatColumns="0" formatRows="0"/>
  <mergeCells count="364">
    <mergeCell ref="A119:A120"/>
    <mergeCell ref="O119:O120"/>
    <mergeCell ref="U119:U120"/>
    <mergeCell ref="B119:B120"/>
    <mergeCell ref="V119:V120"/>
    <mergeCell ref="C119:C120"/>
    <mergeCell ref="W119:W120"/>
    <mergeCell ref="D119:D120"/>
    <mergeCell ref="E119:E120"/>
    <mergeCell ref="F119:F120"/>
    <mergeCell ref="G119:G120"/>
    <mergeCell ref="H119:H120"/>
    <mergeCell ref="I119:I120"/>
    <mergeCell ref="J119:J120"/>
    <mergeCell ref="K119:K120"/>
    <mergeCell ref="L119:L120"/>
    <mergeCell ref="M119:M120"/>
    <mergeCell ref="E31:E39"/>
    <mergeCell ref="F31:F39"/>
    <mergeCell ref="G31:G39"/>
    <mergeCell ref="H31:H39"/>
    <mergeCell ref="I31:I39"/>
    <mergeCell ref="J31:J39"/>
    <mergeCell ref="K31:K39"/>
    <mergeCell ref="L31:L39"/>
    <mergeCell ref="M31:M39"/>
    <mergeCell ref="D22:D30"/>
    <mergeCell ref="E22:E30"/>
    <mergeCell ref="F22:F30"/>
    <mergeCell ref="G22:G30"/>
    <mergeCell ref="H22:H30"/>
    <mergeCell ref="I22:I30"/>
    <mergeCell ref="J22:J30"/>
    <mergeCell ref="K22:K30"/>
    <mergeCell ref="L22:L30"/>
    <mergeCell ref="A22:A30"/>
    <mergeCell ref="O22:O30"/>
    <mergeCell ref="U22:U30"/>
    <mergeCell ref="B22:B30"/>
    <mergeCell ref="V22:V30"/>
    <mergeCell ref="C22:C30"/>
    <mergeCell ref="W22:W30"/>
    <mergeCell ref="M9:M12"/>
    <mergeCell ref="A13:A21"/>
    <mergeCell ref="O13:O21"/>
    <mergeCell ref="U13:U21"/>
    <mergeCell ref="B13:B21"/>
    <mergeCell ref="V13:V21"/>
    <mergeCell ref="C13:C21"/>
    <mergeCell ref="W13:W21"/>
    <mergeCell ref="D13:D21"/>
    <mergeCell ref="E13:E21"/>
    <mergeCell ref="F13:F21"/>
    <mergeCell ref="G13:G21"/>
    <mergeCell ref="H13:H21"/>
    <mergeCell ref="I13:I21"/>
    <mergeCell ref="J13:J21"/>
    <mergeCell ref="K13:K21"/>
    <mergeCell ref="L13:L21"/>
    <mergeCell ref="M13:M21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A89:A92"/>
    <mergeCell ref="O89:O92"/>
    <mergeCell ref="U89:U92"/>
    <mergeCell ref="B89:B92"/>
    <mergeCell ref="V89:V92"/>
    <mergeCell ref="C89:C92"/>
    <mergeCell ref="W89:W92"/>
    <mergeCell ref="D89:D92"/>
    <mergeCell ref="E89:E92"/>
    <mergeCell ref="F89:F92"/>
    <mergeCell ref="G89:G92"/>
    <mergeCell ref="H89:H92"/>
    <mergeCell ref="I89:I92"/>
    <mergeCell ref="J89:J92"/>
    <mergeCell ref="K89:K92"/>
    <mergeCell ref="L89:L92"/>
    <mergeCell ref="M89:M92"/>
    <mergeCell ref="A49:A51"/>
    <mergeCell ref="O49:O51"/>
    <mergeCell ref="U49:U51"/>
    <mergeCell ref="B49:B51"/>
    <mergeCell ref="V49:V51"/>
    <mergeCell ref="C49:C51"/>
    <mergeCell ref="W49:W51"/>
    <mergeCell ref="D49:D51"/>
    <mergeCell ref="E49:E51"/>
    <mergeCell ref="F49:F51"/>
    <mergeCell ref="G49:G51"/>
    <mergeCell ref="H49:H51"/>
    <mergeCell ref="I49:I51"/>
    <mergeCell ref="J49:J51"/>
    <mergeCell ref="K49:K51"/>
    <mergeCell ref="L49:L51"/>
    <mergeCell ref="M49:M51"/>
    <mergeCell ref="A116:A117"/>
    <mergeCell ref="O116:O117"/>
    <mergeCell ref="U116:U117"/>
    <mergeCell ref="B116:B117"/>
    <mergeCell ref="V116:V117"/>
    <mergeCell ref="C116:C117"/>
    <mergeCell ref="W116:W117"/>
    <mergeCell ref="D116:D117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M116:M117"/>
    <mergeCell ref="A123:A124"/>
    <mergeCell ref="O123:O124"/>
    <mergeCell ref="U123:U124"/>
    <mergeCell ref="B123:B124"/>
    <mergeCell ref="V123:V124"/>
    <mergeCell ref="C123:C124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A121:A122"/>
    <mergeCell ref="O121:O122"/>
    <mergeCell ref="U121:U122"/>
    <mergeCell ref="B121:B122"/>
    <mergeCell ref="V121:V122"/>
    <mergeCell ref="C121:C122"/>
    <mergeCell ref="W121:W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A40:A48"/>
    <mergeCell ref="O40:O48"/>
    <mergeCell ref="U40:U48"/>
    <mergeCell ref="B40:B48"/>
    <mergeCell ref="V40:V48"/>
    <mergeCell ref="C40:C48"/>
    <mergeCell ref="W40:W48"/>
    <mergeCell ref="A9:A12"/>
    <mergeCell ref="O9:O12"/>
    <mergeCell ref="U9:U12"/>
    <mergeCell ref="B9:B12"/>
    <mergeCell ref="V9:V12"/>
    <mergeCell ref="C9:C12"/>
    <mergeCell ref="W9:W12"/>
    <mergeCell ref="A31:A39"/>
    <mergeCell ref="O31:O39"/>
    <mergeCell ref="U31:U39"/>
    <mergeCell ref="B31:B39"/>
    <mergeCell ref="V31:V39"/>
    <mergeCell ref="C31:C39"/>
    <mergeCell ref="W31:W39"/>
    <mergeCell ref="M22:M30"/>
    <mergeCell ref="D40:D48"/>
    <mergeCell ref="E40:E48"/>
    <mergeCell ref="A109:A110"/>
    <mergeCell ref="O109:O110"/>
    <mergeCell ref="U109:U110"/>
    <mergeCell ref="B109:B110"/>
    <mergeCell ref="A93:A94"/>
    <mergeCell ref="O93:O94"/>
    <mergeCell ref="U93:U94"/>
    <mergeCell ref="B93:B94"/>
    <mergeCell ref="A102:A103"/>
    <mergeCell ref="O102:O103"/>
    <mergeCell ref="U102:U103"/>
    <mergeCell ref="B102:B103"/>
    <mergeCell ref="A107:A108"/>
    <mergeCell ref="O107:O108"/>
    <mergeCell ref="U107:U108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I40:I48"/>
    <mergeCell ref="J40:J48"/>
    <mergeCell ref="K40:K48"/>
    <mergeCell ref="L40:L48"/>
    <mergeCell ref="M40:M48"/>
    <mergeCell ref="D31:D39"/>
    <mergeCell ref="V109:V110"/>
    <mergeCell ref="C109:C110"/>
    <mergeCell ref="W109:W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M109:M110"/>
    <mergeCell ref="V107:V108"/>
    <mergeCell ref="W107:W108"/>
    <mergeCell ref="K107:K108"/>
    <mergeCell ref="L107:L108"/>
    <mergeCell ref="M107:M108"/>
    <mergeCell ref="V93:V94"/>
    <mergeCell ref="C93:C94"/>
    <mergeCell ref="W93:W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A3:E3"/>
    <mergeCell ref="S2:U2"/>
    <mergeCell ref="N2:O2"/>
    <mergeCell ref="J4:K4"/>
    <mergeCell ref="M4:N4"/>
    <mergeCell ref="O4:P4"/>
    <mergeCell ref="K2:M2"/>
    <mergeCell ref="J78:J83"/>
    <mergeCell ref="K78:K83"/>
    <mergeCell ref="L78:L83"/>
    <mergeCell ref="M78:M83"/>
    <mergeCell ref="D78:D83"/>
    <mergeCell ref="G58:G62"/>
    <mergeCell ref="H58:H62"/>
    <mergeCell ref="I58:I62"/>
    <mergeCell ref="J58:J62"/>
    <mergeCell ref="K58:K62"/>
    <mergeCell ref="L58:L62"/>
    <mergeCell ref="A73:A77"/>
    <mergeCell ref="U63:U72"/>
    <mergeCell ref="B63:B72"/>
    <mergeCell ref="F40:F48"/>
    <mergeCell ref="G40:G48"/>
    <mergeCell ref="H40:H48"/>
    <mergeCell ref="M84:M88"/>
    <mergeCell ref="O73:O77"/>
    <mergeCell ref="U73:U77"/>
    <mergeCell ref="B73:B77"/>
    <mergeCell ref="L63:L72"/>
    <mergeCell ref="A63:A72"/>
    <mergeCell ref="O63:O72"/>
    <mergeCell ref="W78:W83"/>
    <mergeCell ref="A58:A62"/>
    <mergeCell ref="O58:O62"/>
    <mergeCell ref="U58:U62"/>
    <mergeCell ref="M63:M72"/>
    <mergeCell ref="B58:B62"/>
    <mergeCell ref="V58:V62"/>
    <mergeCell ref="H73:H77"/>
    <mergeCell ref="I73:I77"/>
    <mergeCell ref="J73:J77"/>
    <mergeCell ref="C58:C62"/>
    <mergeCell ref="D58:D62"/>
    <mergeCell ref="E58:E62"/>
    <mergeCell ref="K73:K77"/>
    <mergeCell ref="L73:L77"/>
    <mergeCell ref="M73:M77"/>
    <mergeCell ref="F58:F62"/>
    <mergeCell ref="V73:V77"/>
    <mergeCell ref="C73:C77"/>
    <mergeCell ref="A78:A83"/>
    <mergeCell ref="O78:O83"/>
    <mergeCell ref="U78:U83"/>
    <mergeCell ref="B78:B83"/>
    <mergeCell ref="V78:V83"/>
    <mergeCell ref="C78:C83"/>
    <mergeCell ref="E78:E83"/>
    <mergeCell ref="F78:F83"/>
    <mergeCell ref="G78:G83"/>
    <mergeCell ref="H78:H83"/>
    <mergeCell ref="I78:I83"/>
    <mergeCell ref="W53:W57"/>
    <mergeCell ref="D53:D57"/>
    <mergeCell ref="E53:E57"/>
    <mergeCell ref="F53:F57"/>
    <mergeCell ref="G53:G57"/>
    <mergeCell ref="H53:H57"/>
    <mergeCell ref="I53:I57"/>
    <mergeCell ref="J53:J57"/>
    <mergeCell ref="K53:K57"/>
    <mergeCell ref="L53:L57"/>
    <mergeCell ref="M53:M57"/>
    <mergeCell ref="W73:W77"/>
    <mergeCell ref="D73:D77"/>
    <mergeCell ref="E73:E77"/>
    <mergeCell ref="F73:F77"/>
    <mergeCell ref="G73:G77"/>
    <mergeCell ref="W58:W62"/>
    <mergeCell ref="M58:M62"/>
    <mergeCell ref="A84:A88"/>
    <mergeCell ref="O84:O88"/>
    <mergeCell ref="U84:U88"/>
    <mergeCell ref="B84:B88"/>
    <mergeCell ref="V84:V88"/>
    <mergeCell ref="C84:C88"/>
    <mergeCell ref="W84:W88"/>
    <mergeCell ref="D84:D88"/>
    <mergeCell ref="E84:E88"/>
    <mergeCell ref="F84:F88"/>
    <mergeCell ref="G84:G88"/>
    <mergeCell ref="H84:H88"/>
    <mergeCell ref="I84:I88"/>
    <mergeCell ref="J84:J88"/>
    <mergeCell ref="K84:K88"/>
    <mergeCell ref="L84:L88"/>
    <mergeCell ref="W63:W72"/>
    <mergeCell ref="V102:V103"/>
    <mergeCell ref="C102:C103"/>
    <mergeCell ref="W102:W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V63:V72"/>
    <mergeCell ref="C63:C72"/>
    <mergeCell ref="A53:A57"/>
    <mergeCell ref="O53:O57"/>
    <mergeCell ref="U53:U57"/>
    <mergeCell ref="B53:B57"/>
    <mergeCell ref="V53:V57"/>
    <mergeCell ref="C53:C57"/>
    <mergeCell ref="D63:D72"/>
    <mergeCell ref="E63:E72"/>
    <mergeCell ref="F63:F72"/>
    <mergeCell ref="G63:G72"/>
    <mergeCell ref="H63:H72"/>
    <mergeCell ref="I63:I72"/>
    <mergeCell ref="J63:J72"/>
    <mergeCell ref="K63:K72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94"/>
  <sheetViews>
    <sheetView showGridLines="0" topLeftCell="E1" zoomScale="51" zoomScaleNormal="51" workbookViewId="0">
      <pane ySplit="8" topLeftCell="A96" activePane="bottomLeft" state="frozen"/>
      <selection pane="bottomLeft" activeCell="P185" sqref="P185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529" t="s">
        <v>24</v>
      </c>
      <c r="G2" s="530"/>
      <c r="H2" s="80">
        <f>SUM(H9:H9999)</f>
        <v>4690238.4799999995</v>
      </c>
      <c r="I2" s="68"/>
      <c r="N2" s="416" t="s">
        <v>137</v>
      </c>
      <c r="O2" s="418"/>
      <c r="P2" s="69">
        <f>SUM(P9:P9999)</f>
        <v>3785003.9900000021</v>
      </c>
      <c r="R2" s="68"/>
      <c r="S2" s="416" t="s">
        <v>45</v>
      </c>
      <c r="T2" s="417"/>
      <c r="U2" s="418"/>
      <c r="V2" s="70">
        <f>SUM(V9:V9999)</f>
        <v>349657.29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552">
        <v>1</v>
      </c>
      <c r="B9" s="555" t="s">
        <v>56</v>
      </c>
      <c r="C9" s="555"/>
      <c r="D9" s="555"/>
      <c r="E9" s="555" t="s">
        <v>158</v>
      </c>
      <c r="F9" s="561">
        <v>44560</v>
      </c>
      <c r="G9" s="564" t="s">
        <v>156</v>
      </c>
      <c r="H9" s="567">
        <v>11000</v>
      </c>
      <c r="I9" s="570">
        <f>IF(X9 = 13, H9 + SUM(S9:S22) - SUM(T9:T22) - SUM(P9:P22) - V9,0)</f>
        <v>1.1368683772161603E-13</v>
      </c>
      <c r="J9" s="573">
        <v>7707049388</v>
      </c>
      <c r="K9" s="576" t="s">
        <v>157</v>
      </c>
      <c r="L9" s="555"/>
      <c r="M9" s="555" t="s">
        <v>155</v>
      </c>
      <c r="N9" s="128">
        <v>44592</v>
      </c>
      <c r="O9" s="561" t="s">
        <v>147</v>
      </c>
      <c r="P9" s="124">
        <v>726.62</v>
      </c>
      <c r="Q9" s="123">
        <v>44608</v>
      </c>
      <c r="R9" s="122"/>
      <c r="S9" s="124"/>
      <c r="T9" s="124"/>
      <c r="U9" s="567" t="s">
        <v>518</v>
      </c>
      <c r="V9" s="579">
        <v>952.42</v>
      </c>
      <c r="W9" s="558"/>
      <c r="X9" s="85">
        <v>13</v>
      </c>
    </row>
    <row r="10" spans="1:24" x14ac:dyDescent="0.25">
      <c r="A10" s="553"/>
      <c r="B10" s="556"/>
      <c r="C10" s="556"/>
      <c r="D10" s="556"/>
      <c r="E10" s="556"/>
      <c r="F10" s="562"/>
      <c r="G10" s="565"/>
      <c r="H10" s="568"/>
      <c r="I10" s="571"/>
      <c r="J10" s="574"/>
      <c r="K10" s="577"/>
      <c r="L10" s="556"/>
      <c r="M10" s="556"/>
      <c r="N10" s="133">
        <v>44620</v>
      </c>
      <c r="O10" s="562"/>
      <c r="P10" s="130">
        <v>682.42</v>
      </c>
      <c r="Q10" s="131">
        <v>44641</v>
      </c>
      <c r="R10" s="132"/>
      <c r="S10" s="130"/>
      <c r="T10" s="130"/>
      <c r="U10" s="568"/>
      <c r="V10" s="580"/>
      <c r="W10" s="559"/>
      <c r="X10" s="2">
        <v>13</v>
      </c>
    </row>
    <row r="11" spans="1:24" x14ac:dyDescent="0.25">
      <c r="A11" s="553"/>
      <c r="B11" s="556"/>
      <c r="C11" s="556"/>
      <c r="D11" s="556"/>
      <c r="E11" s="556"/>
      <c r="F11" s="562"/>
      <c r="G11" s="565"/>
      <c r="H11" s="568"/>
      <c r="I11" s="571"/>
      <c r="J11" s="574"/>
      <c r="K11" s="577"/>
      <c r="L11" s="556"/>
      <c r="M11" s="556"/>
      <c r="N11" s="133">
        <v>44651</v>
      </c>
      <c r="O11" s="562"/>
      <c r="P11" s="130">
        <v>943.67</v>
      </c>
      <c r="Q11" s="131" t="s">
        <v>164</v>
      </c>
      <c r="R11" s="132"/>
      <c r="S11" s="130"/>
      <c r="T11" s="130"/>
      <c r="U11" s="568"/>
      <c r="V11" s="580"/>
      <c r="W11" s="559"/>
      <c r="X11" s="2">
        <v>13</v>
      </c>
    </row>
    <row r="12" spans="1:24" x14ac:dyDescent="0.25">
      <c r="A12" s="553"/>
      <c r="B12" s="556"/>
      <c r="C12" s="556"/>
      <c r="D12" s="556"/>
      <c r="E12" s="556"/>
      <c r="F12" s="562"/>
      <c r="G12" s="565"/>
      <c r="H12" s="568"/>
      <c r="I12" s="571"/>
      <c r="J12" s="574"/>
      <c r="K12" s="577"/>
      <c r="L12" s="556"/>
      <c r="M12" s="556"/>
      <c r="N12" s="133">
        <v>44681</v>
      </c>
      <c r="O12" s="562"/>
      <c r="P12" s="130">
        <v>769.14</v>
      </c>
      <c r="Q12" s="131" t="s">
        <v>165</v>
      </c>
      <c r="R12" s="132"/>
      <c r="S12" s="130"/>
      <c r="T12" s="130"/>
      <c r="U12" s="568"/>
      <c r="V12" s="580"/>
      <c r="W12" s="559"/>
      <c r="X12" s="2">
        <v>13</v>
      </c>
    </row>
    <row r="13" spans="1:24" x14ac:dyDescent="0.25">
      <c r="A13" s="553"/>
      <c r="B13" s="556"/>
      <c r="C13" s="556"/>
      <c r="D13" s="556"/>
      <c r="E13" s="556"/>
      <c r="F13" s="562"/>
      <c r="G13" s="565"/>
      <c r="H13" s="568"/>
      <c r="I13" s="571"/>
      <c r="J13" s="574"/>
      <c r="K13" s="577"/>
      <c r="L13" s="556"/>
      <c r="M13" s="556"/>
      <c r="N13" s="133">
        <v>44712</v>
      </c>
      <c r="O13" s="562"/>
      <c r="P13" s="130">
        <v>973.78</v>
      </c>
      <c r="Q13" s="131" t="s">
        <v>174</v>
      </c>
      <c r="R13" s="132"/>
      <c r="S13" s="130"/>
      <c r="T13" s="130"/>
      <c r="U13" s="568"/>
      <c r="V13" s="580"/>
      <c r="W13" s="559"/>
      <c r="X13" s="2">
        <v>13</v>
      </c>
    </row>
    <row r="14" spans="1:24" x14ac:dyDescent="0.25">
      <c r="A14" s="553"/>
      <c r="B14" s="556"/>
      <c r="C14" s="556"/>
      <c r="D14" s="556"/>
      <c r="E14" s="556"/>
      <c r="F14" s="562"/>
      <c r="G14" s="565"/>
      <c r="H14" s="568"/>
      <c r="I14" s="571"/>
      <c r="J14" s="574"/>
      <c r="K14" s="577"/>
      <c r="L14" s="556"/>
      <c r="M14" s="556"/>
      <c r="N14" s="133">
        <v>44742</v>
      </c>
      <c r="O14" s="562"/>
      <c r="P14" s="130">
        <v>772.94</v>
      </c>
      <c r="Q14" s="131" t="s">
        <v>176</v>
      </c>
      <c r="R14" s="132"/>
      <c r="S14" s="130"/>
      <c r="T14" s="130"/>
      <c r="U14" s="568"/>
      <c r="V14" s="580"/>
      <c r="W14" s="559"/>
      <c r="X14" s="2">
        <v>13</v>
      </c>
    </row>
    <row r="15" spans="1:24" x14ac:dyDescent="0.25">
      <c r="A15" s="553"/>
      <c r="B15" s="556"/>
      <c r="C15" s="556"/>
      <c r="D15" s="556"/>
      <c r="E15" s="556"/>
      <c r="F15" s="562"/>
      <c r="G15" s="565"/>
      <c r="H15" s="568"/>
      <c r="I15" s="571"/>
      <c r="J15" s="574"/>
      <c r="K15" s="577"/>
      <c r="L15" s="556"/>
      <c r="M15" s="556"/>
      <c r="N15" s="133">
        <v>44773</v>
      </c>
      <c r="O15" s="562"/>
      <c r="P15" s="130">
        <v>717.13</v>
      </c>
      <c r="Q15" s="131" t="s">
        <v>181</v>
      </c>
      <c r="R15" s="132"/>
      <c r="S15" s="130"/>
      <c r="T15" s="130"/>
      <c r="U15" s="568"/>
      <c r="V15" s="580"/>
      <c r="W15" s="559"/>
      <c r="X15" s="2">
        <v>13</v>
      </c>
    </row>
    <row r="16" spans="1:24" x14ac:dyDescent="0.25">
      <c r="A16" s="553"/>
      <c r="B16" s="556"/>
      <c r="C16" s="556"/>
      <c r="D16" s="556"/>
      <c r="E16" s="556"/>
      <c r="F16" s="562"/>
      <c r="G16" s="565"/>
      <c r="H16" s="568"/>
      <c r="I16" s="571"/>
      <c r="J16" s="574"/>
      <c r="K16" s="577"/>
      <c r="L16" s="556"/>
      <c r="M16" s="556"/>
      <c r="N16" s="133">
        <v>44804</v>
      </c>
      <c r="O16" s="562"/>
      <c r="P16" s="130">
        <v>704.78</v>
      </c>
      <c r="Q16" s="131" t="s">
        <v>185</v>
      </c>
      <c r="R16" s="132"/>
      <c r="S16" s="130"/>
      <c r="T16" s="130"/>
      <c r="U16" s="568"/>
      <c r="V16" s="580"/>
      <c r="W16" s="559"/>
      <c r="X16" s="2">
        <v>13</v>
      </c>
    </row>
    <row r="17" spans="1:24" x14ac:dyDescent="0.25">
      <c r="A17" s="553"/>
      <c r="B17" s="556"/>
      <c r="C17" s="556"/>
      <c r="D17" s="556"/>
      <c r="E17" s="556"/>
      <c r="F17" s="562"/>
      <c r="G17" s="565"/>
      <c r="H17" s="568"/>
      <c r="I17" s="571"/>
      <c r="J17" s="574"/>
      <c r="K17" s="577"/>
      <c r="L17" s="556"/>
      <c r="M17" s="556"/>
      <c r="N17" s="133">
        <v>44834</v>
      </c>
      <c r="O17" s="562"/>
      <c r="P17" s="130">
        <v>33.020000000000003</v>
      </c>
      <c r="Q17" s="131" t="s">
        <v>189</v>
      </c>
      <c r="R17" s="132"/>
      <c r="S17" s="130"/>
      <c r="T17" s="130"/>
      <c r="U17" s="568"/>
      <c r="V17" s="580"/>
      <c r="W17" s="559"/>
      <c r="X17" s="2">
        <v>13</v>
      </c>
    </row>
    <row r="18" spans="1:24" x14ac:dyDescent="0.25">
      <c r="A18" s="553"/>
      <c r="B18" s="556"/>
      <c r="C18" s="556"/>
      <c r="D18" s="556"/>
      <c r="E18" s="556"/>
      <c r="F18" s="562"/>
      <c r="G18" s="565"/>
      <c r="H18" s="568"/>
      <c r="I18" s="571"/>
      <c r="J18" s="574"/>
      <c r="K18" s="577"/>
      <c r="L18" s="556"/>
      <c r="M18" s="556"/>
      <c r="N18" s="133">
        <v>44834</v>
      </c>
      <c r="O18" s="562"/>
      <c r="P18" s="130">
        <v>805.62</v>
      </c>
      <c r="Q18" s="131" t="s">
        <v>189</v>
      </c>
      <c r="R18" s="132"/>
      <c r="S18" s="130"/>
      <c r="T18" s="130"/>
      <c r="U18" s="568"/>
      <c r="V18" s="580"/>
      <c r="W18" s="559"/>
      <c r="X18" s="2">
        <v>13</v>
      </c>
    </row>
    <row r="19" spans="1:24" x14ac:dyDescent="0.25">
      <c r="A19" s="553"/>
      <c r="B19" s="556"/>
      <c r="C19" s="556"/>
      <c r="D19" s="556"/>
      <c r="E19" s="556"/>
      <c r="F19" s="562"/>
      <c r="G19" s="565"/>
      <c r="H19" s="568"/>
      <c r="I19" s="571"/>
      <c r="J19" s="574"/>
      <c r="K19" s="577"/>
      <c r="L19" s="556"/>
      <c r="M19" s="556"/>
      <c r="N19" s="133">
        <v>44865</v>
      </c>
      <c r="O19" s="562"/>
      <c r="P19" s="130">
        <v>871.99</v>
      </c>
      <c r="Q19" s="131" t="s">
        <v>197</v>
      </c>
      <c r="R19" s="132"/>
      <c r="S19" s="130"/>
      <c r="T19" s="130"/>
      <c r="U19" s="568"/>
      <c r="V19" s="580"/>
      <c r="W19" s="559"/>
      <c r="X19" s="2">
        <v>13</v>
      </c>
    </row>
    <row r="20" spans="1:24" x14ac:dyDescent="0.25">
      <c r="A20" s="553"/>
      <c r="B20" s="556"/>
      <c r="C20" s="556"/>
      <c r="D20" s="556"/>
      <c r="E20" s="556"/>
      <c r="F20" s="562"/>
      <c r="G20" s="565"/>
      <c r="H20" s="568"/>
      <c r="I20" s="571"/>
      <c r="J20" s="574"/>
      <c r="K20" s="577"/>
      <c r="L20" s="556"/>
      <c r="M20" s="556"/>
      <c r="N20" s="133">
        <v>44895</v>
      </c>
      <c r="O20" s="562"/>
      <c r="P20" s="130">
        <v>1010.2</v>
      </c>
      <c r="Q20" s="131" t="s">
        <v>204</v>
      </c>
      <c r="R20" s="132"/>
      <c r="S20" s="130"/>
      <c r="T20" s="130"/>
      <c r="U20" s="568"/>
      <c r="V20" s="580"/>
      <c r="W20" s="559"/>
      <c r="X20" s="2">
        <v>13</v>
      </c>
    </row>
    <row r="21" spans="1:24" x14ac:dyDescent="0.25">
      <c r="A21" s="553"/>
      <c r="B21" s="556"/>
      <c r="C21" s="556"/>
      <c r="D21" s="556"/>
      <c r="E21" s="556"/>
      <c r="F21" s="562"/>
      <c r="G21" s="565"/>
      <c r="H21" s="568"/>
      <c r="I21" s="571"/>
      <c r="J21" s="574"/>
      <c r="K21" s="577"/>
      <c r="L21" s="556"/>
      <c r="M21" s="556"/>
      <c r="N21" s="133">
        <v>44926</v>
      </c>
      <c r="O21" s="562"/>
      <c r="P21" s="130">
        <v>172.08</v>
      </c>
      <c r="Q21" s="131" t="s">
        <v>265</v>
      </c>
      <c r="R21" s="132"/>
      <c r="S21" s="130"/>
      <c r="T21" s="130"/>
      <c r="U21" s="568"/>
      <c r="V21" s="580"/>
      <c r="W21" s="559"/>
      <c r="X21" s="2">
        <v>13</v>
      </c>
    </row>
    <row r="22" spans="1:24" x14ac:dyDescent="0.25">
      <c r="A22" s="554"/>
      <c r="B22" s="557"/>
      <c r="C22" s="557"/>
      <c r="D22" s="557"/>
      <c r="E22" s="557"/>
      <c r="F22" s="563"/>
      <c r="G22" s="566"/>
      <c r="H22" s="569"/>
      <c r="I22" s="572"/>
      <c r="J22" s="575"/>
      <c r="K22" s="578"/>
      <c r="L22" s="557"/>
      <c r="M22" s="557"/>
      <c r="N22" s="129">
        <v>44926</v>
      </c>
      <c r="O22" s="563"/>
      <c r="P22" s="125">
        <v>864.19</v>
      </c>
      <c r="Q22" s="126" t="s">
        <v>265</v>
      </c>
      <c r="R22" s="127"/>
      <c r="S22" s="125"/>
      <c r="T22" s="125"/>
      <c r="U22" s="569"/>
      <c r="V22" s="581"/>
      <c r="W22" s="560"/>
      <c r="X22" s="2">
        <v>13</v>
      </c>
    </row>
    <row r="23" spans="1:24" s="85" customFormat="1" ht="72" customHeight="1" x14ac:dyDescent="0.25">
      <c r="A23" s="531">
        <v>2</v>
      </c>
      <c r="B23" s="540" t="s">
        <v>56</v>
      </c>
      <c r="C23" s="540"/>
      <c r="D23" s="540"/>
      <c r="E23" s="540" t="s">
        <v>191</v>
      </c>
      <c r="F23" s="534" t="s">
        <v>186</v>
      </c>
      <c r="G23" s="588" t="s">
        <v>192</v>
      </c>
      <c r="H23" s="537">
        <v>257225.44</v>
      </c>
      <c r="I23" s="543">
        <f>IF(X23 = 46, H23 + SUM(S23:S25) - SUM(T23:T25) - SUM(P23:P25) - V23,0)</f>
        <v>-1.6298157268224145E-11</v>
      </c>
      <c r="J23" s="546">
        <v>2312054894</v>
      </c>
      <c r="K23" s="549" t="s">
        <v>149</v>
      </c>
      <c r="L23" s="540"/>
      <c r="M23" s="540" t="s">
        <v>190</v>
      </c>
      <c r="N23" s="95">
        <v>44865</v>
      </c>
      <c r="O23" s="534" t="s">
        <v>193</v>
      </c>
      <c r="P23" s="88">
        <v>7464.37</v>
      </c>
      <c r="Q23" s="87" t="s">
        <v>198</v>
      </c>
      <c r="R23" s="86"/>
      <c r="S23" s="88"/>
      <c r="T23" s="88"/>
      <c r="U23" s="537" t="s">
        <v>519</v>
      </c>
      <c r="V23" s="585">
        <v>0.17</v>
      </c>
      <c r="W23" s="582"/>
      <c r="X23" s="85">
        <v>46</v>
      </c>
    </row>
    <row r="24" spans="1:24" x14ac:dyDescent="0.25">
      <c r="A24" s="532"/>
      <c r="B24" s="541"/>
      <c r="C24" s="541"/>
      <c r="D24" s="541"/>
      <c r="E24" s="541"/>
      <c r="F24" s="535"/>
      <c r="G24" s="589"/>
      <c r="H24" s="538"/>
      <c r="I24" s="544"/>
      <c r="J24" s="547"/>
      <c r="K24" s="550"/>
      <c r="L24" s="541"/>
      <c r="M24" s="541"/>
      <c r="N24" s="96">
        <v>44895</v>
      </c>
      <c r="O24" s="535"/>
      <c r="P24" s="89">
        <v>146780.1</v>
      </c>
      <c r="Q24" s="90" t="s">
        <v>199</v>
      </c>
      <c r="R24" s="91"/>
      <c r="S24" s="89"/>
      <c r="T24" s="89"/>
      <c r="U24" s="538"/>
      <c r="V24" s="586"/>
      <c r="W24" s="583"/>
      <c r="X24" s="2">
        <v>46</v>
      </c>
    </row>
    <row r="25" spans="1:24" x14ac:dyDescent="0.25">
      <c r="A25" s="533"/>
      <c r="B25" s="542"/>
      <c r="C25" s="542"/>
      <c r="D25" s="542"/>
      <c r="E25" s="542"/>
      <c r="F25" s="536"/>
      <c r="G25" s="590"/>
      <c r="H25" s="539"/>
      <c r="I25" s="545"/>
      <c r="J25" s="548"/>
      <c r="K25" s="551"/>
      <c r="L25" s="542"/>
      <c r="M25" s="542"/>
      <c r="N25" s="97">
        <v>44914</v>
      </c>
      <c r="O25" s="536"/>
      <c r="P25" s="92">
        <v>102980.8</v>
      </c>
      <c r="Q25" s="93" t="s">
        <v>203</v>
      </c>
      <c r="R25" s="94"/>
      <c r="S25" s="92"/>
      <c r="T25" s="92"/>
      <c r="U25" s="539"/>
      <c r="V25" s="587"/>
      <c r="W25" s="584"/>
      <c r="X25" s="2">
        <v>46</v>
      </c>
    </row>
    <row r="26" spans="1:24" s="85" customFormat="1" ht="72" customHeight="1" x14ac:dyDescent="0.25">
      <c r="A26" s="462">
        <v>3</v>
      </c>
      <c r="B26" s="422" t="s">
        <v>56</v>
      </c>
      <c r="C26" s="422"/>
      <c r="D26" s="422"/>
      <c r="E26" s="422" t="s">
        <v>268</v>
      </c>
      <c r="F26" s="428" t="s">
        <v>269</v>
      </c>
      <c r="G26" s="426" t="s">
        <v>270</v>
      </c>
      <c r="H26" s="430">
        <v>474789</v>
      </c>
      <c r="I26" s="432">
        <f>IF(X26 = 55, H26 + SUM(S26:S30) - SUM(T26:T30) - SUM(P26:P30) - V26,0)</f>
        <v>0</v>
      </c>
      <c r="J26" s="513">
        <v>235300578903</v>
      </c>
      <c r="K26" s="516" t="s">
        <v>148</v>
      </c>
      <c r="L26" s="422"/>
      <c r="M26" s="422" t="s">
        <v>271</v>
      </c>
      <c r="N26" s="163">
        <v>44834</v>
      </c>
      <c r="O26" s="428" t="s">
        <v>272</v>
      </c>
      <c r="P26" s="156">
        <v>126787.5</v>
      </c>
      <c r="Q26" s="155" t="s">
        <v>273</v>
      </c>
      <c r="R26" s="154"/>
      <c r="S26" s="156"/>
      <c r="T26" s="156"/>
      <c r="U26" s="430"/>
      <c r="V26" s="507"/>
      <c r="W26" s="424"/>
      <c r="X26" s="85">
        <v>55</v>
      </c>
    </row>
    <row r="27" spans="1:24" x14ac:dyDescent="0.25">
      <c r="A27" s="519"/>
      <c r="B27" s="510"/>
      <c r="C27" s="510"/>
      <c r="D27" s="510"/>
      <c r="E27" s="510"/>
      <c r="F27" s="511"/>
      <c r="G27" s="503"/>
      <c r="H27" s="504"/>
      <c r="I27" s="512"/>
      <c r="J27" s="514"/>
      <c r="K27" s="517"/>
      <c r="L27" s="510"/>
      <c r="M27" s="510"/>
      <c r="N27" s="164">
        <v>44865</v>
      </c>
      <c r="O27" s="511"/>
      <c r="P27" s="157">
        <v>116644.5</v>
      </c>
      <c r="Q27" s="158" t="s">
        <v>197</v>
      </c>
      <c r="R27" s="159"/>
      <c r="S27" s="157"/>
      <c r="T27" s="157"/>
      <c r="U27" s="504"/>
      <c r="V27" s="508"/>
      <c r="W27" s="505"/>
      <c r="X27" s="2">
        <v>55</v>
      </c>
    </row>
    <row r="28" spans="1:24" x14ac:dyDescent="0.25">
      <c r="A28" s="519"/>
      <c r="B28" s="510"/>
      <c r="C28" s="510"/>
      <c r="D28" s="510"/>
      <c r="E28" s="510"/>
      <c r="F28" s="511"/>
      <c r="G28" s="503"/>
      <c r="H28" s="504"/>
      <c r="I28" s="512"/>
      <c r="J28" s="514"/>
      <c r="K28" s="517"/>
      <c r="L28" s="510"/>
      <c r="M28" s="510"/>
      <c r="N28" s="164">
        <v>44865</v>
      </c>
      <c r="O28" s="511"/>
      <c r="P28" s="157">
        <v>241.5</v>
      </c>
      <c r="Q28" s="158" t="s">
        <v>274</v>
      </c>
      <c r="R28" s="159"/>
      <c r="S28" s="157"/>
      <c r="T28" s="157"/>
      <c r="U28" s="504"/>
      <c r="V28" s="508"/>
      <c r="W28" s="505"/>
      <c r="X28" s="2">
        <v>55</v>
      </c>
    </row>
    <row r="29" spans="1:24" x14ac:dyDescent="0.25">
      <c r="A29" s="519"/>
      <c r="B29" s="510"/>
      <c r="C29" s="510"/>
      <c r="D29" s="510"/>
      <c r="E29" s="510"/>
      <c r="F29" s="511"/>
      <c r="G29" s="503"/>
      <c r="H29" s="504"/>
      <c r="I29" s="512"/>
      <c r="J29" s="514"/>
      <c r="K29" s="517"/>
      <c r="L29" s="510"/>
      <c r="M29" s="510"/>
      <c r="N29" s="164">
        <v>44895</v>
      </c>
      <c r="O29" s="511"/>
      <c r="P29" s="157">
        <v>103120.5</v>
      </c>
      <c r="Q29" s="158" t="s">
        <v>275</v>
      </c>
      <c r="R29" s="159"/>
      <c r="S29" s="157"/>
      <c r="T29" s="157"/>
      <c r="U29" s="504"/>
      <c r="V29" s="508"/>
      <c r="W29" s="505"/>
      <c r="X29" s="2">
        <v>55</v>
      </c>
    </row>
    <row r="30" spans="1:24" x14ac:dyDescent="0.25">
      <c r="A30" s="519"/>
      <c r="B30" s="510"/>
      <c r="C30" s="510"/>
      <c r="D30" s="510"/>
      <c r="E30" s="510"/>
      <c r="F30" s="511"/>
      <c r="G30" s="503"/>
      <c r="H30" s="504"/>
      <c r="I30" s="512"/>
      <c r="J30" s="514"/>
      <c r="K30" s="517"/>
      <c r="L30" s="510"/>
      <c r="M30" s="510"/>
      <c r="N30" s="164">
        <v>44925</v>
      </c>
      <c r="O30" s="511"/>
      <c r="P30" s="157">
        <v>127995</v>
      </c>
      <c r="Q30" s="158" t="s">
        <v>276</v>
      </c>
      <c r="R30" s="159"/>
      <c r="S30" s="157"/>
      <c r="T30" s="157"/>
      <c r="U30" s="504"/>
      <c r="V30" s="508"/>
      <c r="W30" s="505"/>
      <c r="X30" s="2">
        <v>55</v>
      </c>
    </row>
    <row r="31" spans="1:24" s="85" customFormat="1" ht="54" customHeight="1" x14ac:dyDescent="0.25">
      <c r="A31" s="480">
        <v>4</v>
      </c>
      <c r="B31" s="437" t="s">
        <v>56</v>
      </c>
      <c r="C31" s="437"/>
      <c r="D31" s="437"/>
      <c r="E31" s="437" t="s">
        <v>150</v>
      </c>
      <c r="F31" s="434" t="s">
        <v>217</v>
      </c>
      <c r="G31" s="492" t="s">
        <v>220</v>
      </c>
      <c r="H31" s="440">
        <v>24918.78</v>
      </c>
      <c r="I31" s="443">
        <f>IF(X31 = 56, H31 + SUM(S31:S39) - SUM(T31:T39) - SUM(P31:P39) - V31,0)</f>
        <v>4549.66</v>
      </c>
      <c r="J31" s="591">
        <v>2369002347</v>
      </c>
      <c r="K31" s="594" t="s">
        <v>221</v>
      </c>
      <c r="L31" s="437"/>
      <c r="M31" s="437" t="s">
        <v>214</v>
      </c>
      <c r="N31" s="304" t="s">
        <v>307</v>
      </c>
      <c r="O31" s="434" t="s">
        <v>222</v>
      </c>
      <c r="P31" s="294">
        <v>4841.84</v>
      </c>
      <c r="Q31" s="293" t="s">
        <v>313</v>
      </c>
      <c r="R31" s="292"/>
      <c r="S31" s="294"/>
      <c r="T31" s="294"/>
      <c r="U31" s="440"/>
      <c r="V31" s="597"/>
      <c r="W31" s="486"/>
      <c r="X31" s="85">
        <v>56</v>
      </c>
    </row>
    <row r="32" spans="1:24" x14ac:dyDescent="0.25">
      <c r="A32" s="481"/>
      <c r="B32" s="438"/>
      <c r="C32" s="438"/>
      <c r="D32" s="438"/>
      <c r="E32" s="438"/>
      <c r="F32" s="435"/>
      <c r="G32" s="494"/>
      <c r="H32" s="441"/>
      <c r="I32" s="444"/>
      <c r="J32" s="592"/>
      <c r="K32" s="595"/>
      <c r="L32" s="438"/>
      <c r="M32" s="438"/>
      <c r="N32" s="306" t="s">
        <v>345</v>
      </c>
      <c r="O32" s="435"/>
      <c r="P32" s="298">
        <v>2003.52</v>
      </c>
      <c r="Q32" s="299" t="s">
        <v>347</v>
      </c>
      <c r="R32" s="300"/>
      <c r="S32" s="298"/>
      <c r="T32" s="298"/>
      <c r="U32" s="441"/>
      <c r="V32" s="598"/>
      <c r="W32" s="487"/>
      <c r="X32" s="2">
        <v>56</v>
      </c>
    </row>
    <row r="33" spans="1:24" x14ac:dyDescent="0.25">
      <c r="A33" s="481"/>
      <c r="B33" s="438"/>
      <c r="C33" s="438"/>
      <c r="D33" s="438"/>
      <c r="E33" s="438"/>
      <c r="F33" s="435"/>
      <c r="G33" s="494"/>
      <c r="H33" s="441"/>
      <c r="I33" s="444"/>
      <c r="J33" s="592"/>
      <c r="K33" s="595"/>
      <c r="L33" s="438"/>
      <c r="M33" s="438"/>
      <c r="N33" s="306" t="s">
        <v>375</v>
      </c>
      <c r="O33" s="435"/>
      <c r="P33" s="298">
        <v>1794.82</v>
      </c>
      <c r="Q33" s="299" t="s">
        <v>378</v>
      </c>
      <c r="R33" s="300"/>
      <c r="S33" s="298"/>
      <c r="T33" s="298"/>
      <c r="U33" s="441"/>
      <c r="V33" s="598"/>
      <c r="W33" s="487"/>
      <c r="X33" s="2">
        <v>56</v>
      </c>
    </row>
    <row r="34" spans="1:24" x14ac:dyDescent="0.25">
      <c r="A34" s="481"/>
      <c r="B34" s="438"/>
      <c r="C34" s="438"/>
      <c r="D34" s="438"/>
      <c r="E34" s="438"/>
      <c r="F34" s="435"/>
      <c r="G34" s="494"/>
      <c r="H34" s="441"/>
      <c r="I34" s="444"/>
      <c r="J34" s="592"/>
      <c r="K34" s="595"/>
      <c r="L34" s="438"/>
      <c r="M34" s="438"/>
      <c r="N34" s="306" t="s">
        <v>459</v>
      </c>
      <c r="O34" s="435"/>
      <c r="P34" s="298">
        <v>1878.3</v>
      </c>
      <c r="Q34" s="299" t="s">
        <v>457</v>
      </c>
      <c r="R34" s="300"/>
      <c r="S34" s="298"/>
      <c r="T34" s="298"/>
      <c r="U34" s="441"/>
      <c r="V34" s="598"/>
      <c r="W34" s="487"/>
      <c r="X34" s="2">
        <v>56</v>
      </c>
    </row>
    <row r="35" spans="1:24" x14ac:dyDescent="0.25">
      <c r="A35" s="481"/>
      <c r="B35" s="438"/>
      <c r="C35" s="438"/>
      <c r="D35" s="438"/>
      <c r="E35" s="438"/>
      <c r="F35" s="435"/>
      <c r="G35" s="494"/>
      <c r="H35" s="441"/>
      <c r="I35" s="444"/>
      <c r="J35" s="592"/>
      <c r="K35" s="595"/>
      <c r="L35" s="438"/>
      <c r="M35" s="438"/>
      <c r="N35" s="306" t="s">
        <v>470</v>
      </c>
      <c r="O35" s="435"/>
      <c r="P35" s="298">
        <v>1878.3</v>
      </c>
      <c r="Q35" s="299" t="s">
        <v>507</v>
      </c>
      <c r="R35" s="300"/>
      <c r="S35" s="298"/>
      <c r="T35" s="298"/>
      <c r="U35" s="441"/>
      <c r="V35" s="598"/>
      <c r="W35" s="487"/>
      <c r="X35" s="2">
        <v>56</v>
      </c>
    </row>
    <row r="36" spans="1:24" x14ac:dyDescent="0.25">
      <c r="A36" s="481"/>
      <c r="B36" s="438"/>
      <c r="C36" s="438"/>
      <c r="D36" s="438"/>
      <c r="E36" s="438"/>
      <c r="F36" s="435"/>
      <c r="G36" s="494"/>
      <c r="H36" s="441"/>
      <c r="I36" s="444"/>
      <c r="J36" s="592"/>
      <c r="K36" s="595"/>
      <c r="L36" s="438"/>
      <c r="M36" s="438"/>
      <c r="N36" s="306" t="s">
        <v>562</v>
      </c>
      <c r="O36" s="435"/>
      <c r="P36" s="298">
        <v>1085.24</v>
      </c>
      <c r="Q36" s="299" t="s">
        <v>564</v>
      </c>
      <c r="R36" s="300"/>
      <c r="S36" s="298"/>
      <c r="T36" s="298"/>
      <c r="U36" s="441"/>
      <c r="V36" s="598"/>
      <c r="W36" s="487"/>
      <c r="X36" s="2">
        <v>56</v>
      </c>
    </row>
    <row r="37" spans="1:24" x14ac:dyDescent="0.25">
      <c r="A37" s="481"/>
      <c r="B37" s="438"/>
      <c r="C37" s="438"/>
      <c r="D37" s="438"/>
      <c r="E37" s="438"/>
      <c r="F37" s="435"/>
      <c r="G37" s="494"/>
      <c r="H37" s="441"/>
      <c r="I37" s="444"/>
      <c r="J37" s="592"/>
      <c r="K37" s="595"/>
      <c r="L37" s="438"/>
      <c r="M37" s="438"/>
      <c r="N37" s="306" t="s">
        <v>602</v>
      </c>
      <c r="O37" s="435"/>
      <c r="P37" s="298">
        <v>459.14</v>
      </c>
      <c r="Q37" s="299" t="s">
        <v>605</v>
      </c>
      <c r="R37" s="300"/>
      <c r="S37" s="298"/>
      <c r="T37" s="298"/>
      <c r="U37" s="441"/>
      <c r="V37" s="598"/>
      <c r="W37" s="487"/>
      <c r="X37" s="2">
        <v>56</v>
      </c>
    </row>
    <row r="38" spans="1:24" x14ac:dyDescent="0.25">
      <c r="A38" s="481"/>
      <c r="B38" s="438"/>
      <c r="C38" s="438"/>
      <c r="D38" s="438"/>
      <c r="E38" s="438"/>
      <c r="F38" s="435"/>
      <c r="G38" s="494"/>
      <c r="H38" s="441"/>
      <c r="I38" s="444"/>
      <c r="J38" s="592"/>
      <c r="K38" s="595"/>
      <c r="L38" s="438"/>
      <c r="M38" s="438"/>
      <c r="N38" s="306" t="s">
        <v>606</v>
      </c>
      <c r="O38" s="435"/>
      <c r="P38" s="298">
        <v>1293.94</v>
      </c>
      <c r="Q38" s="299" t="s">
        <v>648</v>
      </c>
      <c r="R38" s="300"/>
      <c r="S38" s="298"/>
      <c r="T38" s="298"/>
      <c r="U38" s="441"/>
      <c r="V38" s="598"/>
      <c r="W38" s="487"/>
      <c r="X38" s="2">
        <v>56</v>
      </c>
    </row>
    <row r="39" spans="1:24" x14ac:dyDescent="0.25">
      <c r="A39" s="482"/>
      <c r="B39" s="439"/>
      <c r="C39" s="439"/>
      <c r="D39" s="439"/>
      <c r="E39" s="439"/>
      <c r="F39" s="436"/>
      <c r="G39" s="493"/>
      <c r="H39" s="442"/>
      <c r="I39" s="445"/>
      <c r="J39" s="593"/>
      <c r="K39" s="596"/>
      <c r="L39" s="439"/>
      <c r="M39" s="439"/>
      <c r="N39" s="307" t="s">
        <v>695</v>
      </c>
      <c r="O39" s="436"/>
      <c r="P39" s="301">
        <v>5134.0200000000004</v>
      </c>
      <c r="Q39" s="302" t="s">
        <v>708</v>
      </c>
      <c r="R39" s="303"/>
      <c r="S39" s="301"/>
      <c r="T39" s="301"/>
      <c r="U39" s="442"/>
      <c r="V39" s="599"/>
      <c r="W39" s="488"/>
      <c r="X39" s="2">
        <v>56</v>
      </c>
    </row>
    <row r="40" spans="1:24" s="85" customFormat="1" ht="54" customHeight="1" x14ac:dyDescent="0.25">
      <c r="A40" s="480">
        <v>5</v>
      </c>
      <c r="B40" s="437" t="s">
        <v>56</v>
      </c>
      <c r="C40" s="437"/>
      <c r="D40" s="437"/>
      <c r="E40" s="437" t="s">
        <v>216</v>
      </c>
      <c r="F40" s="434" t="s">
        <v>217</v>
      </c>
      <c r="G40" s="492" t="s">
        <v>218</v>
      </c>
      <c r="H40" s="440">
        <v>45256.44</v>
      </c>
      <c r="I40" s="443">
        <f>IF(X40 = 57, H40 + SUM(S40:S48) - SUM(T40:T48) - SUM(P40:P48) - V40,0)</f>
        <v>11314.110000000008</v>
      </c>
      <c r="J40" s="591">
        <v>2308131994</v>
      </c>
      <c r="K40" s="594" t="s">
        <v>219</v>
      </c>
      <c r="L40" s="437"/>
      <c r="M40" s="486" t="s">
        <v>214</v>
      </c>
      <c r="N40" s="304" t="s">
        <v>307</v>
      </c>
      <c r="O40" s="434" t="s">
        <v>222</v>
      </c>
      <c r="P40" s="294">
        <v>3771.37</v>
      </c>
      <c r="Q40" s="293" t="s">
        <v>310</v>
      </c>
      <c r="R40" s="292"/>
      <c r="S40" s="294"/>
      <c r="T40" s="294"/>
      <c r="U40" s="440"/>
      <c r="V40" s="597"/>
      <c r="W40" s="486"/>
      <c r="X40" s="85">
        <v>57</v>
      </c>
    </row>
    <row r="41" spans="1:24" x14ac:dyDescent="0.25">
      <c r="A41" s="481"/>
      <c r="B41" s="438"/>
      <c r="C41" s="438"/>
      <c r="D41" s="438"/>
      <c r="E41" s="438"/>
      <c r="F41" s="435"/>
      <c r="G41" s="494"/>
      <c r="H41" s="441"/>
      <c r="I41" s="444"/>
      <c r="J41" s="592"/>
      <c r="K41" s="595"/>
      <c r="L41" s="438"/>
      <c r="M41" s="487"/>
      <c r="N41" s="306" t="s">
        <v>345</v>
      </c>
      <c r="O41" s="435"/>
      <c r="P41" s="298">
        <v>3771.37</v>
      </c>
      <c r="Q41" s="299" t="s">
        <v>310</v>
      </c>
      <c r="R41" s="300"/>
      <c r="S41" s="298"/>
      <c r="T41" s="298"/>
      <c r="U41" s="441"/>
      <c r="V41" s="598"/>
      <c r="W41" s="487"/>
      <c r="X41" s="2">
        <v>57</v>
      </c>
    </row>
    <row r="42" spans="1:24" x14ac:dyDescent="0.25">
      <c r="A42" s="481"/>
      <c r="B42" s="438"/>
      <c r="C42" s="438"/>
      <c r="D42" s="438"/>
      <c r="E42" s="438"/>
      <c r="F42" s="435"/>
      <c r="G42" s="494"/>
      <c r="H42" s="441"/>
      <c r="I42" s="444"/>
      <c r="J42" s="592"/>
      <c r="K42" s="595"/>
      <c r="L42" s="438"/>
      <c r="M42" s="487"/>
      <c r="N42" s="306" t="s">
        <v>371</v>
      </c>
      <c r="O42" s="435"/>
      <c r="P42" s="298">
        <v>3771.37</v>
      </c>
      <c r="Q42" s="299" t="s">
        <v>376</v>
      </c>
      <c r="R42" s="300"/>
      <c r="S42" s="298"/>
      <c r="T42" s="298"/>
      <c r="U42" s="441"/>
      <c r="V42" s="598"/>
      <c r="W42" s="487"/>
      <c r="X42" s="2">
        <v>57</v>
      </c>
    </row>
    <row r="43" spans="1:24" x14ac:dyDescent="0.25">
      <c r="A43" s="481"/>
      <c r="B43" s="438"/>
      <c r="C43" s="438"/>
      <c r="D43" s="438"/>
      <c r="E43" s="438"/>
      <c r="F43" s="435"/>
      <c r="G43" s="494"/>
      <c r="H43" s="441"/>
      <c r="I43" s="444"/>
      <c r="J43" s="592"/>
      <c r="K43" s="595"/>
      <c r="L43" s="438"/>
      <c r="M43" s="487"/>
      <c r="N43" s="306" t="s">
        <v>460</v>
      </c>
      <c r="O43" s="435"/>
      <c r="P43" s="298">
        <v>3771.37</v>
      </c>
      <c r="Q43" s="299" t="s">
        <v>457</v>
      </c>
      <c r="R43" s="300"/>
      <c r="S43" s="298"/>
      <c r="T43" s="298"/>
      <c r="U43" s="441"/>
      <c r="V43" s="598"/>
      <c r="W43" s="487"/>
      <c r="X43" s="2">
        <v>57</v>
      </c>
    </row>
    <row r="44" spans="1:24" x14ac:dyDescent="0.25">
      <c r="A44" s="481"/>
      <c r="B44" s="438"/>
      <c r="C44" s="438"/>
      <c r="D44" s="438"/>
      <c r="E44" s="438"/>
      <c r="F44" s="435"/>
      <c r="G44" s="494"/>
      <c r="H44" s="441"/>
      <c r="I44" s="444"/>
      <c r="J44" s="592"/>
      <c r="K44" s="595"/>
      <c r="L44" s="438"/>
      <c r="M44" s="487"/>
      <c r="N44" s="306" t="s">
        <v>470</v>
      </c>
      <c r="O44" s="435"/>
      <c r="P44" s="298">
        <v>3771.37</v>
      </c>
      <c r="Q44" s="299" t="s">
        <v>509</v>
      </c>
      <c r="R44" s="300"/>
      <c r="S44" s="298"/>
      <c r="T44" s="298"/>
      <c r="U44" s="441"/>
      <c r="V44" s="598"/>
      <c r="W44" s="487"/>
      <c r="X44" s="2">
        <v>57</v>
      </c>
    </row>
    <row r="45" spans="1:24" x14ac:dyDescent="0.25">
      <c r="A45" s="481"/>
      <c r="B45" s="438"/>
      <c r="C45" s="438"/>
      <c r="D45" s="438"/>
      <c r="E45" s="438"/>
      <c r="F45" s="435"/>
      <c r="G45" s="494"/>
      <c r="H45" s="441"/>
      <c r="I45" s="444"/>
      <c r="J45" s="592"/>
      <c r="K45" s="595"/>
      <c r="L45" s="438"/>
      <c r="M45" s="487"/>
      <c r="N45" s="306" t="s">
        <v>562</v>
      </c>
      <c r="O45" s="435"/>
      <c r="P45" s="298">
        <v>3771.37</v>
      </c>
      <c r="Q45" s="299" t="s">
        <v>564</v>
      </c>
      <c r="R45" s="300"/>
      <c r="S45" s="298"/>
      <c r="T45" s="298"/>
      <c r="U45" s="441"/>
      <c r="V45" s="598"/>
      <c r="W45" s="487"/>
      <c r="X45" s="2">
        <v>57</v>
      </c>
    </row>
    <row r="46" spans="1:24" x14ac:dyDescent="0.25">
      <c r="A46" s="481"/>
      <c r="B46" s="438"/>
      <c r="C46" s="438"/>
      <c r="D46" s="438"/>
      <c r="E46" s="438"/>
      <c r="F46" s="435"/>
      <c r="G46" s="494"/>
      <c r="H46" s="441"/>
      <c r="I46" s="444"/>
      <c r="J46" s="592"/>
      <c r="K46" s="595"/>
      <c r="L46" s="438"/>
      <c r="M46" s="487"/>
      <c r="N46" s="306" t="s">
        <v>602</v>
      </c>
      <c r="O46" s="435"/>
      <c r="P46" s="298">
        <v>3771.37</v>
      </c>
      <c r="Q46" s="299" t="s">
        <v>607</v>
      </c>
      <c r="R46" s="300"/>
      <c r="S46" s="298"/>
      <c r="T46" s="298"/>
      <c r="U46" s="441"/>
      <c r="V46" s="598"/>
      <c r="W46" s="487"/>
      <c r="X46" s="2">
        <v>57</v>
      </c>
    </row>
    <row r="47" spans="1:24" x14ac:dyDescent="0.25">
      <c r="A47" s="481"/>
      <c r="B47" s="438"/>
      <c r="C47" s="438"/>
      <c r="D47" s="438"/>
      <c r="E47" s="438"/>
      <c r="F47" s="435"/>
      <c r="G47" s="494"/>
      <c r="H47" s="441"/>
      <c r="I47" s="444"/>
      <c r="J47" s="592"/>
      <c r="K47" s="595"/>
      <c r="L47" s="438"/>
      <c r="M47" s="487"/>
      <c r="N47" s="306" t="s">
        <v>606</v>
      </c>
      <c r="O47" s="435"/>
      <c r="P47" s="298">
        <v>3771.37</v>
      </c>
      <c r="Q47" s="299" t="s">
        <v>648</v>
      </c>
      <c r="R47" s="300"/>
      <c r="S47" s="298"/>
      <c r="T47" s="298"/>
      <c r="U47" s="441"/>
      <c r="V47" s="598"/>
      <c r="W47" s="487"/>
      <c r="X47" s="2">
        <v>57</v>
      </c>
    </row>
    <row r="48" spans="1:24" x14ac:dyDescent="0.25">
      <c r="A48" s="482"/>
      <c r="B48" s="439"/>
      <c r="C48" s="439"/>
      <c r="D48" s="439"/>
      <c r="E48" s="439"/>
      <c r="F48" s="436"/>
      <c r="G48" s="493"/>
      <c r="H48" s="442"/>
      <c r="I48" s="445"/>
      <c r="J48" s="593"/>
      <c r="K48" s="596"/>
      <c r="L48" s="439"/>
      <c r="M48" s="488"/>
      <c r="N48" s="307" t="s">
        <v>695</v>
      </c>
      <c r="O48" s="436"/>
      <c r="P48" s="301">
        <v>3771.37</v>
      </c>
      <c r="Q48" s="302" t="s">
        <v>703</v>
      </c>
      <c r="R48" s="303"/>
      <c r="S48" s="301"/>
      <c r="T48" s="301"/>
      <c r="U48" s="442"/>
      <c r="V48" s="599"/>
      <c r="W48" s="488"/>
      <c r="X48" s="2">
        <v>57</v>
      </c>
    </row>
    <row r="49" spans="1:24" s="85" customFormat="1" ht="54" customHeight="1" x14ac:dyDescent="0.25">
      <c r="A49" s="480">
        <v>6</v>
      </c>
      <c r="B49" s="437" t="s">
        <v>56</v>
      </c>
      <c r="C49" s="437"/>
      <c r="D49" s="437"/>
      <c r="E49" s="437" t="s">
        <v>235</v>
      </c>
      <c r="F49" s="434" t="s">
        <v>217</v>
      </c>
      <c r="G49" s="492" t="s">
        <v>230</v>
      </c>
      <c r="H49" s="440">
        <v>460063</v>
      </c>
      <c r="I49" s="443">
        <f>IF(X49 = 58, H49 + SUM(S49:S76) - SUM(T49:T76) - SUM(P49:P76) - V49,0)</f>
        <v>-1181.179999999993</v>
      </c>
      <c r="J49" s="591">
        <v>2308119595</v>
      </c>
      <c r="K49" s="594" t="s">
        <v>146</v>
      </c>
      <c r="L49" s="437"/>
      <c r="M49" s="437" t="s">
        <v>214</v>
      </c>
      <c r="N49" s="304" t="s">
        <v>264</v>
      </c>
      <c r="O49" s="434" t="s">
        <v>231</v>
      </c>
      <c r="P49" s="294">
        <v>21504.21</v>
      </c>
      <c r="Q49" s="293" t="s">
        <v>263</v>
      </c>
      <c r="R49" s="292"/>
      <c r="S49" s="294"/>
      <c r="T49" s="294"/>
      <c r="U49" s="440"/>
      <c r="V49" s="597"/>
      <c r="W49" s="486"/>
      <c r="X49" s="85">
        <v>58</v>
      </c>
    </row>
    <row r="50" spans="1:24" x14ac:dyDescent="0.25">
      <c r="A50" s="481"/>
      <c r="B50" s="438"/>
      <c r="C50" s="438"/>
      <c r="D50" s="438"/>
      <c r="E50" s="438"/>
      <c r="F50" s="435"/>
      <c r="G50" s="494"/>
      <c r="H50" s="441"/>
      <c r="I50" s="444"/>
      <c r="J50" s="592"/>
      <c r="K50" s="595"/>
      <c r="L50" s="438"/>
      <c r="M50" s="438"/>
      <c r="N50" s="306" t="s">
        <v>267</v>
      </c>
      <c r="O50" s="435"/>
      <c r="P50" s="298">
        <v>17021.11</v>
      </c>
      <c r="Q50" s="299" t="s">
        <v>266</v>
      </c>
      <c r="R50" s="300"/>
      <c r="S50" s="298"/>
      <c r="T50" s="298"/>
      <c r="U50" s="441"/>
      <c r="V50" s="598"/>
      <c r="W50" s="487"/>
      <c r="X50" s="2">
        <v>58</v>
      </c>
    </row>
    <row r="51" spans="1:24" x14ac:dyDescent="0.25">
      <c r="A51" s="481"/>
      <c r="B51" s="438"/>
      <c r="C51" s="438"/>
      <c r="D51" s="438"/>
      <c r="E51" s="438"/>
      <c r="F51" s="435"/>
      <c r="G51" s="494"/>
      <c r="H51" s="441"/>
      <c r="I51" s="444"/>
      <c r="J51" s="592"/>
      <c r="K51" s="595"/>
      <c r="L51" s="438"/>
      <c r="M51" s="438"/>
      <c r="N51" s="306" t="s">
        <v>267</v>
      </c>
      <c r="O51" s="435"/>
      <c r="P51" s="298">
        <v>27235.8</v>
      </c>
      <c r="Q51" s="299" t="s">
        <v>266</v>
      </c>
      <c r="R51" s="300"/>
      <c r="S51" s="298"/>
      <c r="T51" s="298"/>
      <c r="U51" s="441"/>
      <c r="V51" s="598"/>
      <c r="W51" s="487"/>
      <c r="X51" s="2">
        <v>58</v>
      </c>
    </row>
    <row r="52" spans="1:24" x14ac:dyDescent="0.25">
      <c r="A52" s="481"/>
      <c r="B52" s="438"/>
      <c r="C52" s="438"/>
      <c r="D52" s="438"/>
      <c r="E52" s="438"/>
      <c r="F52" s="435"/>
      <c r="G52" s="494"/>
      <c r="H52" s="441"/>
      <c r="I52" s="444"/>
      <c r="J52" s="592"/>
      <c r="K52" s="595"/>
      <c r="L52" s="438"/>
      <c r="M52" s="438"/>
      <c r="N52" s="306" t="s">
        <v>304</v>
      </c>
      <c r="O52" s="435"/>
      <c r="P52" s="298">
        <v>20426.86</v>
      </c>
      <c r="Q52" s="299" t="s">
        <v>306</v>
      </c>
      <c r="R52" s="300"/>
      <c r="S52" s="298"/>
      <c r="T52" s="298"/>
      <c r="U52" s="441"/>
      <c r="V52" s="598"/>
      <c r="W52" s="487"/>
      <c r="X52" s="2">
        <v>58</v>
      </c>
    </row>
    <row r="53" spans="1:24" x14ac:dyDescent="0.25">
      <c r="A53" s="481"/>
      <c r="B53" s="438"/>
      <c r="C53" s="438"/>
      <c r="D53" s="438"/>
      <c r="E53" s="438"/>
      <c r="F53" s="435"/>
      <c r="G53" s="494"/>
      <c r="H53" s="441"/>
      <c r="I53" s="444"/>
      <c r="J53" s="592"/>
      <c r="K53" s="595"/>
      <c r="L53" s="438"/>
      <c r="M53" s="438"/>
      <c r="N53" s="306" t="s">
        <v>307</v>
      </c>
      <c r="O53" s="435"/>
      <c r="P53" s="298">
        <v>38404.03</v>
      </c>
      <c r="Q53" s="299" t="s">
        <v>315</v>
      </c>
      <c r="R53" s="300"/>
      <c r="S53" s="298"/>
      <c r="T53" s="298"/>
      <c r="U53" s="441"/>
      <c r="V53" s="598"/>
      <c r="W53" s="487"/>
      <c r="X53" s="2">
        <v>58</v>
      </c>
    </row>
    <row r="54" spans="1:24" x14ac:dyDescent="0.25">
      <c r="A54" s="481"/>
      <c r="B54" s="438"/>
      <c r="C54" s="438"/>
      <c r="D54" s="438"/>
      <c r="E54" s="438"/>
      <c r="F54" s="435"/>
      <c r="G54" s="494"/>
      <c r="H54" s="441"/>
      <c r="I54" s="444"/>
      <c r="J54" s="592"/>
      <c r="K54" s="595"/>
      <c r="L54" s="438"/>
      <c r="M54" s="438"/>
      <c r="N54" s="306" t="s">
        <v>304</v>
      </c>
      <c r="O54" s="435"/>
      <c r="P54" s="298">
        <v>36412.379999999997</v>
      </c>
      <c r="Q54" s="299" t="s">
        <v>315</v>
      </c>
      <c r="R54" s="300"/>
      <c r="S54" s="298"/>
      <c r="T54" s="298"/>
      <c r="U54" s="441"/>
      <c r="V54" s="598"/>
      <c r="W54" s="487"/>
      <c r="X54" s="2">
        <v>58</v>
      </c>
    </row>
    <row r="55" spans="1:24" x14ac:dyDescent="0.25">
      <c r="A55" s="481"/>
      <c r="B55" s="438"/>
      <c r="C55" s="438"/>
      <c r="D55" s="438"/>
      <c r="E55" s="438"/>
      <c r="F55" s="435"/>
      <c r="G55" s="494"/>
      <c r="H55" s="441"/>
      <c r="I55" s="444"/>
      <c r="J55" s="592"/>
      <c r="K55" s="595"/>
      <c r="L55" s="438"/>
      <c r="M55" s="438"/>
      <c r="N55" s="306" t="s">
        <v>344</v>
      </c>
      <c r="O55" s="435"/>
      <c r="P55" s="298">
        <v>27309.29</v>
      </c>
      <c r="Q55" s="299" t="s">
        <v>344</v>
      </c>
      <c r="R55" s="300"/>
      <c r="S55" s="298"/>
      <c r="T55" s="298"/>
      <c r="U55" s="441"/>
      <c r="V55" s="598"/>
      <c r="W55" s="487"/>
      <c r="X55" s="2">
        <v>58</v>
      </c>
    </row>
    <row r="56" spans="1:24" x14ac:dyDescent="0.25">
      <c r="A56" s="481"/>
      <c r="B56" s="438"/>
      <c r="C56" s="438"/>
      <c r="D56" s="438"/>
      <c r="E56" s="438"/>
      <c r="F56" s="435"/>
      <c r="G56" s="494"/>
      <c r="H56" s="441"/>
      <c r="I56" s="444"/>
      <c r="J56" s="592"/>
      <c r="K56" s="595"/>
      <c r="L56" s="438"/>
      <c r="M56" s="438"/>
      <c r="N56" s="306" t="s">
        <v>345</v>
      </c>
      <c r="O56" s="435"/>
      <c r="P56" s="298">
        <v>6478.89</v>
      </c>
      <c r="Q56" s="299" t="s">
        <v>350</v>
      </c>
      <c r="R56" s="300"/>
      <c r="S56" s="298"/>
      <c r="T56" s="298"/>
      <c r="U56" s="441"/>
      <c r="V56" s="598"/>
      <c r="W56" s="487"/>
      <c r="X56" s="2">
        <v>58</v>
      </c>
    </row>
    <row r="57" spans="1:24" x14ac:dyDescent="0.25">
      <c r="A57" s="481"/>
      <c r="B57" s="438"/>
      <c r="C57" s="438"/>
      <c r="D57" s="438"/>
      <c r="E57" s="438"/>
      <c r="F57" s="435"/>
      <c r="G57" s="494"/>
      <c r="H57" s="441"/>
      <c r="I57" s="444"/>
      <c r="J57" s="592"/>
      <c r="K57" s="595"/>
      <c r="L57" s="438"/>
      <c r="M57" s="438"/>
      <c r="N57" s="306" t="s">
        <v>344</v>
      </c>
      <c r="O57" s="435"/>
      <c r="P57" s="298">
        <v>27893.33</v>
      </c>
      <c r="Q57" s="299" t="s">
        <v>350</v>
      </c>
      <c r="R57" s="300"/>
      <c r="S57" s="298"/>
      <c r="T57" s="298"/>
      <c r="U57" s="441"/>
      <c r="V57" s="598"/>
      <c r="W57" s="487"/>
      <c r="X57" s="2">
        <v>58</v>
      </c>
    </row>
    <row r="58" spans="1:24" x14ac:dyDescent="0.25">
      <c r="A58" s="481"/>
      <c r="B58" s="438"/>
      <c r="C58" s="438"/>
      <c r="D58" s="438"/>
      <c r="E58" s="438"/>
      <c r="F58" s="435"/>
      <c r="G58" s="494"/>
      <c r="H58" s="441"/>
      <c r="I58" s="444"/>
      <c r="J58" s="592"/>
      <c r="K58" s="595"/>
      <c r="L58" s="438"/>
      <c r="M58" s="438"/>
      <c r="N58" s="306" t="s">
        <v>373</v>
      </c>
      <c r="O58" s="435"/>
      <c r="P58" s="298">
        <v>20920</v>
      </c>
      <c r="Q58" s="299" t="s">
        <v>372</v>
      </c>
      <c r="R58" s="300"/>
      <c r="S58" s="298"/>
      <c r="T58" s="298"/>
      <c r="U58" s="441"/>
      <c r="V58" s="598"/>
      <c r="W58" s="487"/>
      <c r="X58" s="2">
        <v>58</v>
      </c>
    </row>
    <row r="59" spans="1:24" x14ac:dyDescent="0.25">
      <c r="A59" s="481"/>
      <c r="B59" s="438"/>
      <c r="C59" s="438"/>
      <c r="D59" s="438"/>
      <c r="E59" s="438"/>
      <c r="F59" s="435"/>
      <c r="G59" s="494"/>
      <c r="H59" s="441"/>
      <c r="I59" s="444"/>
      <c r="J59" s="592"/>
      <c r="K59" s="595"/>
      <c r="L59" s="438"/>
      <c r="M59" s="438"/>
      <c r="N59" s="306" t="s">
        <v>371</v>
      </c>
      <c r="O59" s="435"/>
      <c r="P59" s="298">
        <v>270</v>
      </c>
      <c r="Q59" s="299" t="s">
        <v>380</v>
      </c>
      <c r="R59" s="300"/>
      <c r="S59" s="298"/>
      <c r="T59" s="298"/>
      <c r="U59" s="441"/>
      <c r="V59" s="598"/>
      <c r="W59" s="487"/>
      <c r="X59" s="2">
        <v>58</v>
      </c>
    </row>
    <row r="60" spans="1:24" x14ac:dyDescent="0.25">
      <c r="A60" s="481"/>
      <c r="B60" s="438"/>
      <c r="C60" s="438"/>
      <c r="D60" s="438"/>
      <c r="E60" s="438"/>
      <c r="F60" s="435"/>
      <c r="G60" s="494"/>
      <c r="H60" s="441"/>
      <c r="I60" s="444"/>
      <c r="J60" s="592"/>
      <c r="K60" s="595"/>
      <c r="L60" s="438"/>
      <c r="M60" s="438"/>
      <c r="N60" s="306" t="s">
        <v>373</v>
      </c>
      <c r="O60" s="435"/>
      <c r="P60" s="298">
        <v>15341.44</v>
      </c>
      <c r="Q60" s="299" t="s">
        <v>380</v>
      </c>
      <c r="R60" s="300"/>
      <c r="S60" s="298"/>
      <c r="T60" s="298"/>
      <c r="U60" s="441"/>
      <c r="V60" s="598"/>
      <c r="W60" s="487"/>
      <c r="X60" s="2">
        <v>58</v>
      </c>
    </row>
    <row r="61" spans="1:24" x14ac:dyDescent="0.25">
      <c r="A61" s="481"/>
      <c r="B61" s="438"/>
      <c r="C61" s="438"/>
      <c r="D61" s="438"/>
      <c r="E61" s="438"/>
      <c r="F61" s="435"/>
      <c r="G61" s="494"/>
      <c r="H61" s="441"/>
      <c r="I61" s="444"/>
      <c r="J61" s="592"/>
      <c r="K61" s="595"/>
      <c r="L61" s="438"/>
      <c r="M61" s="438"/>
      <c r="N61" s="306" t="s">
        <v>456</v>
      </c>
      <c r="O61" s="435"/>
      <c r="P61" s="298">
        <v>11506.08</v>
      </c>
      <c r="Q61" s="299" t="s">
        <v>455</v>
      </c>
      <c r="R61" s="300"/>
      <c r="S61" s="298"/>
      <c r="T61" s="298"/>
      <c r="U61" s="441"/>
      <c r="V61" s="598"/>
      <c r="W61" s="487"/>
      <c r="X61" s="2">
        <v>58</v>
      </c>
    </row>
    <row r="62" spans="1:24" x14ac:dyDescent="0.25">
      <c r="A62" s="481"/>
      <c r="B62" s="438"/>
      <c r="C62" s="438"/>
      <c r="D62" s="438"/>
      <c r="E62" s="438"/>
      <c r="F62" s="435"/>
      <c r="G62" s="494"/>
      <c r="H62" s="441"/>
      <c r="I62" s="444"/>
      <c r="J62" s="592"/>
      <c r="K62" s="595"/>
      <c r="L62" s="438"/>
      <c r="M62" s="438"/>
      <c r="N62" s="306" t="s">
        <v>460</v>
      </c>
      <c r="O62" s="435"/>
      <c r="P62" s="298">
        <v>1168</v>
      </c>
      <c r="Q62" s="299" t="s">
        <v>465</v>
      </c>
      <c r="R62" s="300"/>
      <c r="S62" s="298"/>
      <c r="T62" s="298"/>
      <c r="U62" s="441"/>
      <c r="V62" s="598"/>
      <c r="W62" s="487"/>
      <c r="X62" s="2">
        <v>58</v>
      </c>
    </row>
    <row r="63" spans="1:24" x14ac:dyDescent="0.25">
      <c r="A63" s="481"/>
      <c r="B63" s="438"/>
      <c r="C63" s="438"/>
      <c r="D63" s="438"/>
      <c r="E63" s="438"/>
      <c r="F63" s="435"/>
      <c r="G63" s="494"/>
      <c r="H63" s="441"/>
      <c r="I63" s="444"/>
      <c r="J63" s="592"/>
      <c r="K63" s="595"/>
      <c r="L63" s="438"/>
      <c r="M63" s="438"/>
      <c r="N63" s="306" t="s">
        <v>456</v>
      </c>
      <c r="O63" s="435"/>
      <c r="P63" s="298">
        <v>23631.14</v>
      </c>
      <c r="Q63" s="299" t="s">
        <v>465</v>
      </c>
      <c r="R63" s="300"/>
      <c r="S63" s="298"/>
      <c r="T63" s="298"/>
      <c r="U63" s="441"/>
      <c r="V63" s="598"/>
      <c r="W63" s="487"/>
      <c r="X63" s="2">
        <v>58</v>
      </c>
    </row>
    <row r="64" spans="1:24" x14ac:dyDescent="0.25">
      <c r="A64" s="481"/>
      <c r="B64" s="438"/>
      <c r="C64" s="438"/>
      <c r="D64" s="438"/>
      <c r="E64" s="438"/>
      <c r="F64" s="435"/>
      <c r="G64" s="494"/>
      <c r="H64" s="441"/>
      <c r="I64" s="444"/>
      <c r="J64" s="592"/>
      <c r="K64" s="595"/>
      <c r="L64" s="438"/>
      <c r="M64" s="438"/>
      <c r="N64" s="306" t="s">
        <v>505</v>
      </c>
      <c r="O64" s="435"/>
      <c r="P64" s="298">
        <v>17925.849999999999</v>
      </c>
      <c r="Q64" s="299" t="s">
        <v>508</v>
      </c>
      <c r="R64" s="300"/>
      <c r="S64" s="298"/>
      <c r="T64" s="298"/>
      <c r="U64" s="441"/>
      <c r="V64" s="598"/>
      <c r="W64" s="487"/>
      <c r="X64" s="2">
        <v>58</v>
      </c>
    </row>
    <row r="65" spans="1:24" x14ac:dyDescent="0.25">
      <c r="A65" s="481"/>
      <c r="B65" s="438"/>
      <c r="C65" s="438"/>
      <c r="D65" s="438"/>
      <c r="E65" s="438"/>
      <c r="F65" s="435"/>
      <c r="G65" s="494"/>
      <c r="H65" s="441"/>
      <c r="I65" s="444"/>
      <c r="J65" s="592"/>
      <c r="K65" s="595"/>
      <c r="L65" s="438"/>
      <c r="M65" s="438"/>
      <c r="N65" s="306" t="s">
        <v>470</v>
      </c>
      <c r="O65" s="435"/>
      <c r="P65" s="298">
        <v>11711.04</v>
      </c>
      <c r="Q65" s="299" t="s">
        <v>511</v>
      </c>
      <c r="R65" s="300"/>
      <c r="S65" s="298"/>
      <c r="T65" s="298"/>
      <c r="U65" s="441"/>
      <c r="V65" s="598"/>
      <c r="W65" s="487"/>
      <c r="X65" s="2">
        <v>58</v>
      </c>
    </row>
    <row r="66" spans="1:24" x14ac:dyDescent="0.25">
      <c r="A66" s="481"/>
      <c r="B66" s="438"/>
      <c r="C66" s="438"/>
      <c r="D66" s="438"/>
      <c r="E66" s="438"/>
      <c r="F66" s="435"/>
      <c r="G66" s="494"/>
      <c r="H66" s="441"/>
      <c r="I66" s="444"/>
      <c r="J66" s="592"/>
      <c r="K66" s="595"/>
      <c r="L66" s="438"/>
      <c r="M66" s="438"/>
      <c r="N66" s="306" t="s">
        <v>505</v>
      </c>
      <c r="O66" s="435"/>
      <c r="P66" s="298">
        <v>20769.71</v>
      </c>
      <c r="Q66" s="299" t="s">
        <v>511</v>
      </c>
      <c r="R66" s="300"/>
      <c r="S66" s="298"/>
      <c r="T66" s="298"/>
      <c r="U66" s="441"/>
      <c r="V66" s="598"/>
      <c r="W66" s="487"/>
      <c r="X66" s="2">
        <v>58</v>
      </c>
    </row>
    <row r="67" spans="1:24" x14ac:dyDescent="0.25">
      <c r="A67" s="481"/>
      <c r="B67" s="438"/>
      <c r="C67" s="438"/>
      <c r="D67" s="438"/>
      <c r="E67" s="438"/>
      <c r="F67" s="435"/>
      <c r="G67" s="494"/>
      <c r="H67" s="441"/>
      <c r="I67" s="444"/>
      <c r="J67" s="592"/>
      <c r="K67" s="595"/>
      <c r="L67" s="438"/>
      <c r="M67" s="438"/>
      <c r="N67" s="306" t="s">
        <v>470</v>
      </c>
      <c r="O67" s="435"/>
      <c r="P67" s="298">
        <v>270</v>
      </c>
      <c r="Q67" s="299" t="s">
        <v>512</v>
      </c>
      <c r="R67" s="300"/>
      <c r="S67" s="298"/>
      <c r="T67" s="298"/>
      <c r="U67" s="441"/>
      <c r="V67" s="598"/>
      <c r="W67" s="487"/>
      <c r="X67" s="2">
        <v>58</v>
      </c>
    </row>
    <row r="68" spans="1:24" x14ac:dyDescent="0.25">
      <c r="A68" s="481"/>
      <c r="B68" s="438"/>
      <c r="C68" s="438"/>
      <c r="D68" s="438"/>
      <c r="E68" s="438"/>
      <c r="F68" s="435"/>
      <c r="G68" s="494"/>
      <c r="H68" s="441"/>
      <c r="I68" s="444"/>
      <c r="J68" s="592"/>
      <c r="K68" s="595"/>
      <c r="L68" s="438"/>
      <c r="M68" s="438"/>
      <c r="N68" s="306" t="s">
        <v>565</v>
      </c>
      <c r="O68" s="435"/>
      <c r="P68" s="298">
        <v>15577.28</v>
      </c>
      <c r="Q68" s="299" t="s">
        <v>564</v>
      </c>
      <c r="R68" s="300"/>
      <c r="S68" s="298"/>
      <c r="T68" s="298"/>
      <c r="U68" s="441"/>
      <c r="V68" s="598"/>
      <c r="W68" s="487"/>
      <c r="X68" s="2">
        <v>58</v>
      </c>
    </row>
    <row r="69" spans="1:24" x14ac:dyDescent="0.25">
      <c r="A69" s="481"/>
      <c r="B69" s="438"/>
      <c r="C69" s="438"/>
      <c r="D69" s="438"/>
      <c r="E69" s="438"/>
      <c r="F69" s="435"/>
      <c r="G69" s="494"/>
      <c r="H69" s="441"/>
      <c r="I69" s="444"/>
      <c r="J69" s="592"/>
      <c r="K69" s="595"/>
      <c r="L69" s="438"/>
      <c r="M69" s="438"/>
      <c r="N69" s="306" t="s">
        <v>565</v>
      </c>
      <c r="O69" s="435"/>
      <c r="P69" s="298">
        <v>14004.55</v>
      </c>
      <c r="Q69" s="299" t="s">
        <v>566</v>
      </c>
      <c r="R69" s="300"/>
      <c r="S69" s="298"/>
      <c r="T69" s="298"/>
      <c r="U69" s="441"/>
      <c r="V69" s="598"/>
      <c r="W69" s="487"/>
      <c r="X69" s="2">
        <v>58</v>
      </c>
    </row>
    <row r="70" spans="1:24" x14ac:dyDescent="0.25">
      <c r="A70" s="481"/>
      <c r="B70" s="438"/>
      <c r="C70" s="438"/>
      <c r="D70" s="438"/>
      <c r="E70" s="438"/>
      <c r="F70" s="435"/>
      <c r="G70" s="494"/>
      <c r="H70" s="441"/>
      <c r="I70" s="444"/>
      <c r="J70" s="592"/>
      <c r="K70" s="595"/>
      <c r="L70" s="438"/>
      <c r="M70" s="438"/>
      <c r="N70" s="306" t="s">
        <v>608</v>
      </c>
      <c r="O70" s="435"/>
      <c r="P70" s="298">
        <v>10503.42</v>
      </c>
      <c r="Q70" s="299" t="s">
        <v>605</v>
      </c>
      <c r="R70" s="300"/>
      <c r="S70" s="298"/>
      <c r="T70" s="298"/>
      <c r="U70" s="441"/>
      <c r="V70" s="598"/>
      <c r="W70" s="487"/>
      <c r="X70" s="2">
        <v>58</v>
      </c>
    </row>
    <row r="71" spans="1:24" x14ac:dyDescent="0.25">
      <c r="A71" s="481"/>
      <c r="B71" s="438"/>
      <c r="C71" s="438"/>
      <c r="D71" s="438"/>
      <c r="E71" s="438"/>
      <c r="F71" s="435"/>
      <c r="G71" s="494"/>
      <c r="H71" s="441"/>
      <c r="I71" s="444"/>
      <c r="J71" s="592"/>
      <c r="K71" s="595"/>
      <c r="L71" s="438"/>
      <c r="M71" s="438"/>
      <c r="N71" s="306" t="s">
        <v>608</v>
      </c>
      <c r="O71" s="435"/>
      <c r="P71" s="298">
        <v>7509.07</v>
      </c>
      <c r="Q71" s="299" t="s">
        <v>612</v>
      </c>
      <c r="R71" s="300"/>
      <c r="S71" s="298"/>
      <c r="T71" s="298"/>
      <c r="U71" s="441"/>
      <c r="V71" s="598"/>
      <c r="W71" s="487"/>
      <c r="X71" s="2">
        <v>58</v>
      </c>
    </row>
    <row r="72" spans="1:24" x14ac:dyDescent="0.25">
      <c r="A72" s="481"/>
      <c r="B72" s="438"/>
      <c r="C72" s="438"/>
      <c r="D72" s="438"/>
      <c r="E72" s="438"/>
      <c r="F72" s="435"/>
      <c r="G72" s="494"/>
      <c r="H72" s="441"/>
      <c r="I72" s="444"/>
      <c r="J72" s="592"/>
      <c r="K72" s="595"/>
      <c r="L72" s="438"/>
      <c r="M72" s="438"/>
      <c r="N72" s="306" t="s">
        <v>644</v>
      </c>
      <c r="O72" s="435"/>
      <c r="P72" s="298">
        <v>5631.8</v>
      </c>
      <c r="Q72" s="299" t="s">
        <v>644</v>
      </c>
      <c r="R72" s="300"/>
      <c r="S72" s="298"/>
      <c r="T72" s="298"/>
      <c r="U72" s="441"/>
      <c r="V72" s="598"/>
      <c r="W72" s="487"/>
      <c r="X72" s="2">
        <v>58</v>
      </c>
    </row>
    <row r="73" spans="1:24" x14ac:dyDescent="0.25">
      <c r="A73" s="481"/>
      <c r="B73" s="438"/>
      <c r="C73" s="438"/>
      <c r="D73" s="438"/>
      <c r="E73" s="438"/>
      <c r="F73" s="435"/>
      <c r="G73" s="494"/>
      <c r="H73" s="441"/>
      <c r="I73" s="444"/>
      <c r="J73" s="592"/>
      <c r="K73" s="595"/>
      <c r="L73" s="438"/>
      <c r="M73" s="438"/>
      <c r="N73" s="306" t="s">
        <v>644</v>
      </c>
      <c r="O73" s="435"/>
      <c r="P73" s="298">
        <v>8659.91</v>
      </c>
      <c r="Q73" s="299" t="s">
        <v>651</v>
      </c>
      <c r="R73" s="300"/>
      <c r="S73" s="298"/>
      <c r="T73" s="298"/>
      <c r="U73" s="441"/>
      <c r="V73" s="598"/>
      <c r="W73" s="487"/>
      <c r="X73" s="2">
        <v>58</v>
      </c>
    </row>
    <row r="74" spans="1:24" x14ac:dyDescent="0.25">
      <c r="A74" s="481"/>
      <c r="B74" s="438"/>
      <c r="C74" s="438"/>
      <c r="D74" s="438"/>
      <c r="E74" s="438"/>
      <c r="F74" s="435"/>
      <c r="G74" s="494"/>
      <c r="H74" s="441"/>
      <c r="I74" s="444"/>
      <c r="J74" s="592"/>
      <c r="K74" s="595"/>
      <c r="L74" s="438"/>
      <c r="M74" s="438"/>
      <c r="N74" s="306" t="s">
        <v>694</v>
      </c>
      <c r="O74" s="435"/>
      <c r="P74" s="298">
        <v>6494.93</v>
      </c>
      <c r="Q74" s="299" t="s">
        <v>692</v>
      </c>
      <c r="R74" s="300"/>
      <c r="S74" s="298"/>
      <c r="T74" s="298"/>
      <c r="U74" s="441"/>
      <c r="V74" s="598"/>
      <c r="W74" s="487"/>
      <c r="X74" s="2">
        <v>58</v>
      </c>
    </row>
    <row r="75" spans="1:24" x14ac:dyDescent="0.25">
      <c r="A75" s="481"/>
      <c r="B75" s="438"/>
      <c r="C75" s="438"/>
      <c r="D75" s="438"/>
      <c r="E75" s="438"/>
      <c r="F75" s="435"/>
      <c r="G75" s="494"/>
      <c r="H75" s="441"/>
      <c r="I75" s="444"/>
      <c r="J75" s="592"/>
      <c r="K75" s="595"/>
      <c r="L75" s="438"/>
      <c r="M75" s="438"/>
      <c r="N75" s="306" t="s">
        <v>695</v>
      </c>
      <c r="O75" s="435"/>
      <c r="P75" s="298">
        <v>24189.38</v>
      </c>
      <c r="Q75" s="299" t="s">
        <v>696</v>
      </c>
      <c r="R75" s="300"/>
      <c r="S75" s="298"/>
      <c r="T75" s="298"/>
      <c r="U75" s="441"/>
      <c r="V75" s="598"/>
      <c r="W75" s="487"/>
      <c r="X75" s="2">
        <v>58</v>
      </c>
    </row>
    <row r="76" spans="1:24" x14ac:dyDescent="0.25">
      <c r="A76" s="482"/>
      <c r="B76" s="439"/>
      <c r="C76" s="439"/>
      <c r="D76" s="439"/>
      <c r="E76" s="439"/>
      <c r="F76" s="436"/>
      <c r="G76" s="493"/>
      <c r="H76" s="442"/>
      <c r="I76" s="445"/>
      <c r="J76" s="593"/>
      <c r="K76" s="596"/>
      <c r="L76" s="439"/>
      <c r="M76" s="439"/>
      <c r="N76" s="307" t="s">
        <v>694</v>
      </c>
      <c r="O76" s="436"/>
      <c r="P76" s="301">
        <v>22474.68</v>
      </c>
      <c r="Q76" s="302" t="s">
        <v>696</v>
      </c>
      <c r="R76" s="303"/>
      <c r="S76" s="301"/>
      <c r="T76" s="301"/>
      <c r="U76" s="442"/>
      <c r="V76" s="599"/>
      <c r="W76" s="488"/>
      <c r="X76" s="2">
        <v>58</v>
      </c>
    </row>
    <row r="77" spans="1:24" s="85" customFormat="1" ht="54" customHeight="1" x14ac:dyDescent="0.25">
      <c r="A77" s="480">
        <v>7</v>
      </c>
      <c r="B77" s="437" t="s">
        <v>56</v>
      </c>
      <c r="C77" s="437"/>
      <c r="D77" s="437"/>
      <c r="E77" s="437" t="s">
        <v>233</v>
      </c>
      <c r="F77" s="434" t="s">
        <v>217</v>
      </c>
      <c r="G77" s="492" t="s">
        <v>232</v>
      </c>
      <c r="H77" s="440">
        <v>27331.200000000001</v>
      </c>
      <c r="I77" s="443">
        <f>IF(X77 = 59, H77 + SUM(S77:S85) - SUM(T77:T85) - SUM(P77:P85) - V77,0)</f>
        <v>6832.8000000000029</v>
      </c>
      <c r="J77" s="591">
        <v>2310163739</v>
      </c>
      <c r="K77" s="594" t="s">
        <v>151</v>
      </c>
      <c r="L77" s="437"/>
      <c r="M77" s="437" t="s">
        <v>214</v>
      </c>
      <c r="N77" s="304" t="s">
        <v>314</v>
      </c>
      <c r="O77" s="434" t="s">
        <v>234</v>
      </c>
      <c r="P77" s="294">
        <v>2277.6</v>
      </c>
      <c r="Q77" s="293" t="s">
        <v>317</v>
      </c>
      <c r="R77" s="292"/>
      <c r="S77" s="294"/>
      <c r="T77" s="294"/>
      <c r="U77" s="440"/>
      <c r="V77" s="597"/>
      <c r="W77" s="486"/>
      <c r="X77" s="85">
        <v>59</v>
      </c>
    </row>
    <row r="78" spans="1:24" x14ac:dyDescent="0.25">
      <c r="A78" s="481"/>
      <c r="B78" s="438"/>
      <c r="C78" s="438"/>
      <c r="D78" s="438"/>
      <c r="E78" s="438"/>
      <c r="F78" s="435"/>
      <c r="G78" s="494"/>
      <c r="H78" s="441"/>
      <c r="I78" s="444"/>
      <c r="J78" s="592"/>
      <c r="K78" s="595"/>
      <c r="L78" s="438"/>
      <c r="M78" s="438"/>
      <c r="N78" s="306" t="s">
        <v>345</v>
      </c>
      <c r="O78" s="435"/>
      <c r="P78" s="298">
        <v>2277.6</v>
      </c>
      <c r="Q78" s="299" t="s">
        <v>344</v>
      </c>
      <c r="R78" s="300"/>
      <c r="S78" s="298"/>
      <c r="T78" s="298"/>
      <c r="U78" s="441"/>
      <c r="V78" s="598"/>
      <c r="W78" s="487"/>
      <c r="X78" s="2">
        <v>59</v>
      </c>
    </row>
    <row r="79" spans="1:24" x14ac:dyDescent="0.25">
      <c r="A79" s="481"/>
      <c r="B79" s="438"/>
      <c r="C79" s="438"/>
      <c r="D79" s="438"/>
      <c r="E79" s="438"/>
      <c r="F79" s="435"/>
      <c r="G79" s="494"/>
      <c r="H79" s="441"/>
      <c r="I79" s="444"/>
      <c r="J79" s="592"/>
      <c r="K79" s="595"/>
      <c r="L79" s="438"/>
      <c r="M79" s="438"/>
      <c r="N79" s="306" t="s">
        <v>371</v>
      </c>
      <c r="O79" s="435"/>
      <c r="P79" s="298">
        <v>2277.6</v>
      </c>
      <c r="Q79" s="299" t="s">
        <v>372</v>
      </c>
      <c r="R79" s="300"/>
      <c r="S79" s="298"/>
      <c r="T79" s="298"/>
      <c r="U79" s="441"/>
      <c r="V79" s="598"/>
      <c r="W79" s="487"/>
      <c r="X79" s="2">
        <v>59</v>
      </c>
    </row>
    <row r="80" spans="1:24" x14ac:dyDescent="0.25">
      <c r="A80" s="481"/>
      <c r="B80" s="438"/>
      <c r="C80" s="438"/>
      <c r="D80" s="438"/>
      <c r="E80" s="438"/>
      <c r="F80" s="435"/>
      <c r="G80" s="494"/>
      <c r="H80" s="441"/>
      <c r="I80" s="444"/>
      <c r="J80" s="592"/>
      <c r="K80" s="595"/>
      <c r="L80" s="438"/>
      <c r="M80" s="438"/>
      <c r="N80" s="306" t="s">
        <v>459</v>
      </c>
      <c r="O80" s="435"/>
      <c r="P80" s="298">
        <v>2277.6</v>
      </c>
      <c r="Q80" s="299" t="s">
        <v>457</v>
      </c>
      <c r="R80" s="300"/>
      <c r="S80" s="298"/>
      <c r="T80" s="298"/>
      <c r="U80" s="441"/>
      <c r="V80" s="598"/>
      <c r="W80" s="487"/>
      <c r="X80" s="2">
        <v>59</v>
      </c>
    </row>
    <row r="81" spans="1:24" x14ac:dyDescent="0.25">
      <c r="A81" s="481"/>
      <c r="B81" s="438"/>
      <c r="C81" s="438"/>
      <c r="D81" s="438"/>
      <c r="E81" s="438"/>
      <c r="F81" s="435"/>
      <c r="G81" s="494"/>
      <c r="H81" s="441"/>
      <c r="I81" s="444"/>
      <c r="J81" s="592"/>
      <c r="K81" s="595"/>
      <c r="L81" s="438"/>
      <c r="M81" s="438"/>
      <c r="N81" s="306" t="s">
        <v>470</v>
      </c>
      <c r="O81" s="435"/>
      <c r="P81" s="298">
        <v>2277.6</v>
      </c>
      <c r="Q81" s="299" t="s">
        <v>510</v>
      </c>
      <c r="R81" s="300"/>
      <c r="S81" s="298"/>
      <c r="T81" s="298"/>
      <c r="U81" s="441"/>
      <c r="V81" s="598"/>
      <c r="W81" s="487"/>
      <c r="X81" s="2">
        <v>59</v>
      </c>
    </row>
    <row r="82" spans="1:24" x14ac:dyDescent="0.25">
      <c r="A82" s="481"/>
      <c r="B82" s="438"/>
      <c r="C82" s="438"/>
      <c r="D82" s="438"/>
      <c r="E82" s="438"/>
      <c r="F82" s="435"/>
      <c r="G82" s="494"/>
      <c r="H82" s="441"/>
      <c r="I82" s="444"/>
      <c r="J82" s="592"/>
      <c r="K82" s="595"/>
      <c r="L82" s="438"/>
      <c r="M82" s="438"/>
      <c r="N82" s="306" t="s">
        <v>562</v>
      </c>
      <c r="O82" s="435"/>
      <c r="P82" s="298">
        <v>2277.6</v>
      </c>
      <c r="Q82" s="299" t="s">
        <v>564</v>
      </c>
      <c r="R82" s="300"/>
      <c r="S82" s="298"/>
      <c r="T82" s="298"/>
      <c r="U82" s="441"/>
      <c r="V82" s="598"/>
      <c r="W82" s="487"/>
      <c r="X82" s="2">
        <v>59</v>
      </c>
    </row>
    <row r="83" spans="1:24" x14ac:dyDescent="0.25">
      <c r="A83" s="481"/>
      <c r="B83" s="438"/>
      <c r="C83" s="438"/>
      <c r="D83" s="438"/>
      <c r="E83" s="438"/>
      <c r="F83" s="435"/>
      <c r="G83" s="494"/>
      <c r="H83" s="441"/>
      <c r="I83" s="444"/>
      <c r="J83" s="592"/>
      <c r="K83" s="595"/>
      <c r="L83" s="438"/>
      <c r="M83" s="438"/>
      <c r="N83" s="306" t="s">
        <v>602</v>
      </c>
      <c r="O83" s="435"/>
      <c r="P83" s="298">
        <v>2277.6</v>
      </c>
      <c r="Q83" s="299" t="s">
        <v>605</v>
      </c>
      <c r="R83" s="300"/>
      <c r="S83" s="298"/>
      <c r="T83" s="298"/>
      <c r="U83" s="441"/>
      <c r="V83" s="598"/>
      <c r="W83" s="487"/>
      <c r="X83" s="2">
        <v>59</v>
      </c>
    </row>
    <row r="84" spans="1:24" x14ac:dyDescent="0.25">
      <c r="A84" s="481"/>
      <c r="B84" s="438"/>
      <c r="C84" s="438"/>
      <c r="D84" s="438"/>
      <c r="E84" s="438"/>
      <c r="F84" s="435"/>
      <c r="G84" s="494"/>
      <c r="H84" s="441"/>
      <c r="I84" s="444"/>
      <c r="J84" s="592"/>
      <c r="K84" s="595"/>
      <c r="L84" s="438"/>
      <c r="M84" s="438"/>
      <c r="N84" s="306" t="s">
        <v>606</v>
      </c>
      <c r="O84" s="435"/>
      <c r="P84" s="298">
        <v>2277.6</v>
      </c>
      <c r="Q84" s="299" t="s">
        <v>645</v>
      </c>
      <c r="R84" s="300"/>
      <c r="S84" s="298"/>
      <c r="T84" s="298"/>
      <c r="U84" s="441"/>
      <c r="V84" s="598"/>
      <c r="W84" s="487"/>
      <c r="X84" s="2">
        <v>59</v>
      </c>
    </row>
    <row r="85" spans="1:24" x14ac:dyDescent="0.25">
      <c r="A85" s="482"/>
      <c r="B85" s="439"/>
      <c r="C85" s="439"/>
      <c r="D85" s="439"/>
      <c r="E85" s="439"/>
      <c r="F85" s="436"/>
      <c r="G85" s="493"/>
      <c r="H85" s="442"/>
      <c r="I85" s="445"/>
      <c r="J85" s="593"/>
      <c r="K85" s="596"/>
      <c r="L85" s="439"/>
      <c r="M85" s="439"/>
      <c r="N85" s="307" t="s">
        <v>706</v>
      </c>
      <c r="O85" s="436"/>
      <c r="P85" s="301">
        <v>2277.6</v>
      </c>
      <c r="Q85" s="302" t="s">
        <v>703</v>
      </c>
      <c r="R85" s="303"/>
      <c r="S85" s="301"/>
      <c r="T85" s="301"/>
      <c r="U85" s="442"/>
      <c r="V85" s="599"/>
      <c r="W85" s="488"/>
      <c r="X85" s="2">
        <v>59</v>
      </c>
    </row>
    <row r="86" spans="1:24" s="85" customFormat="1" ht="54" customHeight="1" x14ac:dyDescent="0.25">
      <c r="A86" s="480">
        <v>8</v>
      </c>
      <c r="B86" s="437" t="s">
        <v>56</v>
      </c>
      <c r="C86" s="437"/>
      <c r="D86" s="437"/>
      <c r="E86" s="437" t="s">
        <v>225</v>
      </c>
      <c r="F86" s="434" t="s">
        <v>226</v>
      </c>
      <c r="G86" s="492" t="s">
        <v>227</v>
      </c>
      <c r="H86" s="440">
        <v>30012.16</v>
      </c>
      <c r="I86" s="443">
        <f>IF(X86 = 60, H86 + SUM(S86:S88) - SUM(T86:T88) - SUM(P86:P88) - V86,0)</f>
        <v>7503.0400000000009</v>
      </c>
      <c r="J86" s="591">
        <v>274062111</v>
      </c>
      <c r="K86" s="594" t="s">
        <v>160</v>
      </c>
      <c r="L86" s="437"/>
      <c r="M86" s="437" t="s">
        <v>228</v>
      </c>
      <c r="N86" s="304" t="s">
        <v>374</v>
      </c>
      <c r="O86" s="434" t="s">
        <v>229</v>
      </c>
      <c r="P86" s="294">
        <v>7503.04</v>
      </c>
      <c r="Q86" s="293" t="s">
        <v>372</v>
      </c>
      <c r="R86" s="292"/>
      <c r="S86" s="294"/>
      <c r="T86" s="294"/>
      <c r="U86" s="440"/>
      <c r="V86" s="597"/>
      <c r="W86" s="486"/>
      <c r="X86" s="85">
        <v>60</v>
      </c>
    </row>
    <row r="87" spans="1:24" x14ac:dyDescent="0.25">
      <c r="A87" s="481"/>
      <c r="B87" s="438"/>
      <c r="C87" s="438"/>
      <c r="D87" s="438"/>
      <c r="E87" s="438"/>
      <c r="F87" s="435"/>
      <c r="G87" s="494"/>
      <c r="H87" s="441"/>
      <c r="I87" s="444"/>
      <c r="J87" s="592"/>
      <c r="K87" s="595"/>
      <c r="L87" s="438"/>
      <c r="M87" s="438"/>
      <c r="N87" s="306" t="s">
        <v>514</v>
      </c>
      <c r="O87" s="435"/>
      <c r="P87" s="298">
        <v>7503.04</v>
      </c>
      <c r="Q87" s="299" t="s">
        <v>564</v>
      </c>
      <c r="R87" s="300"/>
      <c r="S87" s="298"/>
      <c r="T87" s="298"/>
      <c r="U87" s="441"/>
      <c r="V87" s="598"/>
      <c r="W87" s="487"/>
      <c r="X87" s="2">
        <v>60</v>
      </c>
    </row>
    <row r="88" spans="1:24" x14ac:dyDescent="0.25">
      <c r="A88" s="482"/>
      <c r="B88" s="439"/>
      <c r="C88" s="439"/>
      <c r="D88" s="439"/>
      <c r="E88" s="439"/>
      <c r="F88" s="436"/>
      <c r="G88" s="493"/>
      <c r="H88" s="442"/>
      <c r="I88" s="445"/>
      <c r="J88" s="593"/>
      <c r="K88" s="596"/>
      <c r="L88" s="439"/>
      <c r="M88" s="439"/>
      <c r="N88" s="307" t="s">
        <v>705</v>
      </c>
      <c r="O88" s="436"/>
      <c r="P88" s="301">
        <v>7503.04</v>
      </c>
      <c r="Q88" s="302" t="s">
        <v>703</v>
      </c>
      <c r="R88" s="303"/>
      <c r="S88" s="301"/>
      <c r="T88" s="301"/>
      <c r="U88" s="442"/>
      <c r="V88" s="599"/>
      <c r="W88" s="488"/>
      <c r="X88" s="2">
        <v>60</v>
      </c>
    </row>
    <row r="89" spans="1:24" s="85" customFormat="1" ht="127.15" customHeight="1" x14ac:dyDescent="0.25">
      <c r="A89" s="480">
        <v>9</v>
      </c>
      <c r="B89" s="437" t="s">
        <v>56</v>
      </c>
      <c r="C89" s="437"/>
      <c r="D89" s="437"/>
      <c r="E89" s="437" t="s">
        <v>159</v>
      </c>
      <c r="F89" s="434" t="s">
        <v>236</v>
      </c>
      <c r="G89" s="492" t="s">
        <v>259</v>
      </c>
      <c r="H89" s="440">
        <v>114400</v>
      </c>
      <c r="I89" s="443">
        <f>IF(X89 = 61, H89 + SUM(S89:S106) - SUM(T89:T106) - SUM(P89:P106) - V89,0)</f>
        <v>39520</v>
      </c>
      <c r="J89" s="591">
        <v>2353017179</v>
      </c>
      <c r="K89" s="594" t="s">
        <v>166</v>
      </c>
      <c r="L89" s="437"/>
      <c r="M89" s="437" t="s">
        <v>214</v>
      </c>
      <c r="N89" s="304" t="s">
        <v>307</v>
      </c>
      <c r="O89" s="434" t="s">
        <v>260</v>
      </c>
      <c r="P89" s="294">
        <v>4800</v>
      </c>
      <c r="Q89" s="293" t="s">
        <v>314</v>
      </c>
      <c r="R89" s="292"/>
      <c r="S89" s="294"/>
      <c r="T89" s="294"/>
      <c r="U89" s="440"/>
      <c r="V89" s="597"/>
      <c r="W89" s="486"/>
      <c r="X89" s="85">
        <v>61</v>
      </c>
    </row>
    <row r="90" spans="1:24" x14ac:dyDescent="0.25">
      <c r="A90" s="481"/>
      <c r="B90" s="438"/>
      <c r="C90" s="438"/>
      <c r="D90" s="438"/>
      <c r="E90" s="438"/>
      <c r="F90" s="435"/>
      <c r="G90" s="494"/>
      <c r="H90" s="441"/>
      <c r="I90" s="444"/>
      <c r="J90" s="592"/>
      <c r="K90" s="595"/>
      <c r="L90" s="438"/>
      <c r="M90" s="438"/>
      <c r="N90" s="306" t="s">
        <v>307</v>
      </c>
      <c r="O90" s="435"/>
      <c r="P90" s="298">
        <v>5600</v>
      </c>
      <c r="Q90" s="299" t="s">
        <v>314</v>
      </c>
      <c r="R90" s="300"/>
      <c r="S90" s="298"/>
      <c r="T90" s="298"/>
      <c r="U90" s="441"/>
      <c r="V90" s="598"/>
      <c r="W90" s="487"/>
      <c r="X90" s="2">
        <v>61</v>
      </c>
    </row>
    <row r="91" spans="1:24" x14ac:dyDescent="0.25">
      <c r="A91" s="481"/>
      <c r="B91" s="438"/>
      <c r="C91" s="438"/>
      <c r="D91" s="438"/>
      <c r="E91" s="438"/>
      <c r="F91" s="435"/>
      <c r="G91" s="494"/>
      <c r="H91" s="441"/>
      <c r="I91" s="444"/>
      <c r="J91" s="592"/>
      <c r="K91" s="595"/>
      <c r="L91" s="438"/>
      <c r="M91" s="438"/>
      <c r="N91" s="306" t="s">
        <v>345</v>
      </c>
      <c r="O91" s="435"/>
      <c r="P91" s="298">
        <v>4560</v>
      </c>
      <c r="Q91" s="299" t="s">
        <v>349</v>
      </c>
      <c r="R91" s="300"/>
      <c r="S91" s="298"/>
      <c r="T91" s="298"/>
      <c r="U91" s="441"/>
      <c r="V91" s="598"/>
      <c r="W91" s="487"/>
      <c r="X91" s="2">
        <v>61</v>
      </c>
    </row>
    <row r="92" spans="1:24" x14ac:dyDescent="0.25">
      <c r="A92" s="481"/>
      <c r="B92" s="438"/>
      <c r="C92" s="438"/>
      <c r="D92" s="438"/>
      <c r="E92" s="438"/>
      <c r="F92" s="435"/>
      <c r="G92" s="494"/>
      <c r="H92" s="441"/>
      <c r="I92" s="444"/>
      <c r="J92" s="592"/>
      <c r="K92" s="595"/>
      <c r="L92" s="438"/>
      <c r="M92" s="438"/>
      <c r="N92" s="306" t="s">
        <v>345</v>
      </c>
      <c r="O92" s="435"/>
      <c r="P92" s="298">
        <v>5320</v>
      </c>
      <c r="Q92" s="299" t="s">
        <v>349</v>
      </c>
      <c r="R92" s="300"/>
      <c r="S92" s="298"/>
      <c r="T92" s="298"/>
      <c r="U92" s="441"/>
      <c r="V92" s="598"/>
      <c r="W92" s="487"/>
      <c r="X92" s="2">
        <v>61</v>
      </c>
    </row>
    <row r="93" spans="1:24" x14ac:dyDescent="0.25">
      <c r="A93" s="481"/>
      <c r="B93" s="438"/>
      <c r="C93" s="438"/>
      <c r="D93" s="438"/>
      <c r="E93" s="438"/>
      <c r="F93" s="435"/>
      <c r="G93" s="494"/>
      <c r="H93" s="441"/>
      <c r="I93" s="444"/>
      <c r="J93" s="592"/>
      <c r="K93" s="595"/>
      <c r="L93" s="438"/>
      <c r="M93" s="438"/>
      <c r="N93" s="306" t="s">
        <v>371</v>
      </c>
      <c r="O93" s="435"/>
      <c r="P93" s="298">
        <v>3840</v>
      </c>
      <c r="Q93" s="299" t="s">
        <v>376</v>
      </c>
      <c r="R93" s="300"/>
      <c r="S93" s="298"/>
      <c r="T93" s="298"/>
      <c r="U93" s="441"/>
      <c r="V93" s="598"/>
      <c r="W93" s="487"/>
      <c r="X93" s="2">
        <v>61</v>
      </c>
    </row>
    <row r="94" spans="1:24" x14ac:dyDescent="0.25">
      <c r="A94" s="481"/>
      <c r="B94" s="438"/>
      <c r="C94" s="438"/>
      <c r="D94" s="438"/>
      <c r="E94" s="438"/>
      <c r="F94" s="435"/>
      <c r="G94" s="494"/>
      <c r="H94" s="441"/>
      <c r="I94" s="444"/>
      <c r="J94" s="592"/>
      <c r="K94" s="595"/>
      <c r="L94" s="438"/>
      <c r="M94" s="438"/>
      <c r="N94" s="306" t="s">
        <v>371</v>
      </c>
      <c r="O94" s="435"/>
      <c r="P94" s="298">
        <v>4480</v>
      </c>
      <c r="Q94" s="299" t="s">
        <v>376</v>
      </c>
      <c r="R94" s="300"/>
      <c r="S94" s="298"/>
      <c r="T94" s="298"/>
      <c r="U94" s="441"/>
      <c r="V94" s="598"/>
      <c r="W94" s="487"/>
      <c r="X94" s="2">
        <v>61</v>
      </c>
    </row>
    <row r="95" spans="1:24" x14ac:dyDescent="0.25">
      <c r="A95" s="481"/>
      <c r="B95" s="438"/>
      <c r="C95" s="438"/>
      <c r="D95" s="438"/>
      <c r="E95" s="438"/>
      <c r="F95" s="435"/>
      <c r="G95" s="494"/>
      <c r="H95" s="441"/>
      <c r="I95" s="444"/>
      <c r="J95" s="592"/>
      <c r="K95" s="595"/>
      <c r="L95" s="438"/>
      <c r="M95" s="438"/>
      <c r="N95" s="306" t="s">
        <v>460</v>
      </c>
      <c r="O95" s="435"/>
      <c r="P95" s="298">
        <v>5640</v>
      </c>
      <c r="Q95" s="299" t="s">
        <v>464</v>
      </c>
      <c r="R95" s="300"/>
      <c r="S95" s="298"/>
      <c r="T95" s="298"/>
      <c r="U95" s="441"/>
      <c r="V95" s="598"/>
      <c r="W95" s="487"/>
      <c r="X95" s="2">
        <v>61</v>
      </c>
    </row>
    <row r="96" spans="1:24" x14ac:dyDescent="0.25">
      <c r="A96" s="481"/>
      <c r="B96" s="438"/>
      <c r="C96" s="438"/>
      <c r="D96" s="438"/>
      <c r="E96" s="438"/>
      <c r="F96" s="435"/>
      <c r="G96" s="494"/>
      <c r="H96" s="441"/>
      <c r="I96" s="444"/>
      <c r="J96" s="592"/>
      <c r="K96" s="595"/>
      <c r="L96" s="438"/>
      <c r="M96" s="438"/>
      <c r="N96" s="306" t="s">
        <v>460</v>
      </c>
      <c r="O96" s="435"/>
      <c r="P96" s="298">
        <v>6580</v>
      </c>
      <c r="Q96" s="299" t="s">
        <v>464</v>
      </c>
      <c r="R96" s="300"/>
      <c r="S96" s="298"/>
      <c r="T96" s="298"/>
      <c r="U96" s="441"/>
      <c r="V96" s="598"/>
      <c r="W96" s="487"/>
      <c r="X96" s="2">
        <v>61</v>
      </c>
    </row>
    <row r="97" spans="1:24" x14ac:dyDescent="0.25">
      <c r="A97" s="481"/>
      <c r="B97" s="438"/>
      <c r="C97" s="438"/>
      <c r="D97" s="438"/>
      <c r="E97" s="438"/>
      <c r="F97" s="435"/>
      <c r="G97" s="494"/>
      <c r="H97" s="441"/>
      <c r="I97" s="444"/>
      <c r="J97" s="592"/>
      <c r="K97" s="595"/>
      <c r="L97" s="438"/>
      <c r="M97" s="438"/>
      <c r="N97" s="306" t="s">
        <v>470</v>
      </c>
      <c r="O97" s="435"/>
      <c r="P97" s="298">
        <v>5400</v>
      </c>
      <c r="Q97" s="299" t="s">
        <v>509</v>
      </c>
      <c r="R97" s="300"/>
      <c r="S97" s="298"/>
      <c r="T97" s="298"/>
      <c r="U97" s="441"/>
      <c r="V97" s="598"/>
      <c r="W97" s="487"/>
      <c r="X97" s="2">
        <v>61</v>
      </c>
    </row>
    <row r="98" spans="1:24" x14ac:dyDescent="0.25">
      <c r="A98" s="481"/>
      <c r="B98" s="438"/>
      <c r="C98" s="438"/>
      <c r="D98" s="438"/>
      <c r="E98" s="438"/>
      <c r="F98" s="435"/>
      <c r="G98" s="494"/>
      <c r="H98" s="441"/>
      <c r="I98" s="444"/>
      <c r="J98" s="592"/>
      <c r="K98" s="595"/>
      <c r="L98" s="438"/>
      <c r="M98" s="438"/>
      <c r="N98" s="306" t="s">
        <v>470</v>
      </c>
      <c r="O98" s="435"/>
      <c r="P98" s="298">
        <v>6300</v>
      </c>
      <c r="Q98" s="299" t="s">
        <v>509</v>
      </c>
      <c r="R98" s="300"/>
      <c r="S98" s="298"/>
      <c r="T98" s="298"/>
      <c r="U98" s="441"/>
      <c r="V98" s="598"/>
      <c r="W98" s="487"/>
      <c r="X98" s="2">
        <v>61</v>
      </c>
    </row>
    <row r="99" spans="1:24" x14ac:dyDescent="0.25">
      <c r="A99" s="481"/>
      <c r="B99" s="438"/>
      <c r="C99" s="438"/>
      <c r="D99" s="438"/>
      <c r="E99" s="438"/>
      <c r="F99" s="435"/>
      <c r="G99" s="494"/>
      <c r="H99" s="441"/>
      <c r="I99" s="444"/>
      <c r="J99" s="592"/>
      <c r="K99" s="595"/>
      <c r="L99" s="438"/>
      <c r="M99" s="438"/>
      <c r="N99" s="306" t="s">
        <v>562</v>
      </c>
      <c r="O99" s="435"/>
      <c r="P99" s="298">
        <v>4200</v>
      </c>
      <c r="Q99" s="299" t="s">
        <v>564</v>
      </c>
      <c r="R99" s="300"/>
      <c r="S99" s="298"/>
      <c r="T99" s="298"/>
      <c r="U99" s="441"/>
      <c r="V99" s="598"/>
      <c r="W99" s="487"/>
      <c r="X99" s="2">
        <v>61</v>
      </c>
    </row>
    <row r="100" spans="1:24" x14ac:dyDescent="0.25">
      <c r="A100" s="481"/>
      <c r="B100" s="438"/>
      <c r="C100" s="438"/>
      <c r="D100" s="438"/>
      <c r="E100" s="438"/>
      <c r="F100" s="435"/>
      <c r="G100" s="494"/>
      <c r="H100" s="441"/>
      <c r="I100" s="444"/>
      <c r="J100" s="592"/>
      <c r="K100" s="595"/>
      <c r="L100" s="438"/>
      <c r="M100" s="438"/>
      <c r="N100" s="306" t="s">
        <v>562</v>
      </c>
      <c r="O100" s="435"/>
      <c r="P100" s="298">
        <v>4900</v>
      </c>
      <c r="Q100" s="299" t="s">
        <v>564</v>
      </c>
      <c r="R100" s="300"/>
      <c r="S100" s="298"/>
      <c r="T100" s="298"/>
      <c r="U100" s="441"/>
      <c r="V100" s="598"/>
      <c r="W100" s="487"/>
      <c r="X100" s="2">
        <v>61</v>
      </c>
    </row>
    <row r="101" spans="1:24" x14ac:dyDescent="0.25">
      <c r="A101" s="481"/>
      <c r="B101" s="438"/>
      <c r="C101" s="438"/>
      <c r="D101" s="438"/>
      <c r="E101" s="438"/>
      <c r="F101" s="435"/>
      <c r="G101" s="494"/>
      <c r="H101" s="441"/>
      <c r="I101" s="444"/>
      <c r="J101" s="592"/>
      <c r="K101" s="595"/>
      <c r="L101" s="438"/>
      <c r="M101" s="438"/>
      <c r="N101" s="306" t="s">
        <v>602</v>
      </c>
      <c r="O101" s="435"/>
      <c r="P101" s="298">
        <v>720</v>
      </c>
      <c r="Q101" s="299" t="s">
        <v>604</v>
      </c>
      <c r="R101" s="300"/>
      <c r="S101" s="298"/>
      <c r="T101" s="298"/>
      <c r="U101" s="441"/>
      <c r="V101" s="598"/>
      <c r="W101" s="487"/>
      <c r="X101" s="2">
        <v>61</v>
      </c>
    </row>
    <row r="102" spans="1:24" x14ac:dyDescent="0.25">
      <c r="A102" s="481"/>
      <c r="B102" s="438"/>
      <c r="C102" s="438"/>
      <c r="D102" s="438"/>
      <c r="E102" s="438"/>
      <c r="F102" s="435"/>
      <c r="G102" s="494"/>
      <c r="H102" s="441"/>
      <c r="I102" s="444"/>
      <c r="J102" s="592"/>
      <c r="K102" s="595"/>
      <c r="L102" s="438"/>
      <c r="M102" s="438"/>
      <c r="N102" s="306" t="s">
        <v>602</v>
      </c>
      <c r="O102" s="435"/>
      <c r="P102" s="298">
        <v>840</v>
      </c>
      <c r="Q102" s="299" t="s">
        <v>604</v>
      </c>
      <c r="R102" s="300"/>
      <c r="S102" s="298"/>
      <c r="T102" s="298"/>
      <c r="U102" s="441"/>
      <c r="V102" s="598"/>
      <c r="W102" s="487"/>
      <c r="X102" s="2">
        <v>61</v>
      </c>
    </row>
    <row r="103" spans="1:24" x14ac:dyDescent="0.25">
      <c r="A103" s="481"/>
      <c r="B103" s="438"/>
      <c r="C103" s="438"/>
      <c r="D103" s="438"/>
      <c r="E103" s="438"/>
      <c r="F103" s="435"/>
      <c r="G103" s="494"/>
      <c r="H103" s="441"/>
      <c r="I103" s="444"/>
      <c r="J103" s="592"/>
      <c r="K103" s="595"/>
      <c r="L103" s="438"/>
      <c r="M103" s="438"/>
      <c r="N103" s="306" t="s">
        <v>606</v>
      </c>
      <c r="O103" s="435"/>
      <c r="P103" s="298">
        <v>360</v>
      </c>
      <c r="Q103" s="299" t="s">
        <v>650</v>
      </c>
      <c r="R103" s="300"/>
      <c r="S103" s="298"/>
      <c r="T103" s="298"/>
      <c r="U103" s="441"/>
      <c r="V103" s="598"/>
      <c r="W103" s="487"/>
      <c r="X103" s="2">
        <v>61</v>
      </c>
    </row>
    <row r="104" spans="1:24" x14ac:dyDescent="0.25">
      <c r="A104" s="481"/>
      <c r="B104" s="438"/>
      <c r="C104" s="438"/>
      <c r="D104" s="438"/>
      <c r="E104" s="438"/>
      <c r="F104" s="435"/>
      <c r="G104" s="494"/>
      <c r="H104" s="441"/>
      <c r="I104" s="444"/>
      <c r="J104" s="592"/>
      <c r="K104" s="595"/>
      <c r="L104" s="438"/>
      <c r="M104" s="438"/>
      <c r="N104" s="306" t="s">
        <v>606</v>
      </c>
      <c r="O104" s="435"/>
      <c r="P104" s="298">
        <v>420</v>
      </c>
      <c r="Q104" s="299" t="s">
        <v>650</v>
      </c>
      <c r="R104" s="300"/>
      <c r="S104" s="298"/>
      <c r="T104" s="298"/>
      <c r="U104" s="441"/>
      <c r="V104" s="598"/>
      <c r="W104" s="487"/>
      <c r="X104" s="2">
        <v>61</v>
      </c>
    </row>
    <row r="105" spans="1:24" x14ac:dyDescent="0.25">
      <c r="A105" s="481"/>
      <c r="B105" s="438"/>
      <c r="C105" s="438"/>
      <c r="D105" s="438"/>
      <c r="E105" s="438"/>
      <c r="F105" s="435"/>
      <c r="G105" s="494"/>
      <c r="H105" s="441"/>
      <c r="I105" s="444"/>
      <c r="J105" s="592"/>
      <c r="K105" s="595"/>
      <c r="L105" s="438"/>
      <c r="M105" s="438"/>
      <c r="N105" s="306" t="s">
        <v>695</v>
      </c>
      <c r="O105" s="435"/>
      <c r="P105" s="298">
        <v>5040</v>
      </c>
      <c r="Q105" s="299" t="s">
        <v>699</v>
      </c>
      <c r="R105" s="300"/>
      <c r="S105" s="298"/>
      <c r="T105" s="298"/>
      <c r="U105" s="441"/>
      <c r="V105" s="598"/>
      <c r="W105" s="487"/>
      <c r="X105" s="2">
        <v>61</v>
      </c>
    </row>
    <row r="106" spans="1:24" x14ac:dyDescent="0.25">
      <c r="A106" s="482"/>
      <c r="B106" s="439"/>
      <c r="C106" s="439"/>
      <c r="D106" s="439"/>
      <c r="E106" s="439"/>
      <c r="F106" s="436"/>
      <c r="G106" s="493"/>
      <c r="H106" s="442"/>
      <c r="I106" s="445"/>
      <c r="J106" s="593"/>
      <c r="K106" s="596"/>
      <c r="L106" s="439"/>
      <c r="M106" s="439"/>
      <c r="N106" s="307" t="s">
        <v>695</v>
      </c>
      <c r="O106" s="436"/>
      <c r="P106" s="301">
        <v>5880</v>
      </c>
      <c r="Q106" s="302" t="s">
        <v>699</v>
      </c>
      <c r="R106" s="303"/>
      <c r="S106" s="301"/>
      <c r="T106" s="301"/>
      <c r="U106" s="442"/>
      <c r="V106" s="599"/>
      <c r="W106" s="488"/>
      <c r="X106" s="2">
        <v>61</v>
      </c>
    </row>
    <row r="107" spans="1:24" s="85" customFormat="1" ht="72" customHeight="1" x14ac:dyDescent="0.25">
      <c r="A107" s="412">
        <v>10</v>
      </c>
      <c r="B107" s="370" t="s">
        <v>56</v>
      </c>
      <c r="C107" s="370"/>
      <c r="D107" s="370"/>
      <c r="E107" s="370" t="s">
        <v>248</v>
      </c>
      <c r="F107" s="391" t="s">
        <v>236</v>
      </c>
      <c r="G107" s="388" t="s">
        <v>184</v>
      </c>
      <c r="H107" s="394">
        <v>598920</v>
      </c>
      <c r="I107" s="397">
        <f>IF(X107 = 62, H107 + SUM(S107:S111) - SUM(T107:T111) - SUM(P107:P111) - V107,0)</f>
        <v>4.3655745685100555E-11</v>
      </c>
      <c r="J107" s="495">
        <v>235300578903</v>
      </c>
      <c r="K107" s="497" t="s">
        <v>148</v>
      </c>
      <c r="L107" s="370"/>
      <c r="M107" s="370" t="s">
        <v>249</v>
      </c>
      <c r="N107" s="223" t="s">
        <v>307</v>
      </c>
      <c r="O107" s="391" t="s">
        <v>296</v>
      </c>
      <c r="P107" s="219">
        <v>101430</v>
      </c>
      <c r="Q107" s="218" t="s">
        <v>309</v>
      </c>
      <c r="R107" s="217"/>
      <c r="S107" s="219"/>
      <c r="T107" s="219"/>
      <c r="U107" s="394" t="s">
        <v>520</v>
      </c>
      <c r="V107" s="499">
        <v>51970.8</v>
      </c>
      <c r="W107" s="400"/>
      <c r="X107" s="85">
        <v>62</v>
      </c>
    </row>
    <row r="108" spans="1:24" x14ac:dyDescent="0.25">
      <c r="A108" s="413"/>
      <c r="B108" s="371"/>
      <c r="C108" s="371"/>
      <c r="D108" s="371"/>
      <c r="E108" s="371"/>
      <c r="F108" s="392"/>
      <c r="G108" s="389"/>
      <c r="H108" s="395"/>
      <c r="I108" s="398"/>
      <c r="J108" s="501"/>
      <c r="K108" s="502"/>
      <c r="L108" s="371"/>
      <c r="M108" s="371"/>
      <c r="N108" s="228" t="s">
        <v>345</v>
      </c>
      <c r="O108" s="392"/>
      <c r="P108" s="225">
        <v>107950.5</v>
      </c>
      <c r="Q108" s="226" t="s">
        <v>347</v>
      </c>
      <c r="R108" s="227"/>
      <c r="S108" s="225"/>
      <c r="T108" s="225"/>
      <c r="U108" s="395"/>
      <c r="V108" s="506"/>
      <c r="W108" s="411"/>
      <c r="X108" s="2">
        <v>62</v>
      </c>
    </row>
    <row r="109" spans="1:24" x14ac:dyDescent="0.25">
      <c r="A109" s="413"/>
      <c r="B109" s="371"/>
      <c r="C109" s="371"/>
      <c r="D109" s="371"/>
      <c r="E109" s="371"/>
      <c r="F109" s="392"/>
      <c r="G109" s="389"/>
      <c r="H109" s="395"/>
      <c r="I109" s="398"/>
      <c r="J109" s="501"/>
      <c r="K109" s="502"/>
      <c r="L109" s="371"/>
      <c r="M109" s="371"/>
      <c r="N109" s="228" t="s">
        <v>371</v>
      </c>
      <c r="O109" s="392"/>
      <c r="P109" s="225">
        <v>103555.2</v>
      </c>
      <c r="Q109" s="226" t="s">
        <v>379</v>
      </c>
      <c r="R109" s="227"/>
      <c r="S109" s="225"/>
      <c r="T109" s="225"/>
      <c r="U109" s="395"/>
      <c r="V109" s="506"/>
      <c r="W109" s="411"/>
      <c r="X109" s="2">
        <v>62</v>
      </c>
    </row>
    <row r="110" spans="1:24" x14ac:dyDescent="0.25">
      <c r="A110" s="413"/>
      <c r="B110" s="371"/>
      <c r="C110" s="371"/>
      <c r="D110" s="371"/>
      <c r="E110" s="371"/>
      <c r="F110" s="392"/>
      <c r="G110" s="389"/>
      <c r="H110" s="395"/>
      <c r="I110" s="398"/>
      <c r="J110" s="501"/>
      <c r="K110" s="502"/>
      <c r="L110" s="371"/>
      <c r="M110" s="371"/>
      <c r="N110" s="228" t="s">
        <v>461</v>
      </c>
      <c r="O110" s="392"/>
      <c r="P110" s="225">
        <v>111090</v>
      </c>
      <c r="Q110" s="226" t="s">
        <v>462</v>
      </c>
      <c r="R110" s="227"/>
      <c r="S110" s="225"/>
      <c r="T110" s="225"/>
      <c r="U110" s="395"/>
      <c r="V110" s="506"/>
      <c r="W110" s="411"/>
      <c r="X110" s="2">
        <v>62</v>
      </c>
    </row>
    <row r="111" spans="1:24" x14ac:dyDescent="0.25">
      <c r="A111" s="414"/>
      <c r="B111" s="372"/>
      <c r="C111" s="372"/>
      <c r="D111" s="372"/>
      <c r="E111" s="372"/>
      <c r="F111" s="393"/>
      <c r="G111" s="390"/>
      <c r="H111" s="396"/>
      <c r="I111" s="399"/>
      <c r="J111" s="496"/>
      <c r="K111" s="498"/>
      <c r="L111" s="372"/>
      <c r="M111" s="372"/>
      <c r="N111" s="224" t="s">
        <v>470</v>
      </c>
      <c r="O111" s="393"/>
      <c r="P111" s="220">
        <v>122923.5</v>
      </c>
      <c r="Q111" s="221" t="s">
        <v>509</v>
      </c>
      <c r="R111" s="222"/>
      <c r="S111" s="220"/>
      <c r="T111" s="220"/>
      <c r="U111" s="396"/>
      <c r="V111" s="500"/>
      <c r="W111" s="401"/>
      <c r="X111" s="2">
        <v>62</v>
      </c>
    </row>
    <row r="112" spans="1:24" s="85" customFormat="1" ht="72" customHeight="1" x14ac:dyDescent="0.25">
      <c r="A112" s="462">
        <v>11</v>
      </c>
      <c r="B112" s="422" t="s">
        <v>56</v>
      </c>
      <c r="C112" s="422"/>
      <c r="D112" s="422"/>
      <c r="E112" s="422" t="s">
        <v>277</v>
      </c>
      <c r="F112" s="428" t="s">
        <v>283</v>
      </c>
      <c r="G112" s="426" t="s">
        <v>299</v>
      </c>
      <c r="H112" s="430">
        <v>540855.12</v>
      </c>
      <c r="I112" s="432">
        <f>IF(X112 = 63, H112 + SUM(S112:S127) - SUM(T112:T127) - SUM(P112:P127) - V112,0)</f>
        <v>8.7311491370201111E-11</v>
      </c>
      <c r="J112" s="513">
        <v>2353020735</v>
      </c>
      <c r="K112" s="516" t="s">
        <v>286</v>
      </c>
      <c r="L112" s="422"/>
      <c r="M112" s="422" t="s">
        <v>300</v>
      </c>
      <c r="N112" s="163" t="s">
        <v>307</v>
      </c>
      <c r="O112" s="428" t="s">
        <v>288</v>
      </c>
      <c r="P112" s="156">
        <v>3418.85</v>
      </c>
      <c r="Q112" s="155" t="s">
        <v>313</v>
      </c>
      <c r="R112" s="154" t="s">
        <v>361</v>
      </c>
      <c r="S112" s="156">
        <v>3999.24</v>
      </c>
      <c r="T112" s="156"/>
      <c r="U112" s="430" t="s">
        <v>521</v>
      </c>
      <c r="V112" s="507">
        <v>133339.26999999999</v>
      </c>
      <c r="W112" s="424"/>
      <c r="X112" s="85">
        <v>63</v>
      </c>
    </row>
    <row r="113" spans="1:24" x14ac:dyDescent="0.25">
      <c r="A113" s="519"/>
      <c r="B113" s="510"/>
      <c r="C113" s="510"/>
      <c r="D113" s="510"/>
      <c r="E113" s="510"/>
      <c r="F113" s="511"/>
      <c r="G113" s="503"/>
      <c r="H113" s="504"/>
      <c r="I113" s="512"/>
      <c r="J113" s="514"/>
      <c r="K113" s="517"/>
      <c r="L113" s="510"/>
      <c r="M113" s="510"/>
      <c r="N113" s="164" t="s">
        <v>316</v>
      </c>
      <c r="O113" s="511"/>
      <c r="P113" s="157">
        <v>5033.3100000000004</v>
      </c>
      <c r="Q113" s="158" t="s">
        <v>313</v>
      </c>
      <c r="R113" s="159"/>
      <c r="S113" s="157"/>
      <c r="T113" s="157"/>
      <c r="U113" s="504"/>
      <c r="V113" s="508"/>
      <c r="W113" s="505"/>
      <c r="X113" s="2">
        <v>63</v>
      </c>
    </row>
    <row r="114" spans="1:24" x14ac:dyDescent="0.25">
      <c r="A114" s="519"/>
      <c r="B114" s="510"/>
      <c r="C114" s="510"/>
      <c r="D114" s="510"/>
      <c r="E114" s="510"/>
      <c r="F114" s="511"/>
      <c r="G114" s="503"/>
      <c r="H114" s="504"/>
      <c r="I114" s="512"/>
      <c r="J114" s="514"/>
      <c r="K114" s="517"/>
      <c r="L114" s="510"/>
      <c r="M114" s="510"/>
      <c r="N114" s="164" t="s">
        <v>312</v>
      </c>
      <c r="O114" s="511"/>
      <c r="P114" s="157">
        <v>21396.01</v>
      </c>
      <c r="Q114" s="158" t="s">
        <v>314</v>
      </c>
      <c r="R114" s="159"/>
      <c r="S114" s="157"/>
      <c r="T114" s="157"/>
      <c r="U114" s="504"/>
      <c r="V114" s="508"/>
      <c r="W114" s="505"/>
      <c r="X114" s="2">
        <v>63</v>
      </c>
    </row>
    <row r="115" spans="1:24" x14ac:dyDescent="0.25">
      <c r="A115" s="519"/>
      <c r="B115" s="510"/>
      <c r="C115" s="510"/>
      <c r="D115" s="510"/>
      <c r="E115" s="510"/>
      <c r="F115" s="511"/>
      <c r="G115" s="503"/>
      <c r="H115" s="504"/>
      <c r="I115" s="512"/>
      <c r="J115" s="514"/>
      <c r="K115" s="517"/>
      <c r="L115" s="510"/>
      <c r="M115" s="510"/>
      <c r="N115" s="164" t="s">
        <v>312</v>
      </c>
      <c r="O115" s="511"/>
      <c r="P115" s="157">
        <v>1365.73</v>
      </c>
      <c r="Q115" s="158" t="s">
        <v>314</v>
      </c>
      <c r="R115" s="159"/>
      <c r="S115" s="157"/>
      <c r="T115" s="157"/>
      <c r="U115" s="504"/>
      <c r="V115" s="508"/>
      <c r="W115" s="505"/>
      <c r="X115" s="2">
        <v>63</v>
      </c>
    </row>
    <row r="116" spans="1:24" x14ac:dyDescent="0.25">
      <c r="A116" s="519"/>
      <c r="B116" s="510"/>
      <c r="C116" s="510"/>
      <c r="D116" s="510"/>
      <c r="E116" s="510"/>
      <c r="F116" s="511"/>
      <c r="G116" s="503"/>
      <c r="H116" s="504"/>
      <c r="I116" s="512"/>
      <c r="J116" s="514"/>
      <c r="K116" s="517"/>
      <c r="L116" s="510"/>
      <c r="M116" s="510"/>
      <c r="N116" s="164" t="s">
        <v>307</v>
      </c>
      <c r="O116" s="511"/>
      <c r="P116" s="157">
        <v>53560.87</v>
      </c>
      <c r="Q116" s="158" t="s">
        <v>314</v>
      </c>
      <c r="R116" s="159"/>
      <c r="S116" s="157"/>
      <c r="T116" s="157"/>
      <c r="U116" s="504"/>
      <c r="V116" s="508"/>
      <c r="W116" s="505"/>
      <c r="X116" s="2">
        <v>63</v>
      </c>
    </row>
    <row r="117" spans="1:24" x14ac:dyDescent="0.25">
      <c r="A117" s="519"/>
      <c r="B117" s="510"/>
      <c r="C117" s="510"/>
      <c r="D117" s="510"/>
      <c r="E117" s="510"/>
      <c r="F117" s="511"/>
      <c r="G117" s="503"/>
      <c r="H117" s="504"/>
      <c r="I117" s="512"/>
      <c r="J117" s="514"/>
      <c r="K117" s="517"/>
      <c r="L117" s="510"/>
      <c r="M117" s="510"/>
      <c r="N117" s="164" t="s">
        <v>316</v>
      </c>
      <c r="O117" s="511"/>
      <c r="P117" s="157">
        <v>78853.5</v>
      </c>
      <c r="Q117" s="158" t="s">
        <v>314</v>
      </c>
      <c r="R117" s="159"/>
      <c r="S117" s="157"/>
      <c r="T117" s="157"/>
      <c r="U117" s="504"/>
      <c r="V117" s="508"/>
      <c r="W117" s="505"/>
      <c r="X117" s="2">
        <v>63</v>
      </c>
    </row>
    <row r="118" spans="1:24" x14ac:dyDescent="0.25">
      <c r="A118" s="519"/>
      <c r="B118" s="510"/>
      <c r="C118" s="510"/>
      <c r="D118" s="510"/>
      <c r="E118" s="510"/>
      <c r="F118" s="511"/>
      <c r="G118" s="503"/>
      <c r="H118" s="504"/>
      <c r="I118" s="512"/>
      <c r="J118" s="514"/>
      <c r="K118" s="517"/>
      <c r="L118" s="510"/>
      <c r="M118" s="510"/>
      <c r="N118" s="164" t="s">
        <v>315</v>
      </c>
      <c r="O118" s="511"/>
      <c r="P118" s="157">
        <v>64258.87</v>
      </c>
      <c r="Q118" s="158" t="s">
        <v>344</v>
      </c>
      <c r="R118" s="159"/>
      <c r="S118" s="157"/>
      <c r="T118" s="157"/>
      <c r="U118" s="504"/>
      <c r="V118" s="508"/>
      <c r="W118" s="505"/>
      <c r="X118" s="2">
        <v>63</v>
      </c>
    </row>
    <row r="119" spans="1:24" x14ac:dyDescent="0.25">
      <c r="A119" s="519"/>
      <c r="B119" s="510"/>
      <c r="C119" s="510"/>
      <c r="D119" s="510"/>
      <c r="E119" s="510"/>
      <c r="F119" s="511"/>
      <c r="G119" s="503"/>
      <c r="H119" s="504"/>
      <c r="I119" s="512"/>
      <c r="J119" s="514"/>
      <c r="K119" s="517"/>
      <c r="L119" s="510"/>
      <c r="M119" s="510"/>
      <c r="N119" s="164" t="s">
        <v>315</v>
      </c>
      <c r="O119" s="511"/>
      <c r="P119" s="157">
        <v>4101.72</v>
      </c>
      <c r="Q119" s="158" t="s">
        <v>344</v>
      </c>
      <c r="R119" s="159"/>
      <c r="S119" s="157"/>
      <c r="T119" s="157"/>
      <c r="U119" s="504"/>
      <c r="V119" s="508"/>
      <c r="W119" s="505"/>
      <c r="X119" s="2">
        <v>63</v>
      </c>
    </row>
    <row r="120" spans="1:24" x14ac:dyDescent="0.25">
      <c r="A120" s="519"/>
      <c r="B120" s="510"/>
      <c r="C120" s="510"/>
      <c r="D120" s="510"/>
      <c r="E120" s="510"/>
      <c r="F120" s="511"/>
      <c r="G120" s="503"/>
      <c r="H120" s="504"/>
      <c r="I120" s="512"/>
      <c r="J120" s="514"/>
      <c r="K120" s="517"/>
      <c r="L120" s="510"/>
      <c r="M120" s="510"/>
      <c r="N120" s="164" t="s">
        <v>346</v>
      </c>
      <c r="O120" s="511"/>
      <c r="P120" s="157">
        <v>22033.64</v>
      </c>
      <c r="Q120" s="158" t="s">
        <v>357</v>
      </c>
      <c r="R120" s="159"/>
      <c r="S120" s="157"/>
      <c r="T120" s="157"/>
      <c r="U120" s="504"/>
      <c r="V120" s="508"/>
      <c r="W120" s="505"/>
      <c r="X120" s="2">
        <v>63</v>
      </c>
    </row>
    <row r="121" spans="1:24" x14ac:dyDescent="0.25">
      <c r="A121" s="519"/>
      <c r="B121" s="510"/>
      <c r="C121" s="510"/>
      <c r="D121" s="510"/>
      <c r="E121" s="510"/>
      <c r="F121" s="511"/>
      <c r="G121" s="503"/>
      <c r="H121" s="504"/>
      <c r="I121" s="512"/>
      <c r="J121" s="514"/>
      <c r="K121" s="517"/>
      <c r="L121" s="510"/>
      <c r="M121" s="510"/>
      <c r="N121" s="164" t="s">
        <v>346</v>
      </c>
      <c r="O121" s="511"/>
      <c r="P121" s="157">
        <v>1406.43</v>
      </c>
      <c r="Q121" s="158" t="s">
        <v>357</v>
      </c>
      <c r="R121" s="159"/>
      <c r="S121" s="157"/>
      <c r="T121" s="157"/>
      <c r="U121" s="504"/>
      <c r="V121" s="508"/>
      <c r="W121" s="505"/>
      <c r="X121" s="2">
        <v>63</v>
      </c>
    </row>
    <row r="122" spans="1:24" x14ac:dyDescent="0.25">
      <c r="A122" s="519"/>
      <c r="B122" s="510"/>
      <c r="C122" s="510"/>
      <c r="D122" s="510"/>
      <c r="E122" s="510"/>
      <c r="F122" s="511"/>
      <c r="G122" s="503"/>
      <c r="H122" s="504"/>
      <c r="I122" s="512"/>
      <c r="J122" s="514"/>
      <c r="K122" s="517"/>
      <c r="L122" s="510"/>
      <c r="M122" s="510"/>
      <c r="N122" s="164" t="s">
        <v>345</v>
      </c>
      <c r="O122" s="511"/>
      <c r="P122" s="157">
        <v>39320.480000000003</v>
      </c>
      <c r="Q122" s="158" t="s">
        <v>357</v>
      </c>
      <c r="R122" s="159"/>
      <c r="S122" s="157"/>
      <c r="T122" s="157"/>
      <c r="U122" s="504"/>
      <c r="V122" s="508"/>
      <c r="W122" s="505"/>
      <c r="X122" s="2">
        <v>63</v>
      </c>
    </row>
    <row r="123" spans="1:24" x14ac:dyDescent="0.25">
      <c r="A123" s="519"/>
      <c r="B123" s="510"/>
      <c r="C123" s="510"/>
      <c r="D123" s="510"/>
      <c r="E123" s="510"/>
      <c r="F123" s="511"/>
      <c r="G123" s="503"/>
      <c r="H123" s="504"/>
      <c r="I123" s="512"/>
      <c r="J123" s="514"/>
      <c r="K123" s="517"/>
      <c r="L123" s="510"/>
      <c r="M123" s="510"/>
      <c r="N123" s="164" t="s">
        <v>345</v>
      </c>
      <c r="O123" s="511"/>
      <c r="P123" s="157">
        <v>2509.87</v>
      </c>
      <c r="Q123" s="158" t="s">
        <v>357</v>
      </c>
      <c r="R123" s="159"/>
      <c r="S123" s="157"/>
      <c r="T123" s="157"/>
      <c r="U123" s="504"/>
      <c r="V123" s="508"/>
      <c r="W123" s="505"/>
      <c r="X123" s="2">
        <v>63</v>
      </c>
    </row>
    <row r="124" spans="1:24" x14ac:dyDescent="0.25">
      <c r="A124" s="519"/>
      <c r="B124" s="510"/>
      <c r="C124" s="510"/>
      <c r="D124" s="510"/>
      <c r="E124" s="510"/>
      <c r="F124" s="511"/>
      <c r="G124" s="503"/>
      <c r="H124" s="504"/>
      <c r="I124" s="512"/>
      <c r="J124" s="514"/>
      <c r="K124" s="517"/>
      <c r="L124" s="510"/>
      <c r="M124" s="510"/>
      <c r="N124" s="164" t="s">
        <v>357</v>
      </c>
      <c r="O124" s="511"/>
      <c r="P124" s="157">
        <v>61540.42</v>
      </c>
      <c r="Q124" s="158" t="s">
        <v>354</v>
      </c>
      <c r="R124" s="159"/>
      <c r="S124" s="157"/>
      <c r="T124" s="157"/>
      <c r="U124" s="504"/>
      <c r="V124" s="508"/>
      <c r="W124" s="505"/>
      <c r="X124" s="2">
        <v>63</v>
      </c>
    </row>
    <row r="125" spans="1:24" x14ac:dyDescent="0.25">
      <c r="A125" s="519"/>
      <c r="B125" s="510"/>
      <c r="C125" s="510"/>
      <c r="D125" s="510"/>
      <c r="E125" s="510"/>
      <c r="F125" s="511"/>
      <c r="G125" s="503"/>
      <c r="H125" s="504"/>
      <c r="I125" s="512"/>
      <c r="J125" s="514"/>
      <c r="K125" s="517"/>
      <c r="L125" s="510"/>
      <c r="M125" s="510"/>
      <c r="N125" s="164" t="s">
        <v>357</v>
      </c>
      <c r="O125" s="511"/>
      <c r="P125" s="157">
        <v>3928.19</v>
      </c>
      <c r="Q125" s="158" t="s">
        <v>354</v>
      </c>
      <c r="R125" s="159"/>
      <c r="S125" s="157"/>
      <c r="T125" s="157"/>
      <c r="U125" s="504"/>
      <c r="V125" s="508"/>
      <c r="W125" s="505"/>
      <c r="X125" s="2">
        <v>63</v>
      </c>
    </row>
    <row r="126" spans="1:24" x14ac:dyDescent="0.25">
      <c r="A126" s="519"/>
      <c r="B126" s="510"/>
      <c r="C126" s="510"/>
      <c r="D126" s="510"/>
      <c r="E126" s="510"/>
      <c r="F126" s="511"/>
      <c r="G126" s="503"/>
      <c r="H126" s="504"/>
      <c r="I126" s="512"/>
      <c r="J126" s="514"/>
      <c r="K126" s="517"/>
      <c r="L126" s="510"/>
      <c r="M126" s="510"/>
      <c r="N126" s="164" t="s">
        <v>383</v>
      </c>
      <c r="O126" s="511"/>
      <c r="P126" s="157">
        <v>45859.91</v>
      </c>
      <c r="Q126" s="158" t="s">
        <v>378</v>
      </c>
      <c r="R126" s="159"/>
      <c r="S126" s="157"/>
      <c r="T126" s="157"/>
      <c r="U126" s="504"/>
      <c r="V126" s="508"/>
      <c r="W126" s="505"/>
      <c r="X126" s="2">
        <v>63</v>
      </c>
    </row>
    <row r="127" spans="1:24" x14ac:dyDescent="0.25">
      <c r="A127" s="463"/>
      <c r="B127" s="423"/>
      <c r="C127" s="423"/>
      <c r="D127" s="423"/>
      <c r="E127" s="423"/>
      <c r="F127" s="429"/>
      <c r="G127" s="427"/>
      <c r="H127" s="431"/>
      <c r="I127" s="433"/>
      <c r="J127" s="515"/>
      <c r="K127" s="518"/>
      <c r="L127" s="423"/>
      <c r="M127" s="423"/>
      <c r="N127" s="165" t="s">
        <v>383</v>
      </c>
      <c r="O127" s="429"/>
      <c r="P127" s="160">
        <v>2927.29</v>
      </c>
      <c r="Q127" s="161" t="s">
        <v>378</v>
      </c>
      <c r="R127" s="162"/>
      <c r="S127" s="160"/>
      <c r="T127" s="160"/>
      <c r="U127" s="431"/>
      <c r="V127" s="509"/>
      <c r="W127" s="425"/>
      <c r="X127" s="2">
        <v>63</v>
      </c>
    </row>
    <row r="128" spans="1:24" s="85" customFormat="1" ht="72" customHeight="1" x14ac:dyDescent="0.25">
      <c r="A128" s="462">
        <v>12</v>
      </c>
      <c r="B128" s="422" t="s">
        <v>56</v>
      </c>
      <c r="C128" s="422"/>
      <c r="D128" s="422"/>
      <c r="E128" s="422" t="s">
        <v>297</v>
      </c>
      <c r="F128" s="428" t="s">
        <v>283</v>
      </c>
      <c r="G128" s="426" t="s">
        <v>301</v>
      </c>
      <c r="H128" s="430">
        <v>179400</v>
      </c>
      <c r="I128" s="432">
        <f>IF(X128 = 65, H128 + SUM(S128:S135) - SUM(T128:T135) - SUM(P128:P135) - V128,0)</f>
        <v>0</v>
      </c>
      <c r="J128" s="513">
        <v>2353020735</v>
      </c>
      <c r="K128" s="516" t="s">
        <v>286</v>
      </c>
      <c r="L128" s="422"/>
      <c r="M128" s="422" t="s">
        <v>300</v>
      </c>
      <c r="N128" s="163" t="s">
        <v>307</v>
      </c>
      <c r="O128" s="428" t="s">
        <v>288</v>
      </c>
      <c r="P128" s="156">
        <v>18900</v>
      </c>
      <c r="Q128" s="155" t="s">
        <v>313</v>
      </c>
      <c r="R128" s="154"/>
      <c r="S128" s="156"/>
      <c r="T128" s="156"/>
      <c r="U128" s="430" t="s">
        <v>521</v>
      </c>
      <c r="V128" s="507">
        <v>41725</v>
      </c>
      <c r="W128" s="424"/>
      <c r="X128" s="85">
        <v>65</v>
      </c>
    </row>
    <row r="129" spans="1:24" x14ac:dyDescent="0.25">
      <c r="A129" s="519"/>
      <c r="B129" s="510"/>
      <c r="C129" s="510"/>
      <c r="D129" s="510"/>
      <c r="E129" s="510"/>
      <c r="F129" s="511"/>
      <c r="G129" s="503"/>
      <c r="H129" s="504"/>
      <c r="I129" s="512"/>
      <c r="J129" s="514"/>
      <c r="K129" s="517"/>
      <c r="L129" s="510"/>
      <c r="M129" s="510"/>
      <c r="N129" s="164" t="s">
        <v>316</v>
      </c>
      <c r="O129" s="511"/>
      <c r="P129" s="157">
        <v>27825</v>
      </c>
      <c r="Q129" s="158" t="s">
        <v>313</v>
      </c>
      <c r="R129" s="159"/>
      <c r="S129" s="157"/>
      <c r="T129" s="157"/>
      <c r="U129" s="504"/>
      <c r="V129" s="508"/>
      <c r="W129" s="505"/>
      <c r="X129" s="2">
        <v>65</v>
      </c>
    </row>
    <row r="130" spans="1:24" x14ac:dyDescent="0.25">
      <c r="A130" s="519"/>
      <c r="B130" s="510"/>
      <c r="C130" s="510"/>
      <c r="D130" s="510"/>
      <c r="E130" s="510"/>
      <c r="F130" s="511"/>
      <c r="G130" s="503"/>
      <c r="H130" s="504"/>
      <c r="I130" s="512"/>
      <c r="J130" s="514"/>
      <c r="K130" s="517"/>
      <c r="L130" s="510"/>
      <c r="M130" s="510"/>
      <c r="N130" s="164" t="s">
        <v>312</v>
      </c>
      <c r="O130" s="511"/>
      <c r="P130" s="157">
        <v>7550</v>
      </c>
      <c r="Q130" s="158" t="s">
        <v>314</v>
      </c>
      <c r="R130" s="159"/>
      <c r="S130" s="157"/>
      <c r="T130" s="157"/>
      <c r="U130" s="504"/>
      <c r="V130" s="508"/>
      <c r="W130" s="505"/>
      <c r="X130" s="2">
        <v>65</v>
      </c>
    </row>
    <row r="131" spans="1:24" x14ac:dyDescent="0.25">
      <c r="A131" s="519"/>
      <c r="B131" s="510"/>
      <c r="C131" s="510"/>
      <c r="D131" s="510"/>
      <c r="E131" s="510"/>
      <c r="F131" s="511"/>
      <c r="G131" s="503"/>
      <c r="H131" s="504"/>
      <c r="I131" s="512"/>
      <c r="J131" s="514"/>
      <c r="K131" s="517"/>
      <c r="L131" s="510"/>
      <c r="M131" s="510"/>
      <c r="N131" s="164" t="s">
        <v>315</v>
      </c>
      <c r="O131" s="511"/>
      <c r="P131" s="157">
        <v>22675</v>
      </c>
      <c r="Q131" s="158" t="s">
        <v>344</v>
      </c>
      <c r="R131" s="159"/>
      <c r="S131" s="157"/>
      <c r="T131" s="157"/>
      <c r="U131" s="504"/>
      <c r="V131" s="508"/>
      <c r="W131" s="505"/>
      <c r="X131" s="2">
        <v>65</v>
      </c>
    </row>
    <row r="132" spans="1:24" x14ac:dyDescent="0.25">
      <c r="A132" s="519"/>
      <c r="B132" s="510"/>
      <c r="C132" s="510"/>
      <c r="D132" s="510"/>
      <c r="E132" s="510"/>
      <c r="F132" s="511"/>
      <c r="G132" s="503"/>
      <c r="H132" s="504"/>
      <c r="I132" s="512"/>
      <c r="J132" s="514"/>
      <c r="K132" s="517"/>
      <c r="L132" s="510"/>
      <c r="M132" s="510"/>
      <c r="N132" s="164" t="s">
        <v>345</v>
      </c>
      <c r="O132" s="511"/>
      <c r="P132" s="157">
        <v>13875</v>
      </c>
      <c r="Q132" s="158" t="s">
        <v>355</v>
      </c>
      <c r="R132" s="159"/>
      <c r="S132" s="157"/>
      <c r="T132" s="157"/>
      <c r="U132" s="504"/>
      <c r="V132" s="508"/>
      <c r="W132" s="505"/>
      <c r="X132" s="2">
        <v>65</v>
      </c>
    </row>
    <row r="133" spans="1:24" x14ac:dyDescent="0.25">
      <c r="A133" s="519"/>
      <c r="B133" s="510"/>
      <c r="C133" s="510"/>
      <c r="D133" s="510"/>
      <c r="E133" s="510"/>
      <c r="F133" s="511"/>
      <c r="G133" s="503"/>
      <c r="H133" s="504"/>
      <c r="I133" s="512"/>
      <c r="J133" s="514"/>
      <c r="K133" s="517"/>
      <c r="L133" s="510"/>
      <c r="M133" s="510"/>
      <c r="N133" s="164" t="s">
        <v>346</v>
      </c>
      <c r="O133" s="511"/>
      <c r="P133" s="157">
        <v>7775</v>
      </c>
      <c r="Q133" s="158" t="s">
        <v>350</v>
      </c>
      <c r="R133" s="159"/>
      <c r="S133" s="157"/>
      <c r="T133" s="157"/>
      <c r="U133" s="504"/>
      <c r="V133" s="508"/>
      <c r="W133" s="505"/>
      <c r="X133" s="2">
        <v>65</v>
      </c>
    </row>
    <row r="134" spans="1:24" x14ac:dyDescent="0.25">
      <c r="A134" s="519"/>
      <c r="B134" s="510"/>
      <c r="C134" s="510"/>
      <c r="D134" s="510"/>
      <c r="E134" s="510"/>
      <c r="F134" s="511"/>
      <c r="G134" s="503"/>
      <c r="H134" s="504"/>
      <c r="I134" s="512"/>
      <c r="J134" s="514"/>
      <c r="K134" s="517"/>
      <c r="L134" s="510"/>
      <c r="M134" s="510"/>
      <c r="N134" s="164" t="s">
        <v>357</v>
      </c>
      <c r="O134" s="511"/>
      <c r="P134" s="157">
        <v>23325</v>
      </c>
      <c r="Q134" s="158" t="s">
        <v>354</v>
      </c>
      <c r="R134" s="159"/>
      <c r="S134" s="157"/>
      <c r="T134" s="157"/>
      <c r="U134" s="504"/>
      <c r="V134" s="508"/>
      <c r="W134" s="505"/>
      <c r="X134" s="2">
        <v>65</v>
      </c>
    </row>
    <row r="135" spans="1:24" x14ac:dyDescent="0.25">
      <c r="A135" s="463"/>
      <c r="B135" s="423"/>
      <c r="C135" s="423"/>
      <c r="D135" s="423"/>
      <c r="E135" s="423"/>
      <c r="F135" s="429"/>
      <c r="G135" s="427"/>
      <c r="H135" s="431"/>
      <c r="I135" s="433"/>
      <c r="J135" s="515"/>
      <c r="K135" s="518"/>
      <c r="L135" s="423"/>
      <c r="M135" s="423"/>
      <c r="N135" s="165" t="s">
        <v>383</v>
      </c>
      <c r="O135" s="429"/>
      <c r="P135" s="160">
        <v>15750</v>
      </c>
      <c r="Q135" s="161" t="s">
        <v>377</v>
      </c>
      <c r="R135" s="162"/>
      <c r="S135" s="160"/>
      <c r="T135" s="160"/>
      <c r="U135" s="431"/>
      <c r="V135" s="509"/>
      <c r="W135" s="425"/>
      <c r="X135" s="2">
        <v>65</v>
      </c>
    </row>
    <row r="136" spans="1:24" s="85" customFormat="1" ht="87.6" customHeight="1" x14ac:dyDescent="0.25">
      <c r="A136" s="412">
        <v>13</v>
      </c>
      <c r="B136" s="370" t="s">
        <v>56</v>
      </c>
      <c r="C136" s="370"/>
      <c r="D136" s="370"/>
      <c r="E136" s="370" t="s">
        <v>298</v>
      </c>
      <c r="F136" s="391" t="s">
        <v>283</v>
      </c>
      <c r="G136" s="388" t="s">
        <v>302</v>
      </c>
      <c r="H136" s="394">
        <v>66360</v>
      </c>
      <c r="I136" s="397">
        <f>IF(X136 = 66, H136 + SUM(S136:S145) - SUM(T136:T145) - SUM(P136:P145) - V136,0)</f>
        <v>0</v>
      </c>
      <c r="J136" s="495">
        <v>2353020735</v>
      </c>
      <c r="K136" s="497" t="s">
        <v>286</v>
      </c>
      <c r="L136" s="370"/>
      <c r="M136" s="370" t="s">
        <v>287</v>
      </c>
      <c r="N136" s="223" t="s">
        <v>307</v>
      </c>
      <c r="O136" s="391" t="s">
        <v>288</v>
      </c>
      <c r="P136" s="219">
        <v>4572</v>
      </c>
      <c r="Q136" s="218" t="s">
        <v>311</v>
      </c>
      <c r="R136" s="217"/>
      <c r="S136" s="219"/>
      <c r="T136" s="219"/>
      <c r="U136" s="394" t="s">
        <v>517</v>
      </c>
      <c r="V136" s="499">
        <v>29534</v>
      </c>
      <c r="W136" s="400"/>
      <c r="X136" s="85">
        <v>66</v>
      </c>
    </row>
    <row r="137" spans="1:24" x14ac:dyDescent="0.25">
      <c r="A137" s="413"/>
      <c r="B137" s="371"/>
      <c r="C137" s="371"/>
      <c r="D137" s="371"/>
      <c r="E137" s="371"/>
      <c r="F137" s="392"/>
      <c r="G137" s="389"/>
      <c r="H137" s="395"/>
      <c r="I137" s="398"/>
      <c r="J137" s="501"/>
      <c r="K137" s="502"/>
      <c r="L137" s="371"/>
      <c r="M137" s="371"/>
      <c r="N137" s="228" t="s">
        <v>307</v>
      </c>
      <c r="O137" s="392"/>
      <c r="P137" s="225">
        <v>4010</v>
      </c>
      <c r="Q137" s="226" t="s">
        <v>311</v>
      </c>
      <c r="R137" s="227"/>
      <c r="S137" s="225"/>
      <c r="T137" s="225"/>
      <c r="U137" s="395"/>
      <c r="V137" s="506"/>
      <c r="W137" s="411"/>
      <c r="X137" s="2">
        <v>66</v>
      </c>
    </row>
    <row r="138" spans="1:24" x14ac:dyDescent="0.25">
      <c r="A138" s="413"/>
      <c r="B138" s="371"/>
      <c r="C138" s="371"/>
      <c r="D138" s="371"/>
      <c r="E138" s="371"/>
      <c r="F138" s="392"/>
      <c r="G138" s="389"/>
      <c r="H138" s="395"/>
      <c r="I138" s="398"/>
      <c r="J138" s="501"/>
      <c r="K138" s="502"/>
      <c r="L138" s="371"/>
      <c r="M138" s="371"/>
      <c r="N138" s="228" t="s">
        <v>345</v>
      </c>
      <c r="O138" s="392"/>
      <c r="P138" s="225">
        <v>4494</v>
      </c>
      <c r="Q138" s="226" t="s">
        <v>355</v>
      </c>
      <c r="R138" s="227"/>
      <c r="S138" s="225"/>
      <c r="T138" s="225"/>
      <c r="U138" s="395"/>
      <c r="V138" s="506"/>
      <c r="W138" s="411"/>
      <c r="X138" s="2">
        <v>66</v>
      </c>
    </row>
    <row r="139" spans="1:24" x14ac:dyDescent="0.25">
      <c r="A139" s="413"/>
      <c r="B139" s="371"/>
      <c r="C139" s="371"/>
      <c r="D139" s="371"/>
      <c r="E139" s="371"/>
      <c r="F139" s="392"/>
      <c r="G139" s="389"/>
      <c r="H139" s="395"/>
      <c r="I139" s="398"/>
      <c r="J139" s="501"/>
      <c r="K139" s="502"/>
      <c r="L139" s="371"/>
      <c r="M139" s="371"/>
      <c r="N139" s="228" t="s">
        <v>345</v>
      </c>
      <c r="O139" s="392"/>
      <c r="P139" s="225">
        <v>2610</v>
      </c>
      <c r="Q139" s="226" t="s">
        <v>355</v>
      </c>
      <c r="R139" s="227"/>
      <c r="S139" s="225"/>
      <c r="T139" s="225"/>
      <c r="U139" s="395"/>
      <c r="V139" s="506"/>
      <c r="W139" s="411"/>
      <c r="X139" s="2">
        <v>66</v>
      </c>
    </row>
    <row r="140" spans="1:24" x14ac:dyDescent="0.25">
      <c r="A140" s="413"/>
      <c r="B140" s="371"/>
      <c r="C140" s="371"/>
      <c r="D140" s="371"/>
      <c r="E140" s="371"/>
      <c r="F140" s="392"/>
      <c r="G140" s="389"/>
      <c r="H140" s="395"/>
      <c r="I140" s="398"/>
      <c r="J140" s="501"/>
      <c r="K140" s="502"/>
      <c r="L140" s="371"/>
      <c r="M140" s="371"/>
      <c r="N140" s="228" t="s">
        <v>383</v>
      </c>
      <c r="O140" s="392"/>
      <c r="P140" s="225">
        <v>4554</v>
      </c>
      <c r="Q140" s="226" t="s">
        <v>376</v>
      </c>
      <c r="R140" s="227"/>
      <c r="S140" s="225"/>
      <c r="T140" s="225"/>
      <c r="U140" s="395"/>
      <c r="V140" s="506"/>
      <c r="W140" s="411"/>
      <c r="X140" s="2">
        <v>66</v>
      </c>
    </row>
    <row r="141" spans="1:24" x14ac:dyDescent="0.25">
      <c r="A141" s="413"/>
      <c r="B141" s="371"/>
      <c r="C141" s="371"/>
      <c r="D141" s="371"/>
      <c r="E141" s="371"/>
      <c r="F141" s="392"/>
      <c r="G141" s="389"/>
      <c r="H141" s="395"/>
      <c r="I141" s="398"/>
      <c r="J141" s="501"/>
      <c r="K141" s="502"/>
      <c r="L141" s="371"/>
      <c r="M141" s="371"/>
      <c r="N141" s="228" t="s">
        <v>383</v>
      </c>
      <c r="O141" s="392"/>
      <c r="P141" s="225">
        <v>2530</v>
      </c>
      <c r="Q141" s="226" t="s">
        <v>376</v>
      </c>
      <c r="R141" s="227"/>
      <c r="S141" s="225"/>
      <c r="T141" s="225"/>
      <c r="U141" s="395"/>
      <c r="V141" s="506"/>
      <c r="W141" s="411"/>
      <c r="X141" s="2">
        <v>66</v>
      </c>
    </row>
    <row r="142" spans="1:24" x14ac:dyDescent="0.25">
      <c r="A142" s="413"/>
      <c r="B142" s="371"/>
      <c r="C142" s="371"/>
      <c r="D142" s="371"/>
      <c r="E142" s="371"/>
      <c r="F142" s="392"/>
      <c r="G142" s="389"/>
      <c r="H142" s="395"/>
      <c r="I142" s="398"/>
      <c r="J142" s="501"/>
      <c r="K142" s="502"/>
      <c r="L142" s="371"/>
      <c r="M142" s="371"/>
      <c r="N142" s="228" t="s">
        <v>459</v>
      </c>
      <c r="O142" s="392"/>
      <c r="P142" s="225">
        <v>5730</v>
      </c>
      <c r="Q142" s="226" t="s">
        <v>463</v>
      </c>
      <c r="R142" s="227"/>
      <c r="S142" s="225"/>
      <c r="T142" s="225"/>
      <c r="U142" s="395"/>
      <c r="V142" s="506"/>
      <c r="W142" s="411"/>
      <c r="X142" s="2">
        <v>66</v>
      </c>
    </row>
    <row r="143" spans="1:24" x14ac:dyDescent="0.25">
      <c r="A143" s="413"/>
      <c r="B143" s="371"/>
      <c r="C143" s="371"/>
      <c r="D143" s="371"/>
      <c r="E143" s="371"/>
      <c r="F143" s="392"/>
      <c r="G143" s="389"/>
      <c r="H143" s="395"/>
      <c r="I143" s="398"/>
      <c r="J143" s="501"/>
      <c r="K143" s="502"/>
      <c r="L143" s="371"/>
      <c r="M143" s="371"/>
      <c r="N143" s="228" t="s">
        <v>459</v>
      </c>
      <c r="O143" s="392"/>
      <c r="P143" s="225">
        <v>3080</v>
      </c>
      <c r="Q143" s="226" t="s">
        <v>463</v>
      </c>
      <c r="R143" s="227"/>
      <c r="S143" s="225"/>
      <c r="T143" s="225"/>
      <c r="U143" s="395"/>
      <c r="V143" s="506"/>
      <c r="W143" s="411"/>
      <c r="X143" s="2">
        <v>66</v>
      </c>
    </row>
    <row r="144" spans="1:24" x14ac:dyDescent="0.25">
      <c r="A144" s="413"/>
      <c r="B144" s="371"/>
      <c r="C144" s="371"/>
      <c r="D144" s="371"/>
      <c r="E144" s="371"/>
      <c r="F144" s="392"/>
      <c r="G144" s="389"/>
      <c r="H144" s="395"/>
      <c r="I144" s="398"/>
      <c r="J144" s="501"/>
      <c r="K144" s="502"/>
      <c r="L144" s="371"/>
      <c r="M144" s="371"/>
      <c r="N144" s="228" t="s">
        <v>467</v>
      </c>
      <c r="O144" s="392"/>
      <c r="P144" s="225">
        <v>3366</v>
      </c>
      <c r="Q144" s="226" t="s">
        <v>509</v>
      </c>
      <c r="R144" s="227"/>
      <c r="S144" s="225"/>
      <c r="T144" s="225"/>
      <c r="U144" s="395"/>
      <c r="V144" s="506"/>
      <c r="W144" s="411"/>
      <c r="X144" s="2">
        <v>66</v>
      </c>
    </row>
    <row r="145" spans="1:24" x14ac:dyDescent="0.25">
      <c r="A145" s="414"/>
      <c r="B145" s="372"/>
      <c r="C145" s="372"/>
      <c r="D145" s="372"/>
      <c r="E145" s="372"/>
      <c r="F145" s="393"/>
      <c r="G145" s="390"/>
      <c r="H145" s="396"/>
      <c r="I145" s="399"/>
      <c r="J145" s="496"/>
      <c r="K145" s="498"/>
      <c r="L145" s="372"/>
      <c r="M145" s="372"/>
      <c r="N145" s="224" t="s">
        <v>467</v>
      </c>
      <c r="O145" s="393"/>
      <c r="P145" s="220">
        <v>1880</v>
      </c>
      <c r="Q145" s="221" t="s">
        <v>509</v>
      </c>
      <c r="R145" s="222"/>
      <c r="S145" s="220"/>
      <c r="T145" s="220"/>
      <c r="U145" s="396"/>
      <c r="V145" s="500"/>
      <c r="W145" s="401"/>
      <c r="X145" s="2">
        <v>66</v>
      </c>
    </row>
    <row r="146" spans="1:24" s="85" customFormat="1" ht="93.75" x14ac:dyDescent="0.25">
      <c r="A146" s="116">
        <v>14</v>
      </c>
      <c r="B146" s="112" t="s">
        <v>56</v>
      </c>
      <c r="C146" s="112"/>
      <c r="D146" s="112"/>
      <c r="E146" s="98" t="s">
        <v>251</v>
      </c>
      <c r="F146" s="121" t="s">
        <v>252</v>
      </c>
      <c r="G146" s="99" t="s">
        <v>253</v>
      </c>
      <c r="H146" s="113">
        <v>9000</v>
      </c>
      <c r="I146" s="118">
        <f>IF(X146 = 67, H146 + SUM(S146:S146) - SUM(T146:T146) - SUM(P146:P146) - V146,0)</f>
        <v>0</v>
      </c>
      <c r="J146" s="119">
        <v>2335015365</v>
      </c>
      <c r="K146" s="120" t="s">
        <v>154</v>
      </c>
      <c r="L146" s="112"/>
      <c r="M146" s="112" t="s">
        <v>254</v>
      </c>
      <c r="N146" s="121" t="s">
        <v>310</v>
      </c>
      <c r="O146" s="102" t="s">
        <v>255</v>
      </c>
      <c r="P146" s="113">
        <v>9000</v>
      </c>
      <c r="Q146" s="117" t="s">
        <v>314</v>
      </c>
      <c r="R146" s="112"/>
      <c r="S146" s="113"/>
      <c r="T146" s="113"/>
      <c r="U146" s="113"/>
      <c r="V146" s="114"/>
      <c r="W146" s="115"/>
      <c r="X146" s="85">
        <v>67</v>
      </c>
    </row>
    <row r="147" spans="1:24" s="85" customFormat="1" ht="75" x14ac:dyDescent="0.25">
      <c r="A147" s="116">
        <v>15</v>
      </c>
      <c r="B147" s="112" t="s">
        <v>56</v>
      </c>
      <c r="C147" s="112"/>
      <c r="D147" s="112"/>
      <c r="E147" s="112" t="s">
        <v>295</v>
      </c>
      <c r="F147" s="121" t="s">
        <v>256</v>
      </c>
      <c r="G147" s="99" t="s">
        <v>257</v>
      </c>
      <c r="H147" s="100">
        <v>5849</v>
      </c>
      <c r="I147" s="118">
        <f>IF(X147 = 68, H147 + SUM(S147:S147) - SUM(T147:T147) - SUM(P147:P147) - V147,0)</f>
        <v>0</v>
      </c>
      <c r="J147" s="101">
        <v>235002152355</v>
      </c>
      <c r="K147" s="120" t="s">
        <v>194</v>
      </c>
      <c r="L147" s="112"/>
      <c r="M147" s="98" t="s">
        <v>258</v>
      </c>
      <c r="N147" s="121" t="s">
        <v>305</v>
      </c>
      <c r="O147" s="102" t="s">
        <v>250</v>
      </c>
      <c r="P147" s="113">
        <v>5849</v>
      </c>
      <c r="Q147" s="117" t="s">
        <v>304</v>
      </c>
      <c r="R147" s="112"/>
      <c r="S147" s="113"/>
      <c r="T147" s="113"/>
      <c r="U147" s="113"/>
      <c r="V147" s="114"/>
      <c r="W147" s="115"/>
      <c r="X147" s="85">
        <v>68</v>
      </c>
    </row>
    <row r="148" spans="1:24" s="85" customFormat="1" ht="56.25" x14ac:dyDescent="0.25">
      <c r="A148" s="135">
        <v>16</v>
      </c>
      <c r="B148" s="137" t="s">
        <v>56</v>
      </c>
      <c r="C148" s="137"/>
      <c r="D148" s="137"/>
      <c r="E148" s="137" t="s">
        <v>322</v>
      </c>
      <c r="F148" s="142" t="s">
        <v>323</v>
      </c>
      <c r="G148" s="140" t="s">
        <v>327</v>
      </c>
      <c r="H148" s="136">
        <v>3000</v>
      </c>
      <c r="I148" s="141">
        <f>IF(X148 = 69, H148 + SUM(S148:S148) - SUM(T148:T148) - SUM(P148:P148) - V148,0)</f>
        <v>0</v>
      </c>
      <c r="J148" s="143">
        <v>2311187588</v>
      </c>
      <c r="K148" s="144" t="s">
        <v>324</v>
      </c>
      <c r="L148" s="137"/>
      <c r="M148" s="137" t="s">
        <v>325</v>
      </c>
      <c r="N148" s="142" t="s">
        <v>351</v>
      </c>
      <c r="O148" s="102" t="s">
        <v>326</v>
      </c>
      <c r="P148" s="136">
        <v>3000</v>
      </c>
      <c r="Q148" s="140" t="s">
        <v>350</v>
      </c>
      <c r="R148" s="137"/>
      <c r="S148" s="136"/>
      <c r="T148" s="136"/>
      <c r="U148" s="136"/>
      <c r="V148" s="145"/>
      <c r="W148" s="139"/>
      <c r="X148" s="85">
        <v>69</v>
      </c>
    </row>
    <row r="149" spans="1:24" s="85" customFormat="1" ht="58.15" customHeight="1" x14ac:dyDescent="0.25">
      <c r="A149" s="373">
        <v>17</v>
      </c>
      <c r="B149" s="382" t="s">
        <v>56</v>
      </c>
      <c r="C149" s="382"/>
      <c r="D149" s="382"/>
      <c r="E149" s="382" t="s">
        <v>277</v>
      </c>
      <c r="F149" s="376" t="s">
        <v>362</v>
      </c>
      <c r="G149" s="405" t="s">
        <v>299</v>
      </c>
      <c r="H149" s="379">
        <v>341975.03999999998</v>
      </c>
      <c r="I149" s="408">
        <f>IF(X149 = 70, H149 + SUM(S149:S158) - SUM(T149:T158) - SUM(P149:P158) - V149,0)</f>
        <v>-5.0931703299283981E-11</v>
      </c>
      <c r="J149" s="520">
        <v>2353020735</v>
      </c>
      <c r="K149" s="523" t="s">
        <v>286</v>
      </c>
      <c r="L149" s="382"/>
      <c r="M149" s="382" t="s">
        <v>363</v>
      </c>
      <c r="N149" s="194" t="s">
        <v>376</v>
      </c>
      <c r="O149" s="376" t="s">
        <v>288</v>
      </c>
      <c r="P149" s="187">
        <v>45641.53</v>
      </c>
      <c r="Q149" s="186" t="s">
        <v>384</v>
      </c>
      <c r="R149" s="185"/>
      <c r="S149" s="187"/>
      <c r="T149" s="187"/>
      <c r="U149" s="379" t="s">
        <v>522</v>
      </c>
      <c r="V149" s="526">
        <v>64023.13</v>
      </c>
      <c r="W149" s="402"/>
      <c r="X149" s="85">
        <v>70</v>
      </c>
    </row>
    <row r="150" spans="1:24" x14ac:dyDescent="0.25">
      <c r="A150" s="374"/>
      <c r="B150" s="383"/>
      <c r="C150" s="383"/>
      <c r="D150" s="383"/>
      <c r="E150" s="383"/>
      <c r="F150" s="377"/>
      <c r="G150" s="406"/>
      <c r="H150" s="380"/>
      <c r="I150" s="409"/>
      <c r="J150" s="521"/>
      <c r="K150" s="524"/>
      <c r="L150" s="383"/>
      <c r="M150" s="383"/>
      <c r="N150" s="195" t="s">
        <v>376</v>
      </c>
      <c r="O150" s="377"/>
      <c r="P150" s="188">
        <v>2913.35</v>
      </c>
      <c r="Q150" s="189" t="s">
        <v>384</v>
      </c>
      <c r="R150" s="190"/>
      <c r="S150" s="188"/>
      <c r="T150" s="188"/>
      <c r="U150" s="380"/>
      <c r="V150" s="527"/>
      <c r="W150" s="403"/>
      <c r="X150" s="2">
        <v>70</v>
      </c>
    </row>
    <row r="151" spans="1:24" x14ac:dyDescent="0.25">
      <c r="A151" s="374"/>
      <c r="B151" s="383"/>
      <c r="C151" s="383"/>
      <c r="D151" s="383"/>
      <c r="E151" s="383"/>
      <c r="F151" s="377"/>
      <c r="G151" s="406"/>
      <c r="H151" s="380"/>
      <c r="I151" s="409"/>
      <c r="J151" s="521"/>
      <c r="K151" s="524"/>
      <c r="L151" s="383"/>
      <c r="M151" s="383"/>
      <c r="N151" s="195" t="s">
        <v>381</v>
      </c>
      <c r="O151" s="377"/>
      <c r="P151" s="188">
        <v>5808.11</v>
      </c>
      <c r="Q151" s="189" t="s">
        <v>457</v>
      </c>
      <c r="R151" s="190"/>
      <c r="S151" s="188"/>
      <c r="T151" s="188"/>
      <c r="U151" s="380"/>
      <c r="V151" s="527"/>
      <c r="W151" s="403"/>
      <c r="X151" s="2">
        <v>70</v>
      </c>
    </row>
    <row r="152" spans="1:24" x14ac:dyDescent="0.25">
      <c r="A152" s="374"/>
      <c r="B152" s="383"/>
      <c r="C152" s="383"/>
      <c r="D152" s="383"/>
      <c r="E152" s="383"/>
      <c r="F152" s="377"/>
      <c r="G152" s="406"/>
      <c r="H152" s="380"/>
      <c r="I152" s="409"/>
      <c r="J152" s="521"/>
      <c r="K152" s="524"/>
      <c r="L152" s="383"/>
      <c r="M152" s="383"/>
      <c r="N152" s="195" t="s">
        <v>381</v>
      </c>
      <c r="O152" s="377"/>
      <c r="P152" s="188">
        <v>90991.89</v>
      </c>
      <c r="Q152" s="189" t="s">
        <v>457</v>
      </c>
      <c r="R152" s="190"/>
      <c r="S152" s="188"/>
      <c r="T152" s="188"/>
      <c r="U152" s="380"/>
      <c r="V152" s="527"/>
      <c r="W152" s="403"/>
      <c r="X152" s="2">
        <v>70</v>
      </c>
    </row>
    <row r="153" spans="1:24" x14ac:dyDescent="0.25">
      <c r="A153" s="374"/>
      <c r="B153" s="383"/>
      <c r="C153" s="383"/>
      <c r="D153" s="383"/>
      <c r="E153" s="383"/>
      <c r="F153" s="377"/>
      <c r="G153" s="406"/>
      <c r="H153" s="380"/>
      <c r="I153" s="409"/>
      <c r="J153" s="521"/>
      <c r="K153" s="524"/>
      <c r="L153" s="383"/>
      <c r="M153" s="383"/>
      <c r="N153" s="195" t="s">
        <v>459</v>
      </c>
      <c r="O153" s="377"/>
      <c r="P153" s="188">
        <v>31311.89</v>
      </c>
      <c r="Q153" s="189" t="s">
        <v>463</v>
      </c>
      <c r="R153" s="190"/>
      <c r="S153" s="188"/>
      <c r="T153" s="188"/>
      <c r="U153" s="380"/>
      <c r="V153" s="527"/>
      <c r="W153" s="403"/>
      <c r="X153" s="2">
        <v>70</v>
      </c>
    </row>
    <row r="154" spans="1:24" x14ac:dyDescent="0.25">
      <c r="A154" s="374"/>
      <c r="B154" s="383"/>
      <c r="C154" s="383"/>
      <c r="D154" s="383"/>
      <c r="E154" s="383"/>
      <c r="F154" s="377"/>
      <c r="G154" s="406"/>
      <c r="H154" s="380"/>
      <c r="I154" s="409"/>
      <c r="J154" s="521"/>
      <c r="K154" s="524"/>
      <c r="L154" s="383"/>
      <c r="M154" s="383"/>
      <c r="N154" s="195" t="s">
        <v>459</v>
      </c>
      <c r="O154" s="377"/>
      <c r="P154" s="188">
        <v>1998.67</v>
      </c>
      <c r="Q154" s="189" t="s">
        <v>463</v>
      </c>
      <c r="R154" s="190"/>
      <c r="S154" s="188"/>
      <c r="T154" s="188"/>
      <c r="U154" s="380"/>
      <c r="V154" s="527"/>
      <c r="W154" s="403"/>
      <c r="X154" s="2">
        <v>70</v>
      </c>
    </row>
    <row r="155" spans="1:24" x14ac:dyDescent="0.25">
      <c r="A155" s="374"/>
      <c r="B155" s="383"/>
      <c r="C155" s="383"/>
      <c r="D155" s="383"/>
      <c r="E155" s="383"/>
      <c r="F155" s="377"/>
      <c r="G155" s="406"/>
      <c r="H155" s="380"/>
      <c r="I155" s="409"/>
      <c r="J155" s="521"/>
      <c r="K155" s="524"/>
      <c r="L155" s="383"/>
      <c r="M155" s="383"/>
      <c r="N155" s="195" t="s">
        <v>462</v>
      </c>
      <c r="O155" s="377"/>
      <c r="P155" s="188">
        <v>32256.639999999999</v>
      </c>
      <c r="Q155" s="189" t="s">
        <v>465</v>
      </c>
      <c r="R155" s="190"/>
      <c r="S155" s="188"/>
      <c r="T155" s="188"/>
      <c r="U155" s="380"/>
      <c r="V155" s="527"/>
      <c r="W155" s="403"/>
      <c r="X155" s="2">
        <v>70</v>
      </c>
    </row>
    <row r="156" spans="1:24" x14ac:dyDescent="0.25">
      <c r="A156" s="374"/>
      <c r="B156" s="383"/>
      <c r="C156" s="383"/>
      <c r="D156" s="383"/>
      <c r="E156" s="383"/>
      <c r="F156" s="377"/>
      <c r="G156" s="406"/>
      <c r="H156" s="380"/>
      <c r="I156" s="409"/>
      <c r="J156" s="521"/>
      <c r="K156" s="524"/>
      <c r="L156" s="383"/>
      <c r="M156" s="383"/>
      <c r="N156" s="195" t="s">
        <v>462</v>
      </c>
      <c r="O156" s="377"/>
      <c r="P156" s="188">
        <v>2058.98</v>
      </c>
      <c r="Q156" s="189" t="s">
        <v>465</v>
      </c>
      <c r="R156" s="190"/>
      <c r="S156" s="188"/>
      <c r="T156" s="188"/>
      <c r="U156" s="380"/>
      <c r="V156" s="527"/>
      <c r="W156" s="403"/>
      <c r="X156" s="2">
        <v>70</v>
      </c>
    </row>
    <row r="157" spans="1:24" x14ac:dyDescent="0.25">
      <c r="A157" s="374"/>
      <c r="B157" s="383"/>
      <c r="C157" s="383"/>
      <c r="D157" s="383"/>
      <c r="E157" s="383"/>
      <c r="F157" s="377"/>
      <c r="G157" s="406"/>
      <c r="H157" s="380"/>
      <c r="I157" s="409"/>
      <c r="J157" s="521"/>
      <c r="K157" s="524"/>
      <c r="L157" s="383"/>
      <c r="M157" s="383"/>
      <c r="N157" s="195" t="s">
        <v>467</v>
      </c>
      <c r="O157" s="377"/>
      <c r="P157" s="188">
        <v>61072.52</v>
      </c>
      <c r="Q157" s="189" t="s">
        <v>470</v>
      </c>
      <c r="R157" s="190"/>
      <c r="S157" s="188"/>
      <c r="T157" s="188"/>
      <c r="U157" s="380"/>
      <c r="V157" s="527"/>
      <c r="W157" s="403"/>
      <c r="X157" s="2">
        <v>70</v>
      </c>
    </row>
    <row r="158" spans="1:24" x14ac:dyDescent="0.25">
      <c r="A158" s="375"/>
      <c r="B158" s="384"/>
      <c r="C158" s="384"/>
      <c r="D158" s="384"/>
      <c r="E158" s="384"/>
      <c r="F158" s="378"/>
      <c r="G158" s="407"/>
      <c r="H158" s="381"/>
      <c r="I158" s="410"/>
      <c r="J158" s="522"/>
      <c r="K158" s="525"/>
      <c r="L158" s="384"/>
      <c r="M158" s="384"/>
      <c r="N158" s="196" t="s">
        <v>467</v>
      </c>
      <c r="O158" s="378"/>
      <c r="P158" s="191">
        <v>3898.33</v>
      </c>
      <c r="Q158" s="192" t="s">
        <v>470</v>
      </c>
      <c r="R158" s="193"/>
      <c r="S158" s="191"/>
      <c r="T158" s="191"/>
      <c r="U158" s="381"/>
      <c r="V158" s="528"/>
      <c r="W158" s="404"/>
      <c r="X158" s="2">
        <v>70</v>
      </c>
    </row>
    <row r="159" spans="1:24" s="85" customFormat="1" ht="60.6" customHeight="1" x14ac:dyDescent="0.25">
      <c r="A159" s="373">
        <v>18</v>
      </c>
      <c r="B159" s="382" t="s">
        <v>56</v>
      </c>
      <c r="C159" s="382"/>
      <c r="D159" s="382"/>
      <c r="E159" s="382" t="s">
        <v>297</v>
      </c>
      <c r="F159" s="376" t="s">
        <v>362</v>
      </c>
      <c r="G159" s="405" t="s">
        <v>301</v>
      </c>
      <c r="H159" s="379">
        <v>110400</v>
      </c>
      <c r="I159" s="408">
        <f>IF(X159 = 71, H159 + SUM(S159:S163) - SUM(T159:T163) - SUM(P159:P163) - V159,0)</f>
        <v>0</v>
      </c>
      <c r="J159" s="520">
        <v>2353020735</v>
      </c>
      <c r="K159" s="523" t="s">
        <v>286</v>
      </c>
      <c r="L159" s="382"/>
      <c r="M159" s="382" t="s">
        <v>363</v>
      </c>
      <c r="N159" s="194" t="s">
        <v>376</v>
      </c>
      <c r="O159" s="376" t="s">
        <v>288</v>
      </c>
      <c r="P159" s="187">
        <v>15675</v>
      </c>
      <c r="Q159" s="186" t="s">
        <v>384</v>
      </c>
      <c r="R159" s="185"/>
      <c r="S159" s="187"/>
      <c r="T159" s="187"/>
      <c r="U159" s="379" t="s">
        <v>522</v>
      </c>
      <c r="V159" s="526">
        <v>17350</v>
      </c>
      <c r="W159" s="402"/>
      <c r="X159" s="85">
        <v>71</v>
      </c>
    </row>
    <row r="160" spans="1:24" x14ac:dyDescent="0.25">
      <c r="A160" s="374"/>
      <c r="B160" s="383"/>
      <c r="C160" s="383"/>
      <c r="D160" s="383"/>
      <c r="E160" s="383"/>
      <c r="F160" s="377"/>
      <c r="G160" s="406"/>
      <c r="H160" s="380"/>
      <c r="I160" s="409"/>
      <c r="J160" s="521"/>
      <c r="K160" s="524"/>
      <c r="L160" s="383"/>
      <c r="M160" s="383"/>
      <c r="N160" s="195" t="s">
        <v>381</v>
      </c>
      <c r="O160" s="377"/>
      <c r="P160" s="188">
        <v>31250</v>
      </c>
      <c r="Q160" s="189" t="s">
        <v>457</v>
      </c>
      <c r="R160" s="190"/>
      <c r="S160" s="188"/>
      <c r="T160" s="188"/>
      <c r="U160" s="380"/>
      <c r="V160" s="527"/>
      <c r="W160" s="403"/>
      <c r="X160" s="2">
        <v>71</v>
      </c>
    </row>
    <row r="161" spans="1:24" x14ac:dyDescent="0.25">
      <c r="A161" s="374"/>
      <c r="B161" s="383"/>
      <c r="C161" s="383"/>
      <c r="D161" s="383"/>
      <c r="E161" s="383"/>
      <c r="F161" s="377"/>
      <c r="G161" s="406"/>
      <c r="H161" s="380"/>
      <c r="I161" s="409"/>
      <c r="J161" s="521"/>
      <c r="K161" s="524"/>
      <c r="L161" s="383"/>
      <c r="M161" s="383"/>
      <c r="N161" s="195" t="s">
        <v>459</v>
      </c>
      <c r="O161" s="377"/>
      <c r="P161" s="188">
        <v>11600</v>
      </c>
      <c r="Q161" s="189" t="s">
        <v>464</v>
      </c>
      <c r="R161" s="190"/>
      <c r="S161" s="188"/>
      <c r="T161" s="188"/>
      <c r="U161" s="380"/>
      <c r="V161" s="527"/>
      <c r="W161" s="403"/>
      <c r="X161" s="2">
        <v>71</v>
      </c>
    </row>
    <row r="162" spans="1:24" x14ac:dyDescent="0.25">
      <c r="A162" s="374"/>
      <c r="B162" s="383"/>
      <c r="C162" s="383"/>
      <c r="D162" s="383"/>
      <c r="E162" s="383"/>
      <c r="F162" s="377"/>
      <c r="G162" s="406"/>
      <c r="H162" s="380"/>
      <c r="I162" s="409"/>
      <c r="J162" s="521"/>
      <c r="K162" s="524"/>
      <c r="L162" s="383"/>
      <c r="M162" s="383"/>
      <c r="N162" s="195" t="s">
        <v>462</v>
      </c>
      <c r="O162" s="377"/>
      <c r="P162" s="188">
        <v>11950</v>
      </c>
      <c r="Q162" s="189" t="s">
        <v>465</v>
      </c>
      <c r="R162" s="190"/>
      <c r="S162" s="188"/>
      <c r="T162" s="188"/>
      <c r="U162" s="380"/>
      <c r="V162" s="527"/>
      <c r="W162" s="403"/>
      <c r="X162" s="2">
        <v>71</v>
      </c>
    </row>
    <row r="163" spans="1:24" x14ac:dyDescent="0.25">
      <c r="A163" s="375"/>
      <c r="B163" s="384"/>
      <c r="C163" s="384"/>
      <c r="D163" s="384"/>
      <c r="E163" s="384"/>
      <c r="F163" s="378"/>
      <c r="G163" s="407"/>
      <c r="H163" s="381"/>
      <c r="I163" s="410"/>
      <c r="J163" s="522"/>
      <c r="K163" s="525"/>
      <c r="L163" s="384"/>
      <c r="M163" s="384"/>
      <c r="N163" s="196" t="s">
        <v>467</v>
      </c>
      <c r="O163" s="378"/>
      <c r="P163" s="191">
        <v>22575</v>
      </c>
      <c r="Q163" s="192" t="s">
        <v>470</v>
      </c>
      <c r="R163" s="193"/>
      <c r="S163" s="191"/>
      <c r="T163" s="191"/>
      <c r="U163" s="381"/>
      <c r="V163" s="528"/>
      <c r="W163" s="404"/>
      <c r="X163" s="2">
        <v>71</v>
      </c>
    </row>
    <row r="164" spans="1:24" s="85" customFormat="1" ht="75" x14ac:dyDescent="0.25">
      <c r="A164" s="175">
        <v>19</v>
      </c>
      <c r="B164" s="176" t="s">
        <v>56</v>
      </c>
      <c r="C164" s="176"/>
      <c r="D164" s="176"/>
      <c r="E164" s="176" t="s">
        <v>399</v>
      </c>
      <c r="F164" s="181" t="s">
        <v>400</v>
      </c>
      <c r="G164" s="177" t="s">
        <v>401</v>
      </c>
      <c r="H164" s="178">
        <v>15000</v>
      </c>
      <c r="I164" s="179">
        <f>IF(X164 = 72, H164 + SUM(S164:S164) - SUM(T164:T164) - SUM(P164:P164) - V164,0)</f>
        <v>0</v>
      </c>
      <c r="J164" s="182">
        <v>235002152355</v>
      </c>
      <c r="K164" s="120" t="s">
        <v>194</v>
      </c>
      <c r="L164" s="176"/>
      <c r="M164" s="98" t="s">
        <v>402</v>
      </c>
      <c r="N164" s="181" t="s">
        <v>463</v>
      </c>
      <c r="O164" s="102" t="s">
        <v>250</v>
      </c>
      <c r="P164" s="178">
        <v>15000</v>
      </c>
      <c r="Q164" s="177" t="s">
        <v>464</v>
      </c>
      <c r="R164" s="176"/>
      <c r="S164" s="178"/>
      <c r="T164" s="178"/>
      <c r="U164" s="178"/>
      <c r="V164" s="183"/>
      <c r="W164" s="174"/>
      <c r="X164" s="85">
        <v>72</v>
      </c>
    </row>
    <row r="165" spans="1:24" s="85" customFormat="1" ht="112.5" x14ac:dyDescent="0.25">
      <c r="A165" s="175">
        <v>20</v>
      </c>
      <c r="B165" s="176" t="s">
        <v>56</v>
      </c>
      <c r="C165" s="176"/>
      <c r="D165" s="176"/>
      <c r="E165" s="176" t="s">
        <v>403</v>
      </c>
      <c r="F165" s="181" t="s">
        <v>404</v>
      </c>
      <c r="G165" s="177" t="s">
        <v>405</v>
      </c>
      <c r="H165" s="178">
        <v>30730</v>
      </c>
      <c r="I165" s="179">
        <f>IF(X165 = 73, H165 + SUM(S165:S165) - SUM(T165:T165) - SUM(P165:P165) - V165,0)</f>
        <v>0</v>
      </c>
      <c r="J165" s="182">
        <v>2636040789</v>
      </c>
      <c r="K165" s="184" t="s">
        <v>406</v>
      </c>
      <c r="L165" s="176"/>
      <c r="M165" s="176" t="s">
        <v>407</v>
      </c>
      <c r="N165" s="181" t="s">
        <v>467</v>
      </c>
      <c r="O165" s="102" t="s">
        <v>408</v>
      </c>
      <c r="P165" s="178">
        <v>30730</v>
      </c>
      <c r="Q165" s="177" t="s">
        <v>466</v>
      </c>
      <c r="R165" s="176"/>
      <c r="S165" s="178"/>
      <c r="T165" s="178"/>
      <c r="U165" s="178"/>
      <c r="V165" s="183"/>
      <c r="W165" s="174"/>
      <c r="X165" s="85">
        <v>73</v>
      </c>
    </row>
    <row r="166" spans="1:24" s="85" customFormat="1" ht="93.75" x14ac:dyDescent="0.25">
      <c r="A166" s="175">
        <v>21</v>
      </c>
      <c r="B166" s="176" t="s">
        <v>56</v>
      </c>
      <c r="C166" s="176"/>
      <c r="D166" s="176"/>
      <c r="E166" s="176" t="s">
        <v>423</v>
      </c>
      <c r="F166" s="181" t="s">
        <v>424</v>
      </c>
      <c r="G166" s="177" t="s">
        <v>425</v>
      </c>
      <c r="H166" s="178">
        <v>237856.35</v>
      </c>
      <c r="I166" s="179">
        <f>IF(X166 = 74, H166 + SUM(S166:S166) - SUM(T166:T166) - SUM(P166:P166) - V166,0)</f>
        <v>0</v>
      </c>
      <c r="J166" s="182">
        <v>7116151604</v>
      </c>
      <c r="K166" s="184" t="s">
        <v>426</v>
      </c>
      <c r="L166" s="176"/>
      <c r="M166" s="176" t="s">
        <v>427</v>
      </c>
      <c r="N166" s="181" t="s">
        <v>559</v>
      </c>
      <c r="O166" s="102" t="s">
        <v>428</v>
      </c>
      <c r="P166" s="178">
        <v>237856.35</v>
      </c>
      <c r="Q166" s="177" t="s">
        <v>560</v>
      </c>
      <c r="R166" s="176"/>
      <c r="S166" s="178"/>
      <c r="T166" s="178"/>
      <c r="U166" s="178"/>
      <c r="V166" s="183"/>
      <c r="W166" s="174"/>
      <c r="X166" s="85">
        <v>74</v>
      </c>
    </row>
    <row r="167" spans="1:24" s="85" customFormat="1" ht="75" x14ac:dyDescent="0.25">
      <c r="A167" s="175">
        <v>22</v>
      </c>
      <c r="B167" s="176" t="s">
        <v>56</v>
      </c>
      <c r="C167" s="176"/>
      <c r="D167" s="176"/>
      <c r="E167" s="176" t="s">
        <v>435</v>
      </c>
      <c r="F167" s="181" t="s">
        <v>436</v>
      </c>
      <c r="G167" s="177" t="s">
        <v>437</v>
      </c>
      <c r="H167" s="178">
        <v>15400</v>
      </c>
      <c r="I167" s="179">
        <f>IF(X167 = 75, H167 + SUM(S167:S167) - SUM(T167:T167) - SUM(P167:P167) - V167,0)</f>
        <v>0</v>
      </c>
      <c r="J167" s="182">
        <v>235002152355</v>
      </c>
      <c r="K167" s="184" t="s">
        <v>194</v>
      </c>
      <c r="L167" s="176"/>
      <c r="M167" s="176" t="s">
        <v>438</v>
      </c>
      <c r="N167" s="181" t="s">
        <v>467</v>
      </c>
      <c r="O167" s="102" t="s">
        <v>250</v>
      </c>
      <c r="P167" s="178">
        <v>15400</v>
      </c>
      <c r="Q167" s="177" t="s">
        <v>469</v>
      </c>
      <c r="R167" s="176"/>
      <c r="S167" s="178"/>
      <c r="T167" s="178"/>
      <c r="U167" s="178"/>
      <c r="V167" s="183"/>
      <c r="W167" s="174"/>
      <c r="X167" s="85">
        <v>75</v>
      </c>
    </row>
    <row r="168" spans="1:24" s="85" customFormat="1" ht="54.6" customHeight="1" x14ac:dyDescent="0.25">
      <c r="A168" s="175">
        <v>23</v>
      </c>
      <c r="B168" s="176" t="s">
        <v>56</v>
      </c>
      <c r="C168" s="176"/>
      <c r="D168" s="176"/>
      <c r="E168" s="176" t="s">
        <v>439</v>
      </c>
      <c r="F168" s="181" t="s">
        <v>440</v>
      </c>
      <c r="G168" s="177" t="s">
        <v>227</v>
      </c>
      <c r="H168" s="178">
        <v>7000</v>
      </c>
      <c r="I168" s="179">
        <f>IF(X168 = 76, H168 + SUM(S168:S168) - SUM(T168:T168) - SUM(P168:P168) - V168,0)</f>
        <v>0</v>
      </c>
      <c r="J168" s="182">
        <v>2353018870</v>
      </c>
      <c r="K168" s="184" t="s">
        <v>160</v>
      </c>
      <c r="L168" s="176"/>
      <c r="M168" s="176" t="s">
        <v>441</v>
      </c>
      <c r="N168" s="181" t="s">
        <v>506</v>
      </c>
      <c r="O168" s="181" t="s">
        <v>234</v>
      </c>
      <c r="P168" s="178">
        <v>7000</v>
      </c>
      <c r="Q168" s="177" t="s">
        <v>505</v>
      </c>
      <c r="R168" s="176"/>
      <c r="S168" s="178"/>
      <c r="T168" s="178"/>
      <c r="U168" s="178"/>
      <c r="V168" s="183"/>
      <c r="W168" s="174"/>
      <c r="X168" s="85">
        <v>76</v>
      </c>
    </row>
    <row r="169" spans="1:24" s="85" customFormat="1" ht="74.45" customHeight="1" x14ac:dyDescent="0.25">
      <c r="A169" s="175">
        <v>24</v>
      </c>
      <c r="B169" s="176" t="s">
        <v>56</v>
      </c>
      <c r="C169" s="176"/>
      <c r="D169" s="176"/>
      <c r="E169" s="176" t="s">
        <v>442</v>
      </c>
      <c r="F169" s="181" t="s">
        <v>416</v>
      </c>
      <c r="G169" s="177" t="s">
        <v>443</v>
      </c>
      <c r="H169" s="178">
        <v>75337.5</v>
      </c>
      <c r="I169" s="179">
        <f>IF(X169 = 77, H169 + SUM(S169:S169) - SUM(T169:T169) - SUM(P169:P169) - V169,0)</f>
        <v>0</v>
      </c>
      <c r="J169" s="182">
        <v>2353020735</v>
      </c>
      <c r="K169" s="184" t="s">
        <v>286</v>
      </c>
      <c r="L169" s="176"/>
      <c r="M169" s="176" t="s">
        <v>444</v>
      </c>
      <c r="N169" s="181" t="s">
        <v>513</v>
      </c>
      <c r="O169" s="153" t="s">
        <v>288</v>
      </c>
      <c r="P169" s="178">
        <v>64575</v>
      </c>
      <c r="Q169" s="177" t="s">
        <v>514</v>
      </c>
      <c r="R169" s="176"/>
      <c r="S169" s="178"/>
      <c r="T169" s="178"/>
      <c r="U169" s="178" t="s">
        <v>523</v>
      </c>
      <c r="V169" s="183">
        <v>10762.5</v>
      </c>
      <c r="W169" s="174"/>
      <c r="X169" s="85">
        <v>77</v>
      </c>
    </row>
    <row r="170" spans="1:24" s="85" customFormat="1" ht="67.150000000000006" customHeight="1" x14ac:dyDescent="0.25">
      <c r="A170" s="412">
        <v>25</v>
      </c>
      <c r="B170" s="370" t="s">
        <v>56</v>
      </c>
      <c r="C170" s="370"/>
      <c r="D170" s="370"/>
      <c r="E170" s="370" t="s">
        <v>445</v>
      </c>
      <c r="F170" s="391" t="s">
        <v>446</v>
      </c>
      <c r="G170" s="388" t="s">
        <v>447</v>
      </c>
      <c r="H170" s="394">
        <v>26910</v>
      </c>
      <c r="I170" s="397">
        <f>IF(X170 = 78, H170 + SUM(S170:S171) - SUM(T170:T171) - SUM(P170:P171) - V170,0)</f>
        <v>0</v>
      </c>
      <c r="J170" s="495">
        <v>2353020735</v>
      </c>
      <c r="K170" s="497" t="s">
        <v>286</v>
      </c>
      <c r="L170" s="370"/>
      <c r="M170" s="370" t="s">
        <v>444</v>
      </c>
      <c r="N170" s="223" t="s">
        <v>513</v>
      </c>
      <c r="O170" s="391" t="s">
        <v>288</v>
      </c>
      <c r="P170" s="219">
        <v>16146</v>
      </c>
      <c r="Q170" s="218" t="s">
        <v>514</v>
      </c>
      <c r="R170" s="217"/>
      <c r="S170" s="219"/>
      <c r="T170" s="219"/>
      <c r="U170" s="394"/>
      <c r="V170" s="499"/>
      <c r="W170" s="400"/>
      <c r="X170" s="85">
        <v>78</v>
      </c>
    </row>
    <row r="171" spans="1:24" x14ac:dyDescent="0.25">
      <c r="A171" s="414"/>
      <c r="B171" s="372"/>
      <c r="C171" s="372"/>
      <c r="D171" s="372"/>
      <c r="E171" s="372"/>
      <c r="F171" s="393"/>
      <c r="G171" s="390"/>
      <c r="H171" s="396"/>
      <c r="I171" s="399"/>
      <c r="J171" s="496"/>
      <c r="K171" s="498"/>
      <c r="L171" s="372"/>
      <c r="M171" s="372"/>
      <c r="N171" s="224" t="s">
        <v>513</v>
      </c>
      <c r="O171" s="393"/>
      <c r="P171" s="220">
        <v>10764</v>
      </c>
      <c r="Q171" s="221" t="s">
        <v>514</v>
      </c>
      <c r="R171" s="222"/>
      <c r="S171" s="220"/>
      <c r="T171" s="220"/>
      <c r="U171" s="396"/>
      <c r="V171" s="500"/>
      <c r="W171" s="401"/>
      <c r="X171" s="2">
        <v>78</v>
      </c>
    </row>
    <row r="172" spans="1:24" s="85" customFormat="1" ht="56.25" x14ac:dyDescent="0.25">
      <c r="A172" s="207">
        <v>26</v>
      </c>
      <c r="B172" s="208" t="s">
        <v>56</v>
      </c>
      <c r="C172" s="208"/>
      <c r="D172" s="208"/>
      <c r="E172" s="208" t="s">
        <v>489</v>
      </c>
      <c r="F172" s="213" t="s">
        <v>490</v>
      </c>
      <c r="G172" s="209" t="s">
        <v>491</v>
      </c>
      <c r="H172" s="210">
        <v>995</v>
      </c>
      <c r="I172" s="211">
        <f>IF(X172 = 79, H172 + SUM(S172:S172) - SUM(T172:T172) - SUM(P172:P172) - V172,0)</f>
        <v>0</v>
      </c>
      <c r="J172" s="214">
        <v>2310132554</v>
      </c>
      <c r="K172" s="215" t="s">
        <v>492</v>
      </c>
      <c r="L172" s="208"/>
      <c r="M172" s="208" t="s">
        <v>493</v>
      </c>
      <c r="N172" s="213" t="s">
        <v>571</v>
      </c>
      <c r="O172" s="153" t="s">
        <v>494</v>
      </c>
      <c r="P172" s="210">
        <v>995</v>
      </c>
      <c r="Q172" s="209" t="s">
        <v>572</v>
      </c>
      <c r="R172" s="208"/>
      <c r="S172" s="210"/>
      <c r="T172" s="210"/>
      <c r="U172" s="210"/>
      <c r="V172" s="216"/>
      <c r="W172" s="203"/>
      <c r="X172" s="85">
        <v>79</v>
      </c>
    </row>
    <row r="173" spans="1:24" s="85" customFormat="1" ht="90" customHeight="1" x14ac:dyDescent="0.25">
      <c r="A173" s="480">
        <v>27</v>
      </c>
      <c r="B173" s="437" t="s">
        <v>56</v>
      </c>
      <c r="C173" s="437"/>
      <c r="D173" s="437"/>
      <c r="E173" s="437" t="s">
        <v>502</v>
      </c>
      <c r="F173" s="434" t="s">
        <v>503</v>
      </c>
      <c r="G173" s="492" t="s">
        <v>184</v>
      </c>
      <c r="H173" s="440">
        <v>598920</v>
      </c>
      <c r="I173" s="443">
        <f>IF(X173 = 80, H173 + SUM(S173:S176) - SUM(T173:T176) - SUM(P173:P176) - V173,0)</f>
        <v>342895</v>
      </c>
      <c r="J173" s="591">
        <v>235300578903</v>
      </c>
      <c r="K173" s="594" t="s">
        <v>148</v>
      </c>
      <c r="L173" s="437"/>
      <c r="M173" s="437" t="s">
        <v>504</v>
      </c>
      <c r="N173" s="304" t="s">
        <v>562</v>
      </c>
      <c r="O173" s="434" t="s">
        <v>296</v>
      </c>
      <c r="P173" s="294">
        <v>92977.5</v>
      </c>
      <c r="Q173" s="293" t="s">
        <v>561</v>
      </c>
      <c r="R173" s="292"/>
      <c r="S173" s="294"/>
      <c r="T173" s="294"/>
      <c r="U173" s="440"/>
      <c r="V173" s="597"/>
      <c r="W173" s="486"/>
      <c r="X173" s="85">
        <v>80</v>
      </c>
    </row>
    <row r="174" spans="1:24" x14ac:dyDescent="0.25">
      <c r="A174" s="481"/>
      <c r="B174" s="438"/>
      <c r="C174" s="438"/>
      <c r="D174" s="438"/>
      <c r="E174" s="438"/>
      <c r="F174" s="435"/>
      <c r="G174" s="494"/>
      <c r="H174" s="441"/>
      <c r="I174" s="444"/>
      <c r="J174" s="592"/>
      <c r="K174" s="595"/>
      <c r="L174" s="438"/>
      <c r="M174" s="438"/>
      <c r="N174" s="306" t="s">
        <v>602</v>
      </c>
      <c r="O174" s="435"/>
      <c r="P174" s="298">
        <v>13447.5</v>
      </c>
      <c r="Q174" s="299" t="s">
        <v>613</v>
      </c>
      <c r="R174" s="300"/>
      <c r="S174" s="298"/>
      <c r="T174" s="298"/>
      <c r="U174" s="441"/>
      <c r="V174" s="598"/>
      <c r="W174" s="487"/>
      <c r="X174" s="2">
        <v>80</v>
      </c>
    </row>
    <row r="175" spans="1:24" x14ac:dyDescent="0.25">
      <c r="A175" s="481"/>
      <c r="B175" s="438"/>
      <c r="C175" s="438"/>
      <c r="D175" s="438"/>
      <c r="E175" s="438"/>
      <c r="F175" s="435"/>
      <c r="G175" s="494"/>
      <c r="H175" s="441"/>
      <c r="I175" s="444"/>
      <c r="J175" s="592"/>
      <c r="K175" s="595"/>
      <c r="L175" s="438"/>
      <c r="M175" s="438"/>
      <c r="N175" s="306" t="s">
        <v>606</v>
      </c>
      <c r="O175" s="435"/>
      <c r="P175" s="298">
        <v>10725</v>
      </c>
      <c r="Q175" s="299" t="s">
        <v>649</v>
      </c>
      <c r="R175" s="300"/>
      <c r="S175" s="298"/>
      <c r="T175" s="298"/>
      <c r="U175" s="441"/>
      <c r="V175" s="598"/>
      <c r="W175" s="487"/>
      <c r="X175" s="2">
        <v>80</v>
      </c>
    </row>
    <row r="176" spans="1:24" x14ac:dyDescent="0.25">
      <c r="A176" s="482"/>
      <c r="B176" s="439"/>
      <c r="C176" s="439"/>
      <c r="D176" s="439"/>
      <c r="E176" s="439"/>
      <c r="F176" s="436"/>
      <c r="G176" s="493"/>
      <c r="H176" s="442"/>
      <c r="I176" s="445"/>
      <c r="J176" s="593"/>
      <c r="K176" s="596"/>
      <c r="L176" s="439"/>
      <c r="M176" s="439"/>
      <c r="N176" s="307" t="s">
        <v>695</v>
      </c>
      <c r="O176" s="436"/>
      <c r="P176" s="301">
        <v>138875</v>
      </c>
      <c r="Q176" s="302" t="s">
        <v>699</v>
      </c>
      <c r="R176" s="303"/>
      <c r="S176" s="301"/>
      <c r="T176" s="301"/>
      <c r="U176" s="442"/>
      <c r="V176" s="599"/>
      <c r="W176" s="488"/>
      <c r="X176" s="2">
        <v>80</v>
      </c>
    </row>
    <row r="177" spans="1:24" s="85" customFormat="1" ht="112.5" x14ac:dyDescent="0.25">
      <c r="A177" s="230">
        <v>28</v>
      </c>
      <c r="B177" s="231" t="s">
        <v>56</v>
      </c>
      <c r="C177" s="231"/>
      <c r="D177" s="231"/>
      <c r="E177" s="231" t="s">
        <v>525</v>
      </c>
      <c r="F177" s="238" t="s">
        <v>526</v>
      </c>
      <c r="G177" s="232" t="s">
        <v>405</v>
      </c>
      <c r="H177" s="233">
        <v>30600</v>
      </c>
      <c r="I177" s="234">
        <f>IF(X177 = 81, H177 + SUM(S177:S177) - SUM(T177:T177) - SUM(P177:P177) - V177,0)</f>
        <v>0</v>
      </c>
      <c r="J177" s="235">
        <v>2636040789</v>
      </c>
      <c r="K177" s="236" t="s">
        <v>406</v>
      </c>
      <c r="L177" s="231"/>
      <c r="M177" s="231" t="s">
        <v>527</v>
      </c>
      <c r="N177" s="238" t="s">
        <v>567</v>
      </c>
      <c r="O177" s="102" t="s">
        <v>408</v>
      </c>
      <c r="P177" s="233">
        <v>30600</v>
      </c>
      <c r="Q177" s="232" t="s">
        <v>568</v>
      </c>
      <c r="R177" s="231"/>
      <c r="S177" s="233"/>
      <c r="T177" s="233"/>
      <c r="U177" s="233"/>
      <c r="V177" s="237"/>
      <c r="W177" s="229"/>
      <c r="X177" s="85">
        <v>81</v>
      </c>
    </row>
    <row r="178" spans="1:24" s="85" customFormat="1" ht="75" x14ac:dyDescent="0.25">
      <c r="A178" s="230">
        <v>29</v>
      </c>
      <c r="B178" s="231" t="s">
        <v>56</v>
      </c>
      <c r="C178" s="231"/>
      <c r="D178" s="231"/>
      <c r="E178" s="231" t="s">
        <v>528</v>
      </c>
      <c r="F178" s="238" t="s">
        <v>529</v>
      </c>
      <c r="G178" s="232" t="s">
        <v>530</v>
      </c>
      <c r="H178" s="233">
        <v>80000</v>
      </c>
      <c r="I178" s="234">
        <f>IF(X178 = 82, H178 + SUM(S178:S178) - SUM(T178:T178) - SUM(P178:P178) - V178,0)</f>
        <v>0</v>
      </c>
      <c r="J178" s="235">
        <v>235002152355</v>
      </c>
      <c r="K178" s="236" t="s">
        <v>194</v>
      </c>
      <c r="L178" s="231"/>
      <c r="M178" s="231" t="s">
        <v>531</v>
      </c>
      <c r="N178" s="238" t="s">
        <v>560</v>
      </c>
      <c r="O178" s="102" t="s">
        <v>250</v>
      </c>
      <c r="P178" s="233">
        <v>80000</v>
      </c>
      <c r="Q178" s="232" t="s">
        <v>570</v>
      </c>
      <c r="R178" s="231"/>
      <c r="S178" s="233"/>
      <c r="T178" s="233"/>
      <c r="U178" s="233"/>
      <c r="V178" s="237"/>
      <c r="W178" s="229"/>
      <c r="X178" s="85">
        <v>82</v>
      </c>
    </row>
    <row r="179" spans="1:24" s="85" customFormat="1" ht="75" x14ac:dyDescent="0.25">
      <c r="A179" s="230">
        <v>30</v>
      </c>
      <c r="B179" s="231" t="s">
        <v>56</v>
      </c>
      <c r="C179" s="231"/>
      <c r="D179" s="231"/>
      <c r="E179" s="231" t="s">
        <v>555</v>
      </c>
      <c r="F179" s="238" t="s">
        <v>534</v>
      </c>
      <c r="G179" s="232" t="s">
        <v>530</v>
      </c>
      <c r="H179" s="233">
        <v>26770</v>
      </c>
      <c r="I179" s="234">
        <f>IF(X179 = 83, H179 + SUM(S179:S179) - SUM(T179:T179) - SUM(P179:P179) - V179,0)</f>
        <v>0</v>
      </c>
      <c r="J179" s="235">
        <v>235002152355</v>
      </c>
      <c r="K179" s="236" t="s">
        <v>194</v>
      </c>
      <c r="L179" s="231"/>
      <c r="M179" s="231" t="s">
        <v>556</v>
      </c>
      <c r="N179" s="238" t="s">
        <v>566</v>
      </c>
      <c r="O179" s="102" t="s">
        <v>250</v>
      </c>
      <c r="P179" s="233">
        <v>26770</v>
      </c>
      <c r="Q179" s="232" t="s">
        <v>575</v>
      </c>
      <c r="R179" s="231"/>
      <c r="S179" s="233"/>
      <c r="T179" s="233"/>
      <c r="U179" s="233"/>
      <c r="V179" s="237"/>
      <c r="W179" s="229"/>
      <c r="X179" s="85">
        <v>83</v>
      </c>
    </row>
    <row r="180" spans="1:24" s="85" customFormat="1" ht="75" x14ac:dyDescent="0.25">
      <c r="A180" s="230">
        <v>31</v>
      </c>
      <c r="B180" s="231" t="s">
        <v>56</v>
      </c>
      <c r="C180" s="231"/>
      <c r="D180" s="231"/>
      <c r="E180" s="231" t="s">
        <v>557</v>
      </c>
      <c r="F180" s="238" t="s">
        <v>534</v>
      </c>
      <c r="G180" s="232" t="s">
        <v>558</v>
      </c>
      <c r="H180" s="233">
        <v>62143.65</v>
      </c>
      <c r="I180" s="234">
        <f>IF(X180 = 84, H180 + SUM(S180:S180) - SUM(T180:T180) - SUM(P180:P180) - V180,0)</f>
        <v>0</v>
      </c>
      <c r="J180" s="235">
        <v>235002152355</v>
      </c>
      <c r="K180" s="236" t="s">
        <v>194</v>
      </c>
      <c r="L180" s="231"/>
      <c r="M180" s="231" t="s">
        <v>556</v>
      </c>
      <c r="N180" s="238" t="s">
        <v>566</v>
      </c>
      <c r="O180" s="102" t="s">
        <v>250</v>
      </c>
      <c r="P180" s="233">
        <v>62143.65</v>
      </c>
      <c r="Q180" s="232" t="s">
        <v>602</v>
      </c>
      <c r="R180" s="231"/>
      <c r="S180" s="233"/>
      <c r="T180" s="233"/>
      <c r="U180" s="233"/>
      <c r="V180" s="237"/>
      <c r="W180" s="229"/>
      <c r="X180" s="85">
        <v>84</v>
      </c>
    </row>
    <row r="181" spans="1:24" s="85" customFormat="1" ht="73.900000000000006" customHeight="1" x14ac:dyDescent="0.25">
      <c r="A181" s="480">
        <v>32</v>
      </c>
      <c r="B181" s="437" t="s">
        <v>56</v>
      </c>
      <c r="C181" s="437"/>
      <c r="D181" s="437"/>
      <c r="E181" s="437" t="s">
        <v>298</v>
      </c>
      <c r="F181" s="434" t="s">
        <v>635</v>
      </c>
      <c r="G181" s="492" t="s">
        <v>636</v>
      </c>
      <c r="H181" s="440">
        <v>79040</v>
      </c>
      <c r="I181" s="443">
        <f>IF(X181 = 85, H181 + SUM(S181:S182) - SUM(T181:T182) - SUM(P181:P182) - V181,0)</f>
        <v>70728</v>
      </c>
      <c r="J181" s="591">
        <v>2353020735</v>
      </c>
      <c r="K181" s="594" t="s">
        <v>286</v>
      </c>
      <c r="L181" s="437"/>
      <c r="M181" s="437" t="s">
        <v>637</v>
      </c>
      <c r="N181" s="304" t="s">
        <v>706</v>
      </c>
      <c r="O181" s="434" t="s">
        <v>288</v>
      </c>
      <c r="P181" s="294">
        <v>5562</v>
      </c>
      <c r="Q181" s="293" t="s">
        <v>696</v>
      </c>
      <c r="R181" s="292"/>
      <c r="S181" s="294"/>
      <c r="T181" s="294"/>
      <c r="U181" s="440"/>
      <c r="V181" s="597"/>
      <c r="W181" s="486"/>
      <c r="X181" s="85">
        <v>85</v>
      </c>
    </row>
    <row r="182" spans="1:24" x14ac:dyDescent="0.25">
      <c r="A182" s="482"/>
      <c r="B182" s="439"/>
      <c r="C182" s="439"/>
      <c r="D182" s="439"/>
      <c r="E182" s="439"/>
      <c r="F182" s="436"/>
      <c r="G182" s="493"/>
      <c r="H182" s="442"/>
      <c r="I182" s="445"/>
      <c r="J182" s="593"/>
      <c r="K182" s="596"/>
      <c r="L182" s="439"/>
      <c r="M182" s="439"/>
      <c r="N182" s="307" t="s">
        <v>706</v>
      </c>
      <c r="O182" s="436"/>
      <c r="P182" s="301">
        <v>2750</v>
      </c>
      <c r="Q182" s="302" t="s">
        <v>696</v>
      </c>
      <c r="R182" s="303"/>
      <c r="S182" s="301"/>
      <c r="T182" s="301"/>
      <c r="U182" s="442"/>
      <c r="V182" s="599"/>
      <c r="W182" s="488"/>
      <c r="X182" s="2">
        <v>85</v>
      </c>
    </row>
    <row r="183" spans="1:24" s="85" customFormat="1" ht="62.45" customHeight="1" x14ac:dyDescent="0.25">
      <c r="A183" s="480">
        <v>33</v>
      </c>
      <c r="B183" s="437" t="s">
        <v>56</v>
      </c>
      <c r="C183" s="437"/>
      <c r="D183" s="437"/>
      <c r="E183" s="437" t="s">
        <v>641</v>
      </c>
      <c r="F183" s="434" t="s">
        <v>635</v>
      </c>
      <c r="G183" s="492" t="s">
        <v>643</v>
      </c>
      <c r="H183" s="440">
        <v>44525.599999999999</v>
      </c>
      <c r="I183" s="443">
        <f>IF(X183 = 86, H183 + SUM(S183:S185) - SUM(T183:T185) - SUM(P183:P185) - V183,0)</f>
        <v>33950.769999999997</v>
      </c>
      <c r="J183" s="591">
        <v>2353020735</v>
      </c>
      <c r="K183" s="594" t="s">
        <v>286</v>
      </c>
      <c r="L183" s="437"/>
      <c r="M183" s="437" t="s">
        <v>637</v>
      </c>
      <c r="N183" s="304" t="s">
        <v>706</v>
      </c>
      <c r="O183" s="434" t="s">
        <v>288</v>
      </c>
      <c r="P183" s="294">
        <v>3201.98</v>
      </c>
      <c r="Q183" s="293" t="s">
        <v>696</v>
      </c>
      <c r="R183" s="292"/>
      <c r="S183" s="294"/>
      <c r="T183" s="294"/>
      <c r="U183" s="440"/>
      <c r="V183" s="597"/>
      <c r="W183" s="486"/>
      <c r="X183" s="85">
        <v>86</v>
      </c>
    </row>
    <row r="184" spans="1:24" x14ac:dyDescent="0.25">
      <c r="A184" s="481"/>
      <c r="B184" s="438"/>
      <c r="C184" s="438"/>
      <c r="D184" s="438"/>
      <c r="E184" s="438"/>
      <c r="F184" s="435"/>
      <c r="G184" s="494"/>
      <c r="H184" s="441"/>
      <c r="I184" s="444"/>
      <c r="J184" s="592"/>
      <c r="K184" s="595"/>
      <c r="L184" s="438"/>
      <c r="M184" s="438"/>
      <c r="N184" s="306" t="s">
        <v>706</v>
      </c>
      <c r="O184" s="435"/>
      <c r="P184" s="298">
        <v>3913.52</v>
      </c>
      <c r="Q184" s="299" t="s">
        <v>696</v>
      </c>
      <c r="R184" s="300"/>
      <c r="S184" s="298"/>
      <c r="T184" s="298"/>
      <c r="U184" s="441"/>
      <c r="V184" s="598"/>
      <c r="W184" s="487"/>
      <c r="X184" s="2">
        <v>86</v>
      </c>
    </row>
    <row r="185" spans="1:24" x14ac:dyDescent="0.25">
      <c r="A185" s="482"/>
      <c r="B185" s="439"/>
      <c r="C185" s="439"/>
      <c r="D185" s="439"/>
      <c r="E185" s="439"/>
      <c r="F185" s="436"/>
      <c r="G185" s="493"/>
      <c r="H185" s="442"/>
      <c r="I185" s="445"/>
      <c r="J185" s="593"/>
      <c r="K185" s="596"/>
      <c r="L185" s="439"/>
      <c r="M185" s="439"/>
      <c r="N185" s="307" t="s">
        <v>706</v>
      </c>
      <c r="O185" s="436"/>
      <c r="P185" s="301">
        <v>3459.33</v>
      </c>
      <c r="Q185" s="302" t="s">
        <v>696</v>
      </c>
      <c r="R185" s="303"/>
      <c r="S185" s="301"/>
      <c r="T185" s="301"/>
      <c r="U185" s="442"/>
      <c r="V185" s="599"/>
      <c r="W185" s="488"/>
      <c r="X185" s="2">
        <v>86</v>
      </c>
    </row>
    <row r="186" spans="1:24" s="85" customFormat="1" ht="65.45" customHeight="1" x14ac:dyDescent="0.25">
      <c r="A186" s="480">
        <v>34</v>
      </c>
      <c r="B186" s="437" t="s">
        <v>56</v>
      </c>
      <c r="C186" s="437"/>
      <c r="D186" s="437"/>
      <c r="E186" s="437" t="s">
        <v>282</v>
      </c>
      <c r="F186" s="434" t="s">
        <v>635</v>
      </c>
      <c r="G186" s="492" t="s">
        <v>642</v>
      </c>
      <c r="H186" s="440">
        <v>16675.2</v>
      </c>
      <c r="I186" s="443">
        <f>IF(X186 = 87, H186 + SUM(S186:S190) - SUM(T186:T190) - SUM(P186:P190) - V186,0)</f>
        <v>14799.240000000002</v>
      </c>
      <c r="J186" s="591">
        <v>2353020735</v>
      </c>
      <c r="K186" s="594" t="s">
        <v>286</v>
      </c>
      <c r="L186" s="437"/>
      <c r="M186" s="437" t="s">
        <v>637</v>
      </c>
      <c r="N186" s="304" t="s">
        <v>706</v>
      </c>
      <c r="O186" s="434" t="s">
        <v>288</v>
      </c>
      <c r="P186" s="294">
        <v>481.5</v>
      </c>
      <c r="Q186" s="293" t="s">
        <v>696</v>
      </c>
      <c r="R186" s="292"/>
      <c r="S186" s="294"/>
      <c r="T186" s="294"/>
      <c r="U186" s="440"/>
      <c r="V186" s="597"/>
      <c r="W186" s="486"/>
      <c r="X186" s="85">
        <v>87</v>
      </c>
    </row>
    <row r="187" spans="1:24" x14ac:dyDescent="0.25">
      <c r="A187" s="481"/>
      <c r="B187" s="438"/>
      <c r="C187" s="438"/>
      <c r="D187" s="438"/>
      <c r="E187" s="438"/>
      <c r="F187" s="435"/>
      <c r="G187" s="494"/>
      <c r="H187" s="441"/>
      <c r="I187" s="444"/>
      <c r="J187" s="592"/>
      <c r="K187" s="595"/>
      <c r="L187" s="438"/>
      <c r="M187" s="438"/>
      <c r="N187" s="306" t="s">
        <v>706</v>
      </c>
      <c r="O187" s="435"/>
      <c r="P187" s="298">
        <v>234.09</v>
      </c>
      <c r="Q187" s="299" t="s">
        <v>696</v>
      </c>
      <c r="R187" s="300"/>
      <c r="S187" s="298"/>
      <c r="T187" s="298"/>
      <c r="U187" s="441"/>
      <c r="V187" s="598"/>
      <c r="W187" s="487"/>
      <c r="X187" s="2">
        <v>87</v>
      </c>
    </row>
    <row r="188" spans="1:24" x14ac:dyDescent="0.25">
      <c r="A188" s="481"/>
      <c r="B188" s="438"/>
      <c r="C188" s="438"/>
      <c r="D188" s="438"/>
      <c r="E188" s="438"/>
      <c r="F188" s="435"/>
      <c r="G188" s="494"/>
      <c r="H188" s="441"/>
      <c r="I188" s="444"/>
      <c r="J188" s="592"/>
      <c r="K188" s="595"/>
      <c r="L188" s="438"/>
      <c r="M188" s="438"/>
      <c r="N188" s="306" t="s">
        <v>706</v>
      </c>
      <c r="O188" s="435"/>
      <c r="P188" s="298">
        <v>55.58</v>
      </c>
      <c r="Q188" s="299" t="s">
        <v>696</v>
      </c>
      <c r="R188" s="300"/>
      <c r="S188" s="298"/>
      <c r="T188" s="298"/>
      <c r="U188" s="441"/>
      <c r="V188" s="598"/>
      <c r="W188" s="487"/>
      <c r="X188" s="2">
        <v>87</v>
      </c>
    </row>
    <row r="189" spans="1:24" x14ac:dyDescent="0.25">
      <c r="A189" s="481"/>
      <c r="B189" s="438"/>
      <c r="C189" s="438"/>
      <c r="D189" s="438"/>
      <c r="E189" s="438"/>
      <c r="F189" s="435"/>
      <c r="G189" s="494"/>
      <c r="H189" s="441"/>
      <c r="I189" s="444"/>
      <c r="J189" s="592"/>
      <c r="K189" s="595"/>
      <c r="L189" s="438"/>
      <c r="M189" s="438"/>
      <c r="N189" s="306" t="s">
        <v>706</v>
      </c>
      <c r="O189" s="435"/>
      <c r="P189" s="298">
        <v>870.7</v>
      </c>
      <c r="Q189" s="299" t="s">
        <v>696</v>
      </c>
      <c r="R189" s="300"/>
      <c r="S189" s="298"/>
      <c r="T189" s="298"/>
      <c r="U189" s="441"/>
      <c r="V189" s="598"/>
      <c r="W189" s="487"/>
      <c r="X189" s="2">
        <v>87</v>
      </c>
    </row>
    <row r="190" spans="1:24" x14ac:dyDescent="0.25">
      <c r="A190" s="482"/>
      <c r="B190" s="439"/>
      <c r="C190" s="439"/>
      <c r="D190" s="439"/>
      <c r="E190" s="439"/>
      <c r="F190" s="436"/>
      <c r="G190" s="493"/>
      <c r="H190" s="442"/>
      <c r="I190" s="445"/>
      <c r="J190" s="593"/>
      <c r="K190" s="596"/>
      <c r="L190" s="439"/>
      <c r="M190" s="439"/>
      <c r="N190" s="307" t="s">
        <v>706</v>
      </c>
      <c r="O190" s="436"/>
      <c r="P190" s="301">
        <v>234.09</v>
      </c>
      <c r="Q190" s="302" t="s">
        <v>696</v>
      </c>
      <c r="R190" s="303"/>
      <c r="S190" s="301"/>
      <c r="T190" s="301"/>
      <c r="U190" s="442"/>
      <c r="V190" s="599"/>
      <c r="W190" s="488"/>
      <c r="X190" s="2">
        <v>87</v>
      </c>
    </row>
    <row r="191" spans="1:24" s="85" customFormat="1" ht="93.75" x14ac:dyDescent="0.25">
      <c r="A191" s="282">
        <v>35</v>
      </c>
      <c r="B191" s="283" t="s">
        <v>56</v>
      </c>
      <c r="C191" s="283"/>
      <c r="D191" s="283"/>
      <c r="E191" s="283" t="s">
        <v>277</v>
      </c>
      <c r="F191" s="288" t="s">
        <v>678</v>
      </c>
      <c r="G191" s="284" t="s">
        <v>679</v>
      </c>
      <c r="H191" s="285">
        <v>13300</v>
      </c>
      <c r="I191" s="286">
        <f>IF(X191 = 88, H191 + SUM(S191:S191) - SUM(T191:T191) - SUM(P191:P191) - V191,0)</f>
        <v>13300</v>
      </c>
      <c r="J191" s="289">
        <v>235302352147</v>
      </c>
      <c r="K191" s="290" t="s">
        <v>680</v>
      </c>
      <c r="L191" s="283"/>
      <c r="M191" s="283" t="s">
        <v>681</v>
      </c>
      <c r="N191" s="288"/>
      <c r="O191" s="288" t="s">
        <v>682</v>
      </c>
      <c r="P191" s="285"/>
      <c r="Q191" s="284"/>
      <c r="R191" s="283"/>
      <c r="S191" s="285"/>
      <c r="T191" s="285"/>
      <c r="U191" s="285"/>
      <c r="V191" s="291"/>
      <c r="W191" s="281"/>
      <c r="X191" s="85">
        <v>88</v>
      </c>
    </row>
    <row r="192" spans="1:24" s="85" customFormat="1" ht="63.6" customHeight="1" x14ac:dyDescent="0.25">
      <c r="A192" s="282">
        <v>36</v>
      </c>
      <c r="B192" s="283" t="s">
        <v>56</v>
      </c>
      <c r="C192" s="283"/>
      <c r="D192" s="283"/>
      <c r="E192" s="283" t="s">
        <v>674</v>
      </c>
      <c r="F192" s="288" t="s">
        <v>675</v>
      </c>
      <c r="G192" s="284" t="s">
        <v>676</v>
      </c>
      <c r="H192" s="285">
        <v>12915</v>
      </c>
      <c r="I192" s="286">
        <f>IF(X192 = 89, H192 + SUM(S192:S192) - SUM(T192:T192) - SUM(P192:P192) - V192,0)</f>
        <v>0</v>
      </c>
      <c r="J192" s="289">
        <v>235002152355</v>
      </c>
      <c r="K192" s="290" t="s">
        <v>194</v>
      </c>
      <c r="L192" s="283"/>
      <c r="M192" s="283" t="s">
        <v>661</v>
      </c>
      <c r="N192" s="288" t="s">
        <v>701</v>
      </c>
      <c r="O192" s="288" t="s">
        <v>677</v>
      </c>
      <c r="P192" s="285">
        <v>12915</v>
      </c>
      <c r="Q192" s="284" t="s">
        <v>702</v>
      </c>
      <c r="R192" s="283"/>
      <c r="S192" s="285"/>
      <c r="T192" s="285"/>
      <c r="U192" s="285"/>
      <c r="V192" s="291"/>
      <c r="W192" s="281"/>
      <c r="X192" s="85">
        <v>89</v>
      </c>
    </row>
    <row r="193" spans="1:24" s="85" customFormat="1" ht="99.6" customHeight="1" x14ac:dyDescent="0.25">
      <c r="A193" s="282">
        <v>37</v>
      </c>
      <c r="B193" s="283" t="s">
        <v>56</v>
      </c>
      <c r="C193" s="283"/>
      <c r="D193" s="283"/>
      <c r="E193" s="283" t="s">
        <v>683</v>
      </c>
      <c r="F193" s="288" t="s">
        <v>684</v>
      </c>
      <c r="G193" s="284" t="s">
        <v>685</v>
      </c>
      <c r="H193" s="285">
        <v>15365</v>
      </c>
      <c r="I193" s="286">
        <f>IF(X193 = 90, H193 + SUM(S193:S193) - SUM(T193:T193) - SUM(P193:P193) - V193,0)</f>
        <v>15365</v>
      </c>
      <c r="J193" s="289">
        <v>2636040789</v>
      </c>
      <c r="K193" s="290" t="s">
        <v>406</v>
      </c>
      <c r="L193" s="283"/>
      <c r="M193" s="283" t="s">
        <v>686</v>
      </c>
      <c r="N193" s="288"/>
      <c r="O193" s="288" t="s">
        <v>687</v>
      </c>
      <c r="P193" s="285"/>
      <c r="Q193" s="284"/>
      <c r="R193" s="283"/>
      <c r="S193" s="285"/>
      <c r="T193" s="285"/>
      <c r="U193" s="285"/>
      <c r="V193" s="291"/>
      <c r="W193" s="281"/>
      <c r="X193" s="85">
        <v>90</v>
      </c>
    </row>
    <row r="194" spans="1:24" x14ac:dyDescent="0.25">
      <c r="X194" s="2">
        <v>91</v>
      </c>
    </row>
  </sheetData>
  <sheetProtection password="EB34" sheet="1" objects="1" scenarios="1" formatCells="0" formatColumns="0" formatRows="0"/>
  <mergeCells count="343">
    <mergeCell ref="A186:A190"/>
    <mergeCell ref="O186:O190"/>
    <mergeCell ref="U186:U190"/>
    <mergeCell ref="B186:B190"/>
    <mergeCell ref="V186:V190"/>
    <mergeCell ref="W183:W185"/>
    <mergeCell ref="W186:W190"/>
    <mergeCell ref="D186:D190"/>
    <mergeCell ref="E186:E190"/>
    <mergeCell ref="F186:F190"/>
    <mergeCell ref="G186:G190"/>
    <mergeCell ref="H186:H190"/>
    <mergeCell ref="I186:I190"/>
    <mergeCell ref="J186:J190"/>
    <mergeCell ref="K186:K190"/>
    <mergeCell ref="L186:L190"/>
    <mergeCell ref="M186:M190"/>
    <mergeCell ref="C186:C190"/>
    <mergeCell ref="D183:D185"/>
    <mergeCell ref="E183:E185"/>
    <mergeCell ref="F183:F185"/>
    <mergeCell ref="G183:G185"/>
    <mergeCell ref="H183:H185"/>
    <mergeCell ref="I183:I185"/>
    <mergeCell ref="J183:J185"/>
    <mergeCell ref="K183:K185"/>
    <mergeCell ref="C183:C185"/>
    <mergeCell ref="L183:L185"/>
    <mergeCell ref="A181:A182"/>
    <mergeCell ref="O181:O182"/>
    <mergeCell ref="U181:U182"/>
    <mergeCell ref="B181:B182"/>
    <mergeCell ref="V181:V182"/>
    <mergeCell ref="C181:C182"/>
    <mergeCell ref="W181:W182"/>
    <mergeCell ref="D181:D182"/>
    <mergeCell ref="E181:E182"/>
    <mergeCell ref="F181:F182"/>
    <mergeCell ref="G181:G182"/>
    <mergeCell ref="H181:H182"/>
    <mergeCell ref="I181:I182"/>
    <mergeCell ref="J181:J182"/>
    <mergeCell ref="K181:K182"/>
    <mergeCell ref="L181:L182"/>
    <mergeCell ref="M181:M182"/>
    <mergeCell ref="M183:M185"/>
    <mergeCell ref="A183:A185"/>
    <mergeCell ref="O183:O185"/>
    <mergeCell ref="U183:U185"/>
    <mergeCell ref="B183:B185"/>
    <mergeCell ref="V183:V185"/>
    <mergeCell ref="A77:A85"/>
    <mergeCell ref="O77:O85"/>
    <mergeCell ref="U77:U85"/>
    <mergeCell ref="B77:B85"/>
    <mergeCell ref="V77:V85"/>
    <mergeCell ref="C77:C85"/>
    <mergeCell ref="W77:W85"/>
    <mergeCell ref="D77:D85"/>
    <mergeCell ref="E77:E85"/>
    <mergeCell ref="F77:F85"/>
    <mergeCell ref="G77:G85"/>
    <mergeCell ref="H77:H85"/>
    <mergeCell ref="I77:I85"/>
    <mergeCell ref="J77:J85"/>
    <mergeCell ref="K77:K85"/>
    <mergeCell ref="L77:L85"/>
    <mergeCell ref="M77:M85"/>
    <mergeCell ref="B40:B48"/>
    <mergeCell ref="V40:V48"/>
    <mergeCell ref="C40:C48"/>
    <mergeCell ref="D40:D48"/>
    <mergeCell ref="E40:E48"/>
    <mergeCell ref="F40:F48"/>
    <mergeCell ref="G40:G48"/>
    <mergeCell ref="H40:H48"/>
    <mergeCell ref="I40:I48"/>
    <mergeCell ref="J40:J48"/>
    <mergeCell ref="K40:K48"/>
    <mergeCell ref="L40:L48"/>
    <mergeCell ref="M40:M48"/>
    <mergeCell ref="A173:A176"/>
    <mergeCell ref="O173:O176"/>
    <mergeCell ref="U173:U176"/>
    <mergeCell ref="B173:B176"/>
    <mergeCell ref="V173:V176"/>
    <mergeCell ref="C173:C176"/>
    <mergeCell ref="W173:W176"/>
    <mergeCell ref="D173:D176"/>
    <mergeCell ref="E173:E176"/>
    <mergeCell ref="F173:F176"/>
    <mergeCell ref="G173:G176"/>
    <mergeCell ref="H173:H176"/>
    <mergeCell ref="I173:I176"/>
    <mergeCell ref="J173:J176"/>
    <mergeCell ref="K173:K176"/>
    <mergeCell ref="L173:L176"/>
    <mergeCell ref="M173:M176"/>
    <mergeCell ref="A89:A106"/>
    <mergeCell ref="O89:O106"/>
    <mergeCell ref="U89:U106"/>
    <mergeCell ref="B89:B106"/>
    <mergeCell ref="V89:V106"/>
    <mergeCell ref="C89:C106"/>
    <mergeCell ref="W89:W106"/>
    <mergeCell ref="A49:A76"/>
    <mergeCell ref="O49:O76"/>
    <mergeCell ref="U49:U76"/>
    <mergeCell ref="B49:B76"/>
    <mergeCell ref="V49:V76"/>
    <mergeCell ref="C49:C76"/>
    <mergeCell ref="W49:W76"/>
    <mergeCell ref="D49:D76"/>
    <mergeCell ref="E49:E76"/>
    <mergeCell ref="F49:F76"/>
    <mergeCell ref="G49:G76"/>
    <mergeCell ref="H49:H76"/>
    <mergeCell ref="I49:I76"/>
    <mergeCell ref="J49:J76"/>
    <mergeCell ref="K49:K76"/>
    <mergeCell ref="L49:L76"/>
    <mergeCell ref="M49:M76"/>
    <mergeCell ref="D89:D106"/>
    <mergeCell ref="E89:E106"/>
    <mergeCell ref="F89:F106"/>
    <mergeCell ref="G89:G106"/>
    <mergeCell ref="H89:H106"/>
    <mergeCell ref="I89:I106"/>
    <mergeCell ref="J89:J106"/>
    <mergeCell ref="K89:K106"/>
    <mergeCell ref="L89:L106"/>
    <mergeCell ref="A86:A88"/>
    <mergeCell ref="B86:B88"/>
    <mergeCell ref="C86:C88"/>
    <mergeCell ref="D86:D88"/>
    <mergeCell ref="E86:E88"/>
    <mergeCell ref="W40:W48"/>
    <mergeCell ref="A31:A39"/>
    <mergeCell ref="O31:O39"/>
    <mergeCell ref="U31:U39"/>
    <mergeCell ref="B31:B39"/>
    <mergeCell ref="V31:V39"/>
    <mergeCell ref="O86:O88"/>
    <mergeCell ref="U86:U88"/>
    <mergeCell ref="V86:V88"/>
    <mergeCell ref="W31:W39"/>
    <mergeCell ref="W86:W88"/>
    <mergeCell ref="F86:F88"/>
    <mergeCell ref="G86:G88"/>
    <mergeCell ref="H86:H88"/>
    <mergeCell ref="J86:J88"/>
    <mergeCell ref="K86:K88"/>
    <mergeCell ref="L86:L88"/>
    <mergeCell ref="M86:M88"/>
    <mergeCell ref="A40:A48"/>
    <mergeCell ref="C31:C39"/>
    <mergeCell ref="D31:D39"/>
    <mergeCell ref="E31:E39"/>
    <mergeCell ref="F31:F39"/>
    <mergeCell ref="G31:G39"/>
    <mergeCell ref="H31:H39"/>
    <mergeCell ref="I31:I39"/>
    <mergeCell ref="J31:J39"/>
    <mergeCell ref="K31:K39"/>
    <mergeCell ref="A26:A30"/>
    <mergeCell ref="O26:O30"/>
    <mergeCell ref="U26:U30"/>
    <mergeCell ref="B26:B30"/>
    <mergeCell ref="V26:V30"/>
    <mergeCell ref="C26:C30"/>
    <mergeCell ref="W26:W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A9:A22"/>
    <mergeCell ref="B9:B22"/>
    <mergeCell ref="C9:C22"/>
    <mergeCell ref="I128:I135"/>
    <mergeCell ref="J128:J135"/>
    <mergeCell ref="K128:K135"/>
    <mergeCell ref="L128:L135"/>
    <mergeCell ref="M26:M30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I86:I88"/>
    <mergeCell ref="W23:W25"/>
    <mergeCell ref="A23:A25"/>
    <mergeCell ref="O23:O25"/>
    <mergeCell ref="U23:U25"/>
    <mergeCell ref="B23:B25"/>
    <mergeCell ref="H23:H25"/>
    <mergeCell ref="I23:I25"/>
    <mergeCell ref="J23:J25"/>
    <mergeCell ref="K23:K25"/>
    <mergeCell ref="L23:L25"/>
    <mergeCell ref="M23:M25"/>
    <mergeCell ref="C23:C25"/>
    <mergeCell ref="D23:D25"/>
    <mergeCell ref="E23:E25"/>
    <mergeCell ref="F23:F25"/>
    <mergeCell ref="G23:G25"/>
    <mergeCell ref="W136:W145"/>
    <mergeCell ref="M136:M145"/>
    <mergeCell ref="E159:E163"/>
    <mergeCell ref="F159:F163"/>
    <mergeCell ref="G159:G163"/>
    <mergeCell ref="H159:H163"/>
    <mergeCell ref="S2:U2"/>
    <mergeCell ref="F2:G2"/>
    <mergeCell ref="N2:O2"/>
    <mergeCell ref="V23:V25"/>
    <mergeCell ref="O112:O127"/>
    <mergeCell ref="U112:U127"/>
    <mergeCell ref="V112:V127"/>
    <mergeCell ref="V149:V158"/>
    <mergeCell ref="L31:L39"/>
    <mergeCell ref="M31:M39"/>
    <mergeCell ref="M89:M106"/>
    <mergeCell ref="O40:O48"/>
    <mergeCell ref="U40:U48"/>
    <mergeCell ref="W149:W158"/>
    <mergeCell ref="A159:A163"/>
    <mergeCell ref="O159:O163"/>
    <mergeCell ref="U159:U163"/>
    <mergeCell ref="B159:B163"/>
    <mergeCell ref="V159:V163"/>
    <mergeCell ref="C159:C163"/>
    <mergeCell ref="W159:W163"/>
    <mergeCell ref="D149:D158"/>
    <mergeCell ref="E149:E158"/>
    <mergeCell ref="F149:F158"/>
    <mergeCell ref="G149:G158"/>
    <mergeCell ref="H149:H158"/>
    <mergeCell ref="I149:I158"/>
    <mergeCell ref="J149:J158"/>
    <mergeCell ref="K149:K158"/>
    <mergeCell ref="L149:L158"/>
    <mergeCell ref="D159:D163"/>
    <mergeCell ref="C149:C158"/>
    <mergeCell ref="O149:O158"/>
    <mergeCell ref="U149:U158"/>
    <mergeCell ref="B149:B158"/>
    <mergeCell ref="I159:I163"/>
    <mergeCell ref="M149:M158"/>
    <mergeCell ref="B128:B135"/>
    <mergeCell ref="C128:C135"/>
    <mergeCell ref="D128:D135"/>
    <mergeCell ref="E128:E135"/>
    <mergeCell ref="F128:F135"/>
    <mergeCell ref="G128:G135"/>
    <mergeCell ref="H128:H135"/>
    <mergeCell ref="M128:M135"/>
    <mergeCell ref="O128:O135"/>
    <mergeCell ref="J112:J127"/>
    <mergeCell ref="K112:K127"/>
    <mergeCell ref="L112:L127"/>
    <mergeCell ref="M112:M127"/>
    <mergeCell ref="A128:A135"/>
    <mergeCell ref="J159:J163"/>
    <mergeCell ref="K159:K163"/>
    <mergeCell ref="L159:L163"/>
    <mergeCell ref="M159:M163"/>
    <mergeCell ref="A149:A158"/>
    <mergeCell ref="A112:A127"/>
    <mergeCell ref="B112:B127"/>
    <mergeCell ref="C112:C127"/>
    <mergeCell ref="W112:W127"/>
    <mergeCell ref="W128:W135"/>
    <mergeCell ref="W107:W111"/>
    <mergeCell ref="D136:D145"/>
    <mergeCell ref="E136:E145"/>
    <mergeCell ref="F136:F145"/>
    <mergeCell ref="G136:G145"/>
    <mergeCell ref="H136:H145"/>
    <mergeCell ref="I136:I145"/>
    <mergeCell ref="J136:J145"/>
    <mergeCell ref="K136:K145"/>
    <mergeCell ref="L136:L145"/>
    <mergeCell ref="O136:O145"/>
    <mergeCell ref="U136:U145"/>
    <mergeCell ref="V136:V145"/>
    <mergeCell ref="O107:O111"/>
    <mergeCell ref="U107:U111"/>
    <mergeCell ref="V107:V111"/>
    <mergeCell ref="V128:V135"/>
    <mergeCell ref="D112:D127"/>
    <mergeCell ref="E112:E127"/>
    <mergeCell ref="F112:F127"/>
    <mergeCell ref="I112:I127"/>
    <mergeCell ref="U128:U135"/>
    <mergeCell ref="A170:A171"/>
    <mergeCell ref="O170:O171"/>
    <mergeCell ref="U170:U171"/>
    <mergeCell ref="B170:B171"/>
    <mergeCell ref="V170:V171"/>
    <mergeCell ref="C170:C171"/>
    <mergeCell ref="D107:D111"/>
    <mergeCell ref="E107:E111"/>
    <mergeCell ref="F107:F111"/>
    <mergeCell ref="G107:G111"/>
    <mergeCell ref="H107:H111"/>
    <mergeCell ref="I107:I111"/>
    <mergeCell ref="J107:J111"/>
    <mergeCell ref="K107:K111"/>
    <mergeCell ref="L107:L111"/>
    <mergeCell ref="M107:M111"/>
    <mergeCell ref="A136:A145"/>
    <mergeCell ref="B136:B145"/>
    <mergeCell ref="C136:C145"/>
    <mergeCell ref="A107:A111"/>
    <mergeCell ref="B107:B111"/>
    <mergeCell ref="C107:C111"/>
    <mergeCell ref="G112:G127"/>
    <mergeCell ref="H112:H127"/>
    <mergeCell ref="W170:W171"/>
    <mergeCell ref="D170:D171"/>
    <mergeCell ref="E170:E171"/>
    <mergeCell ref="F170:F171"/>
    <mergeCell ref="G170:G171"/>
    <mergeCell ref="H170:H171"/>
    <mergeCell ref="I170:I171"/>
    <mergeCell ref="J170:J171"/>
    <mergeCell ref="K170:K171"/>
    <mergeCell ref="L170:L171"/>
    <mergeCell ref="M170:M171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8"/>
  <sheetViews>
    <sheetView showGridLines="0" zoomScale="50" zoomScaleNormal="50" workbookViewId="0">
      <pane ySplit="8" topLeftCell="A9" activePane="bottomLeft" state="frozen"/>
      <selection pane="bottomLeft" activeCell="N18" sqref="N18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529" t="s">
        <v>24</v>
      </c>
      <c r="F2" s="530"/>
      <c r="G2" s="80">
        <f>SUM(G9:G9999)</f>
        <v>1889780.05</v>
      </c>
      <c r="L2" s="600" t="s">
        <v>137</v>
      </c>
      <c r="M2" s="601"/>
      <c r="N2" s="69">
        <f>SUM(N9:N9999)</f>
        <v>1593506.53</v>
      </c>
      <c r="P2" s="68"/>
      <c r="Q2" s="416" t="s">
        <v>45</v>
      </c>
      <c r="R2" s="417"/>
      <c r="S2" s="418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602">
        <v>1</v>
      </c>
      <c r="B9" s="605"/>
      <c r="C9" s="605"/>
      <c r="D9" s="605" t="s">
        <v>191</v>
      </c>
      <c r="E9" s="611">
        <v>44925</v>
      </c>
      <c r="F9" s="608" t="s">
        <v>192</v>
      </c>
      <c r="G9" s="614">
        <v>1097939</v>
      </c>
      <c r="H9" s="626">
        <f>IF(V9 = 4, G9 + SUM(Q9:Q13) - SUM(R9:R13) - SUM(N9:N13) - T9,0)</f>
        <v>296273.52000000014</v>
      </c>
      <c r="I9" s="629">
        <v>2312054894</v>
      </c>
      <c r="J9" s="605" t="s">
        <v>149</v>
      </c>
      <c r="K9" s="605" t="s">
        <v>223</v>
      </c>
      <c r="L9" s="204" t="s">
        <v>307</v>
      </c>
      <c r="M9" s="605" t="s">
        <v>224</v>
      </c>
      <c r="N9" s="198">
        <v>383959.73</v>
      </c>
      <c r="O9" s="204" t="s">
        <v>346</v>
      </c>
      <c r="P9" s="197"/>
      <c r="Q9" s="198"/>
      <c r="R9" s="198"/>
      <c r="S9" s="608"/>
      <c r="T9" s="614"/>
      <c r="U9" s="623"/>
      <c r="V9" s="85">
        <v>4</v>
      </c>
    </row>
    <row r="10" spans="1:22" x14ac:dyDescent="0.25">
      <c r="A10" s="603"/>
      <c r="B10" s="606"/>
      <c r="C10" s="606"/>
      <c r="D10" s="606"/>
      <c r="E10" s="612"/>
      <c r="F10" s="609"/>
      <c r="G10" s="615"/>
      <c r="H10" s="627"/>
      <c r="I10" s="630"/>
      <c r="J10" s="606"/>
      <c r="K10" s="606"/>
      <c r="L10" s="205" t="s">
        <v>345</v>
      </c>
      <c r="M10" s="606"/>
      <c r="N10" s="199">
        <v>76695.94</v>
      </c>
      <c r="O10" s="205" t="s">
        <v>354</v>
      </c>
      <c r="P10" s="200"/>
      <c r="Q10" s="199"/>
      <c r="R10" s="199"/>
      <c r="S10" s="609"/>
      <c r="T10" s="615"/>
      <c r="U10" s="624"/>
      <c r="V10" s="2">
        <v>4</v>
      </c>
    </row>
    <row r="11" spans="1:22" x14ac:dyDescent="0.25">
      <c r="A11" s="603"/>
      <c r="B11" s="606"/>
      <c r="C11" s="606"/>
      <c r="D11" s="606"/>
      <c r="E11" s="612"/>
      <c r="F11" s="609"/>
      <c r="G11" s="615"/>
      <c r="H11" s="627"/>
      <c r="I11" s="630"/>
      <c r="J11" s="606"/>
      <c r="K11" s="606"/>
      <c r="L11" s="205" t="s">
        <v>345</v>
      </c>
      <c r="M11" s="606"/>
      <c r="N11" s="199">
        <v>160000</v>
      </c>
      <c r="O11" s="205" t="s">
        <v>372</v>
      </c>
      <c r="P11" s="200"/>
      <c r="Q11" s="199"/>
      <c r="R11" s="199"/>
      <c r="S11" s="609"/>
      <c r="T11" s="615"/>
      <c r="U11" s="624"/>
      <c r="V11" s="2">
        <v>4</v>
      </c>
    </row>
    <row r="12" spans="1:22" x14ac:dyDescent="0.25">
      <c r="A12" s="603"/>
      <c r="B12" s="606"/>
      <c r="C12" s="606"/>
      <c r="D12" s="606"/>
      <c r="E12" s="612"/>
      <c r="F12" s="609"/>
      <c r="G12" s="615"/>
      <c r="H12" s="627"/>
      <c r="I12" s="630"/>
      <c r="J12" s="606"/>
      <c r="K12" s="606"/>
      <c r="L12" s="205" t="s">
        <v>371</v>
      </c>
      <c r="M12" s="606"/>
      <c r="N12" s="199">
        <v>134512.32999999999</v>
      </c>
      <c r="O12" s="205" t="s">
        <v>381</v>
      </c>
      <c r="P12" s="200"/>
      <c r="Q12" s="199"/>
      <c r="R12" s="199"/>
      <c r="S12" s="609"/>
      <c r="T12" s="615"/>
      <c r="U12" s="624"/>
      <c r="V12" s="2">
        <v>4</v>
      </c>
    </row>
    <row r="13" spans="1:22" x14ac:dyDescent="0.25">
      <c r="A13" s="604"/>
      <c r="B13" s="607"/>
      <c r="C13" s="607"/>
      <c r="D13" s="607"/>
      <c r="E13" s="613"/>
      <c r="F13" s="610"/>
      <c r="G13" s="616"/>
      <c r="H13" s="628"/>
      <c r="I13" s="631"/>
      <c r="J13" s="607"/>
      <c r="K13" s="607"/>
      <c r="L13" s="206" t="s">
        <v>460</v>
      </c>
      <c r="M13" s="607"/>
      <c r="N13" s="201">
        <v>46497.48</v>
      </c>
      <c r="O13" s="206" t="s">
        <v>464</v>
      </c>
      <c r="P13" s="202"/>
      <c r="Q13" s="201"/>
      <c r="R13" s="201"/>
      <c r="S13" s="610"/>
      <c r="T13" s="616"/>
      <c r="U13" s="625"/>
      <c r="V13" s="2">
        <v>4</v>
      </c>
    </row>
    <row r="14" spans="1:22" s="85" customFormat="1" ht="90" customHeight="1" x14ac:dyDescent="0.25">
      <c r="A14" s="617">
        <v>2</v>
      </c>
      <c r="B14" s="620"/>
      <c r="C14" s="620"/>
      <c r="D14" s="620" t="s">
        <v>485</v>
      </c>
      <c r="E14" s="641" t="s">
        <v>486</v>
      </c>
      <c r="F14" s="632" t="s">
        <v>473</v>
      </c>
      <c r="G14" s="635">
        <v>791841.05</v>
      </c>
      <c r="H14" s="644">
        <f>IF(V14 = 5, G14 + SUM(Q14:Q17) - SUM(R14:R17) - SUM(N14:N17) - T14,0)</f>
        <v>0</v>
      </c>
      <c r="I14" s="647">
        <v>7715995942</v>
      </c>
      <c r="J14" s="620" t="s">
        <v>475</v>
      </c>
      <c r="K14" s="620" t="s">
        <v>487</v>
      </c>
      <c r="L14" s="260" t="s">
        <v>609</v>
      </c>
      <c r="M14" s="620" t="s">
        <v>488</v>
      </c>
      <c r="N14" s="257">
        <v>357461.5</v>
      </c>
      <c r="O14" s="260" t="s">
        <v>604</v>
      </c>
      <c r="P14" s="256"/>
      <c r="Q14" s="257"/>
      <c r="R14" s="257"/>
      <c r="S14" s="632"/>
      <c r="T14" s="635"/>
      <c r="U14" s="638"/>
      <c r="V14" s="85">
        <v>5</v>
      </c>
    </row>
    <row r="15" spans="1:22" x14ac:dyDescent="0.25">
      <c r="A15" s="618"/>
      <c r="B15" s="621"/>
      <c r="C15" s="621"/>
      <c r="D15" s="621"/>
      <c r="E15" s="642"/>
      <c r="F15" s="633"/>
      <c r="G15" s="636"/>
      <c r="H15" s="645"/>
      <c r="I15" s="648"/>
      <c r="J15" s="621"/>
      <c r="K15" s="621"/>
      <c r="L15" s="262" t="s">
        <v>610</v>
      </c>
      <c r="M15" s="621"/>
      <c r="N15" s="263">
        <v>31204.25</v>
      </c>
      <c r="O15" s="262" t="s">
        <v>611</v>
      </c>
      <c r="P15" s="264"/>
      <c r="Q15" s="263"/>
      <c r="R15" s="263"/>
      <c r="S15" s="633"/>
      <c r="T15" s="636"/>
      <c r="U15" s="639"/>
      <c r="V15" s="2">
        <v>5</v>
      </c>
    </row>
    <row r="16" spans="1:22" x14ac:dyDescent="0.25">
      <c r="A16" s="618"/>
      <c r="B16" s="621"/>
      <c r="C16" s="621"/>
      <c r="D16" s="621"/>
      <c r="E16" s="642"/>
      <c r="F16" s="633"/>
      <c r="G16" s="636"/>
      <c r="H16" s="645"/>
      <c r="I16" s="648"/>
      <c r="J16" s="621"/>
      <c r="K16" s="621"/>
      <c r="L16" s="262" t="s">
        <v>574</v>
      </c>
      <c r="M16" s="621"/>
      <c r="N16" s="263">
        <v>268555.09999999998</v>
      </c>
      <c r="O16" s="262" t="s">
        <v>611</v>
      </c>
      <c r="P16" s="264"/>
      <c r="Q16" s="263"/>
      <c r="R16" s="263"/>
      <c r="S16" s="633"/>
      <c r="T16" s="636"/>
      <c r="U16" s="639"/>
      <c r="V16" s="2">
        <v>5</v>
      </c>
    </row>
    <row r="17" spans="1:22" x14ac:dyDescent="0.25">
      <c r="A17" s="619"/>
      <c r="B17" s="622"/>
      <c r="C17" s="622"/>
      <c r="D17" s="622"/>
      <c r="E17" s="643"/>
      <c r="F17" s="634"/>
      <c r="G17" s="637"/>
      <c r="H17" s="646"/>
      <c r="I17" s="649"/>
      <c r="J17" s="622"/>
      <c r="K17" s="622"/>
      <c r="L17" s="261" t="s">
        <v>608</v>
      </c>
      <c r="M17" s="622"/>
      <c r="N17" s="258">
        <v>134620.20000000001</v>
      </c>
      <c r="O17" s="261" t="s">
        <v>611</v>
      </c>
      <c r="P17" s="259"/>
      <c r="Q17" s="258"/>
      <c r="R17" s="258"/>
      <c r="S17" s="634"/>
      <c r="T17" s="637"/>
      <c r="U17" s="640"/>
      <c r="V17" s="2">
        <v>5</v>
      </c>
    </row>
    <row r="18" spans="1:22" ht="18" x14ac:dyDescent="0.3">
      <c r="V18" s="2">
        <v>6</v>
      </c>
    </row>
  </sheetData>
  <sheetProtection algorithmName="SHA-512" hashValue="NkTaVJwTyijcEsiVS1+M4gmzHGqC8kKFPJxT5bUgV1pB2wR+Jd8kAcLymtev22Uggpqzqrkl+YQ0eP7IrfE5tg==" saltValue="x+xJUR3FZtRU4f3g1WbXUg==" spinCount="100000" sheet="1" objects="1" scenarios="1" formatCells="0" formatColumns="0" formatRows="0"/>
  <mergeCells count="33">
    <mergeCell ref="G14:G17"/>
    <mergeCell ref="H14:H17"/>
    <mergeCell ref="I14:I17"/>
    <mergeCell ref="J14:J17"/>
    <mergeCell ref="K14:K17"/>
    <mergeCell ref="A14:A17"/>
    <mergeCell ref="M14:M17"/>
    <mergeCell ref="T9:T13"/>
    <mergeCell ref="U9:U13"/>
    <mergeCell ref="H9:H13"/>
    <mergeCell ref="I9:I13"/>
    <mergeCell ref="J9:J13"/>
    <mergeCell ref="K9:K13"/>
    <mergeCell ref="S14:S17"/>
    <mergeCell ref="B14:B17"/>
    <mergeCell ref="T14:T17"/>
    <mergeCell ref="C14:C17"/>
    <mergeCell ref="U14:U17"/>
    <mergeCell ref="D14:D17"/>
    <mergeCell ref="E14:E17"/>
    <mergeCell ref="F14:F17"/>
    <mergeCell ref="Q2:S2"/>
    <mergeCell ref="E2:F2"/>
    <mergeCell ref="L2:M2"/>
    <mergeCell ref="A9:A13"/>
    <mergeCell ref="M9:M13"/>
    <mergeCell ref="S9:S13"/>
    <mergeCell ref="B9:B13"/>
    <mergeCell ref="C9:C13"/>
    <mergeCell ref="D9:D13"/>
    <mergeCell ref="E9:E13"/>
    <mergeCell ref="F9:F13"/>
    <mergeCell ref="G9:G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529" t="s">
        <v>139</v>
      </c>
      <c r="F2" s="530"/>
      <c r="G2" s="82">
        <f>SUM(G9:G9999)</f>
        <v>0</v>
      </c>
      <c r="O2" s="529" t="s">
        <v>24</v>
      </c>
      <c r="P2" s="530"/>
      <c r="Q2" s="80">
        <f>SUM(Q9:Q9999)</f>
        <v>0</v>
      </c>
      <c r="T2" s="416" t="s">
        <v>137</v>
      </c>
      <c r="U2" s="418"/>
      <c r="V2" s="69">
        <f>SUM(V9:V9999)</f>
        <v>0</v>
      </c>
      <c r="X2" s="68"/>
      <c r="Y2" s="416" t="s">
        <v>45</v>
      </c>
      <c r="Z2" s="417"/>
      <c r="AA2" s="418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529" t="s">
        <v>139</v>
      </c>
      <c r="F2" s="530"/>
      <c r="G2" s="82">
        <f>SUM(G9:G9999)</f>
        <v>0</v>
      </c>
      <c r="H2" s="10"/>
      <c r="O2" s="529" t="s">
        <v>24</v>
      </c>
      <c r="P2" s="530"/>
      <c r="Q2" s="80">
        <f>SUM(Q9:Q9999)</f>
        <v>0</v>
      </c>
      <c r="T2" s="416" t="s">
        <v>137</v>
      </c>
      <c r="U2" s="418"/>
      <c r="V2" s="69">
        <f>SUM(V9:V9999)</f>
        <v>0</v>
      </c>
      <c r="X2" s="68"/>
      <c r="Y2" s="416" t="s">
        <v>45</v>
      </c>
      <c r="Z2" s="417"/>
      <c r="AA2" s="418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55"/>
  <sheetViews>
    <sheetView showGridLines="0" tabSelected="1" topLeftCell="I1" zoomScale="50" zoomScaleNormal="50" workbookViewId="0">
      <pane ySplit="8" topLeftCell="A9" activePane="bottomLeft" state="frozen"/>
      <selection pane="bottomLeft" activeCell="V44" sqref="V44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529" t="s">
        <v>139</v>
      </c>
      <c r="F2" s="530"/>
      <c r="G2" s="82">
        <f>SUM(G9:G9999)</f>
        <v>2451970.1799999997</v>
      </c>
      <c r="H2" s="10"/>
      <c r="O2" s="529" t="s">
        <v>24</v>
      </c>
      <c r="P2" s="530"/>
      <c r="Q2" s="80">
        <f>SUM(Q9:Q9999)</f>
        <v>2326002.34</v>
      </c>
      <c r="T2" s="416" t="s">
        <v>137</v>
      </c>
      <c r="U2" s="418"/>
      <c r="V2" s="69">
        <f>SUM(V9:V9999)</f>
        <v>1644080.4200000006</v>
      </c>
      <c r="X2" s="68"/>
      <c r="Y2" s="416" t="s">
        <v>45</v>
      </c>
      <c r="Z2" s="417"/>
      <c r="AA2" s="418"/>
      <c r="AB2" s="70">
        <f>SUM(AB9:AB9999)</f>
        <v>8112</v>
      </c>
    </row>
    <row r="4" spans="1:30" ht="39.950000000000003" customHeight="1" x14ac:dyDescent="0.3">
      <c r="P4" s="415"/>
      <c r="Q4" s="415"/>
      <c r="R4" s="415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650">
        <v>1</v>
      </c>
      <c r="B9" s="653"/>
      <c r="C9" s="653" t="s">
        <v>161</v>
      </c>
      <c r="D9" s="653"/>
      <c r="E9" s="653" t="s">
        <v>162</v>
      </c>
      <c r="F9" s="653" t="s">
        <v>163</v>
      </c>
      <c r="G9" s="656">
        <v>624240</v>
      </c>
      <c r="H9" s="662">
        <f>IF(AD9 = 1, G9 - Q9,0)</f>
        <v>66540</v>
      </c>
      <c r="I9" s="656"/>
      <c r="J9" s="656"/>
      <c r="K9" s="653"/>
      <c r="L9" s="653"/>
      <c r="M9" s="653" t="s">
        <v>167</v>
      </c>
      <c r="N9" s="665" t="s">
        <v>168</v>
      </c>
      <c r="O9" s="668">
        <v>2308080429</v>
      </c>
      <c r="P9" s="653" t="s">
        <v>169</v>
      </c>
      <c r="Q9" s="656">
        <v>557700</v>
      </c>
      <c r="R9" s="662">
        <f>IF(AD9 = 1, Q9 + SUM(Y9:Y17) - SUM(Z9:Z17) - SUM(V9:V17) - AB9,0)</f>
        <v>0</v>
      </c>
      <c r="S9" s="653" t="s">
        <v>171</v>
      </c>
      <c r="T9" s="109" t="s">
        <v>165</v>
      </c>
      <c r="U9" s="653" t="s">
        <v>170</v>
      </c>
      <c r="V9" s="104">
        <v>52728</v>
      </c>
      <c r="W9" s="109" t="s">
        <v>172</v>
      </c>
      <c r="X9" s="103"/>
      <c r="Y9" s="104"/>
      <c r="Z9" s="104"/>
      <c r="AA9" s="653" t="s">
        <v>303</v>
      </c>
      <c r="AB9" s="656">
        <v>8112</v>
      </c>
      <c r="AC9" s="659"/>
      <c r="AD9" s="85">
        <v>1</v>
      </c>
    </row>
    <row r="10" spans="1:30" x14ac:dyDescent="0.25">
      <c r="A10" s="651"/>
      <c r="B10" s="654"/>
      <c r="C10" s="654"/>
      <c r="D10" s="654"/>
      <c r="E10" s="654"/>
      <c r="F10" s="654"/>
      <c r="G10" s="657"/>
      <c r="H10" s="663"/>
      <c r="I10" s="657"/>
      <c r="J10" s="657"/>
      <c r="K10" s="654"/>
      <c r="L10" s="654"/>
      <c r="M10" s="654"/>
      <c r="N10" s="666"/>
      <c r="O10" s="669"/>
      <c r="P10" s="654"/>
      <c r="Q10" s="657"/>
      <c r="R10" s="663"/>
      <c r="S10" s="654"/>
      <c r="T10" s="110" t="s">
        <v>173</v>
      </c>
      <c r="U10" s="654"/>
      <c r="V10" s="105">
        <v>62868</v>
      </c>
      <c r="W10" s="110" t="s">
        <v>175</v>
      </c>
      <c r="X10" s="106"/>
      <c r="Y10" s="105"/>
      <c r="Z10" s="105"/>
      <c r="AA10" s="654"/>
      <c r="AB10" s="657"/>
      <c r="AC10" s="660"/>
      <c r="AD10" s="2">
        <v>1</v>
      </c>
    </row>
    <row r="11" spans="1:30" x14ac:dyDescent="0.25">
      <c r="A11" s="651"/>
      <c r="B11" s="654"/>
      <c r="C11" s="654"/>
      <c r="D11" s="654"/>
      <c r="E11" s="654"/>
      <c r="F11" s="654"/>
      <c r="G11" s="657"/>
      <c r="H11" s="663"/>
      <c r="I11" s="657"/>
      <c r="J11" s="657"/>
      <c r="K11" s="654"/>
      <c r="L11" s="654"/>
      <c r="M11" s="654"/>
      <c r="N11" s="666"/>
      <c r="O11" s="669"/>
      <c r="P11" s="654"/>
      <c r="Q11" s="657"/>
      <c r="R11" s="663"/>
      <c r="S11" s="654"/>
      <c r="T11" s="110" t="s">
        <v>178</v>
      </c>
      <c r="U11" s="654"/>
      <c r="V11" s="105">
        <v>60840</v>
      </c>
      <c r="W11" s="110" t="s">
        <v>177</v>
      </c>
      <c r="X11" s="106"/>
      <c r="Y11" s="105"/>
      <c r="Z11" s="105"/>
      <c r="AA11" s="654"/>
      <c r="AB11" s="657"/>
      <c r="AC11" s="660"/>
      <c r="AD11" s="2">
        <v>1</v>
      </c>
    </row>
    <row r="12" spans="1:30" x14ac:dyDescent="0.25">
      <c r="A12" s="651"/>
      <c r="B12" s="654"/>
      <c r="C12" s="654"/>
      <c r="D12" s="654"/>
      <c r="E12" s="654"/>
      <c r="F12" s="654"/>
      <c r="G12" s="657"/>
      <c r="H12" s="663"/>
      <c r="I12" s="657"/>
      <c r="J12" s="657"/>
      <c r="K12" s="654"/>
      <c r="L12" s="654"/>
      <c r="M12" s="654"/>
      <c r="N12" s="666"/>
      <c r="O12" s="669"/>
      <c r="P12" s="654"/>
      <c r="Q12" s="657"/>
      <c r="R12" s="663"/>
      <c r="S12" s="654"/>
      <c r="T12" s="110" t="s">
        <v>179</v>
      </c>
      <c r="U12" s="654"/>
      <c r="V12" s="105">
        <v>62868</v>
      </c>
      <c r="W12" s="110" t="s">
        <v>180</v>
      </c>
      <c r="X12" s="106"/>
      <c r="Y12" s="105"/>
      <c r="Z12" s="105"/>
      <c r="AA12" s="654"/>
      <c r="AB12" s="657"/>
      <c r="AC12" s="660"/>
      <c r="AD12" s="2">
        <v>1</v>
      </c>
    </row>
    <row r="13" spans="1:30" x14ac:dyDescent="0.25">
      <c r="A13" s="651"/>
      <c r="B13" s="654"/>
      <c r="C13" s="654"/>
      <c r="D13" s="654"/>
      <c r="E13" s="654"/>
      <c r="F13" s="654"/>
      <c r="G13" s="657"/>
      <c r="H13" s="663"/>
      <c r="I13" s="657"/>
      <c r="J13" s="657"/>
      <c r="K13" s="654"/>
      <c r="L13" s="654"/>
      <c r="M13" s="654"/>
      <c r="N13" s="666"/>
      <c r="O13" s="669"/>
      <c r="P13" s="654"/>
      <c r="Q13" s="657"/>
      <c r="R13" s="663"/>
      <c r="S13" s="654"/>
      <c r="T13" s="110" t="s">
        <v>183</v>
      </c>
      <c r="U13" s="654"/>
      <c r="V13" s="105">
        <v>62868</v>
      </c>
      <c r="W13" s="110" t="s">
        <v>182</v>
      </c>
      <c r="X13" s="106"/>
      <c r="Y13" s="105"/>
      <c r="Z13" s="105"/>
      <c r="AA13" s="654"/>
      <c r="AB13" s="657"/>
      <c r="AC13" s="660"/>
      <c r="AD13" s="2">
        <v>1</v>
      </c>
    </row>
    <row r="14" spans="1:30" x14ac:dyDescent="0.25">
      <c r="A14" s="651"/>
      <c r="B14" s="654"/>
      <c r="C14" s="654"/>
      <c r="D14" s="654"/>
      <c r="E14" s="654"/>
      <c r="F14" s="654"/>
      <c r="G14" s="657"/>
      <c r="H14" s="663"/>
      <c r="I14" s="657"/>
      <c r="J14" s="657"/>
      <c r="K14" s="654"/>
      <c r="L14" s="654"/>
      <c r="M14" s="654"/>
      <c r="N14" s="666"/>
      <c r="O14" s="669"/>
      <c r="P14" s="654"/>
      <c r="Q14" s="657"/>
      <c r="R14" s="663"/>
      <c r="S14" s="654"/>
      <c r="T14" s="110" t="s">
        <v>187</v>
      </c>
      <c r="U14" s="654"/>
      <c r="V14" s="105">
        <v>60840</v>
      </c>
      <c r="W14" s="110" t="s">
        <v>188</v>
      </c>
      <c r="X14" s="106"/>
      <c r="Y14" s="105"/>
      <c r="Z14" s="105"/>
      <c r="AA14" s="654"/>
      <c r="AB14" s="657"/>
      <c r="AC14" s="660"/>
      <c r="AD14" s="2">
        <v>1</v>
      </c>
    </row>
    <row r="15" spans="1:30" x14ac:dyDescent="0.25">
      <c r="A15" s="651"/>
      <c r="B15" s="654"/>
      <c r="C15" s="654"/>
      <c r="D15" s="654"/>
      <c r="E15" s="654"/>
      <c r="F15" s="654"/>
      <c r="G15" s="657"/>
      <c r="H15" s="663"/>
      <c r="I15" s="657"/>
      <c r="J15" s="657"/>
      <c r="K15" s="654"/>
      <c r="L15" s="654"/>
      <c r="M15" s="654"/>
      <c r="N15" s="666"/>
      <c r="O15" s="669"/>
      <c r="P15" s="654"/>
      <c r="Q15" s="657"/>
      <c r="R15" s="663"/>
      <c r="S15" s="654"/>
      <c r="T15" s="110" t="s">
        <v>196</v>
      </c>
      <c r="U15" s="654"/>
      <c r="V15" s="105">
        <v>62868</v>
      </c>
      <c r="W15" s="110" t="s">
        <v>195</v>
      </c>
      <c r="X15" s="106"/>
      <c r="Y15" s="105"/>
      <c r="Z15" s="105"/>
      <c r="AA15" s="654"/>
      <c r="AB15" s="657"/>
      <c r="AC15" s="660"/>
      <c r="AD15" s="2">
        <v>1</v>
      </c>
    </row>
    <row r="16" spans="1:30" x14ac:dyDescent="0.25">
      <c r="A16" s="651"/>
      <c r="B16" s="654"/>
      <c r="C16" s="654"/>
      <c r="D16" s="654"/>
      <c r="E16" s="654"/>
      <c r="F16" s="654"/>
      <c r="G16" s="657"/>
      <c r="H16" s="663"/>
      <c r="I16" s="657"/>
      <c r="J16" s="657"/>
      <c r="K16" s="654"/>
      <c r="L16" s="654"/>
      <c r="M16" s="654"/>
      <c r="N16" s="666"/>
      <c r="O16" s="669"/>
      <c r="P16" s="654"/>
      <c r="Q16" s="657"/>
      <c r="R16" s="663"/>
      <c r="S16" s="654"/>
      <c r="T16" s="110" t="s">
        <v>202</v>
      </c>
      <c r="U16" s="654"/>
      <c r="V16" s="105">
        <v>60840</v>
      </c>
      <c r="W16" s="110" t="s">
        <v>201</v>
      </c>
      <c r="X16" s="106"/>
      <c r="Y16" s="105"/>
      <c r="Z16" s="105"/>
      <c r="AA16" s="654"/>
      <c r="AB16" s="657"/>
      <c r="AC16" s="660"/>
      <c r="AD16" s="2">
        <v>1</v>
      </c>
    </row>
    <row r="17" spans="1:30" x14ac:dyDescent="0.25">
      <c r="A17" s="652"/>
      <c r="B17" s="655"/>
      <c r="C17" s="655"/>
      <c r="D17" s="655"/>
      <c r="E17" s="655"/>
      <c r="F17" s="655"/>
      <c r="G17" s="658"/>
      <c r="H17" s="664"/>
      <c r="I17" s="658"/>
      <c r="J17" s="658"/>
      <c r="K17" s="655"/>
      <c r="L17" s="655"/>
      <c r="M17" s="655"/>
      <c r="N17" s="667"/>
      <c r="O17" s="670"/>
      <c r="P17" s="655"/>
      <c r="Q17" s="658"/>
      <c r="R17" s="664"/>
      <c r="S17" s="655"/>
      <c r="T17" s="111" t="s">
        <v>262</v>
      </c>
      <c r="U17" s="655"/>
      <c r="V17" s="107">
        <v>62868</v>
      </c>
      <c r="W17" s="111" t="s">
        <v>261</v>
      </c>
      <c r="X17" s="108"/>
      <c r="Y17" s="107"/>
      <c r="Z17" s="107"/>
      <c r="AA17" s="655"/>
      <c r="AB17" s="658"/>
      <c r="AC17" s="661"/>
      <c r="AD17" s="2">
        <v>1</v>
      </c>
    </row>
    <row r="18" spans="1:30" s="85" customFormat="1" ht="72" customHeight="1" x14ac:dyDescent="0.25">
      <c r="A18" s="480">
        <v>2</v>
      </c>
      <c r="B18" s="437"/>
      <c r="C18" s="437" t="s">
        <v>205</v>
      </c>
      <c r="D18" s="437"/>
      <c r="E18" s="437" t="s">
        <v>206</v>
      </c>
      <c r="F18" s="437" t="s">
        <v>163</v>
      </c>
      <c r="G18" s="440">
        <v>742848</v>
      </c>
      <c r="H18" s="443">
        <f>IF(AD18 = 3, G18 - Q18,0)</f>
        <v>59427.839999999967</v>
      </c>
      <c r="I18" s="440"/>
      <c r="J18" s="440"/>
      <c r="K18" s="437"/>
      <c r="L18" s="437"/>
      <c r="M18" s="437" t="s">
        <v>206</v>
      </c>
      <c r="N18" s="434" t="s">
        <v>200</v>
      </c>
      <c r="O18" s="674">
        <v>2304067057</v>
      </c>
      <c r="P18" s="437" t="s">
        <v>207</v>
      </c>
      <c r="Q18" s="440">
        <v>683420.16000000003</v>
      </c>
      <c r="R18" s="443">
        <f>IF(AD18 = 3, Q18 + SUM(Y18:Y27) - SUM(Z18:Z27) - SUM(V18:V27) - AB18,0)</f>
        <v>0</v>
      </c>
      <c r="S18" s="437" t="s">
        <v>208</v>
      </c>
      <c r="T18" s="304" t="s">
        <v>307</v>
      </c>
      <c r="U18" s="437" t="s">
        <v>209</v>
      </c>
      <c r="V18" s="294">
        <v>72554.880000000005</v>
      </c>
      <c r="W18" s="304" t="s">
        <v>313</v>
      </c>
      <c r="X18" s="292"/>
      <c r="Y18" s="294"/>
      <c r="Z18" s="294"/>
      <c r="AA18" s="437"/>
      <c r="AB18" s="440"/>
      <c r="AC18" s="486"/>
      <c r="AD18" s="85">
        <v>3</v>
      </c>
    </row>
    <row r="19" spans="1:30" x14ac:dyDescent="0.25">
      <c r="A19" s="481"/>
      <c r="B19" s="438"/>
      <c r="C19" s="438"/>
      <c r="D19" s="438"/>
      <c r="E19" s="438"/>
      <c r="F19" s="438"/>
      <c r="G19" s="441"/>
      <c r="H19" s="444"/>
      <c r="I19" s="441"/>
      <c r="J19" s="441"/>
      <c r="K19" s="438"/>
      <c r="L19" s="438"/>
      <c r="M19" s="438"/>
      <c r="N19" s="435"/>
      <c r="O19" s="675"/>
      <c r="P19" s="438"/>
      <c r="Q19" s="441"/>
      <c r="R19" s="444"/>
      <c r="S19" s="438"/>
      <c r="T19" s="306" t="s">
        <v>346</v>
      </c>
      <c r="U19" s="438"/>
      <c r="V19" s="298">
        <v>65533.440000000002</v>
      </c>
      <c r="W19" s="306" t="s">
        <v>349</v>
      </c>
      <c r="X19" s="300"/>
      <c r="Y19" s="298"/>
      <c r="Z19" s="298"/>
      <c r="AA19" s="438"/>
      <c r="AB19" s="441"/>
      <c r="AC19" s="487"/>
      <c r="AD19" s="2">
        <v>3</v>
      </c>
    </row>
    <row r="20" spans="1:30" x14ac:dyDescent="0.25">
      <c r="A20" s="481"/>
      <c r="B20" s="438"/>
      <c r="C20" s="438"/>
      <c r="D20" s="438"/>
      <c r="E20" s="438"/>
      <c r="F20" s="438"/>
      <c r="G20" s="441"/>
      <c r="H20" s="444"/>
      <c r="I20" s="441"/>
      <c r="J20" s="441"/>
      <c r="K20" s="438"/>
      <c r="L20" s="438"/>
      <c r="M20" s="438"/>
      <c r="N20" s="435"/>
      <c r="O20" s="675"/>
      <c r="P20" s="438"/>
      <c r="Q20" s="441"/>
      <c r="R20" s="444"/>
      <c r="S20" s="438"/>
      <c r="T20" s="306" t="s">
        <v>377</v>
      </c>
      <c r="U20" s="438"/>
      <c r="V20" s="298">
        <v>72554.880000000005</v>
      </c>
      <c r="W20" s="306" t="s">
        <v>376</v>
      </c>
      <c r="X20" s="300"/>
      <c r="Y20" s="298"/>
      <c r="Z20" s="298"/>
      <c r="AA20" s="438"/>
      <c r="AB20" s="441"/>
      <c r="AC20" s="487"/>
      <c r="AD20" s="2">
        <v>3</v>
      </c>
    </row>
    <row r="21" spans="1:30" x14ac:dyDescent="0.25">
      <c r="A21" s="481"/>
      <c r="B21" s="438"/>
      <c r="C21" s="438"/>
      <c r="D21" s="438"/>
      <c r="E21" s="438"/>
      <c r="F21" s="438"/>
      <c r="G21" s="441"/>
      <c r="H21" s="444"/>
      <c r="I21" s="441"/>
      <c r="J21" s="441"/>
      <c r="K21" s="438"/>
      <c r="L21" s="438"/>
      <c r="M21" s="438"/>
      <c r="N21" s="435"/>
      <c r="O21" s="675"/>
      <c r="P21" s="438"/>
      <c r="Q21" s="441"/>
      <c r="R21" s="444"/>
      <c r="S21" s="438"/>
      <c r="T21" s="306" t="s">
        <v>455</v>
      </c>
      <c r="U21" s="438"/>
      <c r="V21" s="298">
        <v>70214.399999999994</v>
      </c>
      <c r="W21" s="306" t="s">
        <v>468</v>
      </c>
      <c r="X21" s="300"/>
      <c r="Y21" s="298"/>
      <c r="Z21" s="298"/>
      <c r="AA21" s="438"/>
      <c r="AB21" s="441"/>
      <c r="AC21" s="487"/>
      <c r="AD21" s="2">
        <v>3</v>
      </c>
    </row>
    <row r="22" spans="1:30" x14ac:dyDescent="0.25">
      <c r="A22" s="481"/>
      <c r="B22" s="438"/>
      <c r="C22" s="438"/>
      <c r="D22" s="438"/>
      <c r="E22" s="438"/>
      <c r="F22" s="438"/>
      <c r="G22" s="441"/>
      <c r="H22" s="444"/>
      <c r="I22" s="441"/>
      <c r="J22" s="441"/>
      <c r="K22" s="438"/>
      <c r="L22" s="438"/>
      <c r="M22" s="438"/>
      <c r="N22" s="435"/>
      <c r="O22" s="675"/>
      <c r="P22" s="438"/>
      <c r="Q22" s="441"/>
      <c r="R22" s="444"/>
      <c r="S22" s="438"/>
      <c r="T22" s="306" t="s">
        <v>507</v>
      </c>
      <c r="U22" s="438"/>
      <c r="V22" s="298">
        <v>72554.880000000005</v>
      </c>
      <c r="W22" s="306" t="s">
        <v>509</v>
      </c>
      <c r="X22" s="300"/>
      <c r="Y22" s="298"/>
      <c r="Z22" s="298"/>
      <c r="AA22" s="438"/>
      <c r="AB22" s="441"/>
      <c r="AC22" s="487"/>
      <c r="AD22" s="2">
        <v>3</v>
      </c>
    </row>
    <row r="23" spans="1:30" x14ac:dyDescent="0.25">
      <c r="A23" s="481"/>
      <c r="B23" s="438"/>
      <c r="C23" s="438"/>
      <c r="D23" s="438"/>
      <c r="E23" s="438"/>
      <c r="F23" s="438"/>
      <c r="G23" s="441"/>
      <c r="H23" s="444"/>
      <c r="I23" s="441"/>
      <c r="J23" s="441"/>
      <c r="K23" s="438"/>
      <c r="L23" s="438"/>
      <c r="M23" s="438"/>
      <c r="N23" s="435"/>
      <c r="O23" s="675"/>
      <c r="P23" s="438"/>
      <c r="Q23" s="441"/>
      <c r="R23" s="444"/>
      <c r="S23" s="438"/>
      <c r="T23" s="306" t="s">
        <v>559</v>
      </c>
      <c r="U23" s="438"/>
      <c r="V23" s="298">
        <v>70214.399999999994</v>
      </c>
      <c r="W23" s="306" t="s">
        <v>564</v>
      </c>
      <c r="X23" s="300"/>
      <c r="Y23" s="298"/>
      <c r="Z23" s="298"/>
      <c r="AA23" s="438"/>
      <c r="AB23" s="441"/>
      <c r="AC23" s="487"/>
      <c r="AD23" s="2">
        <v>3</v>
      </c>
    </row>
    <row r="24" spans="1:30" x14ac:dyDescent="0.25">
      <c r="A24" s="481"/>
      <c r="B24" s="438"/>
      <c r="C24" s="438"/>
      <c r="D24" s="438"/>
      <c r="E24" s="438"/>
      <c r="F24" s="438"/>
      <c r="G24" s="441"/>
      <c r="H24" s="444"/>
      <c r="I24" s="441"/>
      <c r="J24" s="441"/>
      <c r="K24" s="438"/>
      <c r="L24" s="438"/>
      <c r="M24" s="438"/>
      <c r="N24" s="435"/>
      <c r="O24" s="675"/>
      <c r="P24" s="438"/>
      <c r="Q24" s="441"/>
      <c r="R24" s="444"/>
      <c r="S24" s="438"/>
      <c r="T24" s="306" t="s">
        <v>603</v>
      </c>
      <c r="U24" s="438"/>
      <c r="V24" s="298">
        <v>72554.880000000005</v>
      </c>
      <c r="W24" s="306" t="s">
        <v>605</v>
      </c>
      <c r="X24" s="300"/>
      <c r="Y24" s="298"/>
      <c r="Z24" s="298"/>
      <c r="AA24" s="438"/>
      <c r="AB24" s="441"/>
      <c r="AC24" s="487"/>
      <c r="AD24" s="2">
        <v>3</v>
      </c>
    </row>
    <row r="25" spans="1:30" x14ac:dyDescent="0.25">
      <c r="A25" s="481"/>
      <c r="B25" s="438"/>
      <c r="C25" s="438"/>
      <c r="D25" s="438"/>
      <c r="E25" s="438"/>
      <c r="F25" s="438"/>
      <c r="G25" s="441"/>
      <c r="H25" s="444"/>
      <c r="I25" s="441"/>
      <c r="J25" s="441"/>
      <c r="K25" s="438"/>
      <c r="L25" s="438"/>
      <c r="M25" s="438"/>
      <c r="N25" s="435"/>
      <c r="O25" s="675"/>
      <c r="P25" s="438"/>
      <c r="Q25" s="441"/>
      <c r="R25" s="444"/>
      <c r="S25" s="438"/>
      <c r="T25" s="306" t="s">
        <v>647</v>
      </c>
      <c r="U25" s="438"/>
      <c r="V25" s="298">
        <v>72554.880000000005</v>
      </c>
      <c r="W25" s="306" t="s">
        <v>648</v>
      </c>
      <c r="X25" s="300"/>
      <c r="Y25" s="298"/>
      <c r="Z25" s="298"/>
      <c r="AA25" s="438"/>
      <c r="AB25" s="441"/>
      <c r="AC25" s="487"/>
      <c r="AD25" s="2">
        <v>3</v>
      </c>
    </row>
    <row r="26" spans="1:30" x14ac:dyDescent="0.25">
      <c r="A26" s="481"/>
      <c r="B26" s="438"/>
      <c r="C26" s="438"/>
      <c r="D26" s="438"/>
      <c r="E26" s="438"/>
      <c r="F26" s="438"/>
      <c r="G26" s="441"/>
      <c r="H26" s="444"/>
      <c r="I26" s="441"/>
      <c r="J26" s="441"/>
      <c r="K26" s="438"/>
      <c r="L26" s="438"/>
      <c r="M26" s="438"/>
      <c r="N26" s="435"/>
      <c r="O26" s="675"/>
      <c r="P26" s="438"/>
      <c r="Q26" s="441"/>
      <c r="R26" s="444"/>
      <c r="S26" s="438"/>
      <c r="T26" s="306" t="s">
        <v>698</v>
      </c>
      <c r="U26" s="438"/>
      <c r="V26" s="298">
        <v>70214.399999999994</v>
      </c>
      <c r="W26" s="306" t="s">
        <v>700</v>
      </c>
      <c r="X26" s="300"/>
      <c r="Y26" s="298"/>
      <c r="Z26" s="298"/>
      <c r="AA26" s="438"/>
      <c r="AB26" s="441"/>
      <c r="AC26" s="487"/>
      <c r="AD26" s="2">
        <v>3</v>
      </c>
    </row>
    <row r="27" spans="1:30" x14ac:dyDescent="0.25">
      <c r="A27" s="482"/>
      <c r="B27" s="439"/>
      <c r="C27" s="439"/>
      <c r="D27" s="439"/>
      <c r="E27" s="439"/>
      <c r="F27" s="439"/>
      <c r="G27" s="442"/>
      <c r="H27" s="445"/>
      <c r="I27" s="442"/>
      <c r="J27" s="442"/>
      <c r="K27" s="439"/>
      <c r="L27" s="439"/>
      <c r="M27" s="439"/>
      <c r="N27" s="436"/>
      <c r="O27" s="676"/>
      <c r="P27" s="439"/>
      <c r="Q27" s="442"/>
      <c r="R27" s="445"/>
      <c r="S27" s="439"/>
      <c r="T27" s="307" t="s">
        <v>701</v>
      </c>
      <c r="U27" s="439"/>
      <c r="V27" s="301">
        <v>44469.120000000003</v>
      </c>
      <c r="W27" s="307" t="s">
        <v>702</v>
      </c>
      <c r="X27" s="303"/>
      <c r="Y27" s="301"/>
      <c r="Z27" s="301"/>
      <c r="AA27" s="439"/>
      <c r="AB27" s="442"/>
      <c r="AC27" s="488"/>
      <c r="AD27" s="2">
        <v>3</v>
      </c>
    </row>
    <row r="28" spans="1:30" s="85" customFormat="1" ht="92.45" customHeight="1" x14ac:dyDescent="0.25">
      <c r="A28" s="671">
        <v>3</v>
      </c>
      <c r="B28" s="677"/>
      <c r="C28" s="677" t="s">
        <v>620</v>
      </c>
      <c r="D28" s="677"/>
      <c r="E28" s="677" t="s">
        <v>618</v>
      </c>
      <c r="F28" s="677" t="s">
        <v>619</v>
      </c>
      <c r="G28" s="680">
        <v>1084882.18</v>
      </c>
      <c r="H28" s="686">
        <f>IF(AD28 = 4, G28 - Q28,0)</f>
        <v>0</v>
      </c>
      <c r="I28" s="680"/>
      <c r="J28" s="680"/>
      <c r="K28" s="677"/>
      <c r="L28" s="677"/>
      <c r="M28" s="677" t="s">
        <v>621</v>
      </c>
      <c r="N28" s="689" t="s">
        <v>617</v>
      </c>
      <c r="O28" s="692">
        <v>2353020735</v>
      </c>
      <c r="P28" s="677" t="s">
        <v>286</v>
      </c>
      <c r="Q28" s="680">
        <v>1084882.18</v>
      </c>
      <c r="R28" s="686">
        <f>IF(AD28 = 4, Q28 + SUM(Y28:Y46) - SUM(Z28:Z46) - SUM(V28:V46) - AB28,0)</f>
        <v>673809.91999999993</v>
      </c>
      <c r="S28" s="677" t="s">
        <v>622</v>
      </c>
      <c r="T28" s="314" t="s">
        <v>653</v>
      </c>
      <c r="U28" s="677" t="s">
        <v>209</v>
      </c>
      <c r="V28" s="309">
        <v>87552.43</v>
      </c>
      <c r="W28" s="314" t="s">
        <v>656</v>
      </c>
      <c r="X28" s="308"/>
      <c r="Y28" s="309"/>
      <c r="Z28" s="309"/>
      <c r="AA28" s="677"/>
      <c r="AB28" s="680"/>
      <c r="AC28" s="683"/>
      <c r="AD28" s="85">
        <v>4</v>
      </c>
    </row>
    <row r="29" spans="1:30" x14ac:dyDescent="0.25">
      <c r="A29" s="672"/>
      <c r="B29" s="678"/>
      <c r="C29" s="678"/>
      <c r="D29" s="678"/>
      <c r="E29" s="678"/>
      <c r="F29" s="678"/>
      <c r="G29" s="681"/>
      <c r="H29" s="687"/>
      <c r="I29" s="681"/>
      <c r="J29" s="681"/>
      <c r="K29" s="678"/>
      <c r="L29" s="678"/>
      <c r="M29" s="678"/>
      <c r="N29" s="690"/>
      <c r="O29" s="693"/>
      <c r="P29" s="678"/>
      <c r="Q29" s="681"/>
      <c r="R29" s="687"/>
      <c r="S29" s="678"/>
      <c r="T29" s="315" t="s">
        <v>653</v>
      </c>
      <c r="U29" s="678"/>
      <c r="V29" s="310">
        <v>5588.57</v>
      </c>
      <c r="W29" s="315" t="s">
        <v>656</v>
      </c>
      <c r="X29" s="311"/>
      <c r="Y29" s="310"/>
      <c r="Z29" s="310"/>
      <c r="AA29" s="678"/>
      <c r="AB29" s="681"/>
      <c r="AC29" s="684"/>
      <c r="AD29" s="2">
        <v>4</v>
      </c>
    </row>
    <row r="30" spans="1:30" x14ac:dyDescent="0.25">
      <c r="A30" s="672"/>
      <c r="B30" s="678"/>
      <c r="C30" s="678"/>
      <c r="D30" s="678"/>
      <c r="E30" s="678"/>
      <c r="F30" s="678"/>
      <c r="G30" s="681"/>
      <c r="H30" s="687"/>
      <c r="I30" s="681"/>
      <c r="J30" s="681"/>
      <c r="K30" s="678"/>
      <c r="L30" s="678"/>
      <c r="M30" s="678"/>
      <c r="N30" s="690"/>
      <c r="O30" s="693"/>
      <c r="P30" s="678"/>
      <c r="Q30" s="681"/>
      <c r="R30" s="687"/>
      <c r="S30" s="678"/>
      <c r="T30" s="315" t="s">
        <v>653</v>
      </c>
      <c r="U30" s="678"/>
      <c r="V30" s="310">
        <v>30665.79</v>
      </c>
      <c r="W30" s="315" t="s">
        <v>656</v>
      </c>
      <c r="X30" s="311"/>
      <c r="Y30" s="310"/>
      <c r="Z30" s="310"/>
      <c r="AA30" s="678"/>
      <c r="AB30" s="681"/>
      <c r="AC30" s="684"/>
      <c r="AD30" s="2">
        <v>4</v>
      </c>
    </row>
    <row r="31" spans="1:30" x14ac:dyDescent="0.25">
      <c r="A31" s="672"/>
      <c r="B31" s="678"/>
      <c r="C31" s="678"/>
      <c r="D31" s="678"/>
      <c r="E31" s="678"/>
      <c r="F31" s="678"/>
      <c r="G31" s="681"/>
      <c r="H31" s="687"/>
      <c r="I31" s="681"/>
      <c r="J31" s="681"/>
      <c r="K31" s="678"/>
      <c r="L31" s="678"/>
      <c r="M31" s="678"/>
      <c r="N31" s="690"/>
      <c r="O31" s="693"/>
      <c r="P31" s="678"/>
      <c r="Q31" s="681"/>
      <c r="R31" s="687"/>
      <c r="S31" s="678"/>
      <c r="T31" s="315" t="s">
        <v>709</v>
      </c>
      <c r="U31" s="678"/>
      <c r="V31" s="310">
        <v>27310.5</v>
      </c>
      <c r="W31" s="315" t="s">
        <v>699</v>
      </c>
      <c r="X31" s="311"/>
      <c r="Y31" s="310"/>
      <c r="Z31" s="310"/>
      <c r="AA31" s="678"/>
      <c r="AB31" s="681"/>
      <c r="AC31" s="684"/>
      <c r="AD31" s="2">
        <v>4</v>
      </c>
    </row>
    <row r="32" spans="1:30" x14ac:dyDescent="0.25">
      <c r="A32" s="672"/>
      <c r="B32" s="678"/>
      <c r="C32" s="678"/>
      <c r="D32" s="678"/>
      <c r="E32" s="678"/>
      <c r="F32" s="678"/>
      <c r="G32" s="681"/>
      <c r="H32" s="687"/>
      <c r="I32" s="681"/>
      <c r="J32" s="681"/>
      <c r="K32" s="678"/>
      <c r="L32" s="678"/>
      <c r="M32" s="678"/>
      <c r="N32" s="690"/>
      <c r="O32" s="693"/>
      <c r="P32" s="678"/>
      <c r="Q32" s="681"/>
      <c r="R32" s="687"/>
      <c r="S32" s="678"/>
      <c r="T32" s="315" t="s">
        <v>709</v>
      </c>
      <c r="U32" s="678"/>
      <c r="V32" s="310">
        <v>77972.899999999994</v>
      </c>
      <c r="W32" s="315" t="s">
        <v>699</v>
      </c>
      <c r="X32" s="311"/>
      <c r="Y32" s="310"/>
      <c r="Z32" s="310"/>
      <c r="AA32" s="678"/>
      <c r="AB32" s="681"/>
      <c r="AC32" s="684"/>
      <c r="AD32" s="2">
        <v>4</v>
      </c>
    </row>
    <row r="33" spans="1:30" x14ac:dyDescent="0.25">
      <c r="A33" s="672"/>
      <c r="B33" s="678"/>
      <c r="C33" s="678"/>
      <c r="D33" s="678"/>
      <c r="E33" s="678"/>
      <c r="F33" s="678"/>
      <c r="G33" s="681"/>
      <c r="H33" s="687"/>
      <c r="I33" s="681"/>
      <c r="J33" s="681"/>
      <c r="K33" s="678"/>
      <c r="L33" s="678"/>
      <c r="M33" s="678"/>
      <c r="N33" s="690"/>
      <c r="O33" s="693"/>
      <c r="P33" s="678"/>
      <c r="Q33" s="681"/>
      <c r="R33" s="687"/>
      <c r="S33" s="678"/>
      <c r="T33" s="315" t="s">
        <v>709</v>
      </c>
      <c r="U33" s="678"/>
      <c r="V33" s="310">
        <v>4977.1000000000004</v>
      </c>
      <c r="W33" s="315" t="s">
        <v>699</v>
      </c>
      <c r="X33" s="311"/>
      <c r="Y33" s="310"/>
      <c r="Z33" s="310"/>
      <c r="AA33" s="678"/>
      <c r="AB33" s="681"/>
      <c r="AC33" s="684"/>
      <c r="AD33" s="2">
        <v>4</v>
      </c>
    </row>
    <row r="34" spans="1:30" x14ac:dyDescent="0.25">
      <c r="A34" s="672"/>
      <c r="B34" s="678"/>
      <c r="C34" s="678"/>
      <c r="D34" s="678"/>
      <c r="E34" s="678"/>
      <c r="F34" s="678"/>
      <c r="G34" s="681"/>
      <c r="H34" s="687"/>
      <c r="I34" s="681"/>
      <c r="J34" s="681"/>
      <c r="K34" s="678"/>
      <c r="L34" s="678"/>
      <c r="M34" s="678"/>
      <c r="N34" s="690"/>
      <c r="O34" s="693"/>
      <c r="P34" s="678"/>
      <c r="Q34" s="681"/>
      <c r="R34" s="687"/>
      <c r="S34" s="678"/>
      <c r="T34" s="315" t="s">
        <v>699</v>
      </c>
      <c r="U34" s="678"/>
      <c r="V34" s="310">
        <v>2262.87</v>
      </c>
      <c r="W34" s="315" t="s">
        <v>710</v>
      </c>
      <c r="X34" s="311"/>
      <c r="Y34" s="310"/>
      <c r="Z34" s="310"/>
      <c r="AA34" s="678"/>
      <c r="AB34" s="681"/>
      <c r="AC34" s="684"/>
      <c r="AD34" s="2">
        <v>4</v>
      </c>
    </row>
    <row r="35" spans="1:30" x14ac:dyDescent="0.25">
      <c r="A35" s="672"/>
      <c r="B35" s="678"/>
      <c r="C35" s="678"/>
      <c r="D35" s="678"/>
      <c r="E35" s="678"/>
      <c r="F35" s="678"/>
      <c r="G35" s="681"/>
      <c r="H35" s="687"/>
      <c r="I35" s="681"/>
      <c r="J35" s="681"/>
      <c r="K35" s="678"/>
      <c r="L35" s="678"/>
      <c r="M35" s="678"/>
      <c r="N35" s="690"/>
      <c r="O35" s="693"/>
      <c r="P35" s="678"/>
      <c r="Q35" s="681"/>
      <c r="R35" s="687"/>
      <c r="S35" s="678"/>
      <c r="T35" s="315" t="s">
        <v>707</v>
      </c>
      <c r="U35" s="678"/>
      <c r="V35" s="310">
        <v>4629.78</v>
      </c>
      <c r="W35" s="315" t="s">
        <v>711</v>
      </c>
      <c r="X35" s="311"/>
      <c r="Y35" s="310"/>
      <c r="Z35" s="310"/>
      <c r="AA35" s="678"/>
      <c r="AB35" s="681"/>
      <c r="AC35" s="684"/>
      <c r="AD35" s="2">
        <v>4</v>
      </c>
    </row>
    <row r="36" spans="1:30" x14ac:dyDescent="0.25">
      <c r="A36" s="672"/>
      <c r="B36" s="678"/>
      <c r="C36" s="678"/>
      <c r="D36" s="678"/>
      <c r="E36" s="678"/>
      <c r="F36" s="678"/>
      <c r="G36" s="681"/>
      <c r="H36" s="687"/>
      <c r="I36" s="681"/>
      <c r="J36" s="681"/>
      <c r="K36" s="678"/>
      <c r="L36" s="678"/>
      <c r="M36" s="678"/>
      <c r="N36" s="690"/>
      <c r="O36" s="693"/>
      <c r="P36" s="678"/>
      <c r="Q36" s="681"/>
      <c r="R36" s="687"/>
      <c r="S36" s="678"/>
      <c r="T36" s="315" t="s">
        <v>710</v>
      </c>
      <c r="U36" s="678"/>
      <c r="V36" s="310">
        <v>1612.62</v>
      </c>
      <c r="W36" s="315" t="s">
        <v>711</v>
      </c>
      <c r="X36" s="311"/>
      <c r="Y36" s="310"/>
      <c r="Z36" s="310"/>
      <c r="AA36" s="678"/>
      <c r="AB36" s="681"/>
      <c r="AC36" s="684"/>
      <c r="AD36" s="2">
        <v>4</v>
      </c>
    </row>
    <row r="37" spans="1:30" x14ac:dyDescent="0.25">
      <c r="A37" s="672"/>
      <c r="B37" s="678"/>
      <c r="C37" s="678"/>
      <c r="D37" s="678"/>
      <c r="E37" s="678"/>
      <c r="F37" s="678"/>
      <c r="G37" s="681"/>
      <c r="H37" s="687"/>
      <c r="I37" s="681"/>
      <c r="J37" s="681"/>
      <c r="K37" s="678"/>
      <c r="L37" s="678"/>
      <c r="M37" s="678"/>
      <c r="N37" s="690"/>
      <c r="O37" s="693"/>
      <c r="P37" s="678"/>
      <c r="Q37" s="681"/>
      <c r="R37" s="687"/>
      <c r="S37" s="678"/>
      <c r="T37" s="315" t="s">
        <v>707</v>
      </c>
      <c r="U37" s="678"/>
      <c r="V37" s="310">
        <v>3459.33</v>
      </c>
      <c r="W37" s="315" t="s">
        <v>711</v>
      </c>
      <c r="X37" s="311"/>
      <c r="Y37" s="310"/>
      <c r="Z37" s="310"/>
      <c r="AA37" s="678"/>
      <c r="AB37" s="681"/>
      <c r="AC37" s="684"/>
      <c r="AD37" s="2">
        <v>4</v>
      </c>
    </row>
    <row r="38" spans="1:30" x14ac:dyDescent="0.25">
      <c r="A38" s="672"/>
      <c r="B38" s="678"/>
      <c r="C38" s="678"/>
      <c r="D38" s="678"/>
      <c r="E38" s="678"/>
      <c r="F38" s="678"/>
      <c r="G38" s="681"/>
      <c r="H38" s="687"/>
      <c r="I38" s="681"/>
      <c r="J38" s="681"/>
      <c r="K38" s="678"/>
      <c r="L38" s="678"/>
      <c r="M38" s="678"/>
      <c r="N38" s="690"/>
      <c r="O38" s="693"/>
      <c r="P38" s="678"/>
      <c r="Q38" s="681"/>
      <c r="R38" s="687"/>
      <c r="S38" s="678"/>
      <c r="T38" s="315" t="s">
        <v>710</v>
      </c>
      <c r="U38" s="678"/>
      <c r="V38" s="310">
        <v>6097.7</v>
      </c>
      <c r="W38" s="315" t="s">
        <v>711</v>
      </c>
      <c r="X38" s="311"/>
      <c r="Y38" s="310"/>
      <c r="Z38" s="310"/>
      <c r="AA38" s="678"/>
      <c r="AB38" s="681"/>
      <c r="AC38" s="684"/>
      <c r="AD38" s="2">
        <v>4</v>
      </c>
    </row>
    <row r="39" spans="1:30" x14ac:dyDescent="0.25">
      <c r="A39" s="672"/>
      <c r="B39" s="678"/>
      <c r="C39" s="678"/>
      <c r="D39" s="678"/>
      <c r="E39" s="678"/>
      <c r="F39" s="678"/>
      <c r="G39" s="681"/>
      <c r="H39" s="687"/>
      <c r="I39" s="681"/>
      <c r="J39" s="681"/>
      <c r="K39" s="678"/>
      <c r="L39" s="678"/>
      <c r="M39" s="678"/>
      <c r="N39" s="690"/>
      <c r="O39" s="693"/>
      <c r="P39" s="678"/>
      <c r="Q39" s="681"/>
      <c r="R39" s="687"/>
      <c r="S39" s="678"/>
      <c r="T39" s="315" t="s">
        <v>707</v>
      </c>
      <c r="U39" s="678"/>
      <c r="V39" s="310">
        <v>12867.04</v>
      </c>
      <c r="W39" s="315" t="s">
        <v>711</v>
      </c>
      <c r="X39" s="311"/>
      <c r="Y39" s="310"/>
      <c r="Z39" s="310"/>
      <c r="AA39" s="678"/>
      <c r="AB39" s="681"/>
      <c r="AC39" s="684"/>
      <c r="AD39" s="2">
        <v>4</v>
      </c>
    </row>
    <row r="40" spans="1:30" x14ac:dyDescent="0.25">
      <c r="A40" s="672"/>
      <c r="B40" s="678"/>
      <c r="C40" s="678"/>
      <c r="D40" s="678"/>
      <c r="E40" s="678"/>
      <c r="F40" s="678"/>
      <c r="G40" s="681"/>
      <c r="H40" s="687"/>
      <c r="I40" s="681"/>
      <c r="J40" s="681"/>
      <c r="K40" s="678"/>
      <c r="L40" s="678"/>
      <c r="M40" s="678"/>
      <c r="N40" s="690"/>
      <c r="O40" s="693"/>
      <c r="P40" s="678"/>
      <c r="Q40" s="681"/>
      <c r="R40" s="687"/>
      <c r="S40" s="678"/>
      <c r="T40" s="315" t="s">
        <v>707</v>
      </c>
      <c r="U40" s="678"/>
      <c r="V40" s="310">
        <v>821.32</v>
      </c>
      <c r="W40" s="315" t="s">
        <v>711</v>
      </c>
      <c r="X40" s="311"/>
      <c r="Y40" s="310"/>
      <c r="Z40" s="310"/>
      <c r="AA40" s="678"/>
      <c r="AB40" s="681"/>
      <c r="AC40" s="684"/>
      <c r="AD40" s="2">
        <v>4</v>
      </c>
    </row>
    <row r="41" spans="1:30" x14ac:dyDescent="0.25">
      <c r="A41" s="672"/>
      <c r="B41" s="678"/>
      <c r="C41" s="678"/>
      <c r="D41" s="678"/>
      <c r="E41" s="678"/>
      <c r="F41" s="678"/>
      <c r="G41" s="681"/>
      <c r="H41" s="687"/>
      <c r="I41" s="681"/>
      <c r="J41" s="681"/>
      <c r="K41" s="678"/>
      <c r="L41" s="678"/>
      <c r="M41" s="678"/>
      <c r="N41" s="690"/>
      <c r="O41" s="693"/>
      <c r="P41" s="678"/>
      <c r="Q41" s="681"/>
      <c r="R41" s="687"/>
      <c r="S41" s="678"/>
      <c r="T41" s="315" t="s">
        <v>699</v>
      </c>
      <c r="U41" s="678"/>
      <c r="V41" s="310">
        <v>9611.76</v>
      </c>
      <c r="W41" s="315" t="s">
        <v>711</v>
      </c>
      <c r="X41" s="311"/>
      <c r="Y41" s="310"/>
      <c r="Z41" s="310"/>
      <c r="AA41" s="678"/>
      <c r="AB41" s="681"/>
      <c r="AC41" s="684"/>
      <c r="AD41" s="2">
        <v>4</v>
      </c>
    </row>
    <row r="42" spans="1:30" x14ac:dyDescent="0.25">
      <c r="A42" s="672"/>
      <c r="B42" s="678"/>
      <c r="C42" s="678"/>
      <c r="D42" s="678"/>
      <c r="E42" s="678"/>
      <c r="F42" s="678"/>
      <c r="G42" s="681"/>
      <c r="H42" s="687"/>
      <c r="I42" s="681"/>
      <c r="J42" s="681"/>
      <c r="K42" s="678"/>
      <c r="L42" s="678"/>
      <c r="M42" s="678"/>
      <c r="N42" s="690"/>
      <c r="O42" s="693"/>
      <c r="P42" s="678"/>
      <c r="Q42" s="681"/>
      <c r="R42" s="687"/>
      <c r="S42" s="678"/>
      <c r="T42" s="315" t="s">
        <v>707</v>
      </c>
      <c r="U42" s="678"/>
      <c r="V42" s="310">
        <v>7877.83</v>
      </c>
      <c r="W42" s="315" t="s">
        <v>696</v>
      </c>
      <c r="X42" s="311"/>
      <c r="Y42" s="310"/>
      <c r="Z42" s="310"/>
      <c r="AA42" s="678"/>
      <c r="AB42" s="681"/>
      <c r="AC42" s="684"/>
      <c r="AD42" s="2">
        <v>4</v>
      </c>
    </row>
    <row r="43" spans="1:30" x14ac:dyDescent="0.25">
      <c r="A43" s="672"/>
      <c r="B43" s="678"/>
      <c r="C43" s="678"/>
      <c r="D43" s="678"/>
      <c r="E43" s="678"/>
      <c r="F43" s="678"/>
      <c r="G43" s="681"/>
      <c r="H43" s="687"/>
      <c r="I43" s="681"/>
      <c r="J43" s="681"/>
      <c r="K43" s="678"/>
      <c r="L43" s="678"/>
      <c r="M43" s="678"/>
      <c r="N43" s="690"/>
      <c r="O43" s="693"/>
      <c r="P43" s="678"/>
      <c r="Q43" s="681"/>
      <c r="R43" s="687"/>
      <c r="S43" s="678"/>
      <c r="T43" s="315" t="s">
        <v>707</v>
      </c>
      <c r="U43" s="678"/>
      <c r="V43" s="310">
        <v>9628.4699999999993</v>
      </c>
      <c r="W43" s="315" t="s">
        <v>696</v>
      </c>
      <c r="X43" s="311"/>
      <c r="Y43" s="310"/>
      <c r="Z43" s="310"/>
      <c r="AA43" s="678"/>
      <c r="AB43" s="681"/>
      <c r="AC43" s="684"/>
      <c r="AD43" s="2">
        <v>4</v>
      </c>
    </row>
    <row r="44" spans="1:30" x14ac:dyDescent="0.25">
      <c r="A44" s="672"/>
      <c r="B44" s="678"/>
      <c r="C44" s="678"/>
      <c r="D44" s="678"/>
      <c r="E44" s="678"/>
      <c r="F44" s="678"/>
      <c r="G44" s="681"/>
      <c r="H44" s="687"/>
      <c r="I44" s="681"/>
      <c r="J44" s="681"/>
      <c r="K44" s="678"/>
      <c r="L44" s="678"/>
      <c r="M44" s="678"/>
      <c r="N44" s="690"/>
      <c r="O44" s="693"/>
      <c r="P44" s="678"/>
      <c r="Q44" s="681"/>
      <c r="R44" s="687"/>
      <c r="S44" s="678"/>
      <c r="T44" s="315" t="s">
        <v>696</v>
      </c>
      <c r="U44" s="678"/>
      <c r="V44" s="310">
        <v>5332.6</v>
      </c>
      <c r="W44" s="315" t="s">
        <v>712</v>
      </c>
      <c r="X44" s="311"/>
      <c r="Y44" s="310"/>
      <c r="Z44" s="310"/>
      <c r="AA44" s="678"/>
      <c r="AB44" s="681"/>
      <c r="AC44" s="684"/>
      <c r="AD44" s="2">
        <v>4</v>
      </c>
    </row>
    <row r="45" spans="1:30" x14ac:dyDescent="0.25">
      <c r="A45" s="672"/>
      <c r="B45" s="678"/>
      <c r="C45" s="678"/>
      <c r="D45" s="678"/>
      <c r="E45" s="678"/>
      <c r="F45" s="678"/>
      <c r="G45" s="681"/>
      <c r="H45" s="687"/>
      <c r="I45" s="681"/>
      <c r="J45" s="681"/>
      <c r="K45" s="678"/>
      <c r="L45" s="678"/>
      <c r="M45" s="678"/>
      <c r="N45" s="690"/>
      <c r="O45" s="693"/>
      <c r="P45" s="678"/>
      <c r="Q45" s="681"/>
      <c r="R45" s="687"/>
      <c r="S45" s="678"/>
      <c r="T45" s="315" t="s">
        <v>696</v>
      </c>
      <c r="U45" s="678"/>
      <c r="V45" s="310">
        <v>83542.399999999994</v>
      </c>
      <c r="W45" s="315" t="s">
        <v>712</v>
      </c>
      <c r="X45" s="311"/>
      <c r="Y45" s="310"/>
      <c r="Z45" s="310"/>
      <c r="AA45" s="678"/>
      <c r="AB45" s="681"/>
      <c r="AC45" s="684"/>
      <c r="AD45" s="2">
        <v>4</v>
      </c>
    </row>
    <row r="46" spans="1:30" x14ac:dyDescent="0.25">
      <c r="A46" s="673"/>
      <c r="B46" s="679"/>
      <c r="C46" s="679"/>
      <c r="D46" s="679"/>
      <c r="E46" s="679"/>
      <c r="F46" s="679"/>
      <c r="G46" s="682"/>
      <c r="H46" s="688"/>
      <c r="I46" s="682"/>
      <c r="J46" s="682"/>
      <c r="K46" s="679"/>
      <c r="L46" s="679"/>
      <c r="M46" s="679"/>
      <c r="N46" s="691"/>
      <c r="O46" s="694"/>
      <c r="P46" s="679"/>
      <c r="Q46" s="682"/>
      <c r="R46" s="688"/>
      <c r="S46" s="679"/>
      <c r="T46" s="316" t="s">
        <v>696</v>
      </c>
      <c r="U46" s="679"/>
      <c r="V46" s="312">
        <v>29261.25</v>
      </c>
      <c r="W46" s="316" t="s">
        <v>712</v>
      </c>
      <c r="X46" s="313"/>
      <c r="Y46" s="312"/>
      <c r="Z46" s="312"/>
      <c r="AA46" s="679"/>
      <c r="AB46" s="682"/>
      <c r="AC46" s="685"/>
      <c r="AD46" s="2">
        <v>4</v>
      </c>
    </row>
    <row r="47" spans="1:30" ht="18" x14ac:dyDescent="0.3">
      <c r="M47" s="3"/>
      <c r="AD47" s="2">
        <v>5</v>
      </c>
    </row>
    <row r="48" spans="1:30" ht="18" x14ac:dyDescent="0.3">
      <c r="M48" s="3"/>
    </row>
    <row r="49" spans="13:13" ht="18" x14ac:dyDescent="0.3">
      <c r="M49" s="3"/>
    </row>
    <row r="50" spans="13:13" ht="18" x14ac:dyDescent="0.3">
      <c r="M50" s="3"/>
    </row>
    <row r="51" spans="13:13" ht="18" x14ac:dyDescent="0.3">
      <c r="M51" s="3"/>
    </row>
    <row r="52" spans="13:13" ht="18" x14ac:dyDescent="0.3">
      <c r="M52" s="3"/>
    </row>
    <row r="53" spans="13:13" ht="18" x14ac:dyDescent="0.3">
      <c r="M53" s="3"/>
    </row>
    <row r="54" spans="13:13" ht="18" x14ac:dyDescent="0.3">
      <c r="M54" s="3"/>
    </row>
    <row r="55" spans="13:13" ht="18" x14ac:dyDescent="0.3">
      <c r="M55" s="3"/>
    </row>
  </sheetData>
  <sheetProtection password="EB34" sheet="1" objects="1" scenarios="1" formatCells="0" formatColumns="0" formatRows="0"/>
  <mergeCells count="74">
    <mergeCell ref="AC28:AC46"/>
    <mergeCell ref="D28:D46"/>
    <mergeCell ref="E28:E46"/>
    <mergeCell ref="F28:F46"/>
    <mergeCell ref="G28:G46"/>
    <mergeCell ref="H28:H46"/>
    <mergeCell ref="I28:I46"/>
    <mergeCell ref="J28:J46"/>
    <mergeCell ref="K28:K46"/>
    <mergeCell ref="L28:L46"/>
    <mergeCell ref="M28:M46"/>
    <mergeCell ref="N28:N46"/>
    <mergeCell ref="O28:O46"/>
    <mergeCell ref="P28:P46"/>
    <mergeCell ref="Q28:Q46"/>
    <mergeCell ref="R28:R46"/>
    <mergeCell ref="B18:B27"/>
    <mergeCell ref="AB18:AB27"/>
    <mergeCell ref="C18:C27"/>
    <mergeCell ref="A28:A46"/>
    <mergeCell ref="O18:O27"/>
    <mergeCell ref="P18:P27"/>
    <mergeCell ref="Q18:Q27"/>
    <mergeCell ref="R18:R27"/>
    <mergeCell ref="A18:A27"/>
    <mergeCell ref="U28:U46"/>
    <mergeCell ref="AA28:AA46"/>
    <mergeCell ref="B28:B46"/>
    <mergeCell ref="AB28:AB46"/>
    <mergeCell ref="C28:C46"/>
    <mergeCell ref="S28:S46"/>
    <mergeCell ref="AC18:AC27"/>
    <mergeCell ref="D18:D27"/>
    <mergeCell ref="E18:E27"/>
    <mergeCell ref="F18:F27"/>
    <mergeCell ref="G18:G27"/>
    <mergeCell ref="H18:H27"/>
    <mergeCell ref="I18:I27"/>
    <mergeCell ref="J18:J27"/>
    <mergeCell ref="K18:K27"/>
    <mergeCell ref="L18:L27"/>
    <mergeCell ref="M18:M27"/>
    <mergeCell ref="N18:N27"/>
    <mergeCell ref="U18:U27"/>
    <mergeCell ref="S18:S27"/>
    <mergeCell ref="AA18:AA27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P4:R4"/>
    <mergeCell ref="E2:F2"/>
    <mergeCell ref="O2:P2"/>
    <mergeCell ref="Y2:AA2"/>
    <mergeCell ref="T2:U2"/>
    <mergeCell ref="A9:A17"/>
    <mergeCell ref="U9:U17"/>
    <mergeCell ref="AA9:AA17"/>
    <mergeCell ref="B9:B17"/>
    <mergeCell ref="AB9:AB17"/>
    <mergeCell ref="C9:C17"/>
    <mergeCell ref="S9:S1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131</v>
      </c>
      <c r="B1" s="47">
        <v>45</v>
      </c>
      <c r="C1" s="47">
        <v>9</v>
      </c>
      <c r="D1" s="697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698"/>
      <c r="E2" s="32"/>
      <c r="F2" s="62">
        <v>93</v>
      </c>
      <c r="G2" s="66">
        <v>90</v>
      </c>
      <c r="H2" s="65">
        <v>5</v>
      </c>
      <c r="I2" s="64">
        <v>0</v>
      </c>
      <c r="J2" s="63">
        <v>0</v>
      </c>
      <c r="K2" s="67">
        <v>4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193</v>
      </c>
      <c r="B4" s="44">
        <v>37</v>
      </c>
      <c r="C4" s="44">
        <v>9</v>
      </c>
      <c r="D4" s="699" t="s">
        <v>102</v>
      </c>
      <c r="E4" s="32"/>
      <c r="F4" s="62">
        <v>94</v>
      </c>
      <c r="G4" s="66">
        <v>91</v>
      </c>
      <c r="H4" s="65">
        <v>6</v>
      </c>
      <c r="I4" s="64">
        <v>0</v>
      </c>
      <c r="J4" s="63">
        <v>0</v>
      </c>
      <c r="K4" s="67">
        <v>5</v>
      </c>
    </row>
    <row r="5" spans="1:11" x14ac:dyDescent="0.25">
      <c r="A5" s="43" t="s">
        <v>89</v>
      </c>
      <c r="B5" s="44" t="s">
        <v>88</v>
      </c>
      <c r="C5" s="44" t="s">
        <v>87</v>
      </c>
      <c r="D5" s="700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17</v>
      </c>
      <c r="B7" s="46">
        <v>2</v>
      </c>
      <c r="C7" s="46">
        <v>9</v>
      </c>
      <c r="D7" s="701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702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703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704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705" t="s">
        <v>49</v>
      </c>
      <c r="E13" s="32"/>
      <c r="F13" s="32"/>
      <c r="G13" s="32"/>
    </row>
    <row r="14" spans="1:11" ht="31.5" x14ac:dyDescent="0.25">
      <c r="A14" s="39" t="s">
        <v>96</v>
      </c>
      <c r="B14" s="40" t="s">
        <v>97</v>
      </c>
      <c r="C14" s="40" t="s">
        <v>98</v>
      </c>
      <c r="D14" s="706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46</v>
      </c>
      <c r="B16" s="38">
        <v>3</v>
      </c>
      <c r="C16" s="38">
        <v>9</v>
      </c>
      <c r="D16" s="695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696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2023-11-07T04:39:56Z</dcterms:modified>
</cp:coreProperties>
</file>