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Рабочий стол\"/>
    </mc:Choice>
  </mc:AlternateContent>
  <workbookProtection workbookPassword="EB34" lockStructure="1"/>
  <bookViews>
    <workbookView xWindow="0" yWindow="0" windowWidth="27810" windowHeight="12960"/>
  </bookViews>
  <sheets>
    <sheet name="Общая информация" sheetId="21" r:id="rId1"/>
    <sheet name="Ед. поставщик п.4 ч.1" sheetId="27" r:id="rId2"/>
    <sheet name="Ед. поставщик п.5 ч.1" sheetId="31" r:id="rId3"/>
    <sheet name="Ед.поставщик за искл. п.4,5 ч.1" sheetId="19" r:id="rId4"/>
    <sheet name="Состоявшиеся аукционы" sheetId="17" r:id="rId5"/>
    <sheet name="Несостоявшиеся аукционы" sheetId="22" r:id="rId6"/>
    <sheet name="Иные конкурентные закупки" sheetId="20" r:id="rId7"/>
    <sheet name="Настройки" sheetId="32" state="hidden" r:id="rId8"/>
  </sheets>
  <definedNames>
    <definedName name="_xlnm._FilterDatabase" localSheetId="1" hidden="1">'Ед. поставщик п.4 ч.1'!$A$6:$U$8</definedName>
  </definedNames>
  <calcPr calcId="191029"/>
</workbook>
</file>

<file path=xl/calcChain.xml><?xml version="1.0" encoding="utf-8"?>
<calcChain xmlns="http://schemas.openxmlformats.org/spreadsheetml/2006/main">
  <c r="G2" i="17" l="1"/>
  <c r="Q2" i="17"/>
  <c r="V2" i="17"/>
  <c r="AB2" i="17"/>
  <c r="H9" i="22"/>
  <c r="R9" i="22"/>
  <c r="G2" i="19" l="1"/>
  <c r="N2" i="19"/>
  <c r="T2" i="19"/>
  <c r="I16" i="27"/>
  <c r="I15" i="27"/>
  <c r="I14" i="27"/>
  <c r="H2" i="27"/>
  <c r="P2" i="27"/>
  <c r="V2" i="27"/>
  <c r="I23" i="31"/>
  <c r="I21" i="31"/>
  <c r="I20" i="31"/>
  <c r="H2" i="31"/>
  <c r="P2" i="31"/>
  <c r="V2" i="31"/>
  <c r="I12" i="27"/>
  <c r="I11" i="27"/>
  <c r="I9" i="27"/>
  <c r="G2" i="22" l="1"/>
  <c r="Q2" i="22"/>
  <c r="V2" i="22"/>
  <c r="AB2" i="22"/>
  <c r="G2" i="20"/>
  <c r="Q2" i="20"/>
  <c r="V2" i="20"/>
  <c r="AB2" i="20"/>
  <c r="H10" i="17" l="1"/>
  <c r="R10" i="17"/>
  <c r="I19" i="31" l="1"/>
  <c r="I18" i="31"/>
  <c r="I17" i="31"/>
  <c r="I16" i="31"/>
  <c r="I15" i="31"/>
  <c r="I14" i="31"/>
  <c r="I13" i="31"/>
  <c r="I12" i="31"/>
  <c r="I11" i="31"/>
  <c r="I10" i="31"/>
  <c r="I9" i="31"/>
  <c r="H9" i="19" l="1"/>
  <c r="H9" i="17" l="1"/>
  <c r="R9" i="17"/>
  <c r="D13" i="21" l="1"/>
  <c r="G13" i="21" s="1"/>
  <c r="R8" i="20" l="1"/>
  <c r="H8" i="20"/>
  <c r="R8" i="22"/>
  <c r="H8" i="22"/>
  <c r="I8" i="27" l="1"/>
  <c r="J9" i="21" l="1"/>
  <c r="J13" i="21"/>
  <c r="M5" i="21" s="1"/>
  <c r="J14" i="21" l="1"/>
  <c r="D14" i="21"/>
  <c r="G14" i="21" s="1"/>
  <c r="D12" i="21"/>
  <c r="J12" i="21"/>
  <c r="D19" i="21"/>
  <c r="G12" i="21" l="1"/>
  <c r="H5" i="21" s="1"/>
  <c r="M13" i="21"/>
  <c r="M14" i="21"/>
  <c r="J11" i="21"/>
  <c r="J10" i="21"/>
  <c r="J15" i="21" l="1"/>
  <c r="D10" i="21"/>
  <c r="R8" i="17" l="1"/>
  <c r="H8" i="17"/>
  <c r="D9" i="21" l="1"/>
  <c r="G10" i="21" l="1"/>
  <c r="G11" i="21" l="1"/>
  <c r="D11" i="21"/>
  <c r="D15" i="21" s="1"/>
  <c r="G9" i="21"/>
  <c r="G15" i="21" l="1"/>
  <c r="C5" i="21" s="1"/>
  <c r="M12" i="21"/>
  <c r="M11" i="21"/>
  <c r="M9" i="21"/>
  <c r="M10" i="21"/>
  <c r="M15" i="21" l="1"/>
</calcChain>
</file>

<file path=xl/sharedStrings.xml><?xml version="1.0" encoding="utf-8"?>
<sst xmlns="http://schemas.openxmlformats.org/spreadsheetml/2006/main" count="646" uniqueCount="259">
  <si>
    <t>Дата заключения</t>
  </si>
  <si>
    <t>№ договора/контракта</t>
  </si>
  <si>
    <t>Дата заключения договора/контракта</t>
  </si>
  <si>
    <t>Предмет договора/контракта</t>
  </si>
  <si>
    <t>Цена договора/контракта</t>
  </si>
  <si>
    <t>Поставщик (подрядчик, исполнитель)</t>
  </si>
  <si>
    <t>Сроки оплаты согласно договора/контракта</t>
  </si>
  <si>
    <t>Фактическая дата поставки товара (оказания услуги, выполнения работы)</t>
  </si>
  <si>
    <t>№ п/п</t>
  </si>
  <si>
    <t>Фактическая дата оплаты</t>
  </si>
  <si>
    <t>Код бюджетной классификации</t>
  </si>
  <si>
    <t>№ извещения</t>
  </si>
  <si>
    <t>Объект закупки</t>
  </si>
  <si>
    <t>Н(М)ЦК</t>
  </si>
  <si>
    <t>СМП и СОНО</t>
  </si>
  <si>
    <t>№ контракта</t>
  </si>
  <si>
    <t>Количество поданных заявок</t>
  </si>
  <si>
    <t>Количество заявок признанные несоответствующими</t>
  </si>
  <si>
    <t>Цена контракта</t>
  </si>
  <si>
    <t>Сроки поставки товара (оказания услуги, выполнения работы), согласно контракта</t>
  </si>
  <si>
    <t>Сроки оплаты согласно контракта</t>
  </si>
  <si>
    <t xml:space="preserve">№ в реестре контрактов </t>
  </si>
  <si>
    <t>Остаток по контракту</t>
  </si>
  <si>
    <t>Сумма согласно документа об исполнении контракта заказчиком</t>
  </si>
  <si>
    <t>Сумма заключенных контрактов</t>
  </si>
  <si>
    <t>СГОЗ  (общий)</t>
  </si>
  <si>
    <t>СГОЗ (остаток)</t>
  </si>
  <si>
    <t>Способ определения поставщика (подрядчика, исполнителя)</t>
  </si>
  <si>
    <t>Начальная (максимальная) цена контракта</t>
  </si>
  <si>
    <t>Фактическая цена контракта</t>
  </si>
  <si>
    <t xml:space="preserve">Экономия </t>
  </si>
  <si>
    <t>Состоявшиеся аукционы</t>
  </si>
  <si>
    <t>№ в реестре контрактов</t>
  </si>
  <si>
    <t>ИКЗ (Идентификационный код закупки)</t>
  </si>
  <si>
    <t>Экономия</t>
  </si>
  <si>
    <t>Всего средств потрачено по заключенным контрактам</t>
  </si>
  <si>
    <t>1</t>
  </si>
  <si>
    <t>Фактическая дата поставки товара (оказания услуги, выполнения работы) и (или) предоставление документов на оплату и подписание документов о приемке</t>
  </si>
  <si>
    <t>Цена контракта (Объем финансового обеспечения подлежащий к оплате в текущем фин. году)</t>
  </si>
  <si>
    <t>Сроки поставки товара (оказания услуги, выполнения работы), согласно контракта; Предоставление документов на оплату Закзчику</t>
  </si>
  <si>
    <t>Изменение контракта (№, дата)</t>
  </si>
  <si>
    <t>Расторжение контракта (№, дата)</t>
  </si>
  <si>
    <t>Примечание</t>
  </si>
  <si>
    <t>Сумма расторжения</t>
  </si>
  <si>
    <t>Сроки поставки товара (оказания услуги, выполнения работы), согласно договора/контракта; Предоставление документов на оплату Заказчику</t>
  </si>
  <si>
    <t>Общая сумма расторжений по контрактам/договорам</t>
  </si>
  <si>
    <t xml:space="preserve">ИНН поставщика (подрядчика, исполнителя) </t>
  </si>
  <si>
    <t>Наименование муниципальной программы, национального или регионального проекта</t>
  </si>
  <si>
    <t>123</t>
  </si>
  <si>
    <t>Несостоявшиеся аукционы</t>
  </si>
  <si>
    <t xml:space="preserve">Ед. поставщик п.4 ч.1 </t>
  </si>
  <si>
    <t>Ед. поставщик п. 5 ч. 1</t>
  </si>
  <si>
    <t>Ед.поставщик за искл. п.4,5 ч.1</t>
  </si>
  <si>
    <t>п.4 (остаток)</t>
  </si>
  <si>
    <t>п.5 (остаток)</t>
  </si>
  <si>
    <t>п.5 (50% СГОЗ)</t>
  </si>
  <si>
    <t>Муниципальная программа "Развитие образования"</t>
  </si>
  <si>
    <t>№ 1</t>
  </si>
  <si>
    <t>902 0113 1310110490 244</t>
  </si>
  <si>
    <t>Поставка бумаги для офисной техники</t>
  </si>
  <si>
    <t>2353019514</t>
  </si>
  <si>
    <t>ИП Котляров К.И.</t>
  </si>
  <si>
    <t>В течение 15 рабочих дней, со дня подписания сторонами контракта</t>
  </si>
  <si>
    <t>Не позднее 30 календарных дней с момента подписания Заказчиком и Подрядчиком акта приема-сдачи и предоставленного Подрядчиком документа на оплату</t>
  </si>
  <si>
    <t>Пример</t>
  </si>
  <si>
    <t>Поставка электрической энергии</t>
  </si>
  <si>
    <t>9020104 5210000190244</t>
  </si>
  <si>
    <t>3235301125818100175</t>
  </si>
  <si>
    <t>АО "НЭСК"</t>
  </si>
  <si>
    <t>Поставка электрической энергии осуществляется постоянно, в течение срока действия контракта</t>
  </si>
  <si>
    <t>До 10 числа расчетного месяца в размере 30%, до 25 числа расчетного месяца 40%, до 18 числа месяца, следующего за расчетным</t>
  </si>
  <si>
    <t>0818300019919000194</t>
  </si>
  <si>
    <t xml:space="preserve">Поставка картриджа и тонер-картриджей </t>
  </si>
  <si>
    <t xml:space="preserve">193235301125823530100103000010000244 </t>
  </si>
  <si>
    <t>902 0113 1210310010 244</t>
  </si>
  <si>
    <t>Нет</t>
  </si>
  <si>
    <t>3235301125819000079</t>
  </si>
  <si>
    <t>Ф.2019.412162</t>
  </si>
  <si>
    <t xml:space="preserve"> ООО "АНАЛИТИК ЦЕНТР" </t>
  </si>
  <si>
    <t>3443923035</t>
  </si>
  <si>
    <t>В течение 20 рабочих дней со дня заключения сторонами муниципального контракта</t>
  </si>
  <si>
    <t>Не позднее 30 календарных дней с момента подписания Заказчиком документа о приемке выполненных работ и представленного Подрядчиком документа на оплату</t>
  </si>
  <si>
    <t>СМП и СОНО                       (да/нет)</t>
  </si>
  <si>
    <t>Иные конкурентные закупки</t>
  </si>
  <si>
    <t>TekStrokaP4</t>
  </si>
  <si>
    <t>TekNomerP4</t>
  </si>
  <si>
    <t>NachStrokaP4</t>
  </si>
  <si>
    <t>NachStrokaP5</t>
  </si>
  <si>
    <t>TekNomerP5</t>
  </si>
  <si>
    <t>TekStrokaP5</t>
  </si>
  <si>
    <t>TekStrokaSt93</t>
  </si>
  <si>
    <t>TekNomerSt93</t>
  </si>
  <si>
    <t>NachStrokaSt93</t>
  </si>
  <si>
    <t>TekStrokaSEA</t>
  </si>
  <si>
    <t>TekNomerSEA</t>
  </si>
  <si>
    <t>NachStrokaSEA</t>
  </si>
  <si>
    <t>TekStrokaNEA</t>
  </si>
  <si>
    <t>TekNomerNEA</t>
  </si>
  <si>
    <t>NachStrokaNEA</t>
  </si>
  <si>
    <t>TekStrokaIKZ</t>
  </si>
  <si>
    <t>TekNomerIKZ</t>
  </si>
  <si>
    <t>NachStrokaIKZ</t>
  </si>
  <si>
    <t xml:space="preserve">Ед. поставщик п.5 ч.1 </t>
  </si>
  <si>
    <t>Изменение контракта (увеличение цены контракта в рублях)</t>
  </si>
  <si>
    <t>Изменение контракта (уменьшение цены контракта в рублях)</t>
  </si>
  <si>
    <t>Сумма расторжения в рублях</t>
  </si>
  <si>
    <t>СМП и СОНО                       (Да/Нет)</t>
  </si>
  <si>
    <t>09.01.2020</t>
  </si>
  <si>
    <t>Index</t>
  </si>
  <si>
    <t>Index+1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</si>
  <si>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</si>
  <si>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</si>
  <si>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</si>
  <si>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</si>
  <si>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</si>
  <si>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</si>
  <si>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</si>
  <si>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</si>
  <si>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</si>
  <si>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</si>
  <si>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</si>
  <si>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</si>
  <si>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</si>
  <si>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</si>
  <si>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</si>
  <si>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</si>
  <si>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</si>
  <si>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</si>
  <si>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</si>
  <si>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</si>
  <si>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</si>
  <si>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</si>
  <si>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</si>
  <si>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</si>
  <si>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</si>
  <si>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</si>
  <si>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</si>
  <si>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Сумма средств выплаченных по контрактам</t>
  </si>
  <si>
    <t>29</t>
  </si>
  <si>
    <t>Сумма начальных (максимальных) цен контрактов</t>
  </si>
  <si>
    <t>п.4 (10% от СГОЗ или 2 000 000)</t>
  </si>
  <si>
    <t>Наименование организации:</t>
  </si>
  <si>
    <t>Расторжение контракта по соглашению сторон</t>
  </si>
  <si>
    <t>Всего</t>
  </si>
  <si>
    <t>Не позднее 30 календарных дней с момента подписания акта приема-сдачи и документа на оплату</t>
  </si>
  <si>
    <t>Контракт заключен в электронном виде посредством                             АИС "Портал поставщиков"   (Да/Нет)</t>
  </si>
  <si>
    <t>АО "АТЭК"</t>
  </si>
  <si>
    <t>ФГКУ "УВО ВНГ России по Краснодарскому краю"</t>
  </si>
  <si>
    <t>№ 1770</t>
  </si>
  <si>
    <t>Поставка тепловой энергии</t>
  </si>
  <si>
    <t>МУП ЖКХ "Поселковое"</t>
  </si>
  <si>
    <t xml:space="preserve">До 18 числа текущего месяца 30%, за фактически потребленную до 25 числа месяца,следующего за расчетным </t>
  </si>
  <si>
    <t>№ 23070500354</t>
  </si>
  <si>
    <t>ООО "КАНкорт"</t>
  </si>
  <si>
    <t>МБОУ СОШ № 14</t>
  </si>
  <si>
    <t>АО "Мусороуборочная компания"</t>
  </si>
  <si>
    <t>2304067057</t>
  </si>
  <si>
    <t>ООО ЧОО "Легион"</t>
  </si>
  <si>
    <t>в срок не более 7 рабочих дней с даты подписания заказчиком документа о приемке</t>
  </si>
  <si>
    <t>№14/1</t>
  </si>
  <si>
    <t>№14</t>
  </si>
  <si>
    <t>№1</t>
  </si>
  <si>
    <t>ИП Даценко И.Н.</t>
  </si>
  <si>
    <t>28.12.2024г.</t>
  </si>
  <si>
    <t>электрическая энергия</t>
  </si>
  <si>
    <t>ПАО "ТНСэнерго Кубань"</t>
  </si>
  <si>
    <t>с 01.01.2025г. по 30.06.2025г.</t>
  </si>
  <si>
    <t>30% до 10 числа расчетного месяца, 40% до 25 числа расчетного месяца</t>
  </si>
  <si>
    <t>№ 173/24</t>
  </si>
  <si>
    <t>медицинские услуги по проведению предрейсовых, послерейсовых медицинских осмотров транспортных средств</t>
  </si>
  <si>
    <t>ГБУЗ "Тимашевская ЦРБ"</t>
  </si>
  <si>
    <t>с 01.01.2025г. по 31.12.2025г.</t>
  </si>
  <si>
    <t>в течении 7 рабочих дней с даты подписания обеими сторонами Акта об оказании услуг</t>
  </si>
  <si>
    <t>№19576/ТМ</t>
  </si>
  <si>
    <t>услуги по обращению с твердыми коммунальными отходами</t>
  </si>
  <si>
    <t>до 10 числа месяца, следующего за месяцем, в котором была оказана услуга</t>
  </si>
  <si>
    <t>№ДГ25/104</t>
  </si>
  <si>
    <t>услуги по техническому сопровождению транспортных средств</t>
  </si>
  <si>
    <t>охрана (ПЦН)</t>
  </si>
  <si>
    <t>в течение 10 рабочих дней с момента подписания акта выполненных работ</t>
  </si>
  <si>
    <t>в течение 10 рабочих дней с даты подписания документов о приемке оказанных услуг</t>
  </si>
  <si>
    <t>27.01.2025г.</t>
  </si>
  <si>
    <t>холодное водоснабжение</t>
  </si>
  <si>
    <t>в течение 10 рабочих дней с даты подписания акта</t>
  </si>
  <si>
    <t>№05-122024</t>
  </si>
  <si>
    <t>услуги по техническому обслуживанию АПС</t>
  </si>
  <si>
    <t>в течение 10 рабочих дней с даты подписания акта выполненных работ</t>
  </si>
  <si>
    <t>№06-122024</t>
  </si>
  <si>
    <t>услуги по техническому мониторингу и плановому эксплуатационно-техническому обслуживанию оборудования ПАК "Стрелец-Мониторинг"</t>
  </si>
  <si>
    <t>№07-122024</t>
  </si>
  <si>
    <t>работы по техническому обслуживанию КТС</t>
  </si>
  <si>
    <t>услуги по организации питания (9р.)</t>
  </si>
  <si>
    <t>ООО "Тимшевское ПРТ "Райпо"</t>
  </si>
  <si>
    <t>с 09.01.2025г. по 21.03.2025г.</t>
  </si>
  <si>
    <t>услуги по организации питания учащихся с ОВЗ, инвалидов без статуса ОВЗ, учащихся из многодетных семей, учащихся из семей участников СВО</t>
  </si>
  <si>
    <t xml:space="preserve">с 01.01.2025г. по         31.12.2025г. </t>
  </si>
  <si>
    <t>с 01.01.2025 г. по 27.05.2025 г.</t>
  </si>
  <si>
    <t>0818300019924000328</t>
  </si>
  <si>
    <t>Услуги частной охраны (Выставление поста охраны)</t>
  </si>
  <si>
    <t>08183000199240003280001</t>
  </si>
  <si>
    <t>да</t>
  </si>
  <si>
    <t>24 32353015326235301001 0019 001 5629 244</t>
  </si>
  <si>
    <t>Оказание услуги по организации питания учащихся муниципальных бюджетных общеобразовательных учреждений средних общеобразовательных школ муниципального образования Тимашевский район</t>
  </si>
  <si>
    <t>0818300019924000321</t>
  </si>
  <si>
    <t>32353015326 24 000009</t>
  </si>
  <si>
    <t>925 0000 0000000000 244</t>
  </si>
  <si>
    <t>08183000199240003210001</t>
  </si>
  <si>
    <t>2353020735</t>
  </si>
  <si>
    <t>ООО "Тимашевское ПРТ райпо"</t>
  </si>
  <si>
    <t>В течение 7 рабочих дней с момента подписания Заказчиком и Подрядчиком акта приема-сдачи и предоставленного Подрядчиком документа на оплату</t>
  </si>
  <si>
    <t>03.02.2025г.</t>
  </si>
  <si>
    <t>поставка товаров</t>
  </si>
  <si>
    <t>ООО "Компьютер бизнес сервис СИБИЭС"</t>
  </si>
  <si>
    <t>с 03.02.2025г. по 21.02.2025г.</t>
  </si>
  <si>
    <t>в течение 10 рабочих дней с даты подписания документов о приемке товара</t>
  </si>
  <si>
    <t>06.02.2025г.</t>
  </si>
  <si>
    <t>2353002623</t>
  </si>
  <si>
    <t>09.01.2025г.</t>
  </si>
  <si>
    <t>поставка нефтепродуктов</t>
  </si>
  <si>
    <t>235300578903</t>
  </si>
  <si>
    <t>ИП Калайчев Ш.С.</t>
  </si>
  <si>
    <t>с 09.01.2025г. по 28.02.2025г.</t>
  </si>
  <si>
    <t>31.01.2025г.</t>
  </si>
  <si>
    <t>в течение 10 рабочих дней с даты получения документов о поставке товаров</t>
  </si>
  <si>
    <t>11.02.2025г.</t>
  </si>
  <si>
    <t>235300203781</t>
  </si>
  <si>
    <t>ИП Ледовская С.В.</t>
  </si>
  <si>
    <t>12.02.2025г.</t>
  </si>
  <si>
    <t>услуги по выполнению предрейсового и послерейсового технического осмотра ТС</t>
  </si>
  <si>
    <t>Тимашевская РО КРО ОО "ВОА"</t>
  </si>
  <si>
    <t>с 27.01.2025г. по 31.12.2025г.</t>
  </si>
  <si>
    <t>в течение 10 рабочих дней с момента выставления счета</t>
  </si>
  <si>
    <t>13.02.2025г.</t>
  </si>
  <si>
    <t>№6</t>
  </si>
  <si>
    <t>поставка товара</t>
  </si>
  <si>
    <t>ИП Латышева Н.П.</t>
  </si>
  <si>
    <t>с 13.02.2025г.по 31.12.2025г.</t>
  </si>
  <si>
    <t>14.02.2025г.</t>
  </si>
  <si>
    <t>№3</t>
  </si>
  <si>
    <t>05.02.2025г.</t>
  </si>
  <si>
    <t>ремонт автомобиля</t>
  </si>
  <si>
    <t>ИП Аполонов А.А.</t>
  </si>
  <si>
    <t>05.02.2025г. По 25.02.2025г.</t>
  </si>
  <si>
    <t>17.02.2025г.</t>
  </si>
  <si>
    <t>25.02.2025г.</t>
  </si>
  <si>
    <t>неисключительное право использования программы для ЭВМ</t>
  </si>
  <si>
    <t>234602203000</t>
  </si>
  <si>
    <t>ИП Архангельский А.А.</t>
  </si>
  <si>
    <t>26.02.2025г.</t>
  </si>
  <si>
    <t>в течение 10 рабочих дней со дня подписания акта оказанных услуг</t>
  </si>
  <si>
    <t>№2</t>
  </si>
  <si>
    <t>24.02.2025г.</t>
  </si>
  <si>
    <t>с 24.02.2025г. по 17.03.2025г.</t>
  </si>
  <si>
    <t>ремонт принтера</t>
  </si>
  <si>
    <t xml:space="preserve">с 17.02.2025г. по 07.03.2025г. </t>
  </si>
  <si>
    <t>27.02.2025г.</t>
  </si>
  <si>
    <t>24.01.2025г.</t>
  </si>
  <si>
    <t>07.02.2025г.</t>
  </si>
  <si>
    <t>20.02.2025г.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</si>
</sst>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7" formatCode="#,##0.00\ &quot;₽&quot;;\-#,##0.00\ &quot;₽&quot;"/>
    <numFmt numFmtId="164" formatCode="#,##0.00\ &quot;₽&quot;"/>
    <numFmt numFmtId="165" formatCode="[$-F800]dddd\,\ mmmm\ dd\,\ yyyy"/>
    <numFmt numFmtId="166" formatCode="#,##0.00&quot;р.&quot;"/>
    <numFmt numFmtId="167" formatCode="0_ ;\-0\ "/>
    <numFmt numFmtId="168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20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2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2" fillId="0" borderId="0" applyNumberFormat="0" applyFill="0" applyBorder="0" applyAlignment="0" applyProtection="0"/>
  </cellStyleXfs>
  <cellXfs count="25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6" fontId="3" fillId="0" borderId="6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166" fontId="4" fillId="0" borderId="6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65" fontId="1" fillId="2" borderId="13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Alignment="1">
      <alignment horizontal="center" vertical="center" wrapText="1"/>
    </xf>
    <xf numFmtId="7" fontId="1" fillId="2" borderId="1" xfId="0" applyNumberFormat="1" applyFont="1" applyFill="1" applyBorder="1" applyAlignment="1">
      <alignment horizontal="center" vertical="center" wrapText="1"/>
    </xf>
    <xf numFmtId="7" fontId="1" fillId="3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4" applyFont="1" applyAlignment="1">
      <alignment horizontal="center" vertical="center" wrapText="1"/>
    </xf>
    <xf numFmtId="0" fontId="13" fillId="0" borderId="0" xfId="6" applyFont="1" applyBorder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13" fillId="5" borderId="1" xfId="4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center" wrapText="1"/>
    </xf>
    <xf numFmtId="0" fontId="13" fillId="6" borderId="1" xfId="4" applyFont="1" applyFill="1" applyBorder="1" applyAlignment="1">
      <alignment horizontal="center" vertical="center" wrapText="1"/>
    </xf>
    <xf numFmtId="0" fontId="13" fillId="6" borderId="1" xfId="1" applyFont="1" applyFill="1" applyBorder="1" applyAlignment="1">
      <alignment horizontal="center" vertical="center" wrapText="1"/>
    </xf>
    <xf numFmtId="0" fontId="13" fillId="7" borderId="1" xfId="4" applyFont="1" applyFill="1" applyBorder="1" applyAlignment="1">
      <alignment horizontal="center" vertical="center" wrapText="1"/>
    </xf>
    <xf numFmtId="0" fontId="13" fillId="7" borderId="1" xfId="1" applyFont="1" applyFill="1" applyBorder="1" applyAlignment="1">
      <alignment horizontal="center" vertical="center" wrapText="1"/>
    </xf>
    <xf numFmtId="0" fontId="13" fillId="8" borderId="1" xfId="4" applyFont="1" applyFill="1" applyBorder="1" applyAlignment="1">
      <alignment horizontal="center" vertical="center" wrapText="1"/>
    </xf>
    <xf numFmtId="0" fontId="13" fillId="8" borderId="1" xfId="1" applyFont="1" applyFill="1" applyBorder="1" applyAlignment="1">
      <alignment horizontal="center" vertical="center" wrapText="1"/>
    </xf>
    <xf numFmtId="0" fontId="13" fillId="9" borderId="1" xfId="4" applyFont="1" applyFill="1" applyBorder="1" applyAlignment="1">
      <alignment horizontal="center" vertical="center" wrapText="1"/>
    </xf>
    <xf numFmtId="0" fontId="13" fillId="9" borderId="1" xfId="1" applyFont="1" applyFill="1" applyBorder="1" applyAlignment="1">
      <alignment horizontal="center" vertical="center" wrapText="1"/>
    </xf>
    <xf numFmtId="0" fontId="13" fillId="10" borderId="1" xfId="1" applyFont="1" applyFill="1" applyBorder="1" applyAlignment="1">
      <alignment horizontal="center" vertical="center" wrapText="1"/>
    </xf>
    <xf numFmtId="0" fontId="13" fillId="10" borderId="1" xfId="4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165" fontId="1" fillId="2" borderId="14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7" fontId="1" fillId="2" borderId="14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165" fontId="1" fillId="3" borderId="14" xfId="0" applyNumberFormat="1" applyFont="1" applyFill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168" fontId="1" fillId="3" borderId="14" xfId="0" applyNumberFormat="1" applyFont="1" applyFill="1" applyBorder="1" applyAlignment="1">
      <alignment horizontal="center" vertical="center" wrapText="1"/>
    </xf>
    <xf numFmtId="0" fontId="13" fillId="10" borderId="14" xfId="1" applyFont="1" applyFill="1" applyBorder="1" applyAlignment="1">
      <alignment horizontal="center" vertical="center" wrapText="1"/>
    </xf>
    <xf numFmtId="0" fontId="13" fillId="6" borderId="14" xfId="1" applyFont="1" applyFill="1" applyBorder="1" applyAlignment="1">
      <alignment horizontal="center" vertical="center" wrapText="1"/>
    </xf>
    <xf numFmtId="0" fontId="13" fillId="7" borderId="14" xfId="1" applyFont="1" applyFill="1" applyBorder="1" applyAlignment="1">
      <alignment horizontal="center" vertical="center" wrapText="1"/>
    </xf>
    <xf numFmtId="0" fontId="13" fillId="9" borderId="14" xfId="1" applyFont="1" applyFill="1" applyBorder="1" applyAlignment="1">
      <alignment horizontal="center" vertical="center" wrapText="1"/>
    </xf>
    <xf numFmtId="0" fontId="13" fillId="8" borderId="14" xfId="1" applyFont="1" applyFill="1" applyBorder="1" applyAlignment="1">
      <alignment horizontal="center" vertical="center" wrapText="1"/>
    </xf>
    <xf numFmtId="0" fontId="13" fillId="5" borderId="14" xfId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7" fontId="1" fillId="11" borderId="6" xfId="0" applyNumberFormat="1" applyFont="1" applyFill="1" applyBorder="1" applyAlignment="1">
      <alignment horizontal="center" vertical="center" wrapText="1"/>
    </xf>
    <xf numFmtId="7" fontId="1" fillId="13" borderId="6" xfId="0" applyNumberFormat="1" applyFont="1" applyFill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165" fontId="1" fillId="3" borderId="15" xfId="0" applyNumberFormat="1" applyFont="1" applyFill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4" fontId="1" fillId="3" borderId="15" xfId="0" applyNumberFormat="1" applyFont="1" applyFill="1" applyBorder="1" applyAlignment="1">
      <alignment horizontal="center" vertical="center" wrapText="1"/>
    </xf>
    <xf numFmtId="1" fontId="1" fillId="3" borderId="15" xfId="0" applyNumberFormat="1" applyFont="1" applyFill="1" applyBorder="1" applyAlignment="1">
      <alignment horizontal="center" vertical="center" wrapText="1"/>
    </xf>
    <xf numFmtId="2" fontId="1" fillId="3" borderId="14" xfId="0" applyNumberFormat="1" applyFont="1" applyFill="1" applyBorder="1" applyAlignment="1">
      <alignment horizontal="center" vertical="center" wrapText="1"/>
    </xf>
    <xf numFmtId="164" fontId="1" fillId="14" borderId="6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164" fontId="1" fillId="16" borderId="6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4" fontId="1" fillId="3" borderId="14" xfId="0" applyNumberFormat="1" applyFont="1" applyFill="1" applyBorder="1" applyAlignment="1">
      <alignment horizontal="center" vertical="center" wrapText="1"/>
    </xf>
    <xf numFmtId="0" fontId="1" fillId="18" borderId="0" xfId="0" applyFont="1" applyFill="1" applyAlignment="1">
      <alignment horizontal="center" vertical="center" wrapText="1"/>
    </xf>
    <xf numFmtId="49" fontId="1" fillId="18" borderId="20" xfId="0" applyNumberFormat="1" applyFont="1" applyFill="1" applyBorder="1" applyAlignment="1">
      <alignment horizontal="center" vertical="center" wrapText="1"/>
    </xf>
    <xf numFmtId="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0" xfId="0" applyNumberFormat="1" applyFont="1" applyFill="1" applyBorder="1" applyAlignment="1">
      <alignment horizontal="center" vertical="center" wrapText="1"/>
    </xf>
    <xf numFmtId="1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1" xfId="0" applyNumberFormat="1" applyFont="1" applyFill="1" applyBorder="1" applyAlignment="1">
      <alignment horizontal="center" vertical="center" wrapText="1"/>
    </xf>
    <xf numFmtId="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1" xfId="0" applyNumberFormat="1" applyFont="1" applyFill="1" applyBorder="1" applyAlignment="1">
      <alignment horizontal="center" vertical="center" wrapText="1"/>
    </xf>
    <xf numFmtId="165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1" xfId="0" applyFont="1" applyFill="1" applyBorder="1" applyAlignment="1" applyProtection="1">
      <alignment horizontal="center" vertical="center" wrapText="1"/>
      <protection locked="0"/>
    </xf>
    <xf numFmtId="49" fontId="1" fillId="18" borderId="22" xfId="0" applyNumberFormat="1" applyFont="1" applyFill="1" applyBorder="1" applyAlignment="1">
      <alignment horizontal="center" vertical="center" wrapText="1"/>
    </xf>
    <xf numFmtId="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2" xfId="0" applyFont="1" applyFill="1" applyBorder="1" applyAlignment="1" applyProtection="1">
      <alignment horizontal="center" vertical="center" wrapText="1"/>
      <protection locked="0"/>
    </xf>
    <xf numFmtId="165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>
      <alignment horizontal="center" vertical="center" wrapText="1"/>
    </xf>
    <xf numFmtId="167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2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 applyProtection="1">
      <alignment horizontal="center" vertical="center" wrapText="1"/>
      <protection locked="0"/>
    </xf>
    <xf numFmtId="165" fontId="1" fillId="0" borderId="22" xfId="0" applyNumberFormat="1" applyFont="1" applyBorder="1" applyAlignment="1" applyProtection="1">
      <alignment horizontal="center" vertical="center" wrapText="1"/>
      <protection locked="0"/>
    </xf>
    <xf numFmtId="14" fontId="1" fillId="0" borderId="22" xfId="0" applyNumberFormat="1" applyFont="1" applyBorder="1" applyAlignment="1" applyProtection="1">
      <alignment horizontal="center" vertical="center" wrapText="1"/>
      <protection locked="0"/>
    </xf>
    <xf numFmtId="4" fontId="1" fillId="0" borderId="22" xfId="0" applyNumberFormat="1" applyFont="1" applyBorder="1" applyAlignment="1" applyProtection="1">
      <alignment horizontal="center" vertical="center" wrapText="1"/>
      <protection locked="0"/>
    </xf>
    <xf numFmtId="4" fontId="1" fillId="0" borderId="22" xfId="0" applyNumberFormat="1" applyFont="1" applyBorder="1" applyAlignment="1">
      <alignment horizontal="center" vertical="center" wrapText="1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center" vertical="center" wrapText="1"/>
    </xf>
    <xf numFmtId="1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7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6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6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16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4" fontId="4" fillId="0" borderId="16" xfId="0" applyNumberFormat="1" applyFont="1" applyBorder="1" applyAlignment="1">
      <alignment horizontal="center" vertical="center" wrapText="1"/>
    </xf>
    <xf numFmtId="4" fontId="4" fillId="0" borderId="18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64" fontId="3" fillId="0" borderId="18" xfId="0" applyNumberFormat="1" applyFont="1" applyBorder="1" applyAlignment="1">
      <alignment horizontal="center" vertical="center" wrapText="1"/>
    </xf>
    <xf numFmtId="0" fontId="5" fillId="15" borderId="3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0" fontId="5" fillId="15" borderId="5" xfId="0" applyFont="1" applyFill="1" applyBorder="1" applyAlignment="1">
      <alignment horizontal="center" vertical="center" wrapText="1"/>
    </xf>
    <xf numFmtId="0" fontId="6" fillId="15" borderId="3" xfId="0" applyFont="1" applyFill="1" applyBorder="1" applyAlignment="1">
      <alignment horizontal="center" vertical="center" wrapText="1"/>
    </xf>
    <xf numFmtId="0" fontId="6" fillId="15" borderId="4" xfId="0" applyFont="1" applyFill="1" applyBorder="1" applyAlignment="1">
      <alignment horizontal="center" vertical="center" wrapText="1"/>
    </xf>
    <xf numFmtId="0" fontId="6" fillId="15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7" fillId="12" borderId="3" xfId="0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 wrapText="1"/>
    </xf>
    <xf numFmtId="0" fontId="7" fillId="12" borderId="5" xfId="0" applyFont="1" applyFill="1" applyBorder="1" applyAlignment="1">
      <alignment horizontal="center" vertical="center" wrapText="1"/>
    </xf>
    <xf numFmtId="0" fontId="7" fillId="13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2" fillId="17" borderId="3" xfId="0" applyFont="1" applyFill="1" applyBorder="1" applyAlignment="1">
      <alignment horizontal="center" vertical="center" wrapText="1"/>
    </xf>
    <xf numFmtId="0" fontId="2" fillId="17" borderId="4" xfId="0" applyFont="1" applyFill="1" applyBorder="1" applyAlignment="1">
      <alignment horizontal="center" vertical="center" wrapText="1"/>
    </xf>
    <xf numFmtId="0" fontId="2" fillId="17" borderId="5" xfId="0" applyFont="1" applyFill="1" applyBorder="1" applyAlignment="1">
      <alignment horizontal="center" vertical="center" wrapText="1"/>
    </xf>
    <xf numFmtId="0" fontId="8" fillId="12" borderId="8" xfId="0" applyFont="1" applyFill="1" applyBorder="1" applyAlignment="1">
      <alignment horizontal="center" vertical="center" wrapText="1"/>
    </xf>
    <xf numFmtId="0" fontId="8" fillId="12" borderId="9" xfId="0" applyFont="1" applyFill="1" applyBorder="1" applyAlignment="1">
      <alignment horizontal="center" vertical="center" wrapText="1"/>
    </xf>
    <xf numFmtId="0" fontId="8" fillId="12" borderId="10" xfId="0" applyFont="1" applyFill="1" applyBorder="1" applyAlignment="1">
      <alignment horizontal="center" vertical="center" wrapText="1"/>
    </xf>
    <xf numFmtId="0" fontId="8" fillId="12" borderId="11" xfId="0" applyFont="1" applyFill="1" applyBorder="1" applyAlignment="1">
      <alignment horizontal="center" vertical="center" wrapText="1"/>
    </xf>
    <xf numFmtId="0" fontId="8" fillId="12" borderId="7" xfId="0" applyFont="1" applyFill="1" applyBorder="1" applyAlignment="1">
      <alignment horizontal="center" vertical="center" wrapText="1"/>
    </xf>
    <xf numFmtId="0" fontId="8" fillId="12" borderId="12" xfId="0" applyFont="1" applyFill="1" applyBorder="1" applyAlignment="1">
      <alignment horizontal="center" vertical="center" wrapText="1"/>
    </xf>
    <xf numFmtId="164" fontId="9" fillId="2" borderId="8" xfId="0" applyNumberFormat="1" applyFont="1" applyFill="1" applyBorder="1" applyAlignment="1">
      <alignment horizontal="center" vertical="center" wrapText="1"/>
    </xf>
    <xf numFmtId="164" fontId="9" fillId="2" borderId="9" xfId="0" applyNumberFormat="1" applyFont="1" applyFill="1" applyBorder="1" applyAlignment="1">
      <alignment horizontal="center" vertical="center" wrapText="1"/>
    </xf>
    <xf numFmtId="164" fontId="9" fillId="2" borderId="10" xfId="0" applyNumberFormat="1" applyFont="1" applyFill="1" applyBorder="1" applyAlignment="1">
      <alignment horizontal="center" vertical="center" wrapText="1"/>
    </xf>
    <xf numFmtId="164" fontId="9" fillId="2" borderId="11" xfId="0" applyNumberFormat="1" applyFont="1" applyFill="1" applyBorder="1" applyAlignment="1">
      <alignment horizontal="center" vertical="center" wrapText="1"/>
    </xf>
    <xf numFmtId="164" fontId="9" fillId="2" borderId="7" xfId="0" applyNumberFormat="1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18" borderId="23" xfId="0" applyNumberFormat="1" applyFont="1" applyFill="1" applyBorder="1" applyAlignment="1">
      <alignment horizontal="center" vertical="center" wrapText="1"/>
    </xf>
    <xf numFmtId="49" fontId="1" fillId="18" borderId="26" xfId="0" applyNumberFormat="1" applyFont="1" applyFill="1" applyBorder="1" applyAlignment="1">
      <alignment horizontal="center" vertical="center" wrapText="1"/>
    </xf>
    <xf numFmtId="1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5" xfId="0" applyFont="1" applyFill="1" applyBorder="1" applyAlignment="1" applyProtection="1">
      <alignment horizontal="center" vertical="center" wrapText="1"/>
      <protection locked="0"/>
    </xf>
    <xf numFmtId="0" fontId="1" fillId="18" borderId="28" xfId="0" applyFont="1" applyFill="1" applyBorder="1" applyAlignment="1" applyProtection="1">
      <alignment horizontal="center" vertical="center" wrapText="1"/>
      <protection locked="0"/>
    </xf>
    <xf numFmtId="165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4" xfId="0" applyNumberFormat="1" applyFont="1" applyFill="1" applyBorder="1" applyAlignment="1">
      <alignment horizontal="center" vertical="center" wrapText="1"/>
    </xf>
    <xf numFmtId="4" fontId="1" fillId="18" borderId="27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10" borderId="5" xfId="0" applyNumberFormat="1" applyFont="1" applyFill="1" applyBorder="1" applyAlignment="1">
      <alignment horizontal="center" vertical="center" wrapText="1"/>
    </xf>
    <xf numFmtId="16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0" fontId="1" fillId="10" borderId="0" xfId="0" applyFont="1" applyFill="1" applyAlignment="1">
      <alignment horizontal="center" vertical="center" wrapText="1"/>
    </xf>
    <xf numFmtId="0" fontId="1" fillId="10" borderId="19" xfId="0" applyFont="1" applyFill="1" applyBorder="1" applyAlignment="1">
      <alignment horizontal="center" vertical="center" wrapText="1"/>
    </xf>
    <xf numFmtId="0" fontId="1" fillId="18" borderId="31" xfId="0" applyFont="1" applyFill="1" applyBorder="1" applyAlignment="1" applyProtection="1">
      <alignment horizontal="center" vertical="center" wrapText="1"/>
      <protection locked="0"/>
    </xf>
    <xf numFmtId="0" fontId="1" fillId="18" borderId="37" xfId="0" applyFont="1" applyFill="1" applyBorder="1" applyAlignment="1" applyProtection="1">
      <alignment horizontal="center" vertical="center" wrapText="1"/>
      <protection locked="0"/>
    </xf>
    <xf numFmtId="0" fontId="1" fillId="18" borderId="34" xfId="0" applyFont="1" applyFill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>
      <alignment horizontal="center" vertical="center" wrapText="1"/>
    </xf>
    <xf numFmtId="4" fontId="1" fillId="18" borderId="36" xfId="0" applyNumberFormat="1" applyFont="1" applyFill="1" applyBorder="1" applyAlignment="1">
      <alignment horizontal="center" vertical="center" wrapText="1"/>
    </xf>
    <xf numFmtId="4" fontId="1" fillId="18" borderId="33" xfId="0" applyNumberFormat="1" applyFont="1" applyFill="1" applyBorder="1" applyAlignment="1">
      <alignment horizontal="center" vertical="center" wrapText="1"/>
    </xf>
    <xf numFmtId="1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9" xfId="0" applyNumberFormat="1" applyFont="1" applyFill="1" applyBorder="1" applyAlignment="1">
      <alignment horizontal="center" vertical="center" wrapText="1"/>
    </xf>
    <xf numFmtId="49" fontId="1" fillId="18" borderId="35" xfId="0" applyNumberFormat="1" applyFont="1" applyFill="1" applyBorder="1" applyAlignment="1">
      <alignment horizontal="center" vertical="center" wrapText="1"/>
    </xf>
    <xf numFmtId="49" fontId="1" fillId="18" borderId="32" xfId="0" applyNumberFormat="1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3" fillId="10" borderId="13" xfId="1" applyFont="1" applyFill="1" applyBorder="1" applyAlignment="1">
      <alignment horizontal="center" vertical="center" wrapText="1"/>
    </xf>
    <xf numFmtId="0" fontId="13" fillId="10" borderId="2" xfId="1" applyFont="1" applyFill="1" applyBorder="1" applyAlignment="1">
      <alignment horizontal="center" vertical="center" wrapText="1"/>
    </xf>
    <xf numFmtId="0" fontId="13" fillId="8" borderId="13" xfId="1" applyFont="1" applyFill="1" applyBorder="1" applyAlignment="1">
      <alignment horizontal="center" vertical="center" wrapText="1"/>
    </xf>
    <xf numFmtId="0" fontId="13" fillId="8" borderId="2" xfId="1" applyFont="1" applyFill="1" applyBorder="1" applyAlignment="1">
      <alignment horizontal="center" vertical="center" wrapText="1"/>
    </xf>
    <xf numFmtId="0" fontId="13" fillId="9" borderId="13" xfId="1" applyFont="1" applyFill="1" applyBorder="1" applyAlignment="1">
      <alignment horizontal="center" vertical="center" wrapText="1"/>
    </xf>
    <xf numFmtId="0" fontId="13" fillId="9" borderId="2" xfId="1" applyFont="1" applyFill="1" applyBorder="1" applyAlignment="1">
      <alignment horizontal="center" vertical="center" wrapText="1"/>
    </xf>
    <xf numFmtId="0" fontId="13" fillId="7" borderId="13" xfId="1" applyFont="1" applyFill="1" applyBorder="1" applyAlignment="1">
      <alignment horizontal="center" vertical="center" wrapText="1"/>
    </xf>
    <xf numFmtId="0" fontId="13" fillId="7" borderId="2" xfId="1" applyFont="1" applyFill="1" applyBorder="1" applyAlignment="1">
      <alignment horizontal="center" vertical="center" wrapText="1"/>
    </xf>
    <xf numFmtId="0" fontId="13" fillId="6" borderId="13" xfId="1" applyFont="1" applyFill="1" applyBorder="1" applyAlignment="1">
      <alignment horizontal="center" vertical="center" wrapText="1"/>
    </xf>
    <xf numFmtId="0" fontId="13" fillId="6" borderId="2" xfId="1" applyFont="1" applyFill="1" applyBorder="1" applyAlignment="1">
      <alignment horizontal="center" vertical="center" wrapText="1"/>
    </xf>
  </cellXfs>
  <cellStyles count="7">
    <cellStyle name="Гиперссылка" xfId="6" builtinId="8"/>
    <cellStyle name="Обычный" xfId="0" builtinId="0"/>
    <cellStyle name="Обычный 2" xfId="2"/>
    <cellStyle name="Обычный 2 2" xfId="5"/>
    <cellStyle name="Обычный 2 3" xfId="3"/>
    <cellStyle name="Обычный 3" xfId="1"/>
    <cellStyle name="Обычный 4" xfId="4"/>
  </cellStyles>
  <dxfs count="0"/>
  <tableStyles count="0" defaultTableStyle="TableStyleMedium2" defaultPivotStyle="PivotStyleLight16"/>
  <colors>
    <mruColors>
      <color rgb="FFFF9999"/>
      <color rgb="FFA30101"/>
      <color rgb="FFFF6D6D"/>
      <color rgb="FF00FF00"/>
      <color rgb="FF8FFF8F"/>
      <color rgb="FFAAFE22"/>
      <color rgb="FFCEF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1828800</xdr:colOff>
      <xdr:row>2</xdr:row>
      <xdr:rowOff>238950</xdr:rowOff>
    </xdr:from>
    <xdr:to>
      <xdr:col>8</xdr:col>
      <xdr:colOff>673650</xdr:colOff>
      <xdr:row>3</xdr:row>
      <xdr:rowOff>495300</xdr:rowOff>
    </xdr:to>
    <xdr:sp macro="[0]!ДобавитьКонтрактП4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/>
        </xdr:cNvSpPr>
      </xdr:nvSpPr>
      <xdr:spPr>
        <a:xfrm>
          <a:off x="10972800" y="10009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 fPrintsWithSheet="0"/>
  </xdr:twoCellAnchor>
  <xdr:oneCellAnchor>
    <xdr:from>
      <xdr:col>6</xdr:col>
      <xdr:colOff>467591</xdr:colOff>
      <xdr:row>4</xdr:row>
      <xdr:rowOff>69273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1585864" y="1697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16</xdr:col>
      <xdr:colOff>742950</xdr:colOff>
      <xdr:row>2</xdr:row>
      <xdr:rowOff>238950</xdr:rowOff>
    </xdr:from>
    <xdr:to>
      <xdr:col>20</xdr:col>
      <xdr:colOff>178350</xdr:colOff>
      <xdr:row>3</xdr:row>
      <xdr:rowOff>495300</xdr:rowOff>
    </xdr:to>
    <xdr:sp macro="[0]!ДобавитьППАктП4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2061150" y="10009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oneCell">
    <xdr:from>
      <xdr:col>10</xdr:col>
      <xdr:colOff>877800</xdr:colOff>
      <xdr:row>3</xdr:row>
      <xdr:rowOff>0</xdr:rowOff>
    </xdr:from>
    <xdr:to>
      <xdr:col>13</xdr:col>
      <xdr:colOff>541800</xdr:colOff>
      <xdr:row>4</xdr:row>
      <xdr:rowOff>1080</xdr:rowOff>
    </xdr:to>
    <xdr:sp macro="[0]!УдалитьСтрокуП4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0651700" y="1009650"/>
          <a:ext cx="5760000" cy="504000"/>
        </a:xfrm>
        <a:prstGeom prst="roundRect">
          <a:avLst/>
        </a:prstGeom>
        <a:gradFill flip="none" rotWithShape="1"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  <a:tileRect/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  <a:r>
            <a:rPr lang="ru-RU" sz="3600" b="1" baseline="0">
              <a:solidFill>
                <a:schemeClr val="tx1"/>
              </a:solidFill>
            </a:rPr>
            <a:t> 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1440532</xdr:colOff>
      <xdr:row>3</xdr:row>
      <xdr:rowOff>6924</xdr:rowOff>
    </xdr:from>
    <xdr:to>
      <xdr:col>13</xdr:col>
      <xdr:colOff>303685</xdr:colOff>
      <xdr:row>3</xdr:row>
      <xdr:rowOff>501399</xdr:rowOff>
    </xdr:to>
    <xdr:sp macro="[0]!УдалитьСтрокуП5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0142776" y="1016574"/>
          <a:ext cx="5760000" cy="494475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6</xdr:col>
      <xdr:colOff>61478</xdr:colOff>
      <xdr:row>3</xdr:row>
      <xdr:rowOff>0</xdr:rowOff>
    </xdr:from>
    <xdr:to>
      <xdr:col>8</xdr:col>
      <xdr:colOff>643987</xdr:colOff>
      <xdr:row>3</xdr:row>
      <xdr:rowOff>484950</xdr:rowOff>
    </xdr:to>
    <xdr:sp macro="[0]!ДобавитьКонтрактП5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1415278" y="99060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14</xdr:col>
      <xdr:colOff>1569670</xdr:colOff>
      <xdr:row>3</xdr:row>
      <xdr:rowOff>0</xdr:rowOff>
    </xdr:from>
    <xdr:to>
      <xdr:col>17</xdr:col>
      <xdr:colOff>1456668</xdr:colOff>
      <xdr:row>3</xdr:row>
      <xdr:rowOff>501534</xdr:rowOff>
    </xdr:to>
    <xdr:sp macro="[0]!ДобавитьППАктП5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29054712" y="100965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12150</xdr:colOff>
      <xdr:row>3</xdr:row>
      <xdr:rowOff>0</xdr:rowOff>
    </xdr:from>
    <xdr:to>
      <xdr:col>6</xdr:col>
      <xdr:colOff>1771650</xdr:colOff>
      <xdr:row>3</xdr:row>
      <xdr:rowOff>499803</xdr:rowOff>
    </xdr:to>
    <xdr:sp macro="[0]!ДобавитьКонтрактSt93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889200" y="1009650"/>
          <a:ext cx="5760000" cy="507423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16</xdr:col>
      <xdr:colOff>0</xdr:colOff>
      <xdr:row>3</xdr:row>
      <xdr:rowOff>0</xdr:rowOff>
    </xdr:from>
    <xdr:to>
      <xdr:col>19</xdr:col>
      <xdr:colOff>559350</xdr:colOff>
      <xdr:row>3</xdr:row>
      <xdr:rowOff>490104</xdr:rowOff>
    </xdr:to>
    <xdr:sp macro="[0]!ДобавитьППАктSt93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30346650" y="99060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absolute">
    <xdr:from>
      <xdr:col>11</xdr:col>
      <xdr:colOff>6926</xdr:colOff>
      <xdr:row>3</xdr:row>
      <xdr:rowOff>0</xdr:rowOff>
    </xdr:from>
    <xdr:to>
      <xdr:col>13</xdr:col>
      <xdr:colOff>680576</xdr:colOff>
      <xdr:row>3</xdr:row>
      <xdr:rowOff>499802</xdr:rowOff>
    </xdr:to>
    <xdr:sp macro="[0]!УдалитьСтрокуSt93" textlink="">
      <xdr:nvSpPr>
        <xdr:cNvPr id="6" name="Скругленный прямоугольник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20352326" y="1009650"/>
          <a:ext cx="5760000" cy="507422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564600</xdr:colOff>
      <xdr:row>3</xdr:row>
      <xdr:rowOff>29400</xdr:rowOff>
    </xdr:from>
    <xdr:to>
      <xdr:col>9</xdr:col>
      <xdr:colOff>1733550</xdr:colOff>
      <xdr:row>4</xdr:row>
      <xdr:rowOff>19050</xdr:rowOff>
    </xdr:to>
    <xdr:sp macro="[0]!ДобавитьКонтрактS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2909000" y="10390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13</xdr:col>
      <xdr:colOff>926550</xdr:colOff>
      <xdr:row>3</xdr:row>
      <xdr:rowOff>19050</xdr:rowOff>
    </xdr:from>
    <xdr:to>
      <xdr:col>16</xdr:col>
      <xdr:colOff>1295400</xdr:colOff>
      <xdr:row>4</xdr:row>
      <xdr:rowOff>8700</xdr:rowOff>
    </xdr:to>
    <xdr:sp macro="[0]!УдалитьСтрокуSEA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24110400" y="1028700"/>
          <a:ext cx="5760000" cy="504000"/>
        </a:xfrm>
        <a:prstGeom prst="roundRect">
          <a:avLst/>
        </a:prstGeom>
        <a:gradFill>
          <a:gsLst>
            <a:gs pos="61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2038350</xdr:colOff>
      <xdr:row>3</xdr:row>
      <xdr:rowOff>48450</xdr:rowOff>
    </xdr:from>
    <xdr:to>
      <xdr:col>23</xdr:col>
      <xdr:colOff>483150</xdr:colOff>
      <xdr:row>4</xdr:row>
      <xdr:rowOff>38100</xdr:rowOff>
    </xdr:to>
    <xdr:sp macro="[0]!ДобавитьППАктSEA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5128200" y="10581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1962150</xdr:colOff>
      <xdr:row>3</xdr:row>
      <xdr:rowOff>0</xdr:rowOff>
    </xdr:from>
    <xdr:to>
      <xdr:col>9</xdr:col>
      <xdr:colOff>883200</xdr:colOff>
      <xdr:row>4</xdr:row>
      <xdr:rowOff>1080</xdr:rowOff>
    </xdr:to>
    <xdr:sp macro="[0]!ДобавитьКонтрактN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2515850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1416626</xdr:colOff>
      <xdr:row>3</xdr:row>
      <xdr:rowOff>0</xdr:rowOff>
    </xdr:from>
    <xdr:to>
      <xdr:col>16</xdr:col>
      <xdr:colOff>70976</xdr:colOff>
      <xdr:row>4</xdr:row>
      <xdr:rowOff>1080</xdr:rowOff>
    </xdr:to>
    <xdr:sp macro="[0]!УдалитьСтрокуNEA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23343176" y="100965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819150</xdr:colOff>
      <xdr:row>2</xdr:row>
      <xdr:rowOff>209550</xdr:rowOff>
    </xdr:from>
    <xdr:to>
      <xdr:col>22</xdr:col>
      <xdr:colOff>864150</xdr:colOff>
      <xdr:row>3</xdr:row>
      <xdr:rowOff>465900</xdr:rowOff>
    </xdr:to>
    <xdr:sp macro="[0]!ДобавитьППАктNEA" textlink="">
      <xdr:nvSpPr>
        <xdr:cNvPr id="7" name="Скругленный прямоугольник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34709100" y="9715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880628</xdr:colOff>
      <xdr:row>3</xdr:row>
      <xdr:rowOff>0</xdr:rowOff>
    </xdr:from>
    <xdr:to>
      <xdr:col>8</xdr:col>
      <xdr:colOff>1420928</xdr:colOff>
      <xdr:row>4</xdr:row>
      <xdr:rowOff>1080</xdr:rowOff>
    </xdr:to>
    <xdr:sp macro="[0]!ДобавитьКонтрактIKZ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1358128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1409700</xdr:colOff>
      <xdr:row>3</xdr:row>
      <xdr:rowOff>10350</xdr:rowOff>
    </xdr:from>
    <xdr:to>
      <xdr:col>15</xdr:col>
      <xdr:colOff>1877610</xdr:colOff>
      <xdr:row>4</xdr:row>
      <xdr:rowOff>0</xdr:rowOff>
    </xdr:to>
    <xdr:sp macro="[0]!УдалитьСтрокуIKZ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23260050" y="102000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 fPrintsWithSheet="0"/>
  </xdr:twoCellAnchor>
  <xdr:twoCellAnchor editAs="absolute">
    <xdr:from>
      <xdr:col>19</xdr:col>
      <xdr:colOff>785580</xdr:colOff>
      <xdr:row>3</xdr:row>
      <xdr:rowOff>10350</xdr:rowOff>
    </xdr:from>
    <xdr:to>
      <xdr:col>22</xdr:col>
      <xdr:colOff>868680</xdr:colOff>
      <xdr:row>4</xdr:row>
      <xdr:rowOff>0</xdr:rowOff>
    </xdr:to>
    <xdr:sp macro="[0]!ДобавитьППАктIKZ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4606950" y="10200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rgb="FFFFFF00"/>
  </sheetPr>
  <dimension ref="A1:W20"/>
  <sheetViews>
    <sheetView showGridLines="0" tabSelected="1" zoomScale="70" zoomScaleNormal="70" workbookViewId="0">
      <selection activeCell="G12" sqref="G12:I12"/>
    </sheetView>
  </sheetViews>
  <sheetFormatPr defaultColWidth="0" defaultRowHeight="15" x14ac:dyDescent="0.25"/>
  <cols>
    <col min="1" max="2" width="9.140625" style="8" customWidth="1"/>
    <col min="3" max="3" width="25.28515625" style="8" customWidth="1"/>
    <col min="4" max="5" width="9.140625" style="8" customWidth="1"/>
    <col min="6" max="6" width="11.7109375" style="8" customWidth="1"/>
    <col min="7" max="7" width="19" style="8" customWidth="1"/>
    <col min="8" max="8" width="6.5703125" style="8" customWidth="1"/>
    <col min="9" max="9" width="5.5703125" style="8" customWidth="1"/>
    <col min="10" max="10" width="15" style="8" customWidth="1"/>
    <col min="11" max="11" width="14.85546875" style="8" customWidth="1"/>
    <col min="12" max="12" width="21.28515625" style="8" customWidth="1"/>
    <col min="13" max="13" width="10.140625" style="8" customWidth="1"/>
    <col min="14" max="14" width="17.140625" style="8" bestFit="1" customWidth="1"/>
    <col min="15" max="22" width="9.140625" style="8" hidden="1" customWidth="1"/>
    <col min="23" max="23" width="30.7109375" style="8" hidden="1" customWidth="1"/>
    <col min="24" max="16384" width="9.140625" style="8" hidden="1"/>
  </cols>
  <sheetData>
    <row r="1" spans="1:14" ht="27" customHeight="1" thickBot="1" x14ac:dyDescent="0.3">
      <c r="A1" s="171" t="s">
        <v>141</v>
      </c>
      <c r="B1" s="172"/>
      <c r="C1" s="172"/>
      <c r="D1" s="172"/>
      <c r="E1" s="171" t="s">
        <v>154</v>
      </c>
      <c r="F1" s="172"/>
      <c r="G1" s="172"/>
      <c r="H1" s="172"/>
      <c r="I1" s="172"/>
      <c r="J1" s="172"/>
      <c r="K1" s="172"/>
      <c r="L1" s="172"/>
      <c r="M1" s="172"/>
      <c r="N1" s="173"/>
    </row>
    <row r="3" spans="1:14" ht="15.75" thickBot="1" x14ac:dyDescent="0.3">
      <c r="I3" s="16"/>
      <c r="J3" s="16"/>
      <c r="K3" s="16"/>
      <c r="L3" s="16"/>
      <c r="M3" s="16"/>
      <c r="N3" s="16"/>
    </row>
    <row r="4" spans="1:14" ht="32.25" customHeight="1" thickBot="1" x14ac:dyDescent="0.3">
      <c r="A4" s="147" t="s">
        <v>25</v>
      </c>
      <c r="B4" s="148"/>
      <c r="C4" s="4">
        <v>12296919.029999999</v>
      </c>
      <c r="D4" s="5"/>
      <c r="E4" s="149" t="s">
        <v>140</v>
      </c>
      <c r="F4" s="150"/>
      <c r="G4" s="151"/>
      <c r="H4" s="152">
        <v>2000000</v>
      </c>
      <c r="I4" s="153"/>
      <c r="J4" s="154"/>
      <c r="K4" s="17"/>
      <c r="L4" s="81" t="s">
        <v>55</v>
      </c>
      <c r="M4" s="149">
        <v>4962082.2699999996</v>
      </c>
      <c r="N4" s="151"/>
    </row>
    <row r="5" spans="1:14" ht="30.75" customHeight="1" thickBot="1" x14ac:dyDescent="0.3">
      <c r="A5" s="147" t="s">
        <v>26</v>
      </c>
      <c r="B5" s="148"/>
      <c r="C5" s="6">
        <f>C4-G15+J15</f>
        <v>7097312.4099999992</v>
      </c>
      <c r="D5" s="5"/>
      <c r="E5" s="149" t="s">
        <v>53</v>
      </c>
      <c r="F5" s="150"/>
      <c r="G5" s="151"/>
      <c r="H5" s="139">
        <f>H4-G12</f>
        <v>1746412</v>
      </c>
      <c r="I5" s="140"/>
      <c r="J5" s="141"/>
      <c r="K5" s="17"/>
      <c r="L5" s="81" t="s">
        <v>54</v>
      </c>
      <c r="M5" s="142">
        <f>M4-G13+J13</f>
        <v>3664190.82</v>
      </c>
      <c r="N5" s="143"/>
    </row>
    <row r="6" spans="1:14" x14ac:dyDescent="0.25">
      <c r="C6" s="7"/>
      <c r="D6" s="9"/>
      <c r="E6" s="9"/>
      <c r="F6" s="9"/>
      <c r="G6" s="9"/>
      <c r="H6" s="9"/>
      <c r="I6" s="9"/>
      <c r="J6" s="9"/>
      <c r="K6" s="9"/>
      <c r="L6" s="9"/>
    </row>
    <row r="7" spans="1:14" ht="15.75" thickBot="1" x14ac:dyDescent="0.3"/>
    <row r="8" spans="1:14" ht="72" customHeight="1" thickBot="1" x14ac:dyDescent="0.3">
      <c r="A8" s="155" t="s">
        <v>27</v>
      </c>
      <c r="B8" s="156"/>
      <c r="C8" s="157"/>
      <c r="D8" s="155" t="s">
        <v>28</v>
      </c>
      <c r="E8" s="156"/>
      <c r="F8" s="157"/>
      <c r="G8" s="158" t="s">
        <v>29</v>
      </c>
      <c r="H8" s="159"/>
      <c r="I8" s="160"/>
      <c r="J8" s="158" t="s">
        <v>142</v>
      </c>
      <c r="K8" s="159"/>
      <c r="L8" s="160"/>
      <c r="M8" s="155" t="s">
        <v>30</v>
      </c>
      <c r="N8" s="157"/>
    </row>
    <row r="9" spans="1:14" ht="41.25" customHeight="1" thickBot="1" x14ac:dyDescent="0.3">
      <c r="A9" s="161" t="s">
        <v>31</v>
      </c>
      <c r="B9" s="162"/>
      <c r="C9" s="163"/>
      <c r="D9" s="164">
        <f>'Состоявшиеся аукционы'!G2</f>
        <v>740880</v>
      </c>
      <c r="E9" s="164"/>
      <c r="F9" s="164"/>
      <c r="G9" s="164">
        <f>'Состоявшиеся аукционы'!Q2</f>
        <v>674200.8</v>
      </c>
      <c r="H9" s="164"/>
      <c r="I9" s="164"/>
      <c r="J9" s="144">
        <f>'Состоявшиеся аукционы'!AB2</f>
        <v>0</v>
      </c>
      <c r="K9" s="146"/>
      <c r="L9" s="145"/>
      <c r="M9" s="164">
        <f t="shared" ref="M9:M15" si="0">D9-G9</f>
        <v>66679.199999999953</v>
      </c>
      <c r="N9" s="164"/>
    </row>
    <row r="10" spans="1:14" ht="78.75" customHeight="1" thickBot="1" x14ac:dyDescent="0.3">
      <c r="A10" s="161" t="s">
        <v>49</v>
      </c>
      <c r="B10" s="162"/>
      <c r="C10" s="163"/>
      <c r="D10" s="164">
        <f>'Несостоявшиеся аукционы'!G2</f>
        <v>1539365.26</v>
      </c>
      <c r="E10" s="164"/>
      <c r="F10" s="164"/>
      <c r="G10" s="164">
        <f>'Несостоявшиеся аукционы'!Q2</f>
        <v>1539365.26</v>
      </c>
      <c r="H10" s="164"/>
      <c r="I10" s="164"/>
      <c r="J10" s="144">
        <f>'Несостоявшиеся аукционы'!AB2</f>
        <v>0</v>
      </c>
      <c r="K10" s="146"/>
      <c r="L10" s="145"/>
      <c r="M10" s="164">
        <f t="shared" si="0"/>
        <v>0</v>
      </c>
      <c r="N10" s="164"/>
    </row>
    <row r="11" spans="1:14" ht="40.5" customHeight="1" thickBot="1" x14ac:dyDescent="0.3">
      <c r="A11" s="161" t="s">
        <v>83</v>
      </c>
      <c r="B11" s="162"/>
      <c r="C11" s="163"/>
      <c r="D11" s="144">
        <f>'Иные конкурентные закупки'!G2</f>
        <v>0</v>
      </c>
      <c r="E11" s="146"/>
      <c r="F11" s="145"/>
      <c r="G11" s="144">
        <f>'Иные конкурентные закупки'!Q2</f>
        <v>0</v>
      </c>
      <c r="H11" s="146"/>
      <c r="I11" s="145"/>
      <c r="J11" s="144">
        <f>'Иные конкурентные закупки'!AB2</f>
        <v>0</v>
      </c>
      <c r="K11" s="146"/>
      <c r="L11" s="145"/>
      <c r="M11" s="144">
        <f t="shared" si="0"/>
        <v>0</v>
      </c>
      <c r="N11" s="145"/>
    </row>
    <row r="12" spans="1:14" ht="54.75" customHeight="1" thickBot="1" x14ac:dyDescent="0.3">
      <c r="A12" s="168" t="s">
        <v>50</v>
      </c>
      <c r="B12" s="169"/>
      <c r="C12" s="170"/>
      <c r="D12" s="164">
        <f>'Ед. поставщик п.4 ч.1'!H2</f>
        <v>253588</v>
      </c>
      <c r="E12" s="164"/>
      <c r="F12" s="164"/>
      <c r="G12" s="164">
        <f>D12</f>
        <v>253588</v>
      </c>
      <c r="H12" s="164"/>
      <c r="I12" s="164"/>
      <c r="J12" s="144">
        <f>'Ед. поставщик п.4 ч.1'!V2</f>
        <v>0</v>
      </c>
      <c r="K12" s="146"/>
      <c r="L12" s="145"/>
      <c r="M12" s="164">
        <f t="shared" si="0"/>
        <v>0</v>
      </c>
      <c r="N12" s="164"/>
    </row>
    <row r="13" spans="1:14" ht="45.75" customHeight="1" thickBot="1" x14ac:dyDescent="0.3">
      <c r="A13" s="168" t="s">
        <v>51</v>
      </c>
      <c r="B13" s="169"/>
      <c r="C13" s="170"/>
      <c r="D13" s="164">
        <f>'Ед. поставщик п.5 ч.1'!H2</f>
        <v>1297891.4499999997</v>
      </c>
      <c r="E13" s="164"/>
      <c r="F13" s="164"/>
      <c r="G13" s="164">
        <f>D13</f>
        <v>1297891.4499999997</v>
      </c>
      <c r="H13" s="164"/>
      <c r="I13" s="164"/>
      <c r="J13" s="144">
        <f>'Ед. поставщик п.5 ч.1'!V2</f>
        <v>0</v>
      </c>
      <c r="K13" s="146"/>
      <c r="L13" s="145"/>
      <c r="M13" s="164">
        <f t="shared" si="0"/>
        <v>0</v>
      </c>
      <c r="N13" s="164"/>
    </row>
    <row r="14" spans="1:14" ht="45.75" customHeight="1" thickBot="1" x14ac:dyDescent="0.3">
      <c r="A14" s="186" t="s">
        <v>52</v>
      </c>
      <c r="B14" s="187"/>
      <c r="C14" s="188"/>
      <c r="D14" s="144">
        <f>'Ед.поставщик за искл. п.4,5 ч.1'!G2</f>
        <v>1434561.11</v>
      </c>
      <c r="E14" s="146"/>
      <c r="F14" s="145"/>
      <c r="G14" s="144">
        <f>D14</f>
        <v>1434561.11</v>
      </c>
      <c r="H14" s="146"/>
      <c r="I14" s="145"/>
      <c r="J14" s="144">
        <f>'Ед.поставщик за искл. п.4,5 ч.1'!T2</f>
        <v>0</v>
      </c>
      <c r="K14" s="146"/>
      <c r="L14" s="145"/>
      <c r="M14" s="164">
        <f t="shared" si="0"/>
        <v>0</v>
      </c>
      <c r="N14" s="164"/>
    </row>
    <row r="15" spans="1:14" ht="21" thickBot="1" x14ac:dyDescent="0.3">
      <c r="A15" s="165" t="s">
        <v>143</v>
      </c>
      <c r="B15" s="166"/>
      <c r="C15" s="167"/>
      <c r="D15" s="164">
        <f>SUM(D9:D14)</f>
        <v>5266285.8199999994</v>
      </c>
      <c r="E15" s="164"/>
      <c r="F15" s="164"/>
      <c r="G15" s="144">
        <f>SUM(G9:G14)</f>
        <v>5199606.62</v>
      </c>
      <c r="H15" s="146"/>
      <c r="I15" s="145"/>
      <c r="J15" s="144">
        <f>SUM(J9:J14)</f>
        <v>0</v>
      </c>
      <c r="K15" s="146"/>
      <c r="L15" s="145"/>
      <c r="M15" s="164">
        <f t="shared" si="0"/>
        <v>66679.199999999255</v>
      </c>
      <c r="N15" s="164"/>
    </row>
    <row r="18" spans="1:12" ht="15.75" thickBot="1" x14ac:dyDescent="0.3"/>
    <row r="19" spans="1:12" ht="23.25" customHeight="1" x14ac:dyDescent="0.25">
      <c r="A19" s="174" t="s">
        <v>35</v>
      </c>
      <c r="B19" s="175"/>
      <c r="C19" s="176"/>
      <c r="D19" s="180">
        <f>'Ед. поставщик п.4 ч.1'!P2+'Ед. поставщик п.5 ч.1'!P2+'Ед.поставщик за искл. п.4,5 ч.1'!N2+'Состоявшиеся аукционы'!V2+'Несостоявшиеся аукционы'!V2+'Иные конкурентные закупки'!V2</f>
        <v>847346.54</v>
      </c>
      <c r="E19" s="181"/>
      <c r="F19" s="181"/>
      <c r="G19" s="182"/>
      <c r="I19" s="15"/>
      <c r="J19" s="15"/>
      <c r="K19" s="15"/>
      <c r="L19" s="15"/>
    </row>
    <row r="20" spans="1:12" ht="24" customHeight="1" thickBot="1" x14ac:dyDescent="0.3">
      <c r="A20" s="177"/>
      <c r="B20" s="178"/>
      <c r="C20" s="179"/>
      <c r="D20" s="183"/>
      <c r="E20" s="184"/>
      <c r="F20" s="184"/>
      <c r="G20" s="185"/>
      <c r="I20" s="15"/>
      <c r="J20" s="15"/>
      <c r="K20" s="15"/>
      <c r="L20" s="15"/>
    </row>
  </sheetData>
  <mergeCells count="52">
    <mergeCell ref="A1:D1"/>
    <mergeCell ref="E1:N1"/>
    <mergeCell ref="A19:C20"/>
    <mergeCell ref="D19:G20"/>
    <mergeCell ref="A14:C14"/>
    <mergeCell ref="D14:F14"/>
    <mergeCell ref="G14:I14"/>
    <mergeCell ref="M12:N12"/>
    <mergeCell ref="J12:L12"/>
    <mergeCell ref="A11:C11"/>
    <mergeCell ref="D11:F11"/>
    <mergeCell ref="G11:I11"/>
    <mergeCell ref="G12:I12"/>
    <mergeCell ref="A12:C12"/>
    <mergeCell ref="D12:F12"/>
    <mergeCell ref="M13:N13"/>
    <mergeCell ref="J13:L13"/>
    <mergeCell ref="A15:C15"/>
    <mergeCell ref="D15:F15"/>
    <mergeCell ref="G15:I15"/>
    <mergeCell ref="M15:N15"/>
    <mergeCell ref="J15:L15"/>
    <mergeCell ref="A13:C13"/>
    <mergeCell ref="D13:F13"/>
    <mergeCell ref="G13:I13"/>
    <mergeCell ref="J14:L14"/>
    <mergeCell ref="M14:N14"/>
    <mergeCell ref="D10:F10"/>
    <mergeCell ref="G10:I10"/>
    <mergeCell ref="M10:N10"/>
    <mergeCell ref="J10:L10"/>
    <mergeCell ref="A9:C9"/>
    <mergeCell ref="D9:F9"/>
    <mergeCell ref="G9:I9"/>
    <mergeCell ref="M9:N9"/>
    <mergeCell ref="J9:L9"/>
    <mergeCell ref="H5:J5"/>
    <mergeCell ref="M5:N5"/>
    <mergeCell ref="M11:N11"/>
    <mergeCell ref="J11:L11"/>
    <mergeCell ref="A4:B4"/>
    <mergeCell ref="E4:G4"/>
    <mergeCell ref="H4:J4"/>
    <mergeCell ref="M4:N4"/>
    <mergeCell ref="A5:B5"/>
    <mergeCell ref="A8:C8"/>
    <mergeCell ref="D8:F8"/>
    <mergeCell ref="G8:I8"/>
    <mergeCell ref="M8:N8"/>
    <mergeCell ref="J8:L8"/>
    <mergeCell ref="E5:G5"/>
    <mergeCell ref="A10:C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tabColor rgb="FFFF0000"/>
    <pageSetUpPr fitToPage="1"/>
  </sheetPr>
  <dimension ref="A1:X17"/>
  <sheetViews>
    <sheetView showGridLines="0" topLeftCell="G1" zoomScale="60" zoomScaleNormal="60" workbookViewId="0">
      <pane ySplit="8" topLeftCell="A12" activePane="bottomLeft" state="frozen"/>
      <selection activeCell="I1" sqref="I1"/>
      <selection pane="bottomLeft" activeCell="O16" sqref="O16"/>
    </sheetView>
  </sheetViews>
  <sheetFormatPr defaultColWidth="0" defaultRowHeight="18.75" x14ac:dyDescent="0.25"/>
  <cols>
    <col min="1" max="1" width="9.140625" style="3" customWidth="1"/>
    <col min="2" max="3" width="35" style="3" customWidth="1"/>
    <col min="4" max="4" width="32.85546875" style="3" customWidth="1"/>
    <col min="5" max="5" width="24.7109375" style="11" customWidth="1"/>
    <col min="6" max="6" width="27.5703125" style="3" customWidth="1"/>
    <col min="7" max="7" width="49.140625" style="3" customWidth="1"/>
    <col min="8" max="8" width="26.85546875" style="10" customWidth="1"/>
    <col min="9" max="9" width="21.85546875" style="10" customWidth="1"/>
    <col min="10" max="10" width="33.5703125" style="3" customWidth="1"/>
    <col min="11" max="12" width="28.28515625" style="3" customWidth="1"/>
    <col min="13" max="13" width="34.85546875" style="3" customWidth="1"/>
    <col min="14" max="14" width="26.85546875" style="11" customWidth="1"/>
    <col min="15" max="15" width="28.85546875" style="3" customWidth="1"/>
    <col min="16" max="16" width="24" style="26" customWidth="1"/>
    <col min="17" max="17" width="24" style="11" bestFit="1" customWidth="1"/>
    <col min="18" max="18" width="23.42578125" style="2" customWidth="1"/>
    <col min="19" max="20" width="23.7109375" style="2" customWidth="1"/>
    <col min="21" max="21" width="24.5703125" style="11" customWidth="1"/>
    <col min="22" max="22" width="25.5703125" style="26" customWidth="1"/>
    <col min="23" max="23" width="17.7109375" style="2" customWidth="1"/>
    <col min="24" max="16384" width="9.140625" style="2" hidden="1"/>
  </cols>
  <sheetData>
    <row r="1" spans="1:24" ht="19.5" thickBot="1" x14ac:dyDescent="0.3"/>
    <row r="2" spans="1:24" ht="39.950000000000003" customHeight="1" thickBot="1" x14ac:dyDescent="0.3">
      <c r="A2" s="68"/>
      <c r="B2" s="68"/>
      <c r="C2" s="68"/>
      <c r="D2" s="68"/>
      <c r="E2" s="68"/>
      <c r="F2" s="10"/>
      <c r="G2" s="83" t="s">
        <v>24</v>
      </c>
      <c r="H2" s="80">
        <f>SUM(H9:H10002)</f>
        <v>253588</v>
      </c>
      <c r="K2" s="189"/>
      <c r="L2" s="189"/>
      <c r="M2" s="189"/>
      <c r="N2" s="190" t="s">
        <v>137</v>
      </c>
      <c r="O2" s="192"/>
      <c r="P2" s="69">
        <f>SUM(P9:P10002)</f>
        <v>175328</v>
      </c>
      <c r="R2" s="68"/>
      <c r="S2" s="190" t="s">
        <v>45</v>
      </c>
      <c r="T2" s="191"/>
      <c r="U2" s="192"/>
      <c r="V2" s="70">
        <f>SUM(V9:V10002)</f>
        <v>0</v>
      </c>
    </row>
    <row r="3" spans="1:24" x14ac:dyDescent="0.25">
      <c r="A3" s="189"/>
      <c r="B3" s="189"/>
      <c r="C3" s="189"/>
      <c r="D3" s="189"/>
      <c r="E3" s="189"/>
      <c r="N3" s="68"/>
    </row>
    <row r="4" spans="1:24" ht="39.950000000000003" customHeight="1" x14ac:dyDescent="0.25">
      <c r="J4" s="193"/>
      <c r="K4" s="193"/>
      <c r="M4" s="193"/>
      <c r="N4" s="193"/>
      <c r="O4" s="193"/>
      <c r="P4" s="193"/>
    </row>
    <row r="6" spans="1:24" ht="159" customHeight="1" x14ac:dyDescent="0.25">
      <c r="A6" s="51" t="s">
        <v>8</v>
      </c>
      <c r="B6" s="51" t="s">
        <v>47</v>
      </c>
      <c r="C6" s="51" t="s">
        <v>145</v>
      </c>
      <c r="D6" s="51" t="s">
        <v>10</v>
      </c>
      <c r="E6" s="50" t="s">
        <v>1</v>
      </c>
      <c r="F6" s="51" t="s">
        <v>2</v>
      </c>
      <c r="G6" s="51" t="s">
        <v>3</v>
      </c>
      <c r="H6" s="53" t="s">
        <v>4</v>
      </c>
      <c r="I6" s="53" t="s">
        <v>22</v>
      </c>
      <c r="J6" s="51" t="s">
        <v>46</v>
      </c>
      <c r="K6" s="51" t="s">
        <v>5</v>
      </c>
      <c r="L6" s="51" t="s">
        <v>82</v>
      </c>
      <c r="M6" s="51" t="s">
        <v>44</v>
      </c>
      <c r="N6" s="50" t="s">
        <v>7</v>
      </c>
      <c r="O6" s="51" t="s">
        <v>6</v>
      </c>
      <c r="P6" s="52" t="s">
        <v>23</v>
      </c>
      <c r="Q6" s="50" t="s">
        <v>9</v>
      </c>
      <c r="R6" s="49" t="s">
        <v>40</v>
      </c>
      <c r="S6" s="49" t="s">
        <v>103</v>
      </c>
      <c r="T6" s="49" t="s">
        <v>104</v>
      </c>
      <c r="U6" s="50" t="s">
        <v>41</v>
      </c>
      <c r="V6" s="52" t="s">
        <v>105</v>
      </c>
      <c r="W6" s="49" t="s">
        <v>42</v>
      </c>
    </row>
    <row r="7" spans="1:24" x14ac:dyDescent="0.25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</row>
    <row r="8" spans="1:24" s="14" customFormat="1" ht="117.6" customHeight="1" x14ac:dyDescent="0.25">
      <c r="A8" s="54">
        <v>1</v>
      </c>
      <c r="B8" s="54" t="s">
        <v>56</v>
      </c>
      <c r="C8" s="54"/>
      <c r="D8" s="54" t="s">
        <v>58</v>
      </c>
      <c r="E8" s="55" t="s">
        <v>57</v>
      </c>
      <c r="F8" s="55" t="s">
        <v>107</v>
      </c>
      <c r="G8" s="54" t="s">
        <v>59</v>
      </c>
      <c r="H8" s="61">
        <v>20000</v>
      </c>
      <c r="I8" s="61">
        <f>H8-P8</f>
        <v>0</v>
      </c>
      <c r="J8" s="54" t="s">
        <v>60</v>
      </c>
      <c r="K8" s="54" t="s">
        <v>61</v>
      </c>
      <c r="L8" s="54"/>
      <c r="M8" s="54" t="s">
        <v>62</v>
      </c>
      <c r="N8" s="55">
        <v>43840</v>
      </c>
      <c r="O8" s="54" t="s">
        <v>144</v>
      </c>
      <c r="P8" s="84">
        <v>20000</v>
      </c>
      <c r="Q8" s="55">
        <v>43840</v>
      </c>
      <c r="R8" s="54"/>
      <c r="S8" s="61"/>
      <c r="T8" s="61"/>
      <c r="U8" s="55"/>
      <c r="V8" s="61"/>
      <c r="W8" s="57" t="s">
        <v>64</v>
      </c>
    </row>
    <row r="9" spans="1:24" s="85" customFormat="1" ht="72" customHeight="1" x14ac:dyDescent="0.25">
      <c r="A9" s="194">
        <v>1</v>
      </c>
      <c r="B9" s="200" t="s">
        <v>56</v>
      </c>
      <c r="C9" s="200"/>
      <c r="D9" s="200"/>
      <c r="E9" s="206" t="s">
        <v>161</v>
      </c>
      <c r="F9" s="196" t="s">
        <v>210</v>
      </c>
      <c r="G9" s="200" t="s">
        <v>211</v>
      </c>
      <c r="H9" s="198">
        <v>24800</v>
      </c>
      <c r="I9" s="208">
        <f>IF(X9 = 145, H9 + SUM(S9:S10) - SUM(T9:T10) - SUM(P9:P10) - V9,0)</f>
        <v>0</v>
      </c>
      <c r="J9" s="200" t="s">
        <v>216</v>
      </c>
      <c r="K9" s="200" t="s">
        <v>212</v>
      </c>
      <c r="L9" s="200"/>
      <c r="M9" s="200" t="s">
        <v>213</v>
      </c>
      <c r="N9" s="122" t="s">
        <v>210</v>
      </c>
      <c r="O9" s="196" t="s">
        <v>214</v>
      </c>
      <c r="P9" s="123">
        <v>8000</v>
      </c>
      <c r="Q9" s="124" t="s">
        <v>215</v>
      </c>
      <c r="R9" s="125"/>
      <c r="S9" s="123"/>
      <c r="T9" s="123"/>
      <c r="U9" s="198"/>
      <c r="V9" s="202"/>
      <c r="W9" s="204"/>
      <c r="X9" s="85">
        <v>145</v>
      </c>
    </row>
    <row r="10" spans="1:24" s="121" customFormat="1" x14ac:dyDescent="0.25">
      <c r="A10" s="195"/>
      <c r="B10" s="201"/>
      <c r="C10" s="201"/>
      <c r="D10" s="201"/>
      <c r="E10" s="207"/>
      <c r="F10" s="197"/>
      <c r="G10" s="201"/>
      <c r="H10" s="199"/>
      <c r="I10" s="209"/>
      <c r="J10" s="201"/>
      <c r="K10" s="201"/>
      <c r="L10" s="201"/>
      <c r="M10" s="201"/>
      <c r="N10" s="126" t="s">
        <v>210</v>
      </c>
      <c r="O10" s="197"/>
      <c r="P10" s="127">
        <v>16800</v>
      </c>
      <c r="Q10" s="128" t="s">
        <v>215</v>
      </c>
      <c r="R10" s="129"/>
      <c r="S10" s="127"/>
      <c r="T10" s="127"/>
      <c r="U10" s="199"/>
      <c r="V10" s="203"/>
      <c r="W10" s="205"/>
      <c r="X10" s="121">
        <v>145</v>
      </c>
    </row>
    <row r="11" spans="1:24" s="85" customFormat="1" ht="75" x14ac:dyDescent="0.25">
      <c r="A11" s="102">
        <v>2</v>
      </c>
      <c r="B11" s="104" t="s">
        <v>56</v>
      </c>
      <c r="C11" s="104"/>
      <c r="D11" s="104"/>
      <c r="E11" s="107" t="s">
        <v>161</v>
      </c>
      <c r="F11" s="120" t="s">
        <v>217</v>
      </c>
      <c r="G11" s="104" t="s">
        <v>218</v>
      </c>
      <c r="H11" s="103">
        <v>139750</v>
      </c>
      <c r="I11" s="108">
        <f>IF(X11 = 146, H11 + SUM(S11:S11) - SUM(T11:T11) - SUM(P11:P11) - V11,0)</f>
        <v>78260</v>
      </c>
      <c r="J11" s="104" t="s">
        <v>219</v>
      </c>
      <c r="K11" s="104" t="s">
        <v>220</v>
      </c>
      <c r="L11" s="104"/>
      <c r="M11" s="104" t="s">
        <v>221</v>
      </c>
      <c r="N11" s="120" t="s">
        <v>222</v>
      </c>
      <c r="O11" s="120" t="s">
        <v>223</v>
      </c>
      <c r="P11" s="103">
        <v>61490</v>
      </c>
      <c r="Q11" s="107" t="s">
        <v>224</v>
      </c>
      <c r="R11" s="104"/>
      <c r="S11" s="103"/>
      <c r="T11" s="103"/>
      <c r="U11" s="103"/>
      <c r="V11" s="112"/>
      <c r="W11" s="106"/>
      <c r="X11" s="85">
        <v>146</v>
      </c>
    </row>
    <row r="12" spans="1:24" s="85" customFormat="1" ht="36" customHeight="1" x14ac:dyDescent="0.25">
      <c r="A12" s="194">
        <v>3</v>
      </c>
      <c r="B12" s="200" t="s">
        <v>56</v>
      </c>
      <c r="C12" s="200"/>
      <c r="D12" s="200"/>
      <c r="E12" s="206" t="s">
        <v>161</v>
      </c>
      <c r="F12" s="196" t="s">
        <v>210</v>
      </c>
      <c r="G12" s="200" t="s">
        <v>211</v>
      </c>
      <c r="H12" s="198">
        <v>26438</v>
      </c>
      <c r="I12" s="208">
        <f>IF(X12 = 147, H12 + SUM(S12:S13) - SUM(T12:T13) - SUM(P12:P13) - V12,0)</f>
        <v>0</v>
      </c>
      <c r="J12" s="200" t="s">
        <v>225</v>
      </c>
      <c r="K12" s="200" t="s">
        <v>226</v>
      </c>
      <c r="L12" s="200"/>
      <c r="M12" s="200" t="s">
        <v>213</v>
      </c>
      <c r="N12" s="122" t="s">
        <v>210</v>
      </c>
      <c r="O12" s="196" t="s">
        <v>214</v>
      </c>
      <c r="P12" s="123">
        <v>16139</v>
      </c>
      <c r="Q12" s="124" t="s">
        <v>224</v>
      </c>
      <c r="R12" s="125"/>
      <c r="S12" s="123"/>
      <c r="T12" s="123"/>
      <c r="U12" s="198"/>
      <c r="V12" s="202"/>
      <c r="W12" s="204"/>
      <c r="X12" s="85">
        <v>147</v>
      </c>
    </row>
    <row r="13" spans="1:24" s="121" customFormat="1" x14ac:dyDescent="0.25">
      <c r="A13" s="195"/>
      <c r="B13" s="201"/>
      <c r="C13" s="201"/>
      <c r="D13" s="201"/>
      <c r="E13" s="207"/>
      <c r="F13" s="197"/>
      <c r="G13" s="201"/>
      <c r="H13" s="199"/>
      <c r="I13" s="209"/>
      <c r="J13" s="201"/>
      <c r="K13" s="201"/>
      <c r="L13" s="201"/>
      <c r="M13" s="201"/>
      <c r="N13" s="126" t="s">
        <v>210</v>
      </c>
      <c r="O13" s="197"/>
      <c r="P13" s="127">
        <v>10299</v>
      </c>
      <c r="Q13" s="128" t="s">
        <v>224</v>
      </c>
      <c r="R13" s="129"/>
      <c r="S13" s="127"/>
      <c r="T13" s="127"/>
      <c r="U13" s="199"/>
      <c r="V13" s="203"/>
      <c r="W13" s="205"/>
      <c r="X13" s="121">
        <v>147</v>
      </c>
    </row>
    <row r="14" spans="1:24" s="85" customFormat="1" ht="75" x14ac:dyDescent="0.25">
      <c r="A14" s="102">
        <v>4</v>
      </c>
      <c r="B14" s="104" t="s">
        <v>56</v>
      </c>
      <c r="C14" s="104"/>
      <c r="D14" s="104"/>
      <c r="E14" s="107" t="s">
        <v>161</v>
      </c>
      <c r="F14" s="120" t="s">
        <v>244</v>
      </c>
      <c r="G14" s="104" t="s">
        <v>245</v>
      </c>
      <c r="H14" s="103">
        <v>8000</v>
      </c>
      <c r="I14" s="108">
        <f>IF(X14 = 148, H14 + SUM(S14:S14) - SUM(T14:T14) - SUM(P14:P14) - V14,0)</f>
        <v>0</v>
      </c>
      <c r="J14" s="104" t="s">
        <v>246</v>
      </c>
      <c r="K14" s="104" t="s">
        <v>247</v>
      </c>
      <c r="L14" s="104"/>
      <c r="M14" s="104" t="s">
        <v>221</v>
      </c>
      <c r="N14" s="120" t="s">
        <v>244</v>
      </c>
      <c r="O14" s="120" t="s">
        <v>249</v>
      </c>
      <c r="P14" s="103">
        <v>8000</v>
      </c>
      <c r="Q14" s="107" t="s">
        <v>248</v>
      </c>
      <c r="R14" s="104"/>
      <c r="S14" s="103"/>
      <c r="T14" s="103"/>
      <c r="U14" s="103"/>
      <c r="V14" s="112"/>
      <c r="W14" s="106"/>
      <c r="X14" s="85">
        <v>148</v>
      </c>
    </row>
    <row r="15" spans="1:24" s="85" customFormat="1" ht="93.75" x14ac:dyDescent="0.25">
      <c r="A15" s="102">
        <v>5</v>
      </c>
      <c r="B15" s="104" t="s">
        <v>56</v>
      </c>
      <c r="C15" s="104"/>
      <c r="D15" s="104"/>
      <c r="E15" s="107" t="s">
        <v>250</v>
      </c>
      <c r="F15" s="120" t="s">
        <v>251</v>
      </c>
      <c r="G15" s="104" t="s">
        <v>211</v>
      </c>
      <c r="H15" s="103">
        <v>46500</v>
      </c>
      <c r="I15" s="108">
        <f>IF(X15 = 149, H15 + SUM(S15:S15) - SUM(T15:T15) - SUM(P15:P15) - V15,0)</f>
        <v>0</v>
      </c>
      <c r="J15" s="104" t="s">
        <v>216</v>
      </c>
      <c r="K15" s="104" t="s">
        <v>212</v>
      </c>
      <c r="L15" s="104"/>
      <c r="M15" s="104" t="s">
        <v>252</v>
      </c>
      <c r="N15" s="120" t="s">
        <v>251</v>
      </c>
      <c r="O15" s="120" t="s">
        <v>214</v>
      </c>
      <c r="P15" s="103">
        <v>46500</v>
      </c>
      <c r="Q15" s="107">
        <v>45715</v>
      </c>
      <c r="R15" s="104"/>
      <c r="S15" s="103"/>
      <c r="T15" s="103"/>
      <c r="U15" s="103"/>
      <c r="V15" s="112"/>
      <c r="W15" s="106"/>
      <c r="X15" s="85">
        <v>149</v>
      </c>
    </row>
    <row r="16" spans="1:24" s="85" customFormat="1" ht="75" x14ac:dyDescent="0.25">
      <c r="A16" s="102">
        <v>6</v>
      </c>
      <c r="B16" s="104" t="s">
        <v>56</v>
      </c>
      <c r="C16" s="104"/>
      <c r="D16" s="104"/>
      <c r="E16" s="107" t="s">
        <v>238</v>
      </c>
      <c r="F16" s="120" t="s">
        <v>243</v>
      </c>
      <c r="G16" s="104" t="s">
        <v>253</v>
      </c>
      <c r="H16" s="103">
        <v>8100</v>
      </c>
      <c r="I16" s="108">
        <f>IF(X16 = 150, H16 + SUM(S16:S16) - SUM(T16:T16) - SUM(P16:P16) - V16,0)</f>
        <v>0</v>
      </c>
      <c r="J16" s="104" t="s">
        <v>216</v>
      </c>
      <c r="K16" s="104" t="s">
        <v>212</v>
      </c>
      <c r="L16" s="104"/>
      <c r="M16" s="104" t="s">
        <v>254</v>
      </c>
      <c r="N16" s="120" t="s">
        <v>251</v>
      </c>
      <c r="O16" s="120" t="s">
        <v>249</v>
      </c>
      <c r="P16" s="103">
        <v>8100</v>
      </c>
      <c r="Q16" s="107" t="s">
        <v>255</v>
      </c>
      <c r="R16" s="104"/>
      <c r="S16" s="103"/>
      <c r="T16" s="103"/>
      <c r="U16" s="103"/>
      <c r="V16" s="112"/>
      <c r="W16" s="106"/>
      <c r="X16" s="85">
        <v>150</v>
      </c>
    </row>
    <row r="17" spans="24:24" x14ac:dyDescent="0.25">
      <c r="X17" s="2">
        <v>151</v>
      </c>
    </row>
  </sheetData>
  <sheetProtection algorithmName="SHA-512" hashValue="w3L6TXyINpBzCOh8ql1BCfSWSQSRwpI2C7fVD/1LmpqdmXfPEocwNhuheDqegtowaxQLkcTiMH5DDyyihHZ87w==" saltValue="XeWmbt5ZGiSMIVAHLPlDNw==" spinCount="100000" sheet="1" objects="1" scenarios="1" formatCells="0" formatColumns="0" formatRows="0"/>
  <mergeCells count="41">
    <mergeCell ref="W12:W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A12:A13"/>
    <mergeCell ref="O12:O13"/>
    <mergeCell ref="U12:U13"/>
    <mergeCell ref="B12:B13"/>
    <mergeCell ref="V12:V13"/>
    <mergeCell ref="C12:C13"/>
    <mergeCell ref="W9:W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A9:A10"/>
    <mergeCell ref="O9:O10"/>
    <mergeCell ref="U9:U10"/>
    <mergeCell ref="B9:B10"/>
    <mergeCell ref="V9:V10"/>
    <mergeCell ref="C9:C10"/>
    <mergeCell ref="A3:E3"/>
    <mergeCell ref="S2:U2"/>
    <mergeCell ref="N2:O2"/>
    <mergeCell ref="J4:K4"/>
    <mergeCell ref="M4:N4"/>
    <mergeCell ref="O4:P4"/>
    <mergeCell ref="K2:M2"/>
  </mergeCells>
  <pageMargins left="0.23622047244094491" right="0.23622047244094491" top="0.74803149606299213" bottom="0.74803149606299213" header="0.31496062992125984" footer="0.31496062992125984"/>
  <pageSetup paperSize="9" scale="23" fitToHeight="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0000"/>
    <pageSetUpPr fitToPage="1"/>
  </sheetPr>
  <dimension ref="A1:X24"/>
  <sheetViews>
    <sheetView showGridLines="0" topLeftCell="H1" zoomScale="60" zoomScaleNormal="60" workbookViewId="0">
      <pane ySplit="8" topLeftCell="A12" activePane="bottomLeft" state="frozen"/>
      <selection pane="bottomLeft" activeCell="R13" sqref="R13"/>
    </sheetView>
  </sheetViews>
  <sheetFormatPr defaultColWidth="0" defaultRowHeight="18.75" x14ac:dyDescent="0.25"/>
  <cols>
    <col min="1" max="1" width="14" style="3" customWidth="1"/>
    <col min="2" max="2" width="40.28515625" style="3" customWidth="1"/>
    <col min="3" max="3" width="34" style="3" customWidth="1"/>
    <col min="4" max="4" width="25.42578125" style="3" customWidth="1"/>
    <col min="5" max="5" width="23.85546875" style="3" customWidth="1"/>
    <col min="6" max="6" width="32.42578125" style="3" customWidth="1"/>
    <col min="7" max="7" width="42" style="11" customWidth="1"/>
    <col min="8" max="8" width="35" style="3" customWidth="1"/>
    <col min="9" max="9" width="33" style="3" customWidth="1"/>
    <col min="10" max="11" width="27.28515625" style="26" customWidth="1"/>
    <col min="12" max="12" width="21.42578125" style="3" customWidth="1"/>
    <col min="13" max="13" width="26.5703125" style="3" customWidth="1"/>
    <col min="14" max="14" width="28.140625" style="11" customWidth="1"/>
    <col min="15" max="15" width="39.28515625" style="3" customWidth="1"/>
    <col min="16" max="16" width="24.7109375" style="26" customWidth="1"/>
    <col min="17" max="17" width="24.42578125" style="11" customWidth="1"/>
    <col min="18" max="18" width="23.42578125" style="3" customWidth="1"/>
    <col min="19" max="19" width="25.7109375" style="3" customWidth="1"/>
    <col min="20" max="20" width="26" style="3" customWidth="1"/>
    <col min="21" max="21" width="23.7109375" style="11" customWidth="1"/>
    <col min="22" max="22" width="24" style="10" customWidth="1"/>
    <col min="23" max="23" width="21.85546875" style="2" customWidth="1"/>
    <col min="24" max="16384" width="9.140625" style="2" hidden="1"/>
  </cols>
  <sheetData>
    <row r="1" spans="1:24" ht="19.5" thickBot="1" x14ac:dyDescent="0.3"/>
    <row r="2" spans="1:24" ht="39.950000000000003" customHeight="1" thickBot="1" x14ac:dyDescent="0.3">
      <c r="E2" s="68"/>
      <c r="F2" s="210" t="s">
        <v>24</v>
      </c>
      <c r="G2" s="211"/>
      <c r="H2" s="80">
        <f>SUM(H9:H10003)</f>
        <v>1297891.4499999997</v>
      </c>
      <c r="I2" s="68"/>
      <c r="N2" s="190" t="s">
        <v>137</v>
      </c>
      <c r="O2" s="192"/>
      <c r="P2" s="69">
        <f>SUM(P9:P10003)</f>
        <v>84308.95</v>
      </c>
      <c r="R2" s="68"/>
      <c r="S2" s="190" t="s">
        <v>45</v>
      </c>
      <c r="T2" s="191"/>
      <c r="U2" s="192"/>
      <c r="V2" s="70">
        <f>SUM(V9:V10003)</f>
        <v>0</v>
      </c>
    </row>
    <row r="3" spans="1:24" x14ac:dyDescent="0.25">
      <c r="F3" s="2"/>
      <c r="G3" s="2"/>
      <c r="H3" s="2"/>
      <c r="I3" s="2"/>
      <c r="N3" s="2"/>
      <c r="O3" s="2"/>
      <c r="R3" s="2"/>
      <c r="S3" s="2"/>
      <c r="T3" s="2"/>
      <c r="U3" s="2"/>
    </row>
    <row r="4" spans="1:24" ht="39.950000000000003" customHeight="1" x14ac:dyDescent="0.25">
      <c r="F4" s="2"/>
      <c r="G4" s="2"/>
      <c r="H4" s="2"/>
      <c r="I4" s="2"/>
      <c r="N4" s="2"/>
      <c r="O4" s="2"/>
      <c r="R4" s="2"/>
      <c r="S4" s="2"/>
      <c r="T4" s="2"/>
      <c r="U4" s="2"/>
    </row>
    <row r="6" spans="1:24" ht="187.5" x14ac:dyDescent="0.25">
      <c r="A6" s="18" t="s">
        <v>8</v>
      </c>
      <c r="B6" s="18" t="s">
        <v>47</v>
      </c>
      <c r="C6" s="18" t="s">
        <v>145</v>
      </c>
      <c r="D6" s="18" t="s">
        <v>10</v>
      </c>
      <c r="E6" s="18" t="s">
        <v>1</v>
      </c>
      <c r="F6" s="18" t="s">
        <v>2</v>
      </c>
      <c r="G6" s="24" t="s">
        <v>3</v>
      </c>
      <c r="H6" s="18" t="s">
        <v>4</v>
      </c>
      <c r="I6" s="18" t="s">
        <v>22</v>
      </c>
      <c r="J6" s="27" t="s">
        <v>46</v>
      </c>
      <c r="K6" s="27" t="s">
        <v>5</v>
      </c>
      <c r="L6" s="18" t="s">
        <v>106</v>
      </c>
      <c r="M6" s="18" t="s">
        <v>39</v>
      </c>
      <c r="N6" s="24" t="s">
        <v>37</v>
      </c>
      <c r="O6" s="18" t="s">
        <v>6</v>
      </c>
      <c r="P6" s="27" t="s">
        <v>23</v>
      </c>
      <c r="Q6" s="24" t="s">
        <v>9</v>
      </c>
      <c r="R6" s="23" t="s">
        <v>40</v>
      </c>
      <c r="S6" s="23" t="s">
        <v>103</v>
      </c>
      <c r="T6" s="23" t="s">
        <v>104</v>
      </c>
      <c r="U6" s="22" t="s">
        <v>41</v>
      </c>
      <c r="V6" s="25" t="s">
        <v>43</v>
      </c>
      <c r="W6" s="1" t="s">
        <v>42</v>
      </c>
    </row>
    <row r="7" spans="1:24" x14ac:dyDescent="0.25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</row>
    <row r="8" spans="1:24" s="14" customFormat="1" ht="131.25" x14ac:dyDescent="0.25">
      <c r="A8" s="21" t="s">
        <v>36</v>
      </c>
      <c r="B8" s="21" t="s">
        <v>56</v>
      </c>
      <c r="C8" s="21"/>
      <c r="D8" s="21" t="s">
        <v>58</v>
      </c>
      <c r="E8" s="21" t="s">
        <v>57</v>
      </c>
      <c r="F8" s="59">
        <v>43839</v>
      </c>
      <c r="G8" s="20" t="s">
        <v>59</v>
      </c>
      <c r="H8" s="19">
        <v>20000</v>
      </c>
      <c r="I8" s="19">
        <v>0</v>
      </c>
      <c r="J8" s="58">
        <v>2353019514</v>
      </c>
      <c r="K8" s="28" t="s">
        <v>61</v>
      </c>
      <c r="L8" s="21"/>
      <c r="M8" s="21" t="s">
        <v>62</v>
      </c>
      <c r="N8" s="20">
        <v>43840</v>
      </c>
      <c r="O8" s="21" t="s">
        <v>63</v>
      </c>
      <c r="P8" s="28">
        <v>20000</v>
      </c>
      <c r="Q8" s="20">
        <v>43840</v>
      </c>
      <c r="R8" s="21"/>
      <c r="S8" s="54"/>
      <c r="T8" s="54"/>
      <c r="U8" s="20"/>
      <c r="V8" s="19"/>
      <c r="W8" s="12" t="s">
        <v>64</v>
      </c>
    </row>
    <row r="9" spans="1:24" s="85" customFormat="1" ht="56.25" x14ac:dyDescent="0.25">
      <c r="A9" s="102">
        <v>1</v>
      </c>
      <c r="B9" s="104" t="s">
        <v>56</v>
      </c>
      <c r="C9" s="104"/>
      <c r="D9" s="104"/>
      <c r="E9" s="104" t="s">
        <v>152</v>
      </c>
      <c r="F9" s="113" t="s">
        <v>163</v>
      </c>
      <c r="G9" s="107" t="s">
        <v>164</v>
      </c>
      <c r="H9" s="103">
        <v>431034.73</v>
      </c>
      <c r="I9" s="108">
        <f>IF(X9 = 156, H9 + SUM(S9:S9) - SUM(T9:T9) - SUM(P9:P9) - V9,0)</f>
        <v>431034.73</v>
      </c>
      <c r="J9" s="109">
        <v>2308119595</v>
      </c>
      <c r="K9" s="110" t="s">
        <v>165</v>
      </c>
      <c r="L9" s="104"/>
      <c r="M9" s="104" t="s">
        <v>166</v>
      </c>
      <c r="N9" s="113"/>
      <c r="O9" s="113" t="s">
        <v>167</v>
      </c>
      <c r="P9" s="103"/>
      <c r="Q9" s="107"/>
      <c r="R9" s="104"/>
      <c r="S9" s="103"/>
      <c r="T9" s="103"/>
      <c r="U9" s="103"/>
      <c r="V9" s="105"/>
      <c r="W9" s="106"/>
      <c r="X9" s="85">
        <v>156</v>
      </c>
    </row>
    <row r="10" spans="1:24" s="85" customFormat="1" ht="75" x14ac:dyDescent="0.25">
      <c r="A10" s="102">
        <v>2</v>
      </c>
      <c r="B10" s="104" t="s">
        <v>56</v>
      </c>
      <c r="C10" s="104"/>
      <c r="D10" s="104"/>
      <c r="E10" s="104" t="s">
        <v>168</v>
      </c>
      <c r="F10" s="113" t="s">
        <v>163</v>
      </c>
      <c r="G10" s="107" t="s">
        <v>169</v>
      </c>
      <c r="H10" s="103">
        <v>104228</v>
      </c>
      <c r="I10" s="108">
        <f>IF(X10 = 157, H10 + SUM(S10:S10) - SUM(T10:T10) - SUM(P10:P10) - V10,0)</f>
        <v>104228</v>
      </c>
      <c r="J10" s="109">
        <v>2353006498</v>
      </c>
      <c r="K10" s="110" t="s">
        <v>170</v>
      </c>
      <c r="L10" s="104"/>
      <c r="M10" s="104" t="s">
        <v>171</v>
      </c>
      <c r="N10" s="113"/>
      <c r="O10" s="113" t="s">
        <v>172</v>
      </c>
      <c r="P10" s="103"/>
      <c r="Q10" s="107"/>
      <c r="R10" s="104"/>
      <c r="S10" s="103"/>
      <c r="T10" s="103"/>
      <c r="U10" s="103"/>
      <c r="V10" s="105"/>
      <c r="W10" s="106"/>
      <c r="X10" s="85">
        <v>157</v>
      </c>
    </row>
    <row r="11" spans="1:24" s="85" customFormat="1" ht="56.25" x14ac:dyDescent="0.25">
      <c r="A11" s="102">
        <v>3</v>
      </c>
      <c r="B11" s="104" t="s">
        <v>56</v>
      </c>
      <c r="C11" s="104"/>
      <c r="D11" s="104"/>
      <c r="E11" s="104" t="s">
        <v>173</v>
      </c>
      <c r="F11" s="113" t="s">
        <v>163</v>
      </c>
      <c r="G11" s="107" t="s">
        <v>174</v>
      </c>
      <c r="H11" s="103">
        <v>50565.84</v>
      </c>
      <c r="I11" s="108">
        <f>IF(X11 = 158, H11 + SUM(S11:S11) - SUM(T11:T11) - SUM(P11:P11) - V11,0)</f>
        <v>46523.49</v>
      </c>
      <c r="J11" s="109">
        <v>2308131994</v>
      </c>
      <c r="K11" s="110" t="s">
        <v>155</v>
      </c>
      <c r="L11" s="104"/>
      <c r="M11" s="104" t="s">
        <v>171</v>
      </c>
      <c r="N11" s="113">
        <v>45688</v>
      </c>
      <c r="O11" s="113" t="s">
        <v>175</v>
      </c>
      <c r="P11" s="103">
        <v>4042.35</v>
      </c>
      <c r="Q11" s="107" t="s">
        <v>227</v>
      </c>
      <c r="R11" s="104"/>
      <c r="S11" s="103"/>
      <c r="T11" s="103"/>
      <c r="U11" s="103"/>
      <c r="V11" s="105"/>
      <c r="W11" s="106"/>
      <c r="X11" s="85">
        <v>158</v>
      </c>
    </row>
    <row r="12" spans="1:24" s="85" customFormat="1" ht="56.25" x14ac:dyDescent="0.25">
      <c r="A12" s="102">
        <v>4</v>
      </c>
      <c r="B12" s="104" t="s">
        <v>56</v>
      </c>
      <c r="C12" s="104"/>
      <c r="D12" s="104"/>
      <c r="E12" s="104" t="s">
        <v>176</v>
      </c>
      <c r="F12" s="113" t="s">
        <v>163</v>
      </c>
      <c r="G12" s="107" t="s">
        <v>177</v>
      </c>
      <c r="H12" s="103">
        <v>9600</v>
      </c>
      <c r="I12" s="108">
        <f>IF(X12 = 159, H12 + SUM(S12:S12) - SUM(T12:T12) - SUM(P12:P12) - V12,0)</f>
        <v>9600</v>
      </c>
      <c r="J12" s="109">
        <v>2369000660</v>
      </c>
      <c r="K12" s="110" t="s">
        <v>153</v>
      </c>
      <c r="L12" s="104"/>
      <c r="M12" s="104" t="s">
        <v>171</v>
      </c>
      <c r="N12" s="113"/>
      <c r="O12" s="113" t="s">
        <v>179</v>
      </c>
      <c r="P12" s="103"/>
      <c r="Q12" s="107"/>
      <c r="R12" s="104"/>
      <c r="S12" s="103"/>
      <c r="T12" s="103"/>
      <c r="U12" s="103"/>
      <c r="V12" s="105"/>
      <c r="W12" s="106"/>
      <c r="X12" s="85">
        <v>159</v>
      </c>
    </row>
    <row r="13" spans="1:24" s="85" customFormat="1" ht="75" x14ac:dyDescent="0.25">
      <c r="A13" s="102">
        <v>5</v>
      </c>
      <c r="B13" s="104" t="s">
        <v>56</v>
      </c>
      <c r="C13" s="104"/>
      <c r="D13" s="104"/>
      <c r="E13" s="104" t="s">
        <v>161</v>
      </c>
      <c r="F13" s="113" t="s">
        <v>163</v>
      </c>
      <c r="G13" s="107" t="s">
        <v>178</v>
      </c>
      <c r="H13" s="103">
        <v>27331.200000000001</v>
      </c>
      <c r="I13" s="108">
        <f>IF(X13 = 160, H13 + SUM(S13:S13) - SUM(T13:T13) - SUM(P13:P13) - V13,0)</f>
        <v>25053.600000000002</v>
      </c>
      <c r="J13" s="109">
        <v>2310163739</v>
      </c>
      <c r="K13" s="110" t="s">
        <v>147</v>
      </c>
      <c r="L13" s="104"/>
      <c r="M13" s="104" t="s">
        <v>171</v>
      </c>
      <c r="N13" s="113" t="s">
        <v>222</v>
      </c>
      <c r="O13" s="113" t="s">
        <v>180</v>
      </c>
      <c r="P13" s="103">
        <v>2277.6</v>
      </c>
      <c r="Q13" s="107" t="s">
        <v>244</v>
      </c>
      <c r="R13" s="104"/>
      <c r="S13" s="103"/>
      <c r="T13" s="103"/>
      <c r="U13" s="103"/>
      <c r="V13" s="105"/>
      <c r="W13" s="106"/>
      <c r="X13" s="85">
        <v>160</v>
      </c>
    </row>
    <row r="14" spans="1:24" s="85" customFormat="1" ht="37.5" x14ac:dyDescent="0.25">
      <c r="A14" s="102">
        <v>6</v>
      </c>
      <c r="B14" s="104" t="s">
        <v>56</v>
      </c>
      <c r="C14" s="104"/>
      <c r="D14" s="104"/>
      <c r="E14" s="104" t="s">
        <v>160</v>
      </c>
      <c r="F14" s="113" t="s">
        <v>181</v>
      </c>
      <c r="G14" s="107" t="s">
        <v>182</v>
      </c>
      <c r="H14" s="103">
        <v>90689</v>
      </c>
      <c r="I14" s="108">
        <f>IF(X14 = 161, H14 + SUM(S14:S14) - SUM(T14:T14) - SUM(P14:P14) - V14,0)</f>
        <v>90689</v>
      </c>
      <c r="J14" s="109">
        <v>2369002347</v>
      </c>
      <c r="K14" s="110" t="s">
        <v>150</v>
      </c>
      <c r="L14" s="104"/>
      <c r="M14" s="104" t="s">
        <v>171</v>
      </c>
      <c r="N14" s="113"/>
      <c r="O14" s="113" t="s">
        <v>183</v>
      </c>
      <c r="P14" s="103"/>
      <c r="Q14" s="107"/>
      <c r="R14" s="104"/>
      <c r="S14" s="103"/>
      <c r="T14" s="103"/>
      <c r="U14" s="103"/>
      <c r="V14" s="105"/>
      <c r="W14" s="106"/>
      <c r="X14" s="85">
        <v>161</v>
      </c>
    </row>
    <row r="15" spans="1:24" s="85" customFormat="1" ht="56.25" x14ac:dyDescent="0.25">
      <c r="A15" s="102">
        <v>7</v>
      </c>
      <c r="B15" s="104" t="s">
        <v>56</v>
      </c>
      <c r="C15" s="104"/>
      <c r="D15" s="104"/>
      <c r="E15" s="104" t="s">
        <v>184</v>
      </c>
      <c r="F15" s="113" t="s">
        <v>163</v>
      </c>
      <c r="G15" s="107" t="s">
        <v>185</v>
      </c>
      <c r="H15" s="103">
        <v>17400</v>
      </c>
      <c r="I15" s="108">
        <f>IF(X15 = 162, H15 + SUM(S15:S15) - SUM(T15:T15) - SUM(P15:P15) - V15,0)</f>
        <v>15950</v>
      </c>
      <c r="J15" s="109">
        <v>231107998282</v>
      </c>
      <c r="K15" s="110" t="s">
        <v>162</v>
      </c>
      <c r="L15" s="104"/>
      <c r="M15" s="104" t="s">
        <v>171</v>
      </c>
      <c r="N15" s="113">
        <v>45688</v>
      </c>
      <c r="O15" s="113" t="s">
        <v>186</v>
      </c>
      <c r="P15" s="103">
        <v>1450</v>
      </c>
      <c r="Q15" s="107" t="s">
        <v>227</v>
      </c>
      <c r="R15" s="104"/>
      <c r="S15" s="103"/>
      <c r="T15" s="103"/>
      <c r="U15" s="103"/>
      <c r="V15" s="105"/>
      <c r="W15" s="106"/>
      <c r="X15" s="85">
        <v>162</v>
      </c>
    </row>
    <row r="16" spans="1:24" s="85" customFormat="1" ht="93.75" x14ac:dyDescent="0.25">
      <c r="A16" s="102">
        <v>8</v>
      </c>
      <c r="B16" s="104" t="s">
        <v>56</v>
      </c>
      <c r="C16" s="104"/>
      <c r="D16" s="104"/>
      <c r="E16" s="104" t="s">
        <v>187</v>
      </c>
      <c r="F16" s="113" t="s">
        <v>163</v>
      </c>
      <c r="G16" s="107" t="s">
        <v>188</v>
      </c>
      <c r="H16" s="103">
        <v>30000</v>
      </c>
      <c r="I16" s="108">
        <f>IF(X16 = 163, H16 + SUM(S16:S16) - SUM(T16:T16) - SUM(P16:P16) - V16,0)</f>
        <v>27500</v>
      </c>
      <c r="J16" s="109">
        <v>231107998282</v>
      </c>
      <c r="K16" s="110" t="s">
        <v>162</v>
      </c>
      <c r="L16" s="104"/>
      <c r="M16" s="104" t="s">
        <v>171</v>
      </c>
      <c r="N16" s="113" t="s">
        <v>222</v>
      </c>
      <c r="O16" s="113" t="s">
        <v>186</v>
      </c>
      <c r="P16" s="103">
        <v>2500</v>
      </c>
      <c r="Q16" s="107" t="s">
        <v>227</v>
      </c>
      <c r="R16" s="104"/>
      <c r="S16" s="103"/>
      <c r="T16" s="103"/>
      <c r="U16" s="103"/>
      <c r="V16" s="105"/>
      <c r="W16" s="106"/>
      <c r="X16" s="85">
        <v>163</v>
      </c>
    </row>
    <row r="17" spans="1:24" s="85" customFormat="1" ht="56.25" x14ac:dyDescent="0.25">
      <c r="A17" s="102">
        <v>9</v>
      </c>
      <c r="B17" s="104" t="s">
        <v>56</v>
      </c>
      <c r="C17" s="104"/>
      <c r="D17" s="104"/>
      <c r="E17" s="104" t="s">
        <v>189</v>
      </c>
      <c r="F17" s="113" t="s">
        <v>163</v>
      </c>
      <c r="G17" s="107" t="s">
        <v>190</v>
      </c>
      <c r="H17" s="103">
        <v>18000</v>
      </c>
      <c r="I17" s="108">
        <f>IF(X17 = 164, H17 + SUM(S17:S17) - SUM(T17:T17) - SUM(P17:P17) - V17,0)</f>
        <v>16500</v>
      </c>
      <c r="J17" s="109">
        <v>231107998282</v>
      </c>
      <c r="K17" s="110" t="s">
        <v>162</v>
      </c>
      <c r="L17" s="104"/>
      <c r="M17" s="104" t="s">
        <v>171</v>
      </c>
      <c r="N17" s="113">
        <v>45688</v>
      </c>
      <c r="O17" s="113" t="s">
        <v>186</v>
      </c>
      <c r="P17" s="103">
        <v>1500</v>
      </c>
      <c r="Q17" s="107" t="s">
        <v>227</v>
      </c>
      <c r="R17" s="104"/>
      <c r="S17" s="103"/>
      <c r="T17" s="103"/>
      <c r="U17" s="103"/>
      <c r="V17" s="105"/>
      <c r="W17" s="106"/>
      <c r="X17" s="85">
        <v>164</v>
      </c>
    </row>
    <row r="18" spans="1:24" s="85" customFormat="1" ht="56.25" x14ac:dyDescent="0.25">
      <c r="A18" s="102">
        <v>10</v>
      </c>
      <c r="B18" s="104" t="s">
        <v>56</v>
      </c>
      <c r="C18" s="104"/>
      <c r="D18" s="104"/>
      <c r="E18" s="104" t="s">
        <v>159</v>
      </c>
      <c r="F18" s="113" t="s">
        <v>181</v>
      </c>
      <c r="G18" s="107" t="s">
        <v>191</v>
      </c>
      <c r="H18" s="103">
        <v>10951.2</v>
      </c>
      <c r="I18" s="108">
        <f>IF(X18 = 165, H18 + SUM(S18:S18) - SUM(T18:T18) - SUM(P18:P18) - V18,0)</f>
        <v>10951.2</v>
      </c>
      <c r="J18" s="109">
        <v>2353020735</v>
      </c>
      <c r="K18" s="110" t="s">
        <v>192</v>
      </c>
      <c r="L18" s="104"/>
      <c r="M18" s="104" t="s">
        <v>193</v>
      </c>
      <c r="N18" s="113"/>
      <c r="O18" s="113" t="s">
        <v>186</v>
      </c>
      <c r="P18" s="103"/>
      <c r="Q18" s="107"/>
      <c r="R18" s="104"/>
      <c r="S18" s="103"/>
      <c r="T18" s="103"/>
      <c r="U18" s="103"/>
      <c r="V18" s="105"/>
      <c r="W18" s="106"/>
      <c r="X18" s="85">
        <v>165</v>
      </c>
    </row>
    <row r="19" spans="1:24" s="85" customFormat="1" ht="93.75" x14ac:dyDescent="0.25">
      <c r="A19" s="102">
        <v>11</v>
      </c>
      <c r="B19" s="104" t="s">
        <v>56</v>
      </c>
      <c r="C19" s="104"/>
      <c r="D19" s="104"/>
      <c r="E19" s="104" t="s">
        <v>160</v>
      </c>
      <c r="F19" s="113" t="s">
        <v>181</v>
      </c>
      <c r="G19" s="107" t="s">
        <v>194</v>
      </c>
      <c r="H19" s="103">
        <v>353508.48</v>
      </c>
      <c r="I19" s="108">
        <f>IF(X19 = 166, H19 + SUM(S19:S19) - SUM(T19:T19) - SUM(P19:P19) - V19,0)</f>
        <v>353508.48</v>
      </c>
      <c r="J19" s="109">
        <v>2353020735</v>
      </c>
      <c r="K19" s="110" t="s">
        <v>192</v>
      </c>
      <c r="L19" s="104"/>
      <c r="M19" s="104" t="s">
        <v>193</v>
      </c>
      <c r="N19" s="113"/>
      <c r="O19" s="113" t="s">
        <v>186</v>
      </c>
      <c r="P19" s="103"/>
      <c r="Q19" s="107"/>
      <c r="R19" s="104"/>
      <c r="S19" s="103"/>
      <c r="T19" s="103"/>
      <c r="U19" s="103"/>
      <c r="V19" s="105"/>
      <c r="W19" s="106"/>
      <c r="X19" s="85">
        <v>166</v>
      </c>
    </row>
    <row r="20" spans="1:24" s="85" customFormat="1" ht="56.25" x14ac:dyDescent="0.25">
      <c r="A20" s="102">
        <v>12</v>
      </c>
      <c r="B20" s="104" t="s">
        <v>56</v>
      </c>
      <c r="C20" s="104"/>
      <c r="D20" s="104"/>
      <c r="E20" s="104" t="s">
        <v>161</v>
      </c>
      <c r="F20" s="120" t="s">
        <v>181</v>
      </c>
      <c r="G20" s="107" t="s">
        <v>228</v>
      </c>
      <c r="H20" s="103">
        <v>84968</v>
      </c>
      <c r="I20" s="108">
        <f>IF(X20 = 168, H20 + SUM(S20:S20) - SUM(T20:T20) - SUM(P20:P20) - V20,0)</f>
        <v>82044</v>
      </c>
      <c r="J20" s="109">
        <v>2353017179</v>
      </c>
      <c r="K20" s="110" t="s">
        <v>229</v>
      </c>
      <c r="L20" s="104"/>
      <c r="M20" s="104" t="s">
        <v>230</v>
      </c>
      <c r="N20" s="120" t="s">
        <v>222</v>
      </c>
      <c r="O20" s="120" t="s">
        <v>231</v>
      </c>
      <c r="P20" s="103">
        <v>2924</v>
      </c>
      <c r="Q20" s="107" t="s">
        <v>232</v>
      </c>
      <c r="R20" s="104"/>
      <c r="S20" s="103"/>
      <c r="T20" s="103"/>
      <c r="U20" s="103"/>
      <c r="V20" s="105"/>
      <c r="W20" s="106"/>
      <c r="X20" s="85">
        <v>168</v>
      </c>
    </row>
    <row r="21" spans="1:24" s="85" customFormat="1" ht="36" customHeight="1" x14ac:dyDescent="0.25">
      <c r="A21" s="194">
        <v>13</v>
      </c>
      <c r="B21" s="200" t="s">
        <v>56</v>
      </c>
      <c r="C21" s="200"/>
      <c r="D21" s="200"/>
      <c r="E21" s="200" t="s">
        <v>233</v>
      </c>
      <c r="F21" s="196" t="s">
        <v>232</v>
      </c>
      <c r="G21" s="206" t="s">
        <v>234</v>
      </c>
      <c r="H21" s="198">
        <v>16305</v>
      </c>
      <c r="I21" s="208">
        <f>IF(X21 = 169, H21 + SUM(S21:S22) - SUM(T21:T22) - SUM(P21:P22) - V21,0)</f>
        <v>0</v>
      </c>
      <c r="J21" s="214">
        <v>235000239811</v>
      </c>
      <c r="K21" s="216" t="s">
        <v>235</v>
      </c>
      <c r="L21" s="200"/>
      <c r="M21" s="200" t="s">
        <v>236</v>
      </c>
      <c r="N21" s="122" t="s">
        <v>232</v>
      </c>
      <c r="O21" s="196" t="s">
        <v>231</v>
      </c>
      <c r="P21" s="123">
        <v>12880</v>
      </c>
      <c r="Q21" s="124" t="s">
        <v>237</v>
      </c>
      <c r="R21" s="125"/>
      <c r="S21" s="123"/>
      <c r="T21" s="123"/>
      <c r="U21" s="198"/>
      <c r="V21" s="212"/>
      <c r="W21" s="204"/>
      <c r="X21" s="85">
        <v>169</v>
      </c>
    </row>
    <row r="22" spans="1:24" s="121" customFormat="1" x14ac:dyDescent="0.25">
      <c r="A22" s="195"/>
      <c r="B22" s="201"/>
      <c r="C22" s="201"/>
      <c r="D22" s="201"/>
      <c r="E22" s="201"/>
      <c r="F22" s="197"/>
      <c r="G22" s="207"/>
      <c r="H22" s="199"/>
      <c r="I22" s="209"/>
      <c r="J22" s="215"/>
      <c r="K22" s="217"/>
      <c r="L22" s="201"/>
      <c r="M22" s="201"/>
      <c r="N22" s="126" t="s">
        <v>232</v>
      </c>
      <c r="O22" s="197"/>
      <c r="P22" s="127">
        <v>3425</v>
      </c>
      <c r="Q22" s="128" t="s">
        <v>237</v>
      </c>
      <c r="R22" s="129"/>
      <c r="S22" s="127"/>
      <c r="T22" s="127"/>
      <c r="U22" s="199"/>
      <c r="V22" s="213"/>
      <c r="W22" s="205"/>
      <c r="X22" s="121">
        <v>169</v>
      </c>
    </row>
    <row r="23" spans="1:24" s="85" customFormat="1" ht="56.25" x14ac:dyDescent="0.25">
      <c r="A23" s="102">
        <v>14</v>
      </c>
      <c r="B23" s="104" t="s">
        <v>56</v>
      </c>
      <c r="C23" s="104"/>
      <c r="D23" s="104"/>
      <c r="E23" s="104" t="s">
        <v>238</v>
      </c>
      <c r="F23" s="120" t="s">
        <v>239</v>
      </c>
      <c r="G23" s="107" t="s">
        <v>240</v>
      </c>
      <c r="H23" s="103">
        <v>53310</v>
      </c>
      <c r="I23" s="108">
        <f>IF(X23 = 170, H23 + SUM(S23:S23) - SUM(T23:T23) - SUM(P23:P23) - V23,0)</f>
        <v>0</v>
      </c>
      <c r="J23" s="109">
        <v>235303483777</v>
      </c>
      <c r="K23" s="110" t="s">
        <v>241</v>
      </c>
      <c r="L23" s="104"/>
      <c r="M23" s="104" t="s">
        <v>242</v>
      </c>
      <c r="N23" s="120" t="s">
        <v>224</v>
      </c>
      <c r="O23" s="120" t="s">
        <v>179</v>
      </c>
      <c r="P23" s="103">
        <v>53310</v>
      </c>
      <c r="Q23" s="107" t="s">
        <v>243</v>
      </c>
      <c r="R23" s="104"/>
      <c r="S23" s="103"/>
      <c r="T23" s="103"/>
      <c r="U23" s="103"/>
      <c r="V23" s="105"/>
      <c r="W23" s="106"/>
      <c r="X23" s="85">
        <v>170</v>
      </c>
    </row>
    <row r="24" spans="1:24" x14ac:dyDescent="0.25">
      <c r="X24" s="2">
        <v>171</v>
      </c>
    </row>
  </sheetData>
  <sheetProtection algorithmName="SHA-512" hashValue="lUubE3dCxYkQQvguRuGVRQckUCGCWqhsA1pkuRcWozdEtp21/gTbS4CMxFrvKAmlSKXmDoaUdwpm3LxpXfoDxQ==" saltValue="pYBKGkvg2VFiv9qWqRUdow==" spinCount="100000" sheet="1" objects="1" scenarios="1" formatCells="0" formatColumns="0" formatRows="0"/>
  <mergeCells count="20">
    <mergeCell ref="J21:J22"/>
    <mergeCell ref="K21:K22"/>
    <mergeCell ref="L21:L22"/>
    <mergeCell ref="M21:M22"/>
    <mergeCell ref="W21:W22"/>
    <mergeCell ref="S2:U2"/>
    <mergeCell ref="F2:G2"/>
    <mergeCell ref="N2:O2"/>
    <mergeCell ref="A21:A22"/>
    <mergeCell ref="O21:O22"/>
    <mergeCell ref="U21:U22"/>
    <mergeCell ref="B21:B22"/>
    <mergeCell ref="V21:V22"/>
    <mergeCell ref="C21:C22"/>
    <mergeCell ref="D21:D22"/>
    <mergeCell ref="E21:E22"/>
    <mergeCell ref="F21:F22"/>
    <mergeCell ref="G21:G22"/>
    <mergeCell ref="H21:H22"/>
    <mergeCell ref="I21:I22"/>
  </mergeCells>
  <pageMargins left="0.25" right="0.25" top="0.75" bottom="0.75" header="0.3" footer="0.3"/>
  <pageSetup paperSize="9" scale="2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00B050"/>
    <pageSetUpPr fitToPage="1"/>
  </sheetPr>
  <dimension ref="A1:V10"/>
  <sheetViews>
    <sheetView showGridLines="0" view="pageBreakPreview" zoomScale="60" zoomScaleNormal="50" workbookViewId="0">
      <pane ySplit="8" topLeftCell="A9" activePane="bottomLeft" state="frozen"/>
      <selection pane="bottomLeft" activeCell="F9" sqref="F9"/>
    </sheetView>
  </sheetViews>
  <sheetFormatPr defaultColWidth="0" defaultRowHeight="18.75" x14ac:dyDescent="0.25"/>
  <cols>
    <col min="1" max="1" width="14" style="3" customWidth="1"/>
    <col min="2" max="2" width="25.42578125" style="3" customWidth="1"/>
    <col min="3" max="3" width="39.5703125" style="3" bestFit="1" customWidth="1"/>
    <col min="4" max="4" width="23.85546875" style="3" customWidth="1"/>
    <col min="5" max="5" width="32.42578125" style="3" customWidth="1"/>
    <col min="6" max="6" width="27.42578125" style="11" customWidth="1"/>
    <col min="7" max="7" width="27.42578125" style="3" customWidth="1"/>
    <col min="8" max="8" width="33" style="3" customWidth="1"/>
    <col min="9" max="10" width="27.28515625" style="10" customWidth="1"/>
    <col min="11" max="11" width="26.5703125" style="3" customWidth="1"/>
    <col min="12" max="12" width="38.42578125" style="11" customWidth="1"/>
    <col min="13" max="13" width="37.5703125" style="3" customWidth="1"/>
    <col min="14" max="14" width="24.7109375" style="10" customWidth="1"/>
    <col min="15" max="15" width="24.42578125" style="11" customWidth="1"/>
    <col min="16" max="16" width="24.28515625" style="11" customWidth="1"/>
    <col min="17" max="17" width="27.42578125" style="11" customWidth="1"/>
    <col min="18" max="18" width="27.140625" style="11" customWidth="1"/>
    <col min="19" max="19" width="23.42578125" style="11" customWidth="1"/>
    <col min="20" max="20" width="22.85546875" style="10" customWidth="1"/>
    <col min="21" max="21" width="21.85546875" style="2" customWidth="1"/>
    <col min="22" max="16384" width="9.140625" style="2" hidden="1"/>
  </cols>
  <sheetData>
    <row r="1" spans="1:22" ht="19.5" thickBot="1" x14ac:dyDescent="0.3"/>
    <row r="2" spans="1:22" ht="39.950000000000003" customHeight="1" thickBot="1" x14ac:dyDescent="0.3">
      <c r="B2" s="68"/>
      <c r="C2" s="68"/>
      <c r="D2" s="68"/>
      <c r="E2" s="210" t="s">
        <v>24</v>
      </c>
      <c r="F2" s="211"/>
      <c r="G2" s="80">
        <f>SUM(G9:G9999)</f>
        <v>1434561.11</v>
      </c>
      <c r="L2" s="218" t="s">
        <v>137</v>
      </c>
      <c r="M2" s="219"/>
      <c r="N2" s="69">
        <f>SUM(N9:N9999)</f>
        <v>0</v>
      </c>
      <c r="P2" s="68"/>
      <c r="Q2" s="190" t="s">
        <v>45</v>
      </c>
      <c r="R2" s="191"/>
      <c r="S2" s="192"/>
      <c r="T2" s="70">
        <f>SUM(T9:T9999)</f>
        <v>0</v>
      </c>
    </row>
    <row r="3" spans="1:22" x14ac:dyDescent="0.25">
      <c r="E3" s="2"/>
      <c r="F3" s="2"/>
      <c r="G3" s="2"/>
      <c r="H3" s="2"/>
      <c r="L3" s="2"/>
      <c r="M3" s="2"/>
      <c r="P3" s="2"/>
      <c r="Q3" s="2"/>
      <c r="R3" s="2"/>
      <c r="S3" s="2"/>
    </row>
    <row r="4" spans="1:22" ht="39.950000000000003" customHeight="1" x14ac:dyDescent="0.25">
      <c r="E4" s="2"/>
      <c r="F4" s="2"/>
      <c r="G4" s="2"/>
      <c r="H4" s="2"/>
      <c r="L4" s="2"/>
      <c r="M4" s="2"/>
      <c r="P4" s="2"/>
      <c r="Q4" s="2"/>
      <c r="R4" s="2"/>
      <c r="S4" s="2"/>
    </row>
    <row r="6" spans="1:22" ht="150" x14ac:dyDescent="0.25">
      <c r="A6" s="23" t="s">
        <v>8</v>
      </c>
      <c r="B6" s="23" t="s">
        <v>21</v>
      </c>
      <c r="C6" s="23" t="s">
        <v>10</v>
      </c>
      <c r="D6" s="23" t="s">
        <v>15</v>
      </c>
      <c r="E6" s="23" t="s">
        <v>0</v>
      </c>
      <c r="F6" s="22" t="s">
        <v>3</v>
      </c>
      <c r="G6" s="23" t="s">
        <v>38</v>
      </c>
      <c r="H6" s="23" t="s">
        <v>22</v>
      </c>
      <c r="I6" s="71" t="s">
        <v>46</v>
      </c>
      <c r="J6" s="71" t="s">
        <v>5</v>
      </c>
      <c r="K6" s="23" t="s">
        <v>39</v>
      </c>
      <c r="L6" s="22" t="s">
        <v>37</v>
      </c>
      <c r="M6" s="23" t="s">
        <v>6</v>
      </c>
      <c r="N6" s="71" t="s">
        <v>23</v>
      </c>
      <c r="O6" s="22" t="s">
        <v>9</v>
      </c>
      <c r="P6" s="22" t="s">
        <v>40</v>
      </c>
      <c r="Q6" s="22" t="s">
        <v>103</v>
      </c>
      <c r="R6" s="22" t="s">
        <v>104</v>
      </c>
      <c r="S6" s="22" t="s">
        <v>41</v>
      </c>
      <c r="T6" s="71" t="s">
        <v>43</v>
      </c>
      <c r="U6" s="13" t="s">
        <v>42</v>
      </c>
    </row>
    <row r="7" spans="1:22" x14ac:dyDescent="0.25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</row>
    <row r="8" spans="1:22" s="14" customFormat="1" ht="131.25" x14ac:dyDescent="0.25">
      <c r="A8" s="72" t="s">
        <v>36</v>
      </c>
      <c r="B8" s="72" t="s">
        <v>67</v>
      </c>
      <c r="C8" s="72" t="s">
        <v>66</v>
      </c>
      <c r="D8" s="72" t="s">
        <v>48</v>
      </c>
      <c r="E8" s="77">
        <v>43823</v>
      </c>
      <c r="F8" s="73" t="s">
        <v>65</v>
      </c>
      <c r="G8" s="74">
        <v>100000</v>
      </c>
      <c r="H8" s="74">
        <v>90000</v>
      </c>
      <c r="I8" s="78">
        <v>2308091759</v>
      </c>
      <c r="J8" s="72" t="s">
        <v>68</v>
      </c>
      <c r="K8" s="72" t="s">
        <v>69</v>
      </c>
      <c r="L8" s="73">
        <v>43801</v>
      </c>
      <c r="M8" s="72" t="s">
        <v>70</v>
      </c>
      <c r="N8" s="74">
        <v>10000</v>
      </c>
      <c r="O8" s="73">
        <v>43489</v>
      </c>
      <c r="P8" s="73"/>
      <c r="Q8" s="73"/>
      <c r="R8" s="73"/>
      <c r="S8" s="73"/>
      <c r="T8" s="74"/>
      <c r="U8" s="75" t="s">
        <v>64</v>
      </c>
    </row>
    <row r="9" spans="1:22" s="85" customFormat="1" ht="90" customHeight="1" x14ac:dyDescent="0.25">
      <c r="A9" s="96">
        <v>1</v>
      </c>
      <c r="B9" s="95"/>
      <c r="C9" s="95"/>
      <c r="D9" s="95" t="s">
        <v>148</v>
      </c>
      <c r="E9" s="100" t="s">
        <v>163</v>
      </c>
      <c r="F9" s="99" t="s">
        <v>149</v>
      </c>
      <c r="G9" s="97">
        <v>1434561.11</v>
      </c>
      <c r="H9" s="98">
        <f>IF(V9 = 6, G9 + SUM(Q9:Q9) - SUM(R9:R9) - SUM(N9:N9) - T9,0)</f>
        <v>1434561.11</v>
      </c>
      <c r="I9" s="111">
        <v>2312054894</v>
      </c>
      <c r="J9" s="95" t="s">
        <v>146</v>
      </c>
      <c r="K9" s="95" t="s">
        <v>195</v>
      </c>
      <c r="L9" s="93"/>
      <c r="M9" s="95" t="s">
        <v>151</v>
      </c>
      <c r="N9" s="92"/>
      <c r="O9" s="93"/>
      <c r="P9" s="94"/>
      <c r="Q9" s="92"/>
      <c r="R9" s="92"/>
      <c r="S9" s="99"/>
      <c r="T9" s="97"/>
      <c r="U9" s="101"/>
      <c r="V9" s="85">
        <v>6</v>
      </c>
    </row>
    <row r="10" spans="1:22" x14ac:dyDescent="0.25">
      <c r="V10" s="2">
        <v>10</v>
      </c>
    </row>
  </sheetData>
  <sheetProtection algorithmName="SHA-512" hashValue="U4dai+Vi2cntFiX3597/QGeL7ZyR72Qp1XYee+xksV0N9fN5SbzlEMZhT17JETvIBlPbP4z0ekuoIzVX6XfTzw==" saltValue="/raV1HnGbbWLIzv5TQSdIA==" spinCount="100000" sheet="1" objects="1" scenarios="1" formatCells="0" formatColumns="0" formatRows="0"/>
  <mergeCells count="3">
    <mergeCell ref="Q2:S2"/>
    <mergeCell ref="E2:F2"/>
    <mergeCell ref="L2:M2"/>
  </mergeCells>
  <pageMargins left="0.70866141732283472" right="0.70866141732283472" top="0.74803149606299213" bottom="0.74803149606299213" header="0.31496062992125984" footer="0.31496062992125984"/>
  <pageSetup paperSize="9" scale="22" fitToHeight="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theme="3" tint="0.39997558519241921"/>
  </sheetPr>
  <dimension ref="A1:AL10"/>
  <sheetViews>
    <sheetView showGridLines="0" topLeftCell="J1" zoomScale="50" zoomScaleNormal="50" workbookViewId="0">
      <pane ySplit="8" topLeftCell="A9" activePane="bottomLeft" state="frozen"/>
      <selection pane="bottomLeft" activeCell="X9" sqref="X9"/>
    </sheetView>
  </sheetViews>
  <sheetFormatPr defaultColWidth="0" defaultRowHeight="18.75" x14ac:dyDescent="0.25"/>
  <cols>
    <col min="1" max="1" width="9.140625" style="3" customWidth="1"/>
    <col min="2" max="2" width="44" style="3" customWidth="1"/>
    <col min="3" max="3" width="30.7109375" style="3" customWidth="1"/>
    <col min="4" max="6" width="33.7109375" style="3" customWidth="1"/>
    <col min="7" max="8" width="22.28515625" style="10" customWidth="1"/>
    <col min="9" max="9" width="24.28515625" style="29" customWidth="1"/>
    <col min="10" max="10" width="28.42578125" style="29" customWidth="1"/>
    <col min="11" max="12" width="19.5703125" style="3" customWidth="1"/>
    <col min="13" max="13" width="25.7109375" style="3" customWidth="1"/>
    <col min="14" max="14" width="24.42578125" style="11" bestFit="1" customWidth="1"/>
    <col min="15" max="15" width="24.42578125" style="3" customWidth="1"/>
    <col min="16" max="16" width="31.5703125" style="3" customWidth="1"/>
    <col min="17" max="18" width="21.85546875" style="10" customWidth="1"/>
    <col min="19" max="19" width="23.5703125" style="3" customWidth="1"/>
    <col min="20" max="20" width="31.28515625" style="11" customWidth="1"/>
    <col min="21" max="21" width="27.7109375" style="11" customWidth="1"/>
    <col min="22" max="22" width="25.42578125" style="10" customWidth="1"/>
    <col min="23" max="23" width="25" style="11" customWidth="1"/>
    <col min="24" max="24" width="24.5703125" style="3" customWidth="1"/>
    <col min="25" max="25" width="24.85546875" style="3" customWidth="1"/>
    <col min="26" max="26" width="24" style="3" customWidth="1"/>
    <col min="27" max="27" width="23.7109375" style="11" customWidth="1"/>
    <col min="28" max="28" width="19.140625" style="10" customWidth="1"/>
    <col min="29" max="29" width="23.140625" style="3" customWidth="1"/>
    <col min="30" max="30" width="9.140625" style="2" hidden="1" customWidth="1"/>
    <col min="31" max="31" width="8.5703125" style="2" hidden="1" customWidth="1"/>
    <col min="32" max="38" width="0" style="2" hidden="1" customWidth="1"/>
    <col min="39" max="16384" width="9.140625" style="2" hidden="1"/>
  </cols>
  <sheetData>
    <row r="1" spans="1:30" ht="19.5" thickBot="1" x14ac:dyDescent="0.3"/>
    <row r="2" spans="1:30" ht="39.950000000000003" customHeight="1" thickBot="1" x14ac:dyDescent="0.3">
      <c r="E2" s="210" t="s">
        <v>139</v>
      </c>
      <c r="F2" s="211"/>
      <c r="G2" s="82">
        <f>SUM(G9:G9999)</f>
        <v>740880</v>
      </c>
      <c r="O2" s="210" t="s">
        <v>24</v>
      </c>
      <c r="P2" s="211"/>
      <c r="Q2" s="80">
        <f>SUM(Q9:Q9999)</f>
        <v>674200.8</v>
      </c>
      <c r="T2" s="190" t="s">
        <v>137</v>
      </c>
      <c r="U2" s="192"/>
      <c r="V2" s="69">
        <f>SUM(V9:V9999)</f>
        <v>142178.4</v>
      </c>
      <c r="X2" s="68"/>
      <c r="Y2" s="190" t="s">
        <v>45</v>
      </c>
      <c r="Z2" s="191"/>
      <c r="AA2" s="192"/>
      <c r="AB2" s="70">
        <f>SUM(AB9:AB9999)</f>
        <v>0</v>
      </c>
    </row>
    <row r="3" spans="1:30" x14ac:dyDescent="0.25">
      <c r="T3" s="2"/>
      <c r="U3" s="2"/>
      <c r="X3" s="2"/>
      <c r="Y3" s="2"/>
      <c r="Z3" s="2"/>
      <c r="AA3" s="2"/>
    </row>
    <row r="4" spans="1:30" ht="39.950000000000003" customHeight="1" x14ac:dyDescent="0.25">
      <c r="T4" s="2"/>
      <c r="U4" s="2"/>
      <c r="X4" s="2"/>
      <c r="Y4" s="2"/>
      <c r="Z4" s="2"/>
      <c r="AA4" s="2"/>
    </row>
    <row r="6" spans="1:30" ht="150" x14ac:dyDescent="0.25">
      <c r="A6" s="18" t="s">
        <v>8</v>
      </c>
      <c r="B6" s="18" t="s">
        <v>47</v>
      </c>
      <c r="C6" s="18" t="s">
        <v>33</v>
      </c>
      <c r="D6" s="18" t="s">
        <v>10</v>
      </c>
      <c r="E6" s="18" t="s">
        <v>11</v>
      </c>
      <c r="F6" s="18" t="s">
        <v>12</v>
      </c>
      <c r="G6" s="25" t="s">
        <v>13</v>
      </c>
      <c r="H6" s="25" t="s">
        <v>34</v>
      </c>
      <c r="I6" s="30" t="s">
        <v>16</v>
      </c>
      <c r="J6" s="30" t="s">
        <v>17</v>
      </c>
      <c r="K6" s="18" t="s">
        <v>14</v>
      </c>
      <c r="L6" s="18" t="s">
        <v>32</v>
      </c>
      <c r="M6" s="18" t="s">
        <v>15</v>
      </c>
      <c r="N6" s="24" t="s">
        <v>0</v>
      </c>
      <c r="O6" s="18" t="s">
        <v>46</v>
      </c>
      <c r="P6" s="18" t="s">
        <v>5</v>
      </c>
      <c r="Q6" s="25" t="s">
        <v>18</v>
      </c>
      <c r="R6" s="25" t="s">
        <v>22</v>
      </c>
      <c r="S6" s="18" t="s">
        <v>19</v>
      </c>
      <c r="T6" s="24" t="s">
        <v>37</v>
      </c>
      <c r="U6" s="24" t="s">
        <v>20</v>
      </c>
      <c r="V6" s="25" t="s">
        <v>23</v>
      </c>
      <c r="W6" s="24" t="s">
        <v>9</v>
      </c>
      <c r="X6" s="23" t="s">
        <v>40</v>
      </c>
      <c r="Y6" s="23" t="s">
        <v>103</v>
      </c>
      <c r="Z6" s="23" t="s">
        <v>104</v>
      </c>
      <c r="AA6" s="22" t="s">
        <v>41</v>
      </c>
      <c r="AB6" s="25" t="s">
        <v>43</v>
      </c>
      <c r="AC6" s="18" t="s">
        <v>42</v>
      </c>
    </row>
    <row r="7" spans="1:30" x14ac:dyDescent="0.25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  <c r="X7" s="60" t="s">
        <v>132</v>
      </c>
      <c r="Y7" s="60" t="s">
        <v>133</v>
      </c>
      <c r="Z7" s="60" t="s">
        <v>134</v>
      </c>
      <c r="AA7" s="60" t="s">
        <v>135</v>
      </c>
      <c r="AB7" s="60" t="s">
        <v>136</v>
      </c>
      <c r="AC7" s="60" t="s">
        <v>138</v>
      </c>
    </row>
    <row r="8" spans="1:30" ht="168.75" x14ac:dyDescent="0.25">
      <c r="A8" s="21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1">
        <v>6</v>
      </c>
      <c r="J8" s="31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1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0" t="s">
        <v>81</v>
      </c>
      <c r="V8" s="19">
        <v>8775.01</v>
      </c>
      <c r="W8" s="20">
        <v>43696</v>
      </c>
      <c r="X8" s="21"/>
      <c r="Y8" s="54"/>
      <c r="Z8" s="54"/>
      <c r="AA8" s="20"/>
      <c r="AB8" s="19"/>
      <c r="AC8" s="21" t="s">
        <v>64</v>
      </c>
    </row>
    <row r="9" spans="1:30" s="85" customFormat="1" ht="93.75" x14ac:dyDescent="0.25">
      <c r="A9" s="86">
        <v>1</v>
      </c>
      <c r="B9" s="88"/>
      <c r="C9" s="88" t="s">
        <v>201</v>
      </c>
      <c r="D9" s="88" t="s">
        <v>205</v>
      </c>
      <c r="E9" s="88" t="s">
        <v>197</v>
      </c>
      <c r="F9" s="88" t="s">
        <v>198</v>
      </c>
      <c r="G9" s="87">
        <v>740880</v>
      </c>
      <c r="H9" s="90">
        <f>IF(AD9 = 1, G9 - Q9,0)</f>
        <v>66679.199999999953</v>
      </c>
      <c r="I9" s="87">
        <v>2</v>
      </c>
      <c r="J9" s="87">
        <v>0</v>
      </c>
      <c r="K9" s="88" t="s">
        <v>200</v>
      </c>
      <c r="L9" s="88" t="s">
        <v>204</v>
      </c>
      <c r="M9" s="88" t="s">
        <v>199</v>
      </c>
      <c r="N9" s="91">
        <v>45649</v>
      </c>
      <c r="O9" s="88" t="s">
        <v>156</v>
      </c>
      <c r="P9" s="88" t="s">
        <v>157</v>
      </c>
      <c r="Q9" s="87">
        <v>674200.8</v>
      </c>
      <c r="R9" s="90">
        <f>IF(AD9 = 1, Q9 + SUM(Y9:Y9) - SUM(Z9:Z9) - SUM(V9:V9) - AB9,0)</f>
        <v>532022.4</v>
      </c>
      <c r="S9" s="88" t="s">
        <v>196</v>
      </c>
      <c r="T9" s="91" t="s">
        <v>210</v>
      </c>
      <c r="U9" s="89" t="s">
        <v>158</v>
      </c>
      <c r="V9" s="87">
        <v>142178.4</v>
      </c>
      <c r="W9" s="91">
        <v>45335</v>
      </c>
      <c r="X9" s="88"/>
      <c r="Y9" s="87"/>
      <c r="Z9" s="87"/>
      <c r="AA9" s="89"/>
      <c r="AB9" s="87"/>
      <c r="AC9" s="88"/>
      <c r="AD9" s="85">
        <v>1</v>
      </c>
    </row>
    <row r="10" spans="1:30" x14ac:dyDescent="0.25">
      <c r="A10" s="114"/>
      <c r="B10" s="115"/>
      <c r="C10" s="115"/>
      <c r="D10" s="115"/>
      <c r="E10" s="115"/>
      <c r="F10" s="115"/>
      <c r="G10" s="118"/>
      <c r="H10" s="119">
        <f>IF(AD10 = 3, G10 - Q10,0)</f>
        <v>0</v>
      </c>
      <c r="I10" s="118"/>
      <c r="J10" s="118"/>
      <c r="K10" s="115"/>
      <c r="L10" s="115"/>
      <c r="M10" s="115"/>
      <c r="N10" s="117"/>
      <c r="O10" s="115"/>
      <c r="P10" s="115"/>
      <c r="Q10" s="118"/>
      <c r="R10" s="119">
        <f>IF(AD10 = 3, Q10 + SUM(Y10:Y10) - SUM(Z10:Z10) - SUM(V10:V10) - AB10,0)</f>
        <v>0</v>
      </c>
      <c r="S10" s="115"/>
      <c r="T10" s="117"/>
      <c r="U10" s="116"/>
      <c r="V10" s="118"/>
      <c r="W10" s="117"/>
      <c r="X10" s="115"/>
      <c r="Y10" s="118"/>
      <c r="Z10" s="118"/>
      <c r="AA10" s="116"/>
      <c r="AB10" s="118"/>
      <c r="AC10" s="115"/>
      <c r="AD10" s="2">
        <v>3</v>
      </c>
    </row>
  </sheetData>
  <sheetProtection algorithmName="SHA-512" hashValue="1z7Y6RqGe3KpyxWhJ+fxZW19HSXiolntoEb3ZAhff8ukN2TYubrUfUtG1fSjD16UqiJwnM5knabSDaE5piealg==" saltValue="DIR1nonzqI5HJ1XBd/pbbQ==" spinCount="100000" sheet="1" objects="1" scenarios="1" formatCells="0" formatColumns="0" formatRows="0"/>
  <mergeCells count="4"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theme="3" tint="0.39997558519241921"/>
  </sheetPr>
  <dimension ref="A1:AL18"/>
  <sheetViews>
    <sheetView showGridLines="0" topLeftCell="I1" zoomScale="50" zoomScaleNormal="50" workbookViewId="0">
      <pane ySplit="8" topLeftCell="A9" activePane="bottomLeft" state="frozen"/>
      <selection pane="bottomLeft" activeCell="V17" sqref="V9:V17"/>
    </sheetView>
  </sheetViews>
  <sheetFormatPr defaultColWidth="0" defaultRowHeight="18.75" x14ac:dyDescent="0.25"/>
  <cols>
    <col min="1" max="1" width="9.140625" style="3" customWidth="1"/>
    <col min="2" max="2" width="47.140625" style="3" customWidth="1"/>
    <col min="3" max="3" width="34.42578125" style="3" customWidth="1"/>
    <col min="4" max="6" width="33.7109375" style="3" customWidth="1"/>
    <col min="7" max="7" width="22.28515625" style="10" customWidth="1"/>
    <col min="8" max="8" width="22.28515625" style="2" customWidth="1"/>
    <col min="9" max="9" width="24.28515625" style="29" customWidth="1"/>
    <col min="10" max="10" width="28.42578125" style="29" customWidth="1"/>
    <col min="11" max="12" width="19.5703125" style="3" customWidth="1"/>
    <col min="13" max="13" width="25.7109375" style="3" customWidth="1"/>
    <col min="14" max="14" width="24.42578125" style="11" bestFit="1" customWidth="1"/>
    <col min="15" max="15" width="24.42578125" style="3" customWidth="1"/>
    <col min="16" max="16" width="31.5703125" style="3" customWidth="1"/>
    <col min="17" max="17" width="27" style="10" customWidth="1"/>
    <col min="18" max="18" width="21.85546875" style="2" customWidth="1"/>
    <col min="19" max="19" width="23.5703125" style="2" customWidth="1"/>
    <col min="20" max="20" width="32.42578125" style="2" customWidth="1"/>
    <col min="21" max="21" width="27.7109375" style="2" customWidth="1"/>
    <col min="22" max="22" width="25.42578125" style="2" customWidth="1"/>
    <col min="23" max="23" width="25" style="2" customWidth="1"/>
    <col min="24" max="26" width="25.140625" style="2" customWidth="1"/>
    <col min="27" max="27" width="23.85546875" style="2" customWidth="1"/>
    <col min="28" max="28" width="20.28515625" style="2" customWidth="1"/>
    <col min="29" max="29" width="20" style="2" customWidth="1"/>
    <col min="30" max="38" width="0" style="2" hidden="1" customWidth="1"/>
    <col min="39" max="16384" width="9.140625" style="2" hidden="1"/>
  </cols>
  <sheetData>
    <row r="1" spans="1:30" ht="19.5" thickBot="1" x14ac:dyDescent="0.3"/>
    <row r="2" spans="1:30" ht="39.950000000000003" customHeight="1" thickBot="1" x14ac:dyDescent="0.3">
      <c r="E2" s="210" t="s">
        <v>139</v>
      </c>
      <c r="F2" s="211"/>
      <c r="G2" s="82">
        <f>SUM(G9:G10007)</f>
        <v>1539365.26</v>
      </c>
      <c r="H2" s="10"/>
      <c r="O2" s="210" t="s">
        <v>24</v>
      </c>
      <c r="P2" s="211"/>
      <c r="Q2" s="80">
        <f>SUM(Q9:Q10007)</f>
        <v>1539365.26</v>
      </c>
      <c r="T2" s="190" t="s">
        <v>137</v>
      </c>
      <c r="U2" s="192"/>
      <c r="V2" s="69">
        <f>SUM(V9:V10007)</f>
        <v>445531.19</v>
      </c>
      <c r="X2" s="68"/>
      <c r="Y2" s="190" t="s">
        <v>45</v>
      </c>
      <c r="Z2" s="191"/>
      <c r="AA2" s="192"/>
      <c r="AB2" s="70">
        <f>SUM(AB9:AB10007)</f>
        <v>0</v>
      </c>
    </row>
    <row r="4" spans="1:30" ht="39.950000000000003" customHeight="1" x14ac:dyDescent="0.25"/>
    <row r="6" spans="1:30" ht="150" x14ac:dyDescent="0.25">
      <c r="A6" s="18" t="s">
        <v>8</v>
      </c>
      <c r="B6" s="18" t="s">
        <v>47</v>
      </c>
      <c r="C6" s="18" t="s">
        <v>33</v>
      </c>
      <c r="D6" s="18" t="s">
        <v>10</v>
      </c>
      <c r="E6" s="18" t="s">
        <v>11</v>
      </c>
      <c r="F6" s="18" t="s">
        <v>12</v>
      </c>
      <c r="G6" s="25" t="s">
        <v>13</v>
      </c>
      <c r="H6" s="1" t="s">
        <v>34</v>
      </c>
      <c r="I6" s="30" t="s">
        <v>16</v>
      </c>
      <c r="J6" s="30" t="s">
        <v>17</v>
      </c>
      <c r="K6" s="18" t="s">
        <v>14</v>
      </c>
      <c r="L6" s="18" t="s">
        <v>32</v>
      </c>
      <c r="M6" s="18" t="s">
        <v>15</v>
      </c>
      <c r="N6" s="24" t="s">
        <v>0</v>
      </c>
      <c r="O6" s="18" t="s">
        <v>46</v>
      </c>
      <c r="P6" s="18" t="s">
        <v>5</v>
      </c>
      <c r="Q6" s="25" t="s">
        <v>38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3" t="s">
        <v>40</v>
      </c>
      <c r="Y6" s="13" t="s">
        <v>103</v>
      </c>
      <c r="Z6" s="13" t="s">
        <v>104</v>
      </c>
      <c r="AA6" s="13" t="s">
        <v>41</v>
      </c>
      <c r="AB6" s="1" t="s">
        <v>43</v>
      </c>
      <c r="AC6" s="1" t="s">
        <v>42</v>
      </c>
    </row>
    <row r="7" spans="1:30" x14ac:dyDescent="0.25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  <c r="X7" s="60" t="s">
        <v>132</v>
      </c>
      <c r="Y7" s="60" t="s">
        <v>133</v>
      </c>
      <c r="Z7" s="60" t="s">
        <v>134</v>
      </c>
      <c r="AA7" s="60" t="s">
        <v>135</v>
      </c>
      <c r="AB7" s="60" t="s">
        <v>136</v>
      </c>
      <c r="AC7" s="60" t="s">
        <v>138</v>
      </c>
    </row>
    <row r="8" spans="1:30" ht="168.75" x14ac:dyDescent="0.25">
      <c r="A8" s="54" t="s">
        <v>36</v>
      </c>
      <c r="B8" s="54"/>
      <c r="C8" s="54" t="s">
        <v>73</v>
      </c>
      <c r="D8" s="54" t="s">
        <v>74</v>
      </c>
      <c r="E8" s="54" t="s">
        <v>71</v>
      </c>
      <c r="F8" s="54" t="s">
        <v>72</v>
      </c>
      <c r="G8" s="56">
        <v>15500.01</v>
      </c>
      <c r="H8" s="56">
        <f t="shared" ref="H8" si="0">G8-Q8</f>
        <v>6725</v>
      </c>
      <c r="I8" s="79">
        <v>6</v>
      </c>
      <c r="J8" s="79">
        <v>0</v>
      </c>
      <c r="K8" s="54" t="s">
        <v>75</v>
      </c>
      <c r="L8" s="54" t="s">
        <v>76</v>
      </c>
      <c r="M8" s="54" t="s">
        <v>77</v>
      </c>
      <c r="N8" s="55">
        <v>43655</v>
      </c>
      <c r="O8" s="54" t="s">
        <v>79</v>
      </c>
      <c r="P8" s="54" t="s">
        <v>78</v>
      </c>
      <c r="Q8" s="56">
        <v>8775.01</v>
      </c>
      <c r="R8" s="56">
        <f>Q8-V8</f>
        <v>0</v>
      </c>
      <c r="S8" s="54" t="s">
        <v>80</v>
      </c>
      <c r="T8" s="55">
        <v>43677</v>
      </c>
      <c r="U8" s="54" t="s">
        <v>81</v>
      </c>
      <c r="V8" s="56">
        <v>8775.01</v>
      </c>
      <c r="W8" s="55">
        <v>43696</v>
      </c>
      <c r="X8" s="54"/>
      <c r="Y8" s="54"/>
      <c r="Z8" s="54"/>
      <c r="AA8" s="54"/>
      <c r="AB8" s="56"/>
      <c r="AC8" s="57" t="s">
        <v>64</v>
      </c>
    </row>
    <row r="9" spans="1:30" s="85" customFormat="1" ht="180" customHeight="1" x14ac:dyDescent="0.25">
      <c r="A9" s="235">
        <v>1</v>
      </c>
      <c r="B9" s="223"/>
      <c r="C9" s="223" t="s">
        <v>201</v>
      </c>
      <c r="D9" s="223" t="s">
        <v>205</v>
      </c>
      <c r="E9" s="223" t="s">
        <v>203</v>
      </c>
      <c r="F9" s="223" t="s">
        <v>202</v>
      </c>
      <c r="G9" s="226">
        <v>1539365.26</v>
      </c>
      <c r="H9" s="229">
        <f>IF(AD9 = 1, G9 - Q9,0)</f>
        <v>0</v>
      </c>
      <c r="I9" s="226">
        <v>1</v>
      </c>
      <c r="J9" s="226"/>
      <c r="K9" s="223" t="s">
        <v>200</v>
      </c>
      <c r="L9" s="223" t="s">
        <v>204</v>
      </c>
      <c r="M9" s="223" t="s">
        <v>206</v>
      </c>
      <c r="N9" s="232">
        <v>45642</v>
      </c>
      <c r="O9" s="223" t="s">
        <v>207</v>
      </c>
      <c r="P9" s="223" t="s">
        <v>208</v>
      </c>
      <c r="Q9" s="226">
        <v>1539365.26</v>
      </c>
      <c r="R9" s="229">
        <f>IF(AD9 = 1, Q9 + SUM(Y9:Y17) - SUM(Z9:Z17) - SUM(V9:V17) - AB9,0)</f>
        <v>1093834.07</v>
      </c>
      <c r="S9" s="223"/>
      <c r="T9" s="134" t="s">
        <v>256</v>
      </c>
      <c r="U9" s="223" t="s">
        <v>209</v>
      </c>
      <c r="V9" s="130">
        <v>28490</v>
      </c>
      <c r="W9" s="134" t="s">
        <v>237</v>
      </c>
      <c r="X9" s="131"/>
      <c r="Y9" s="130"/>
      <c r="Z9" s="130"/>
      <c r="AA9" s="223"/>
      <c r="AB9" s="226"/>
      <c r="AC9" s="220"/>
      <c r="AD9" s="85">
        <v>1</v>
      </c>
    </row>
    <row r="10" spans="1:30" s="121" customFormat="1" x14ac:dyDescent="0.25">
      <c r="A10" s="236"/>
      <c r="B10" s="224"/>
      <c r="C10" s="224"/>
      <c r="D10" s="224"/>
      <c r="E10" s="224"/>
      <c r="F10" s="224"/>
      <c r="G10" s="227"/>
      <c r="H10" s="230"/>
      <c r="I10" s="227"/>
      <c r="J10" s="227"/>
      <c r="K10" s="224"/>
      <c r="L10" s="224"/>
      <c r="M10" s="224"/>
      <c r="N10" s="233"/>
      <c r="O10" s="224"/>
      <c r="P10" s="224"/>
      <c r="Q10" s="227"/>
      <c r="R10" s="230"/>
      <c r="S10" s="224"/>
      <c r="T10" s="136" t="s">
        <v>257</v>
      </c>
      <c r="U10" s="224"/>
      <c r="V10" s="137">
        <v>39375</v>
      </c>
      <c r="W10" s="136" t="s">
        <v>237</v>
      </c>
      <c r="X10" s="138"/>
      <c r="Y10" s="137"/>
      <c r="Z10" s="137"/>
      <c r="AA10" s="224"/>
      <c r="AB10" s="227"/>
      <c r="AC10" s="221"/>
      <c r="AD10" s="121">
        <v>1</v>
      </c>
    </row>
    <row r="11" spans="1:30" s="121" customFormat="1" x14ac:dyDescent="0.25">
      <c r="A11" s="236"/>
      <c r="B11" s="224"/>
      <c r="C11" s="224"/>
      <c r="D11" s="224"/>
      <c r="E11" s="224"/>
      <c r="F11" s="224"/>
      <c r="G11" s="227"/>
      <c r="H11" s="230"/>
      <c r="I11" s="227"/>
      <c r="J11" s="227"/>
      <c r="K11" s="224"/>
      <c r="L11" s="224"/>
      <c r="M11" s="224"/>
      <c r="N11" s="233"/>
      <c r="O11" s="224"/>
      <c r="P11" s="224"/>
      <c r="Q11" s="227"/>
      <c r="R11" s="230"/>
      <c r="S11" s="224"/>
      <c r="T11" s="136" t="s">
        <v>257</v>
      </c>
      <c r="U11" s="224"/>
      <c r="V11" s="137">
        <v>122320.95</v>
      </c>
      <c r="W11" s="136" t="s">
        <v>251</v>
      </c>
      <c r="X11" s="138"/>
      <c r="Y11" s="137"/>
      <c r="Z11" s="137"/>
      <c r="AA11" s="224"/>
      <c r="AB11" s="227"/>
      <c r="AC11" s="221"/>
      <c r="AD11" s="121">
        <v>1</v>
      </c>
    </row>
    <row r="12" spans="1:30" s="121" customFormat="1" x14ac:dyDescent="0.25">
      <c r="A12" s="236"/>
      <c r="B12" s="224"/>
      <c r="C12" s="224"/>
      <c r="D12" s="224"/>
      <c r="E12" s="224"/>
      <c r="F12" s="224"/>
      <c r="G12" s="227"/>
      <c r="H12" s="230"/>
      <c r="I12" s="227"/>
      <c r="J12" s="227"/>
      <c r="K12" s="224"/>
      <c r="L12" s="224"/>
      <c r="M12" s="224"/>
      <c r="N12" s="233"/>
      <c r="O12" s="224"/>
      <c r="P12" s="224"/>
      <c r="Q12" s="227"/>
      <c r="R12" s="230"/>
      <c r="S12" s="224"/>
      <c r="T12" s="136" t="s">
        <v>257</v>
      </c>
      <c r="U12" s="224"/>
      <c r="V12" s="137">
        <v>7807.8</v>
      </c>
      <c r="W12" s="136" t="s">
        <v>251</v>
      </c>
      <c r="X12" s="138"/>
      <c r="Y12" s="137"/>
      <c r="Z12" s="137"/>
      <c r="AA12" s="224"/>
      <c r="AB12" s="227"/>
      <c r="AC12" s="221"/>
      <c r="AD12" s="121">
        <v>1</v>
      </c>
    </row>
    <row r="13" spans="1:30" s="121" customFormat="1" x14ac:dyDescent="0.25">
      <c r="A13" s="236"/>
      <c r="B13" s="224"/>
      <c r="C13" s="224"/>
      <c r="D13" s="224"/>
      <c r="E13" s="224"/>
      <c r="F13" s="224"/>
      <c r="G13" s="227"/>
      <c r="H13" s="230"/>
      <c r="I13" s="227"/>
      <c r="J13" s="227"/>
      <c r="K13" s="224"/>
      <c r="L13" s="224"/>
      <c r="M13" s="224"/>
      <c r="N13" s="233"/>
      <c r="O13" s="224"/>
      <c r="P13" s="224"/>
      <c r="Q13" s="227"/>
      <c r="R13" s="230"/>
      <c r="S13" s="224"/>
      <c r="T13" s="136" t="s">
        <v>256</v>
      </c>
      <c r="U13" s="224"/>
      <c r="V13" s="137">
        <v>88506</v>
      </c>
      <c r="W13" s="136" t="s">
        <v>251</v>
      </c>
      <c r="X13" s="138"/>
      <c r="Y13" s="137"/>
      <c r="Z13" s="137"/>
      <c r="AA13" s="224"/>
      <c r="AB13" s="227"/>
      <c r="AC13" s="221"/>
      <c r="AD13" s="121">
        <v>1</v>
      </c>
    </row>
    <row r="14" spans="1:30" s="121" customFormat="1" x14ac:dyDescent="0.25">
      <c r="A14" s="236"/>
      <c r="B14" s="224"/>
      <c r="C14" s="224"/>
      <c r="D14" s="224"/>
      <c r="E14" s="224"/>
      <c r="F14" s="224"/>
      <c r="G14" s="227"/>
      <c r="H14" s="230"/>
      <c r="I14" s="227"/>
      <c r="J14" s="227"/>
      <c r="K14" s="224"/>
      <c r="L14" s="224"/>
      <c r="M14" s="224"/>
      <c r="N14" s="233"/>
      <c r="O14" s="224"/>
      <c r="P14" s="224"/>
      <c r="Q14" s="227"/>
      <c r="R14" s="230"/>
      <c r="S14" s="224"/>
      <c r="T14" s="136" t="s">
        <v>256</v>
      </c>
      <c r="U14" s="224"/>
      <c r="V14" s="137">
        <v>5649.38</v>
      </c>
      <c r="W14" s="136" t="s">
        <v>251</v>
      </c>
      <c r="X14" s="138"/>
      <c r="Y14" s="137"/>
      <c r="Z14" s="137"/>
      <c r="AA14" s="224"/>
      <c r="AB14" s="227"/>
      <c r="AC14" s="221"/>
      <c r="AD14" s="121">
        <v>1</v>
      </c>
    </row>
    <row r="15" spans="1:30" s="121" customFormat="1" x14ac:dyDescent="0.25">
      <c r="A15" s="236"/>
      <c r="B15" s="224"/>
      <c r="C15" s="224"/>
      <c r="D15" s="224"/>
      <c r="E15" s="224"/>
      <c r="F15" s="224"/>
      <c r="G15" s="227"/>
      <c r="H15" s="230"/>
      <c r="I15" s="227"/>
      <c r="J15" s="227"/>
      <c r="K15" s="224"/>
      <c r="L15" s="224"/>
      <c r="M15" s="224"/>
      <c r="N15" s="233"/>
      <c r="O15" s="224"/>
      <c r="P15" s="224"/>
      <c r="Q15" s="227"/>
      <c r="R15" s="230"/>
      <c r="S15" s="224"/>
      <c r="T15" s="136" t="s">
        <v>258</v>
      </c>
      <c r="U15" s="224"/>
      <c r="V15" s="137">
        <v>7065.19</v>
      </c>
      <c r="W15" s="136" t="s">
        <v>248</v>
      </c>
      <c r="X15" s="138"/>
      <c r="Y15" s="137"/>
      <c r="Z15" s="137"/>
      <c r="AA15" s="224"/>
      <c r="AB15" s="227"/>
      <c r="AC15" s="221"/>
      <c r="AD15" s="121">
        <v>1</v>
      </c>
    </row>
    <row r="16" spans="1:30" s="121" customFormat="1" x14ac:dyDescent="0.25">
      <c r="A16" s="236"/>
      <c r="B16" s="224"/>
      <c r="C16" s="224"/>
      <c r="D16" s="224"/>
      <c r="E16" s="224"/>
      <c r="F16" s="224"/>
      <c r="G16" s="227"/>
      <c r="H16" s="230"/>
      <c r="I16" s="227"/>
      <c r="J16" s="227"/>
      <c r="K16" s="224"/>
      <c r="L16" s="224"/>
      <c r="M16" s="224"/>
      <c r="N16" s="233"/>
      <c r="O16" s="224"/>
      <c r="P16" s="224"/>
      <c r="Q16" s="227"/>
      <c r="R16" s="230"/>
      <c r="S16" s="224"/>
      <c r="T16" s="136" t="s">
        <v>258</v>
      </c>
      <c r="U16" s="224"/>
      <c r="V16" s="137">
        <v>110686.87</v>
      </c>
      <c r="W16" s="136" t="s">
        <v>248</v>
      </c>
      <c r="X16" s="138"/>
      <c r="Y16" s="137"/>
      <c r="Z16" s="137"/>
      <c r="AA16" s="224"/>
      <c r="AB16" s="227"/>
      <c r="AC16" s="221"/>
      <c r="AD16" s="121">
        <v>1</v>
      </c>
    </row>
    <row r="17" spans="1:30" s="121" customFormat="1" x14ac:dyDescent="0.25">
      <c r="A17" s="237"/>
      <c r="B17" s="225"/>
      <c r="C17" s="225"/>
      <c r="D17" s="225"/>
      <c r="E17" s="225"/>
      <c r="F17" s="225"/>
      <c r="G17" s="228"/>
      <c r="H17" s="231"/>
      <c r="I17" s="228"/>
      <c r="J17" s="228"/>
      <c r="K17" s="225"/>
      <c r="L17" s="225"/>
      <c r="M17" s="225"/>
      <c r="N17" s="234"/>
      <c r="O17" s="225"/>
      <c r="P17" s="225"/>
      <c r="Q17" s="228"/>
      <c r="R17" s="231"/>
      <c r="S17" s="225"/>
      <c r="T17" s="135" t="s">
        <v>258</v>
      </c>
      <c r="U17" s="225"/>
      <c r="V17" s="132">
        <v>35630</v>
      </c>
      <c r="W17" s="135" t="s">
        <v>248</v>
      </c>
      <c r="X17" s="133"/>
      <c r="Y17" s="132"/>
      <c r="Z17" s="132"/>
      <c r="AA17" s="225"/>
      <c r="AB17" s="228"/>
      <c r="AC17" s="222"/>
      <c r="AD17" s="121">
        <v>1</v>
      </c>
    </row>
    <row r="18" spans="1:30" x14ac:dyDescent="0.25">
      <c r="AD18" s="2">
        <v>2</v>
      </c>
    </row>
  </sheetData>
  <sheetProtection algorithmName="SHA-512" hashValue="h8g3HjQGbQDQpD4a8ijwoJxiL53BM0ZL/3axiodcg24rzG3kvEjPr2wBaRZF3YtIbks/EPqf36KvIB7J2Ngzuw==" saltValue="T70M3T/lUQL+Js2vwqk/Ng==" spinCount="100000" sheet="1" objects="1" scenarios="1" formatCells="0" formatColumns="0" formatRows="0"/>
  <mergeCells count="27">
    <mergeCell ref="E2:F2"/>
    <mergeCell ref="O2:P2"/>
    <mergeCell ref="Y2:AA2"/>
    <mergeCell ref="T2:U2"/>
    <mergeCell ref="A9:A17"/>
    <mergeCell ref="U9:U17"/>
    <mergeCell ref="AA9:AA17"/>
    <mergeCell ref="B9:B17"/>
    <mergeCell ref="AB9:AB17"/>
    <mergeCell ref="C9:C17"/>
    <mergeCell ref="S9:S17"/>
    <mergeCell ref="AC9:AC17"/>
    <mergeCell ref="D9:D17"/>
    <mergeCell ref="E9:E17"/>
    <mergeCell ref="F9:F17"/>
    <mergeCell ref="G9:G17"/>
    <mergeCell ref="H9:H17"/>
    <mergeCell ref="I9:I17"/>
    <mergeCell ref="J9:J17"/>
    <mergeCell ref="K9:K17"/>
    <mergeCell ref="L9:L17"/>
    <mergeCell ref="M9:M17"/>
    <mergeCell ref="N9:N17"/>
    <mergeCell ref="O9:O17"/>
    <mergeCell ref="P9:P17"/>
    <mergeCell ref="Q9:Q17"/>
    <mergeCell ref="R9:R17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theme="3" tint="0.39997558519241921"/>
  </sheetPr>
  <dimension ref="A1:AD17"/>
  <sheetViews>
    <sheetView showGridLines="0" zoomScale="50" zoomScaleNormal="50" workbookViewId="0">
      <pane ySplit="8" topLeftCell="A9" activePane="bottomLeft" state="frozen"/>
      <selection pane="bottomLeft" activeCell="O8" sqref="O8"/>
    </sheetView>
  </sheetViews>
  <sheetFormatPr defaultColWidth="0" defaultRowHeight="18.75" x14ac:dyDescent="0.25"/>
  <cols>
    <col min="1" max="1" width="9.140625" style="2" customWidth="1"/>
    <col min="2" max="2" width="47.140625" style="2" customWidth="1"/>
    <col min="3" max="3" width="33.28515625" style="2" customWidth="1"/>
    <col min="4" max="6" width="33.7109375" style="2" customWidth="1"/>
    <col min="7" max="8" width="22.28515625" style="2" customWidth="1"/>
    <col min="9" max="9" width="24.28515625" style="2" customWidth="1"/>
    <col min="10" max="10" width="28.42578125" style="2" customWidth="1"/>
    <col min="11" max="12" width="19.5703125" style="2" customWidth="1"/>
    <col min="13" max="13" width="27.7109375" style="2" customWidth="1"/>
    <col min="14" max="14" width="24.42578125" style="2" bestFit="1" customWidth="1"/>
    <col min="15" max="15" width="27.42578125" style="2" customWidth="1"/>
    <col min="16" max="16" width="31.5703125" style="2" customWidth="1"/>
    <col min="17" max="18" width="21.85546875" style="2" customWidth="1"/>
    <col min="19" max="19" width="23.5703125" style="2" customWidth="1"/>
    <col min="20" max="20" width="31.85546875" style="2" customWidth="1"/>
    <col min="21" max="21" width="27.7109375" style="2" customWidth="1"/>
    <col min="22" max="22" width="25.42578125" style="2" customWidth="1"/>
    <col min="23" max="23" width="25" style="2" customWidth="1"/>
    <col min="24" max="26" width="29.42578125" style="2" customWidth="1"/>
    <col min="27" max="27" width="26.28515625" style="2" customWidth="1"/>
    <col min="28" max="28" width="25.140625" style="2" customWidth="1"/>
    <col min="29" max="29" width="19.140625" style="2" customWidth="1"/>
    <col min="30" max="16384" width="9.140625" style="2" hidden="1"/>
  </cols>
  <sheetData>
    <row r="1" spans="1:30" ht="19.5" thickBot="1" x14ac:dyDescent="0.3"/>
    <row r="2" spans="1:30" ht="39.950000000000003" customHeight="1" thickBot="1" x14ac:dyDescent="0.3">
      <c r="E2" s="210" t="s">
        <v>139</v>
      </c>
      <c r="F2" s="211"/>
      <c r="G2" s="82">
        <f>SUM(G9:G9999)</f>
        <v>0</v>
      </c>
      <c r="H2" s="10"/>
      <c r="O2" s="210" t="s">
        <v>24</v>
      </c>
      <c r="P2" s="211"/>
      <c r="Q2" s="80">
        <f>SUM(Q9:Q9999)</f>
        <v>0</v>
      </c>
      <c r="T2" s="190" t="s">
        <v>137</v>
      </c>
      <c r="U2" s="192"/>
      <c r="V2" s="69">
        <f>SUM(V9:V9999)</f>
        <v>0</v>
      </c>
      <c r="X2" s="68"/>
      <c r="Y2" s="190" t="s">
        <v>45</v>
      </c>
      <c r="Z2" s="191"/>
      <c r="AA2" s="192"/>
      <c r="AB2" s="70">
        <f>SUM(AB9:AB9999)</f>
        <v>0</v>
      </c>
    </row>
    <row r="4" spans="1:30" ht="39.950000000000003" customHeight="1" x14ac:dyDescent="0.25">
      <c r="P4" s="189"/>
      <c r="Q4" s="189"/>
      <c r="R4" s="189"/>
      <c r="T4" s="68"/>
      <c r="U4" s="68"/>
    </row>
    <row r="6" spans="1:30" ht="150" x14ac:dyDescent="0.25">
      <c r="A6" s="1" t="s">
        <v>8</v>
      </c>
      <c r="B6" s="1" t="s">
        <v>47</v>
      </c>
      <c r="C6" s="1" t="s">
        <v>33</v>
      </c>
      <c r="D6" s="1" t="s">
        <v>10</v>
      </c>
      <c r="E6" s="1" t="s">
        <v>11</v>
      </c>
      <c r="F6" s="1" t="s">
        <v>12</v>
      </c>
      <c r="G6" s="1" t="s">
        <v>13</v>
      </c>
      <c r="H6" s="1" t="s">
        <v>34</v>
      </c>
      <c r="I6" s="1" t="s">
        <v>16</v>
      </c>
      <c r="J6" s="1" t="s">
        <v>17</v>
      </c>
      <c r="K6" s="1" t="s">
        <v>14</v>
      </c>
      <c r="L6" s="1" t="s">
        <v>32</v>
      </c>
      <c r="M6" s="1" t="s">
        <v>15</v>
      </c>
      <c r="N6" s="1" t="s">
        <v>0</v>
      </c>
      <c r="O6" s="1" t="s">
        <v>46</v>
      </c>
      <c r="P6" s="1" t="s">
        <v>5</v>
      </c>
      <c r="Q6" s="1" t="s">
        <v>18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3" t="s">
        <v>40</v>
      </c>
      <c r="Y6" s="13" t="s">
        <v>103</v>
      </c>
      <c r="Z6" s="13" t="s">
        <v>104</v>
      </c>
      <c r="AA6" s="13" t="s">
        <v>41</v>
      </c>
      <c r="AB6" s="1" t="s">
        <v>43</v>
      </c>
      <c r="AC6" s="1" t="s">
        <v>42</v>
      </c>
    </row>
    <row r="7" spans="1:30" x14ac:dyDescent="0.25">
      <c r="A7" s="76">
        <v>1</v>
      </c>
      <c r="B7" s="76">
        <v>2</v>
      </c>
      <c r="C7" s="76">
        <v>3</v>
      </c>
      <c r="D7" s="76">
        <v>4</v>
      </c>
      <c r="E7" s="76">
        <v>5</v>
      </c>
      <c r="F7" s="76">
        <v>6</v>
      </c>
      <c r="G7" s="76">
        <v>7</v>
      </c>
      <c r="H7" s="76">
        <v>8</v>
      </c>
      <c r="I7" s="76">
        <v>9</v>
      </c>
      <c r="J7" s="76">
        <v>10</v>
      </c>
      <c r="K7" s="76">
        <v>11</v>
      </c>
      <c r="L7" s="76">
        <v>12</v>
      </c>
      <c r="M7" s="76">
        <v>13</v>
      </c>
      <c r="N7" s="76">
        <v>14</v>
      </c>
      <c r="O7" s="76">
        <v>15</v>
      </c>
      <c r="P7" s="76">
        <v>16</v>
      </c>
      <c r="Q7" s="76">
        <v>17</v>
      </c>
      <c r="R7" s="76">
        <v>18</v>
      </c>
      <c r="S7" s="76">
        <v>19</v>
      </c>
      <c r="T7" s="76">
        <v>20</v>
      </c>
      <c r="U7" s="76">
        <v>21</v>
      </c>
      <c r="V7" s="76">
        <v>22</v>
      </c>
      <c r="W7" s="76">
        <v>23</v>
      </c>
      <c r="X7" s="76">
        <v>24</v>
      </c>
      <c r="Y7" s="76">
        <v>25</v>
      </c>
      <c r="Z7" s="76">
        <v>26</v>
      </c>
      <c r="AA7" s="76">
        <v>27</v>
      </c>
      <c r="AB7" s="76">
        <v>28</v>
      </c>
      <c r="AC7" s="76">
        <v>29</v>
      </c>
    </row>
    <row r="8" spans="1:30" ht="168.75" x14ac:dyDescent="0.25">
      <c r="A8" s="21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1">
        <v>6</v>
      </c>
      <c r="J8" s="31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0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1" t="s">
        <v>81</v>
      </c>
      <c r="V8" s="19">
        <v>8775.01</v>
      </c>
      <c r="W8" s="20">
        <v>43696</v>
      </c>
      <c r="X8" s="21"/>
      <c r="Y8" s="54"/>
      <c r="Z8" s="54"/>
      <c r="AA8" s="21"/>
      <c r="AB8" s="19"/>
      <c r="AC8" s="12" t="s">
        <v>64</v>
      </c>
    </row>
    <row r="9" spans="1:30" x14ac:dyDescent="0.25">
      <c r="M9" s="3"/>
      <c r="AD9" s="2">
        <v>10</v>
      </c>
    </row>
    <row r="10" spans="1:30" x14ac:dyDescent="0.25">
      <c r="M10" s="3"/>
    </row>
    <row r="11" spans="1:30" x14ac:dyDescent="0.25">
      <c r="M11" s="3"/>
    </row>
    <row r="12" spans="1:30" x14ac:dyDescent="0.25">
      <c r="M12" s="3"/>
    </row>
    <row r="13" spans="1:30" x14ac:dyDescent="0.25">
      <c r="M13" s="3"/>
    </row>
    <row r="14" spans="1:30" x14ac:dyDescent="0.25">
      <c r="M14" s="3"/>
    </row>
    <row r="15" spans="1:30" x14ac:dyDescent="0.25">
      <c r="M15" s="3"/>
    </row>
    <row r="16" spans="1:30" x14ac:dyDescent="0.25">
      <c r="M16" s="3"/>
    </row>
    <row r="17" spans="13:13" x14ac:dyDescent="0.25">
      <c r="M17" s="3"/>
    </row>
  </sheetData>
  <sheetProtection algorithmName="SHA-512" hashValue="HbrPuUQu5dNgMxSBSe6xhVbdgCS18rSP1ui70saF+cakLtT+QN4fdD/qvoPOoGbp/qnHvM96OmyxLtN3D9jZmg==" saltValue="zD/Rv0G0fmmd6eq758c9LQ==" spinCount="100000" sheet="1" objects="1" scenarios="1" formatCells="0" formatColumns="0" formatRows="0"/>
  <mergeCells count="5">
    <mergeCell ref="P4:R4"/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3" tint="0.39997558519241921"/>
  </sheetPr>
  <dimension ref="A1:K83"/>
  <sheetViews>
    <sheetView workbookViewId="0">
      <selection activeCell="F20" sqref="F20"/>
    </sheetView>
  </sheetViews>
  <sheetFormatPr defaultColWidth="9.140625" defaultRowHeight="15.75" x14ac:dyDescent="0.25"/>
  <cols>
    <col min="1" max="1" width="15.28515625" style="33" customWidth="1"/>
    <col min="2" max="2" width="17.42578125" style="33" customWidth="1"/>
    <col min="3" max="3" width="17.28515625" style="33" customWidth="1"/>
    <col min="4" max="4" width="38.85546875" style="33" customWidth="1"/>
    <col min="5" max="5" width="15.5703125" style="33" bestFit="1" customWidth="1"/>
    <col min="6" max="11" width="16.140625" style="33" customWidth="1"/>
    <col min="12" max="16384" width="9.140625" style="33"/>
  </cols>
  <sheetData>
    <row r="1" spans="1:11" x14ac:dyDescent="0.25">
      <c r="A1" s="47">
        <v>16</v>
      </c>
      <c r="B1" s="47">
        <v>6</v>
      </c>
      <c r="C1" s="47">
        <v>9</v>
      </c>
      <c r="D1" s="240" t="s">
        <v>50</v>
      </c>
      <c r="E1" s="32"/>
      <c r="F1" s="62" t="s">
        <v>108</v>
      </c>
      <c r="G1" s="66" t="s">
        <v>108</v>
      </c>
      <c r="H1" s="65" t="s">
        <v>108</v>
      </c>
      <c r="I1" s="64" t="s">
        <v>108</v>
      </c>
      <c r="J1" s="63" t="s">
        <v>108</v>
      </c>
      <c r="K1" s="67" t="s">
        <v>108</v>
      </c>
    </row>
    <row r="2" spans="1:11" x14ac:dyDescent="0.25">
      <c r="A2" s="48" t="s">
        <v>84</v>
      </c>
      <c r="B2" s="47" t="s">
        <v>85</v>
      </c>
      <c r="C2" s="47" t="s">
        <v>86</v>
      </c>
      <c r="D2" s="241"/>
      <c r="E2" s="32"/>
      <c r="F2" s="62">
        <v>150</v>
      </c>
      <c r="G2" s="66">
        <v>170</v>
      </c>
      <c r="H2" s="65">
        <v>9</v>
      </c>
      <c r="I2" s="64">
        <v>2</v>
      </c>
      <c r="J2" s="63">
        <v>1</v>
      </c>
      <c r="K2" s="67">
        <v>9</v>
      </c>
    </row>
    <row r="3" spans="1:11" x14ac:dyDescent="0.25">
      <c r="A3" s="34"/>
      <c r="B3" s="32"/>
      <c r="C3" s="32"/>
      <c r="D3" s="32"/>
      <c r="E3" s="32"/>
      <c r="F3" s="62" t="s">
        <v>109</v>
      </c>
      <c r="G3" s="66" t="s">
        <v>109</v>
      </c>
      <c r="H3" s="65" t="s">
        <v>109</v>
      </c>
      <c r="I3" s="64" t="s">
        <v>109</v>
      </c>
      <c r="J3" s="63" t="s">
        <v>109</v>
      </c>
      <c r="K3" s="67" t="s">
        <v>109</v>
      </c>
    </row>
    <row r="4" spans="1:11" x14ac:dyDescent="0.25">
      <c r="A4" s="43">
        <v>23</v>
      </c>
      <c r="B4" s="44">
        <v>14</v>
      </c>
      <c r="C4" s="44">
        <v>9</v>
      </c>
      <c r="D4" s="242" t="s">
        <v>102</v>
      </c>
      <c r="E4" s="32"/>
      <c r="F4" s="62">
        <v>151</v>
      </c>
      <c r="G4" s="66">
        <v>171</v>
      </c>
      <c r="H4" s="65">
        <v>10</v>
      </c>
      <c r="I4" s="64">
        <v>3</v>
      </c>
      <c r="J4" s="63">
        <v>2</v>
      </c>
      <c r="K4" s="67">
        <v>10</v>
      </c>
    </row>
    <row r="5" spans="1:11" x14ac:dyDescent="0.25">
      <c r="A5" s="43" t="s">
        <v>89</v>
      </c>
      <c r="B5" s="44" t="s">
        <v>88</v>
      </c>
      <c r="C5" s="44" t="s">
        <v>87</v>
      </c>
      <c r="D5" s="243"/>
      <c r="E5" s="32"/>
      <c r="F5" s="32"/>
      <c r="G5" s="32"/>
    </row>
    <row r="6" spans="1:11" x14ac:dyDescent="0.25">
      <c r="A6" s="34"/>
      <c r="B6" s="32"/>
      <c r="C6" s="32"/>
      <c r="D6" s="32"/>
      <c r="E6" s="32"/>
      <c r="F6" s="32"/>
      <c r="G6" s="32"/>
    </row>
    <row r="7" spans="1:11" x14ac:dyDescent="0.25">
      <c r="A7" s="45">
        <v>9</v>
      </c>
      <c r="B7" s="46">
        <v>1</v>
      </c>
      <c r="C7" s="46">
        <v>9</v>
      </c>
      <c r="D7" s="244" t="s">
        <v>52</v>
      </c>
      <c r="E7" s="32"/>
      <c r="F7" s="32"/>
      <c r="G7" s="32"/>
    </row>
    <row r="8" spans="1:11" x14ac:dyDescent="0.25">
      <c r="A8" s="45" t="s">
        <v>90</v>
      </c>
      <c r="B8" s="46" t="s">
        <v>91</v>
      </c>
      <c r="C8" s="46" t="s">
        <v>92</v>
      </c>
      <c r="D8" s="245"/>
      <c r="E8" s="32"/>
      <c r="F8" s="32"/>
      <c r="G8" s="32"/>
    </row>
    <row r="9" spans="1:11" x14ac:dyDescent="0.25">
      <c r="A9" s="34"/>
      <c r="B9" s="32"/>
      <c r="C9" s="32"/>
      <c r="D9" s="32"/>
      <c r="E9" s="32"/>
      <c r="F9" s="32"/>
      <c r="G9" s="32"/>
    </row>
    <row r="10" spans="1:11" x14ac:dyDescent="0.25">
      <c r="A10" s="41">
        <v>9</v>
      </c>
      <c r="B10" s="42">
        <v>1</v>
      </c>
      <c r="C10" s="42">
        <v>9</v>
      </c>
      <c r="D10" s="246" t="s">
        <v>31</v>
      </c>
      <c r="E10" s="32"/>
      <c r="F10" s="32"/>
      <c r="G10" s="32"/>
    </row>
    <row r="11" spans="1:11" x14ac:dyDescent="0.25">
      <c r="A11" s="41" t="s">
        <v>93</v>
      </c>
      <c r="B11" s="42" t="s">
        <v>94</v>
      </c>
      <c r="C11" s="42" t="s">
        <v>95</v>
      </c>
      <c r="D11" s="247"/>
      <c r="E11" s="32"/>
      <c r="F11" s="32"/>
      <c r="G11" s="32"/>
    </row>
    <row r="12" spans="1:11" x14ac:dyDescent="0.25">
      <c r="A12" s="34"/>
      <c r="B12" s="32"/>
      <c r="C12" s="32"/>
      <c r="D12" s="32"/>
      <c r="E12" s="32"/>
      <c r="F12" s="32"/>
      <c r="G12" s="32"/>
    </row>
    <row r="13" spans="1:11" x14ac:dyDescent="0.25">
      <c r="A13" s="39">
        <v>17</v>
      </c>
      <c r="B13" s="40">
        <v>1</v>
      </c>
      <c r="C13" s="40">
        <v>9</v>
      </c>
      <c r="D13" s="248" t="s">
        <v>49</v>
      </c>
      <c r="E13" s="32"/>
      <c r="F13" s="32"/>
      <c r="G13" s="32"/>
    </row>
    <row r="14" spans="1:11" x14ac:dyDescent="0.25">
      <c r="A14" s="39" t="s">
        <v>96</v>
      </c>
      <c r="B14" s="40" t="s">
        <v>97</v>
      </c>
      <c r="C14" s="40" t="s">
        <v>98</v>
      </c>
      <c r="D14" s="249"/>
      <c r="E14" s="32"/>
      <c r="F14" s="32"/>
      <c r="G14" s="32"/>
    </row>
    <row r="15" spans="1:11" x14ac:dyDescent="0.25">
      <c r="A15" s="34"/>
      <c r="B15" s="32"/>
      <c r="C15" s="32"/>
      <c r="D15" s="32"/>
      <c r="E15" s="32"/>
      <c r="F15" s="32"/>
      <c r="G15" s="32"/>
    </row>
    <row r="16" spans="1:11" x14ac:dyDescent="0.25">
      <c r="A16" s="37">
        <v>8</v>
      </c>
      <c r="B16" s="38">
        <v>0</v>
      </c>
      <c r="C16" s="38">
        <v>9</v>
      </c>
      <c r="D16" s="238" t="s">
        <v>83</v>
      </c>
      <c r="E16" s="32"/>
      <c r="F16" s="32"/>
      <c r="G16" s="32"/>
    </row>
    <row r="17" spans="1:4" x14ac:dyDescent="0.25">
      <c r="A17" s="37" t="s">
        <v>99</v>
      </c>
      <c r="B17" s="38" t="s">
        <v>100</v>
      </c>
      <c r="C17" s="38" t="s">
        <v>101</v>
      </c>
      <c r="D17" s="239"/>
    </row>
    <row r="18" spans="1:4" x14ac:dyDescent="0.25">
      <c r="A18" s="34"/>
    </row>
    <row r="19" spans="1:4" x14ac:dyDescent="0.25">
      <c r="A19" s="34"/>
    </row>
    <row r="20" spans="1:4" x14ac:dyDescent="0.25">
      <c r="A20" s="34"/>
    </row>
    <row r="21" spans="1:4" x14ac:dyDescent="0.25">
      <c r="A21" s="34"/>
    </row>
    <row r="22" spans="1:4" x14ac:dyDescent="0.25">
      <c r="A22" s="34"/>
    </row>
    <row r="23" spans="1:4" x14ac:dyDescent="0.25">
      <c r="A23" s="34"/>
    </row>
    <row r="24" spans="1:4" x14ac:dyDescent="0.25">
      <c r="A24" s="34"/>
    </row>
    <row r="25" spans="1:4" x14ac:dyDescent="0.25">
      <c r="A25" s="34"/>
    </row>
    <row r="26" spans="1:4" x14ac:dyDescent="0.25">
      <c r="A26" s="34"/>
    </row>
    <row r="27" spans="1:4" x14ac:dyDescent="0.25">
      <c r="A27" s="34"/>
    </row>
    <row r="28" spans="1:4" x14ac:dyDescent="0.25">
      <c r="A28" s="34"/>
    </row>
    <row r="29" spans="1:4" x14ac:dyDescent="0.25">
      <c r="A29" s="34"/>
    </row>
    <row r="30" spans="1:4" x14ac:dyDescent="0.25">
      <c r="A30" s="34"/>
    </row>
    <row r="31" spans="1:4" x14ac:dyDescent="0.25">
      <c r="A31" s="34"/>
    </row>
    <row r="32" spans="1:4" x14ac:dyDescent="0.25">
      <c r="A32" s="34"/>
    </row>
    <row r="33" spans="1:1" x14ac:dyDescent="0.25">
      <c r="A33" s="34"/>
    </row>
    <row r="34" spans="1:1" x14ac:dyDescent="0.25">
      <c r="A34" s="34"/>
    </row>
    <row r="35" spans="1:1" x14ac:dyDescent="0.25">
      <c r="A35" s="34"/>
    </row>
    <row r="36" spans="1:1" x14ac:dyDescent="0.25">
      <c r="A36" s="34"/>
    </row>
    <row r="37" spans="1:1" x14ac:dyDescent="0.25">
      <c r="A37" s="34"/>
    </row>
    <row r="38" spans="1:1" x14ac:dyDescent="0.25">
      <c r="A38" s="34"/>
    </row>
    <row r="39" spans="1:1" x14ac:dyDescent="0.25">
      <c r="A39" s="34"/>
    </row>
    <row r="40" spans="1:1" x14ac:dyDescent="0.25">
      <c r="A40" s="34"/>
    </row>
    <row r="41" spans="1:1" x14ac:dyDescent="0.25">
      <c r="A41" s="34"/>
    </row>
    <row r="42" spans="1:1" x14ac:dyDescent="0.25">
      <c r="A42" s="34"/>
    </row>
    <row r="43" spans="1:1" x14ac:dyDescent="0.25">
      <c r="A43" s="34"/>
    </row>
    <row r="44" spans="1:1" x14ac:dyDescent="0.25">
      <c r="A44" s="34"/>
    </row>
    <row r="45" spans="1:1" x14ac:dyDescent="0.25">
      <c r="A45" s="34"/>
    </row>
    <row r="81" spans="1:1" x14ac:dyDescent="0.25">
      <c r="A81" s="35"/>
    </row>
    <row r="82" spans="1:1" x14ac:dyDescent="0.25">
      <c r="A82" s="35"/>
    </row>
    <row r="83" spans="1:1" x14ac:dyDescent="0.25">
      <c r="A83" s="36"/>
    </row>
  </sheetData>
  <mergeCells count="6">
    <mergeCell ref="D16:D17"/>
    <mergeCell ref="D1:D2"/>
    <mergeCell ref="D4:D5"/>
    <mergeCell ref="D7:D8"/>
    <mergeCell ref="D10:D11"/>
    <mergeCell ref="D13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Общая информация</vt:lpstr>
      <vt:lpstr>Ед. поставщик п.4 ч.1</vt:lpstr>
      <vt:lpstr>Ед. поставщик п.5 ч.1</vt:lpstr>
      <vt:lpstr>Ед.поставщик за искл. п.4,5 ч.1</vt:lpstr>
      <vt:lpstr>Состоявшиеся аукционы</vt:lpstr>
      <vt:lpstr>Несостоявшиеся аукционы</vt:lpstr>
      <vt:lpstr>Иные конкурентные закупки</vt:lpstr>
      <vt:lpstr>Настройки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Компьютер № 3</dc:creator>
  <cp:lastModifiedBy>USER</cp:lastModifiedBy>
  <cp:lastPrinted>2024-08-07T11:29:18Z</cp:lastPrinted>
  <dcterms:created xsi:type="dcterms:W3CDTF">2017-01-25T04:28:39Z</dcterms:created>
  <dcterms:modified xsi:type="dcterms:W3CDTF">2025-03-11T06:22:21Z</dcterms:modified>
</cp:coreProperties>
</file>