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90" yWindow="0" windowWidth="20730" windowHeight="11760" firstSheet="1" activeTab="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/>
</workbook>
</file>

<file path=xl/calcChain.xml><?xml version="1.0" encoding="utf-8"?>
<calcChain xmlns="http://schemas.openxmlformats.org/spreadsheetml/2006/main">
  <c r="G2" i="19" l="1"/>
  <c r="N2" i="19"/>
  <c r="T2" i="19"/>
  <c r="H2" i="27" l="1"/>
  <c r="P2" i="27"/>
  <c r="V2" i="27"/>
  <c r="H2" i="31"/>
  <c r="P2" i="31"/>
  <c r="V2" i="31"/>
  <c r="G2" i="20"/>
  <c r="Q2" i="20"/>
  <c r="V2" i="20"/>
  <c r="AB2" i="20"/>
  <c r="G2" i="22"/>
  <c r="Q2" i="22"/>
  <c r="V2" i="22"/>
  <c r="AB2" i="22"/>
  <c r="G2" i="17"/>
  <c r="Q2" i="17"/>
  <c r="V2" i="17"/>
  <c r="AB2" i="17"/>
  <c r="I139" i="31"/>
  <c r="I41" i="31"/>
  <c r="I60" i="31"/>
  <c r="I10" i="27"/>
  <c r="I76" i="31"/>
  <c r="I36" i="31"/>
  <c r="I25" i="27"/>
  <c r="H18" i="20"/>
  <c r="R18" i="20"/>
  <c r="I66" i="31"/>
  <c r="I105" i="31"/>
  <c r="I42" i="27"/>
  <c r="I15" i="27"/>
  <c r="I20" i="27"/>
  <c r="I31" i="31"/>
  <c r="I79" i="27"/>
  <c r="I142" i="31"/>
  <c r="I84" i="27"/>
  <c r="I141" i="31"/>
  <c r="H14" i="19"/>
  <c r="I83" i="27"/>
  <c r="I82" i="27"/>
  <c r="I63" i="27"/>
  <c r="I32" i="27"/>
  <c r="I57" i="27"/>
  <c r="I52" i="27"/>
  <c r="I37" i="27"/>
  <c r="I128" i="31"/>
  <c r="I118" i="31"/>
  <c r="I68" i="27"/>
  <c r="H9" i="19"/>
  <c r="I81" i="27"/>
  <c r="I138" i="31"/>
  <c r="I137" i="31"/>
  <c r="I136" i="31"/>
  <c r="I135" i="31"/>
  <c r="I78" i="27"/>
  <c r="I77" i="27"/>
  <c r="I134" i="31"/>
  <c r="I133" i="31"/>
  <c r="I76" i="27"/>
  <c r="I75" i="27"/>
  <c r="I81" i="31"/>
  <c r="I70" i="27"/>
  <c r="I97" i="31"/>
  <c r="I74" i="27"/>
  <c r="I26" i="31"/>
  <c r="I73" i="27"/>
  <c r="I72" i="27"/>
  <c r="I117" i="31"/>
  <c r="I116" i="31" l="1"/>
  <c r="I115" i="31"/>
  <c r="I31" i="27"/>
  <c r="I9" i="31" l="1"/>
  <c r="H9" i="20"/>
  <c r="R9" i="20"/>
  <c r="I65" i="31" l="1"/>
  <c r="I30" i="27"/>
  <c r="I9" i="27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<sst xmlns="http://schemas.openxmlformats.org/spreadsheetml/2006/main" count="1291" uniqueCount="524">
  <si>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</si>
  <si>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</si>
  <si>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</si>
  <si>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</si>
  <si>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</si>
  <si>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</si>
  <si>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</si>
  <si>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</si>
  <si>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</si>
  <si>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</si>
  <si>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</si>
  <si>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</si>
  <si>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</si>
  <si>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</si>
  <si>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</si>
  <si>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</si>
  <si>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</si>
  <si>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</si>
  <si>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</si>
  <si>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</si>
  <si>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</si>
  <si>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</si>
  <si>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</si>
  <si>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</si>
  <si>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</si>
  <si>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</si>
  <si>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</si>
  <si>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</si>
  <si>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</si>
  <si>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</si>
  <si>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</si>
  <si>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</si>
  <si>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</si>
  <si>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</si>
  <si>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</si>
  <si>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</si>
  <si>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</si>
  <si>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</si>
  <si>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</si>
  <si>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</si>
  <si>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</si>
  <si>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</si>
  <si>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</si>
  <si>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</si>
  <si>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</si>
  <si>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</si>
  <si>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</si>
  <si>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</si>
  <si>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</si>
  <si>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</si>
  <si>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</si>
  <si>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</si>
  <si>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</si>
  <si>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</si>
  <si>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</si>
  <si>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</si>
  <si>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</si>
  <si>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</si>
  <si>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</si>
  <si>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</si>
  <si>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</si>
  <si>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</si>
  <si>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</si>
  <si>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</si>
  <si>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</si>
  <si>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</si>
  <si>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</si>
  <si>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</si>
  <si>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</si>
  <si>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</si>
  <si>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</si>
  <si>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</si>
  <si>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</si>
  <si>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</si>
  <si>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</si>
  <si>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</si>
  <si>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</si>
  <si>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</si>
  <si>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</si>
  <si>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</si>
  <si>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</si>
  <si>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</si>
  <si>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</si>
  <si>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</si>
  <si>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</si>
  <si>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</si>
  <si>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</si>
  <si>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</si>
  <si>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</si>
  <si>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</si>
  <si>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</si>
  <si>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</si>
  <si>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</si>
  <si>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</si>
  <si>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</si>
  <si>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</si>
  <si>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</si>
  <si>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</si>
  <si>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</si>
  <si>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</si>
  <si>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</si>
  <si>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</si>
  <si>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</si>
  <si>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</si>
  <si>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</si>
  <si>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</si>
  <si>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</si>
  <si>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</si>
  <si>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</si>
  <si>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</si>
  <si>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</si>
  <si>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</si>
  <si>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</si>
  <si>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</si>
  <si>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</si>
  <si>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</si>
  <si>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</si>
  <si>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</si>
  <si>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</si>
  <si>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</si>
  <si>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</si>
  <si>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</si>
  <si>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</si>
  <si>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</si>
  <si>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</si>
  <si>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</si>
  <si>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</si>
  <si>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</si>
  <si>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</si>
  <si>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</si>
  <si>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</si>
  <si>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</si>
  <si>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</si>
  <si>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</si>
  <si>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</si>
  <si>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</si>
  <si>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</si>
  <si>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</si>
  <si>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</si>
  <si>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</si>
  <si>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</si>
  <si>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</si>
  <si>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</si>
  <si>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</si>
  <si>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</si>
  <si>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</si>
  <si>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</si>
  <si>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</si>
  <si>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</si>
  <si>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</si>
  <si>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</si>
  <si>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</si>
  <si>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</si>
  <si>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</si>
  <si>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</si>
  <si>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</si>
  <si>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</si>
  <si>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</si>
  <si>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</si>
  <si>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</si>
  <si>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</si>
  <si>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</si>
  <si>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</si>
  <si>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</si>
  <si>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</si>
  <si>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</si>
  <si>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</si>
  <si>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</si>
  <si>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</si>
  <si>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</si>
  <si>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</si>
  <si>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</si>
  <si>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</si>
  <si>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</si>
  <si>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</si>
  <si>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</si>
  <si>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</si>
  <si>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</si>
  <si>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</si>
  <si>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</si>
  <si>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</si>
  <si>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</si>
  <si>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</si>
  <si>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</si>
  <si>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</si>
  <si>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</si>
  <si>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</si>
  <si>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</si>
  <si>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</si>
  <si>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</si>
  <si>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</si>
  <si>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</si>
  <si>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</si>
  <si>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</si>
  <si>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</si>
  <si>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</si>
  <si>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</si>
  <si>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</si>
  <si>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</si>
  <si>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</si>
  <si>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</si>
  <si>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</si>
  <si>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</si>
  <si>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</si>
  <si>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</si>
  <si>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</si>
  <si>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</si>
  <si>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</si>
  <si>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</si>
  <si>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</si>
  <si>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</si>
  <si>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</si>
  <si>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</si>
  <si>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</si>
  <si>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</si>
  <si>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</si>
  <si>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</si>
  <si>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</si>
  <si>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</si>
  <si>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</si>
  <si>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</si>
  <si>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</si>
  <si>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</si>
  <si>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</si>
  <si>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</si>
  <si>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</si>
  <si>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</si>
  <si>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</si>
  <si>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</si>
  <si>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</si>
  <si>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</si>
  <si>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</si>
  <si>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</si>
  <si>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</si>
  <si>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</si>
  <si>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</si>
  <si>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</si>
  <si>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</si>
  <si>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</si>
  <si>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</si>
  <si>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</si>
  <si>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</si>
  <si>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</si>
  <si>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</si>
  <si>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</si>
  <si>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</si>
  <si>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</si>
  <si>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</si>
  <si>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</si>
  <si>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</si>
  <si>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</si>
  <si>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</si>
  <si>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</si>
  <si>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</si>
  <si>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</si>
  <si>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</si>
  <si>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</si>
  <si>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</si>
  <si>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</si>
  <si>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</si>
  <si>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</si>
  <si>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</si>
  <si>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</si>
  <si>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</si>
  <si>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</si>
  <si>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</si>
  <si>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</si>
  <si>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</si>
  <si>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</si>
  <si>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</si>
  <si>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</si>
  <si>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</si>
  <si>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</si>
  <si>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</si>
  <si>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</si>
  <si>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</si>
  <si>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</si>
  <si>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</si>
  <si>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</si>
  <si>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</si>
  <si>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</si>
  <si>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</si>
  <si>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</si>
  <si>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</si>
  <si>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</si>
  <si>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</si>
  <si>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</si>
  <si>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</si>
  <si>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</si>
  <si>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</si>
  <si>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</si>
  <si>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</si>
  <si>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</si>
  <si>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</si>
  <si>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</si>
  <si>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</si>
  <si>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</si>
  <si>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</si>
  <si>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</si>
  <si>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</si>
  <si>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</si>
  <si>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</si>
  <si>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</si>
  <si>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</si>
  <si>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</si>
  <si>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</si>
  <si>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</si>
  <si>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</si>
  <si>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</si>
  <si>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</si>
  <si>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</si>
  <si>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</si>
  <si>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</si>
  <si>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</si>
  <si>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</si>
  <si>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</si>
  <si>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</si>
  <si>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</si>
  <si>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Допсоглашение о расторжении б/н от 20.02.2023г.</t>
  </si>
  <si>
    <t>Допсоглашение о расторжении б/н от 09.01.2023г.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</si>
  <si>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</si>
  <si>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</si>
  <si>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</si>
  <si>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</si>
  <si>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</si>
  <si>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</si>
  <si>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</si>
  <si>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</si>
  <si>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</si>
  <si>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</si>
  <si>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</si>
  <si>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</si>
  <si>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</si>
  <si>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</si>
  <si>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</si>
  <si>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</si>
  <si>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</si>
  <si>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</si>
  <si>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</si>
  <si>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</si>
  <si>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</si>
  <si>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</si>
  <si>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</si>
  <si>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</si>
  <si>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</si>
  <si>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</si>
  <si>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</si>
  <si>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</si>
  <si>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</si>
  <si>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</si>
  <si>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</si>
  <si>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</si>
  <si>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</si>
  <si>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</si>
  <si>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</si>
  <si>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</si>
  <si>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</si>
  <si>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</si>
  <si>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</si>
  <si>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</si>
  <si>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</si>
  <si>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</si>
  <si>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</si>
  <si>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</si>
  <si>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</si>
  <si>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</si>
  <si>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Соглашение о расторжении б/н от 14.04.2023г.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</si>
  <si>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</si>
  <si>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</si>
  <si>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</si>
  <si>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</si>
  <si>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</si>
  <si>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</si>
  <si>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</si>
  <si>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</si>
  <si>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</si>
  <si>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</si>
  <si>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</si>
  <si>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</si>
  <si>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</si>
  <si>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</si>
  <si>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</si>
  <si>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</si>
  <si>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</si>
  <si>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</si>
  <si>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</si>
  <si>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</si>
  <si>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</si>
  <si>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</si>
  <si>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</si>
  <si>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</si>
  <si>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</si>
  <si>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</si>
  <si>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</si>
  <si>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</si>
  <si>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</si>
  <si>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</si>
  <si>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</si>
  <si>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</si>
  <si>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</si>
  <si>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</si>
  <si>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</si>
  <si>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</si>
  <si>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</si>
  <si>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</si>
  <si>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</si>
  <si>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</si>
  <si>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</si>
  <si>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</si>
  <si>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</si>
  <si>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</si>
  <si>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</si>
  <si>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</si>
  <si>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</si>
  <si>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</si>
  <si>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</si>
  <si>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</si>
  <si>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</si>
  <si>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</si>
  <si>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</si>
  <si>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</si>
  <si>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</si>
  <si>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</si>
  <si>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</si>
  <si>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</si>
  <si>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</si>
  <si>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</si>
  <si>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</si>
  <si>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</si>
  <si>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</si>
  <si>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</si>
  <si>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</si>
  <si>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</si>
  <si>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</si>
  <si>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</si>
  <si>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</si>
  <si>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</si>
  <si>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</si>
  <si>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</si>
  <si>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</si>
  <si>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</si>
  <si>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</si>
  <si>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</si>
  <si>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</si>
  <si>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</si>
  <si>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</si>
  <si>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</si>
  <si>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</si>
  <si>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</si>
  <si>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</si>
  <si>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</si>
  <si>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</si>
  <si>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</si>
  <si>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</si>
  <si>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</si>
  <si>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</si>
  <si>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</si>
  <si>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</si>
  <si>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</si>
  <si>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</si>
  <si>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</si>
  <si>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</si>
  <si>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</si>
  <si>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</si>
  <si>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</si>
  <si>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</si>
  <si>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</si>
  <si>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</si>
  <si>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</si>
  <si>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</si>
  <si>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</si>
  <si>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</si>
  <si>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</si>
  <si>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</si>
  <si>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</si>
  <si>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</si>
  <si>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</si>
  <si>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</si>
  <si>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</si>
  <si>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</si>
  <si>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</si>
  <si>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</si>
  <si>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</si>
  <si>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</si>
  <si>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</si>
  <si>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</si>
  <si>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</si>
  <si>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</si>
  <si>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</si>
  <si>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</si>
  <si>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</si>
  <si>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</si>
  <si>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</si>
  <si>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</si>
  <si>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</si>
  <si>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</si>
  <si>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</si>
  <si>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</si>
  <si>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</si>
  <si>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</si>
  <si>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</si>
  <si>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</si>
  <si>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</si>
  <si>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</si>
  <si>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</si>
  <si>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</si>
  <si>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</si>
  <si>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</si>
  <si>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</si>
  <si>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</si>
  <si>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</si>
  <si>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</si>
  <si>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</si>
  <si>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</si>
  <si>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</si>
  <si>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</si>
  <si>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</si>
  <si>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</si>
  <si>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Соглашение о расторжении б/н от 14.06.2023г.</t>
  </si>
  <si>
    <t>Соглашение о расторжении б/н от 19.06.2023г.</t>
  </si>
  <si>
    <t>Соглашение о расторжении б/н от  07.06.2023г.</t>
  </si>
  <si>
    <t>Соглашение о расторжении б/н от 30.06.2023г.</t>
  </si>
  <si>
    <t>Соглашение о расторжении б/н от 07.06.2023г.</t>
  </si>
  <si>
    <t xml:space="preserve">Соглашение о расторжении б/н от 07.06.2023г.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</si>
</sst>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" fontId="1" fillId="0" borderId="43" xfId="0" applyNumberFormat="1" applyFont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51" xfId="0" applyNumberFormat="1" applyFont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Border="1" applyAlignment="1" applyProtection="1">
      <alignment horizontal="center" vertical="center" wrapText="1"/>
      <protection locked="0"/>
    </xf>
    <xf numFmtId="4" fontId="1" fillId="0" borderId="55" xfId="0" applyNumberFormat="1" applyFont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 applyProtection="1">
      <alignment horizontal="center" vertical="center" wrapText="1"/>
      <protection locked="0"/>
    </xf>
    <xf numFmtId="4" fontId="1" fillId="0" borderId="63" xfId="0" applyNumberFormat="1" applyFont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165" fontId="16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87" t="s">
        <v>141</v>
      </c>
      <c r="B1" s="288"/>
      <c r="C1" s="288"/>
      <c r="D1" s="288"/>
      <c r="E1" s="287"/>
      <c r="F1" s="288"/>
      <c r="G1" s="288"/>
      <c r="H1" s="288"/>
      <c r="I1" s="288"/>
      <c r="J1" s="288"/>
      <c r="K1" s="288"/>
      <c r="L1" s="288"/>
      <c r="M1" s="288"/>
      <c r="N1" s="289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63" t="s">
        <v>25</v>
      </c>
      <c r="B4" s="264"/>
      <c r="C4" s="4">
        <v>9609590.4399999995</v>
      </c>
      <c r="D4" s="5"/>
      <c r="E4" s="265" t="s">
        <v>140</v>
      </c>
      <c r="F4" s="266"/>
      <c r="G4" s="267"/>
      <c r="H4" s="268">
        <v>2000000</v>
      </c>
      <c r="I4" s="269"/>
      <c r="J4" s="270"/>
      <c r="K4" s="17"/>
      <c r="L4" s="81" t="s">
        <v>55</v>
      </c>
      <c r="M4" s="265">
        <v>4936760.38</v>
      </c>
      <c r="N4" s="267"/>
    </row>
    <row r="5" spans="1:14" ht="30.75" customHeight="1" thickBot="1" x14ac:dyDescent="0.3">
      <c r="A5" s="263" t="s">
        <v>26</v>
      </c>
      <c r="B5" s="264"/>
      <c r="C5" s="6">
        <f>C4-G15+J15</f>
        <v>1853581.94</v>
      </c>
      <c r="D5" s="5"/>
      <c r="E5" s="265" t="s">
        <v>53</v>
      </c>
      <c r="F5" s="266"/>
      <c r="G5" s="267"/>
      <c r="H5" s="255">
        <f>H4-G12</f>
        <v>1217434.9300000002</v>
      </c>
      <c r="I5" s="256"/>
      <c r="J5" s="257"/>
      <c r="K5" s="17"/>
      <c r="L5" s="81" t="s">
        <v>54</v>
      </c>
      <c r="M5" s="258">
        <f>M4-G13</f>
        <v>627856.35000000056</v>
      </c>
      <c r="N5" s="259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71" t="s">
        <v>27</v>
      </c>
      <c r="B8" s="272"/>
      <c r="C8" s="273"/>
      <c r="D8" s="271" t="s">
        <v>28</v>
      </c>
      <c r="E8" s="272"/>
      <c r="F8" s="273"/>
      <c r="G8" s="274" t="s">
        <v>29</v>
      </c>
      <c r="H8" s="275"/>
      <c r="I8" s="276"/>
      <c r="J8" s="274" t="s">
        <v>142</v>
      </c>
      <c r="K8" s="275"/>
      <c r="L8" s="276"/>
      <c r="M8" s="271" t="s">
        <v>30</v>
      </c>
      <c r="N8" s="273"/>
    </row>
    <row r="9" spans="1:14" ht="41.25" customHeight="1" thickBot="1" x14ac:dyDescent="0.3">
      <c r="A9" s="277" t="s">
        <v>31</v>
      </c>
      <c r="B9" s="278"/>
      <c r="C9" s="279"/>
      <c r="D9" s="280">
        <f>'Состоявшиеся аукционы'!G2</f>
        <v>0</v>
      </c>
      <c r="E9" s="280"/>
      <c r="F9" s="280"/>
      <c r="G9" s="280">
        <f>'Состоявшиеся аукционы'!Q2</f>
        <v>0</v>
      </c>
      <c r="H9" s="280"/>
      <c r="I9" s="280"/>
      <c r="J9" s="260">
        <f>'Состоявшиеся аукционы'!AB2</f>
        <v>0</v>
      </c>
      <c r="K9" s="262"/>
      <c r="L9" s="261"/>
      <c r="M9" s="280">
        <f t="shared" ref="M9:M15" si="0">D9-G9</f>
        <v>0</v>
      </c>
      <c r="N9" s="280"/>
    </row>
    <row r="10" spans="1:14" ht="78.75" customHeight="1" thickBot="1" x14ac:dyDescent="0.3">
      <c r="A10" s="277" t="s">
        <v>49</v>
      </c>
      <c r="B10" s="278"/>
      <c r="C10" s="279"/>
      <c r="D10" s="280">
        <f>'Несостоявшиеся аукционы'!G2</f>
        <v>0</v>
      </c>
      <c r="E10" s="280"/>
      <c r="F10" s="280"/>
      <c r="G10" s="280">
        <f>'Несостоявшиеся аукционы'!Q2</f>
        <v>0</v>
      </c>
      <c r="H10" s="280"/>
      <c r="I10" s="280"/>
      <c r="J10" s="260">
        <f>'Несостоявшиеся аукционы'!AB2</f>
        <v>0</v>
      </c>
      <c r="K10" s="262"/>
      <c r="L10" s="261"/>
      <c r="M10" s="280">
        <f t="shared" si="0"/>
        <v>0</v>
      </c>
      <c r="N10" s="280"/>
    </row>
    <row r="11" spans="1:14" ht="40.5" customHeight="1" thickBot="1" x14ac:dyDescent="0.3">
      <c r="A11" s="277" t="s">
        <v>83</v>
      </c>
      <c r="B11" s="278"/>
      <c r="C11" s="279"/>
      <c r="D11" s="260">
        <f>'Иные конкурентные закупки'!G2</f>
        <v>1367088</v>
      </c>
      <c r="E11" s="262"/>
      <c r="F11" s="261"/>
      <c r="G11" s="260">
        <f>'Иные конкурентные закупки'!Q2</f>
        <v>1241120.1600000001</v>
      </c>
      <c r="H11" s="262"/>
      <c r="I11" s="261"/>
      <c r="J11" s="260">
        <f>'Иные конкурентные закупки'!AB2</f>
        <v>8112</v>
      </c>
      <c r="K11" s="262"/>
      <c r="L11" s="261"/>
      <c r="M11" s="260">
        <f t="shared" si="0"/>
        <v>125967.83999999985</v>
      </c>
      <c r="N11" s="261"/>
    </row>
    <row r="12" spans="1:14" ht="54.75" customHeight="1" thickBot="1" x14ac:dyDescent="0.3">
      <c r="A12" s="284" t="s">
        <v>50</v>
      </c>
      <c r="B12" s="285"/>
      <c r="C12" s="286"/>
      <c r="D12" s="280">
        <f>'Ед. поставщик п.4 ч.1'!H2</f>
        <v>782565.07</v>
      </c>
      <c r="E12" s="280"/>
      <c r="F12" s="280"/>
      <c r="G12" s="280">
        <f>D12</f>
        <v>782565.07</v>
      </c>
      <c r="H12" s="280"/>
      <c r="I12" s="280"/>
      <c r="J12" s="260">
        <f>'Ед. поставщик п.4 ч.1'!V2</f>
        <v>108591.51999999999</v>
      </c>
      <c r="K12" s="262"/>
      <c r="L12" s="261"/>
      <c r="M12" s="280">
        <f t="shared" si="0"/>
        <v>0</v>
      </c>
      <c r="N12" s="280"/>
    </row>
    <row r="13" spans="1:14" ht="45.75" customHeight="1" thickBot="1" x14ac:dyDescent="0.3">
      <c r="A13" s="284" t="s">
        <v>51</v>
      </c>
      <c r="B13" s="285"/>
      <c r="C13" s="286"/>
      <c r="D13" s="280">
        <f>'Ед. поставщик п.5 ч.1'!H2</f>
        <v>4308904.0299999993</v>
      </c>
      <c r="E13" s="280"/>
      <c r="F13" s="280"/>
      <c r="G13" s="280">
        <f>D13</f>
        <v>4308904.0299999993</v>
      </c>
      <c r="H13" s="280"/>
      <c r="I13" s="280"/>
      <c r="J13" s="260">
        <f>'Ед. поставщик п.5 ч.1'!V2</f>
        <v>349657.29</v>
      </c>
      <c r="K13" s="262"/>
      <c r="L13" s="261"/>
      <c r="M13" s="280">
        <f t="shared" si="0"/>
        <v>0</v>
      </c>
      <c r="N13" s="280"/>
    </row>
    <row r="14" spans="1:14" ht="45.75" customHeight="1" thickBot="1" x14ac:dyDescent="0.3">
      <c r="A14" s="302" t="s">
        <v>52</v>
      </c>
      <c r="B14" s="303"/>
      <c r="C14" s="304"/>
      <c r="D14" s="260">
        <f>'Ед.поставщик за искл. п.4,5 ч.1'!G2</f>
        <v>1889780.05</v>
      </c>
      <c r="E14" s="262"/>
      <c r="F14" s="261"/>
      <c r="G14" s="260">
        <f>D14</f>
        <v>1889780.05</v>
      </c>
      <c r="H14" s="262"/>
      <c r="I14" s="261"/>
      <c r="J14" s="260">
        <f>'Ед.поставщик за искл. п.4,5 ч.1'!T2</f>
        <v>0</v>
      </c>
      <c r="K14" s="262"/>
      <c r="L14" s="261"/>
      <c r="M14" s="280">
        <f t="shared" si="0"/>
        <v>0</v>
      </c>
      <c r="N14" s="280"/>
    </row>
    <row r="15" spans="1:14" ht="21" thickBot="1" x14ac:dyDescent="0.3">
      <c r="A15" s="281" t="s">
        <v>143</v>
      </c>
      <c r="B15" s="282"/>
      <c r="C15" s="283"/>
      <c r="D15" s="280">
        <f>SUM(D9:D14)</f>
        <v>8348337.1499999994</v>
      </c>
      <c r="E15" s="280"/>
      <c r="F15" s="280"/>
      <c r="G15" s="260">
        <f>SUM(G9:G14)</f>
        <v>8222369.3099999996</v>
      </c>
      <c r="H15" s="262"/>
      <c r="I15" s="261"/>
      <c r="J15" s="260">
        <f>SUM(J9:J14)</f>
        <v>466360.80999999994</v>
      </c>
      <c r="K15" s="262"/>
      <c r="L15" s="261"/>
      <c r="M15" s="280">
        <f t="shared" si="0"/>
        <v>125967.83999999985</v>
      </c>
      <c r="N15" s="280"/>
    </row>
    <row r="18" spans="1:12" thickBot="1" x14ac:dyDescent="0.35"/>
    <row r="19" spans="1:12" ht="23.25" customHeight="1" x14ac:dyDescent="0.25">
      <c r="A19" s="290" t="s">
        <v>35</v>
      </c>
      <c r="B19" s="291"/>
      <c r="C19" s="292"/>
      <c r="D19" s="29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4963830.330000001</v>
      </c>
      <c r="E19" s="297"/>
      <c r="F19" s="297"/>
      <c r="G19" s="298"/>
      <c r="I19" s="15"/>
      <c r="J19" s="15"/>
      <c r="K19" s="15"/>
      <c r="L19" s="15"/>
    </row>
    <row r="20" spans="1:12" ht="24" customHeight="1" thickBot="1" x14ac:dyDescent="0.3">
      <c r="A20" s="293"/>
      <c r="B20" s="294"/>
      <c r="C20" s="295"/>
      <c r="D20" s="299"/>
      <c r="E20" s="300"/>
      <c r="F20" s="300"/>
      <c r="G20" s="301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85"/>
  <sheetViews>
    <sheetView showGridLines="0" topLeftCell="H1" zoomScale="50" zoomScaleNormal="50" workbookViewId="0">
      <pane ySplit="8" topLeftCell="A60" activePane="bottomLeft" state="frozen"/>
      <selection activeCell="I1" sqref="I1"/>
      <selection pane="bottomLeft" activeCell="U63" sqref="U63:U67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782565.07</v>
      </c>
      <c r="K2" s="356"/>
      <c r="L2" s="356"/>
      <c r="M2" s="356"/>
      <c r="N2" s="357" t="s">
        <v>137</v>
      </c>
      <c r="O2" s="359"/>
      <c r="P2" s="69">
        <f>SUM(P9:P9999)</f>
        <v>386807.48999999993</v>
      </c>
      <c r="R2" s="68"/>
      <c r="S2" s="357" t="s">
        <v>45</v>
      </c>
      <c r="T2" s="358"/>
      <c r="U2" s="359"/>
      <c r="V2" s="70">
        <f>SUM(V9:V9999)</f>
        <v>108591.51999999999</v>
      </c>
    </row>
    <row r="3" spans="1:24" ht="18" x14ac:dyDescent="0.3">
      <c r="A3" s="356"/>
      <c r="B3" s="356"/>
      <c r="C3" s="356"/>
      <c r="D3" s="356"/>
      <c r="E3" s="356"/>
      <c r="N3" s="68"/>
    </row>
    <row r="4" spans="1:24" ht="39.950000000000003" customHeight="1" x14ac:dyDescent="0.3">
      <c r="J4" s="360"/>
      <c r="K4" s="360"/>
      <c r="M4" s="360"/>
      <c r="N4" s="360"/>
      <c r="O4" s="360"/>
      <c r="P4" s="360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210</v>
      </c>
      <c r="F9" s="93" t="s">
        <v>211</v>
      </c>
      <c r="G9" s="88" t="s">
        <v>212</v>
      </c>
      <c r="H9" s="90">
        <v>1000</v>
      </c>
      <c r="I9" s="91">
        <f>IF(X9 = 49, H9 + SUM(S9:S9) - SUM(T9:T9) - SUM(P9:P9) - V9,0)</f>
        <v>1000</v>
      </c>
      <c r="J9" s="88" t="s">
        <v>213</v>
      </c>
      <c r="K9" s="88" t="s">
        <v>157</v>
      </c>
      <c r="L9" s="88"/>
      <c r="M9" s="88" t="s">
        <v>214</v>
      </c>
      <c r="N9" s="93"/>
      <c r="O9" s="86" t="s">
        <v>215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72" customHeight="1" x14ac:dyDescent="0.25">
      <c r="A10" s="308">
        <v>2</v>
      </c>
      <c r="B10" s="305" t="s">
        <v>56</v>
      </c>
      <c r="C10" s="305"/>
      <c r="D10" s="305"/>
      <c r="E10" s="323" t="s">
        <v>158</v>
      </c>
      <c r="F10" s="311" t="s">
        <v>211</v>
      </c>
      <c r="G10" s="305" t="s">
        <v>212</v>
      </c>
      <c r="H10" s="314">
        <v>9400</v>
      </c>
      <c r="I10" s="326">
        <f>IF(X10 = 50, H10 + SUM(S10:S14) - SUM(T10:T14) - SUM(P10:P14) - V10,0)</f>
        <v>5186.46</v>
      </c>
      <c r="J10" s="305" t="s">
        <v>213</v>
      </c>
      <c r="K10" s="305" t="s">
        <v>157</v>
      </c>
      <c r="L10" s="305"/>
      <c r="M10" s="305" t="s">
        <v>214</v>
      </c>
      <c r="N10" s="240" t="s">
        <v>307</v>
      </c>
      <c r="O10" s="311" t="s">
        <v>215</v>
      </c>
      <c r="P10" s="236">
        <v>867.14</v>
      </c>
      <c r="Q10" s="235" t="s">
        <v>310</v>
      </c>
      <c r="R10" s="234"/>
      <c r="S10" s="236"/>
      <c r="T10" s="236"/>
      <c r="U10" s="314"/>
      <c r="V10" s="317"/>
      <c r="W10" s="320"/>
      <c r="X10" s="85">
        <v>50</v>
      </c>
    </row>
    <row r="11" spans="1:24" x14ac:dyDescent="0.25">
      <c r="A11" s="309"/>
      <c r="B11" s="306"/>
      <c r="C11" s="306"/>
      <c r="D11" s="306"/>
      <c r="E11" s="324"/>
      <c r="F11" s="312"/>
      <c r="G11" s="306"/>
      <c r="H11" s="315"/>
      <c r="I11" s="327"/>
      <c r="J11" s="306"/>
      <c r="K11" s="306"/>
      <c r="L11" s="306"/>
      <c r="M11" s="306"/>
      <c r="N11" s="245" t="s">
        <v>347</v>
      </c>
      <c r="O11" s="312"/>
      <c r="P11" s="242">
        <v>858.19</v>
      </c>
      <c r="Q11" s="243" t="s">
        <v>350</v>
      </c>
      <c r="R11" s="244"/>
      <c r="S11" s="242"/>
      <c r="T11" s="242"/>
      <c r="U11" s="315"/>
      <c r="V11" s="318"/>
      <c r="W11" s="321"/>
      <c r="X11" s="2">
        <v>50</v>
      </c>
    </row>
    <row r="12" spans="1:24" x14ac:dyDescent="0.25">
      <c r="A12" s="309"/>
      <c r="B12" s="306"/>
      <c r="C12" s="306"/>
      <c r="D12" s="306"/>
      <c r="E12" s="324"/>
      <c r="F12" s="312"/>
      <c r="G12" s="306"/>
      <c r="H12" s="315"/>
      <c r="I12" s="327"/>
      <c r="J12" s="306"/>
      <c r="K12" s="306"/>
      <c r="L12" s="306"/>
      <c r="M12" s="306"/>
      <c r="N12" s="245" t="s">
        <v>374</v>
      </c>
      <c r="O12" s="312"/>
      <c r="P12" s="242">
        <v>825.3</v>
      </c>
      <c r="Q12" s="243" t="s">
        <v>379</v>
      </c>
      <c r="R12" s="244"/>
      <c r="S12" s="242"/>
      <c r="T12" s="242"/>
      <c r="U12" s="315"/>
      <c r="V12" s="318"/>
      <c r="W12" s="321"/>
      <c r="X12" s="2">
        <v>50</v>
      </c>
    </row>
    <row r="13" spans="1:24" x14ac:dyDescent="0.25">
      <c r="A13" s="309"/>
      <c r="B13" s="306"/>
      <c r="C13" s="306"/>
      <c r="D13" s="306"/>
      <c r="E13" s="324"/>
      <c r="F13" s="312"/>
      <c r="G13" s="306"/>
      <c r="H13" s="315"/>
      <c r="I13" s="327"/>
      <c r="J13" s="306"/>
      <c r="K13" s="306"/>
      <c r="L13" s="306"/>
      <c r="M13" s="306"/>
      <c r="N13" s="245" t="s">
        <v>463</v>
      </c>
      <c r="O13" s="312"/>
      <c r="P13" s="242">
        <v>846.54</v>
      </c>
      <c r="Q13" s="243" t="s">
        <v>471</v>
      </c>
      <c r="R13" s="244"/>
      <c r="S13" s="242"/>
      <c r="T13" s="242"/>
      <c r="U13" s="315"/>
      <c r="V13" s="318"/>
      <c r="W13" s="321"/>
      <c r="X13" s="2">
        <v>50</v>
      </c>
    </row>
    <row r="14" spans="1:24" x14ac:dyDescent="0.25">
      <c r="A14" s="310"/>
      <c r="B14" s="307"/>
      <c r="C14" s="307"/>
      <c r="D14" s="307"/>
      <c r="E14" s="325"/>
      <c r="F14" s="313"/>
      <c r="G14" s="307"/>
      <c r="H14" s="316"/>
      <c r="I14" s="328"/>
      <c r="J14" s="307"/>
      <c r="K14" s="307"/>
      <c r="L14" s="307"/>
      <c r="M14" s="307"/>
      <c r="N14" s="241" t="s">
        <v>473</v>
      </c>
      <c r="O14" s="313"/>
      <c r="P14" s="237">
        <v>816.37</v>
      </c>
      <c r="Q14" s="238" t="s">
        <v>512</v>
      </c>
      <c r="R14" s="239"/>
      <c r="S14" s="237"/>
      <c r="T14" s="237"/>
      <c r="U14" s="316"/>
      <c r="V14" s="319"/>
      <c r="W14" s="322"/>
      <c r="X14" s="2">
        <v>50</v>
      </c>
    </row>
    <row r="15" spans="1:24" s="85" customFormat="1" ht="94.9" customHeight="1" x14ac:dyDescent="0.25">
      <c r="A15" s="308">
        <v>3</v>
      </c>
      <c r="B15" s="305" t="s">
        <v>56</v>
      </c>
      <c r="C15" s="305"/>
      <c r="D15" s="305"/>
      <c r="E15" s="323" t="s">
        <v>152</v>
      </c>
      <c r="F15" s="311" t="s">
        <v>236</v>
      </c>
      <c r="G15" s="305" t="s">
        <v>237</v>
      </c>
      <c r="H15" s="314">
        <v>36000</v>
      </c>
      <c r="I15" s="326">
        <f>IF(X15 = 51, H15 + SUM(S15:S19) - SUM(T15:T19) - SUM(P15:P19) - V15,0)</f>
        <v>21000</v>
      </c>
      <c r="J15" s="305" t="s">
        <v>238</v>
      </c>
      <c r="K15" s="305" t="s">
        <v>153</v>
      </c>
      <c r="L15" s="305"/>
      <c r="M15" s="305" t="s">
        <v>214</v>
      </c>
      <c r="N15" s="240" t="s">
        <v>307</v>
      </c>
      <c r="O15" s="311" t="s">
        <v>239</v>
      </c>
      <c r="P15" s="236">
        <v>3000</v>
      </c>
      <c r="Q15" s="235" t="s">
        <v>308</v>
      </c>
      <c r="R15" s="234"/>
      <c r="S15" s="236"/>
      <c r="T15" s="236"/>
      <c r="U15" s="314"/>
      <c r="V15" s="317"/>
      <c r="W15" s="320"/>
      <c r="X15" s="85">
        <v>51</v>
      </c>
    </row>
    <row r="16" spans="1:24" x14ac:dyDescent="0.25">
      <c r="A16" s="309"/>
      <c r="B16" s="306"/>
      <c r="C16" s="306"/>
      <c r="D16" s="306"/>
      <c r="E16" s="324"/>
      <c r="F16" s="312"/>
      <c r="G16" s="306"/>
      <c r="H16" s="315"/>
      <c r="I16" s="327"/>
      <c r="J16" s="306"/>
      <c r="K16" s="306"/>
      <c r="L16" s="306"/>
      <c r="M16" s="306"/>
      <c r="N16" s="245" t="s">
        <v>347</v>
      </c>
      <c r="O16" s="312"/>
      <c r="P16" s="242">
        <v>3000</v>
      </c>
      <c r="Q16" s="243" t="s">
        <v>346</v>
      </c>
      <c r="R16" s="244"/>
      <c r="S16" s="242"/>
      <c r="T16" s="242"/>
      <c r="U16" s="315"/>
      <c r="V16" s="318"/>
      <c r="W16" s="321"/>
      <c r="X16" s="2">
        <v>51</v>
      </c>
    </row>
    <row r="17" spans="1:24" x14ac:dyDescent="0.25">
      <c r="A17" s="309"/>
      <c r="B17" s="306"/>
      <c r="C17" s="306"/>
      <c r="D17" s="306"/>
      <c r="E17" s="324"/>
      <c r="F17" s="312"/>
      <c r="G17" s="306"/>
      <c r="H17" s="315"/>
      <c r="I17" s="327"/>
      <c r="J17" s="306"/>
      <c r="K17" s="306"/>
      <c r="L17" s="306"/>
      <c r="M17" s="306"/>
      <c r="N17" s="245" t="s">
        <v>374</v>
      </c>
      <c r="O17" s="312"/>
      <c r="P17" s="242">
        <v>3000</v>
      </c>
      <c r="Q17" s="243" t="s">
        <v>375</v>
      </c>
      <c r="R17" s="244"/>
      <c r="S17" s="242"/>
      <c r="T17" s="242"/>
      <c r="U17" s="315"/>
      <c r="V17" s="318"/>
      <c r="W17" s="321"/>
      <c r="X17" s="2">
        <v>51</v>
      </c>
    </row>
    <row r="18" spans="1:24" x14ac:dyDescent="0.25">
      <c r="A18" s="309"/>
      <c r="B18" s="306"/>
      <c r="C18" s="306"/>
      <c r="D18" s="306"/>
      <c r="E18" s="324"/>
      <c r="F18" s="312"/>
      <c r="G18" s="306"/>
      <c r="H18" s="315"/>
      <c r="I18" s="327"/>
      <c r="J18" s="306"/>
      <c r="K18" s="306"/>
      <c r="L18" s="306"/>
      <c r="M18" s="306"/>
      <c r="N18" s="245" t="s">
        <v>463</v>
      </c>
      <c r="O18" s="312"/>
      <c r="P18" s="242">
        <v>3000</v>
      </c>
      <c r="Q18" s="243" t="s">
        <v>460</v>
      </c>
      <c r="R18" s="244"/>
      <c r="S18" s="242"/>
      <c r="T18" s="242"/>
      <c r="U18" s="315"/>
      <c r="V18" s="318"/>
      <c r="W18" s="321"/>
      <c r="X18" s="2">
        <v>51</v>
      </c>
    </row>
    <row r="19" spans="1:24" x14ac:dyDescent="0.25">
      <c r="A19" s="310"/>
      <c r="B19" s="307"/>
      <c r="C19" s="307"/>
      <c r="D19" s="307"/>
      <c r="E19" s="325"/>
      <c r="F19" s="313"/>
      <c r="G19" s="307"/>
      <c r="H19" s="316"/>
      <c r="I19" s="328"/>
      <c r="J19" s="307"/>
      <c r="K19" s="307"/>
      <c r="L19" s="307"/>
      <c r="M19" s="307"/>
      <c r="N19" s="241" t="s">
        <v>473</v>
      </c>
      <c r="O19" s="313"/>
      <c r="P19" s="237">
        <v>3000</v>
      </c>
      <c r="Q19" s="238" t="s">
        <v>510</v>
      </c>
      <c r="R19" s="239"/>
      <c r="S19" s="237"/>
      <c r="T19" s="237"/>
      <c r="U19" s="316"/>
      <c r="V19" s="319"/>
      <c r="W19" s="322"/>
      <c r="X19" s="2">
        <v>51</v>
      </c>
    </row>
    <row r="20" spans="1:24" s="85" customFormat="1" ht="90" customHeight="1" x14ac:dyDescent="0.25">
      <c r="A20" s="308">
        <v>4</v>
      </c>
      <c r="B20" s="305" t="s">
        <v>56</v>
      </c>
      <c r="C20" s="305"/>
      <c r="D20" s="305"/>
      <c r="E20" s="323" t="s">
        <v>240</v>
      </c>
      <c r="F20" s="311" t="s">
        <v>236</v>
      </c>
      <c r="G20" s="305" t="s">
        <v>241</v>
      </c>
      <c r="H20" s="314">
        <v>24000</v>
      </c>
      <c r="I20" s="326">
        <f>IF(X20 = 52, H20 + SUM(S20:S24) - SUM(T20:T24) - SUM(P20:P24) - V20,0)</f>
        <v>14000</v>
      </c>
      <c r="J20" s="305" t="s">
        <v>238</v>
      </c>
      <c r="K20" s="305" t="s">
        <v>153</v>
      </c>
      <c r="L20" s="305"/>
      <c r="M20" s="305" t="s">
        <v>214</v>
      </c>
      <c r="N20" s="240" t="s">
        <v>307</v>
      </c>
      <c r="O20" s="311" t="s">
        <v>239</v>
      </c>
      <c r="P20" s="236">
        <v>2000</v>
      </c>
      <c r="Q20" s="235" t="s">
        <v>306</v>
      </c>
      <c r="R20" s="234"/>
      <c r="S20" s="236"/>
      <c r="T20" s="236"/>
      <c r="U20" s="314"/>
      <c r="V20" s="317"/>
      <c r="W20" s="320"/>
      <c r="X20" s="85">
        <v>52</v>
      </c>
    </row>
    <row r="21" spans="1:24" x14ac:dyDescent="0.25">
      <c r="A21" s="309"/>
      <c r="B21" s="306"/>
      <c r="C21" s="306"/>
      <c r="D21" s="306"/>
      <c r="E21" s="324"/>
      <c r="F21" s="312"/>
      <c r="G21" s="306"/>
      <c r="H21" s="315"/>
      <c r="I21" s="327"/>
      <c r="J21" s="306"/>
      <c r="K21" s="306"/>
      <c r="L21" s="306"/>
      <c r="M21" s="306"/>
      <c r="N21" s="245" t="s">
        <v>347</v>
      </c>
      <c r="O21" s="312"/>
      <c r="P21" s="242">
        <v>2000</v>
      </c>
      <c r="Q21" s="243" t="s">
        <v>346</v>
      </c>
      <c r="R21" s="244"/>
      <c r="S21" s="242"/>
      <c r="T21" s="242"/>
      <c r="U21" s="315"/>
      <c r="V21" s="318"/>
      <c r="W21" s="321"/>
      <c r="X21" s="2">
        <v>52</v>
      </c>
    </row>
    <row r="22" spans="1:24" x14ac:dyDescent="0.25">
      <c r="A22" s="309"/>
      <c r="B22" s="306"/>
      <c r="C22" s="306"/>
      <c r="D22" s="306"/>
      <c r="E22" s="324"/>
      <c r="F22" s="312"/>
      <c r="G22" s="306"/>
      <c r="H22" s="315"/>
      <c r="I22" s="327"/>
      <c r="J22" s="306"/>
      <c r="K22" s="306"/>
      <c r="L22" s="306"/>
      <c r="M22" s="306"/>
      <c r="N22" s="245" t="s">
        <v>374</v>
      </c>
      <c r="O22" s="312"/>
      <c r="P22" s="242">
        <v>2000</v>
      </c>
      <c r="Q22" s="243" t="s">
        <v>375</v>
      </c>
      <c r="R22" s="244"/>
      <c r="S22" s="242"/>
      <c r="T22" s="242"/>
      <c r="U22" s="315"/>
      <c r="V22" s="318"/>
      <c r="W22" s="321"/>
      <c r="X22" s="2">
        <v>52</v>
      </c>
    </row>
    <row r="23" spans="1:24" x14ac:dyDescent="0.25">
      <c r="A23" s="309"/>
      <c r="B23" s="306"/>
      <c r="C23" s="306"/>
      <c r="D23" s="306"/>
      <c r="E23" s="324"/>
      <c r="F23" s="312"/>
      <c r="G23" s="306"/>
      <c r="H23" s="315"/>
      <c r="I23" s="327"/>
      <c r="J23" s="306"/>
      <c r="K23" s="306"/>
      <c r="L23" s="306"/>
      <c r="M23" s="306"/>
      <c r="N23" s="245" t="s">
        <v>463</v>
      </c>
      <c r="O23" s="312"/>
      <c r="P23" s="242">
        <v>2000</v>
      </c>
      <c r="Q23" s="243" t="s">
        <v>460</v>
      </c>
      <c r="R23" s="244"/>
      <c r="S23" s="242"/>
      <c r="T23" s="242"/>
      <c r="U23" s="315"/>
      <c r="V23" s="318"/>
      <c r="W23" s="321"/>
      <c r="X23" s="2">
        <v>52</v>
      </c>
    </row>
    <row r="24" spans="1:24" x14ac:dyDescent="0.25">
      <c r="A24" s="310"/>
      <c r="B24" s="307"/>
      <c r="C24" s="307"/>
      <c r="D24" s="307"/>
      <c r="E24" s="325"/>
      <c r="F24" s="313"/>
      <c r="G24" s="307"/>
      <c r="H24" s="316"/>
      <c r="I24" s="328"/>
      <c r="J24" s="307"/>
      <c r="K24" s="307"/>
      <c r="L24" s="307"/>
      <c r="M24" s="307"/>
      <c r="N24" s="241" t="s">
        <v>473</v>
      </c>
      <c r="O24" s="313"/>
      <c r="P24" s="237">
        <v>2000</v>
      </c>
      <c r="Q24" s="238" t="s">
        <v>510</v>
      </c>
      <c r="R24" s="239"/>
      <c r="S24" s="237"/>
      <c r="T24" s="237"/>
      <c r="U24" s="316"/>
      <c r="V24" s="319"/>
      <c r="W24" s="322"/>
      <c r="X24" s="2">
        <v>52</v>
      </c>
    </row>
    <row r="25" spans="1:24" s="85" customFormat="1" ht="90" customHeight="1" x14ac:dyDescent="0.25">
      <c r="A25" s="308">
        <v>5</v>
      </c>
      <c r="B25" s="305" t="s">
        <v>56</v>
      </c>
      <c r="C25" s="305"/>
      <c r="D25" s="305"/>
      <c r="E25" s="323" t="s">
        <v>57</v>
      </c>
      <c r="F25" s="311" t="s">
        <v>236</v>
      </c>
      <c r="G25" s="305" t="s">
        <v>242</v>
      </c>
      <c r="H25" s="314">
        <v>72000</v>
      </c>
      <c r="I25" s="326">
        <f>IF(X25 = 53, H25 + SUM(S25:S29) - SUM(T25:T29) - SUM(P25:P29) - V25,0)</f>
        <v>42000</v>
      </c>
      <c r="J25" s="305" t="s">
        <v>243</v>
      </c>
      <c r="K25" s="305" t="s">
        <v>166</v>
      </c>
      <c r="L25" s="305"/>
      <c r="M25" s="305" t="s">
        <v>214</v>
      </c>
      <c r="N25" s="240" t="s">
        <v>307</v>
      </c>
      <c r="O25" s="311" t="s">
        <v>239</v>
      </c>
      <c r="P25" s="236">
        <v>6000</v>
      </c>
      <c r="Q25" s="235" t="s">
        <v>314</v>
      </c>
      <c r="R25" s="234"/>
      <c r="S25" s="236"/>
      <c r="T25" s="236"/>
      <c r="U25" s="314"/>
      <c r="V25" s="317"/>
      <c r="W25" s="320"/>
      <c r="X25" s="85">
        <v>53</v>
      </c>
    </row>
    <row r="26" spans="1:24" x14ac:dyDescent="0.25">
      <c r="A26" s="309"/>
      <c r="B26" s="306"/>
      <c r="C26" s="306"/>
      <c r="D26" s="306"/>
      <c r="E26" s="324"/>
      <c r="F26" s="312"/>
      <c r="G26" s="306"/>
      <c r="H26" s="315"/>
      <c r="I26" s="327"/>
      <c r="J26" s="306"/>
      <c r="K26" s="306"/>
      <c r="L26" s="306"/>
      <c r="M26" s="306"/>
      <c r="N26" s="245" t="s">
        <v>347</v>
      </c>
      <c r="O26" s="312"/>
      <c r="P26" s="242">
        <v>6000</v>
      </c>
      <c r="Q26" s="243" t="s">
        <v>351</v>
      </c>
      <c r="R26" s="244"/>
      <c r="S26" s="242"/>
      <c r="T26" s="242"/>
      <c r="U26" s="315"/>
      <c r="V26" s="318"/>
      <c r="W26" s="321"/>
      <c r="X26" s="2">
        <v>53</v>
      </c>
    </row>
    <row r="27" spans="1:24" x14ac:dyDescent="0.25">
      <c r="A27" s="309"/>
      <c r="B27" s="306"/>
      <c r="C27" s="306"/>
      <c r="D27" s="306"/>
      <c r="E27" s="324"/>
      <c r="F27" s="312"/>
      <c r="G27" s="306"/>
      <c r="H27" s="315"/>
      <c r="I27" s="327"/>
      <c r="J27" s="306"/>
      <c r="K27" s="306"/>
      <c r="L27" s="306"/>
      <c r="M27" s="306"/>
      <c r="N27" s="245" t="s">
        <v>374</v>
      </c>
      <c r="O27" s="312"/>
      <c r="P27" s="242">
        <v>6000</v>
      </c>
      <c r="Q27" s="243" t="s">
        <v>379</v>
      </c>
      <c r="R27" s="244"/>
      <c r="S27" s="242"/>
      <c r="T27" s="242"/>
      <c r="U27" s="315"/>
      <c r="V27" s="318"/>
      <c r="W27" s="321"/>
      <c r="X27" s="2">
        <v>53</v>
      </c>
    </row>
    <row r="28" spans="1:24" x14ac:dyDescent="0.25">
      <c r="A28" s="309"/>
      <c r="B28" s="306"/>
      <c r="C28" s="306"/>
      <c r="D28" s="306"/>
      <c r="E28" s="324"/>
      <c r="F28" s="312"/>
      <c r="G28" s="306"/>
      <c r="H28" s="315"/>
      <c r="I28" s="327"/>
      <c r="J28" s="306"/>
      <c r="K28" s="306"/>
      <c r="L28" s="306"/>
      <c r="M28" s="306"/>
      <c r="N28" s="245" t="s">
        <v>463</v>
      </c>
      <c r="O28" s="312"/>
      <c r="P28" s="242">
        <v>6000</v>
      </c>
      <c r="Q28" s="243" t="s">
        <v>467</v>
      </c>
      <c r="R28" s="244"/>
      <c r="S28" s="242"/>
      <c r="T28" s="242"/>
      <c r="U28" s="315"/>
      <c r="V28" s="318"/>
      <c r="W28" s="321"/>
      <c r="X28" s="2">
        <v>53</v>
      </c>
    </row>
    <row r="29" spans="1:24" x14ac:dyDescent="0.25">
      <c r="A29" s="310"/>
      <c r="B29" s="307"/>
      <c r="C29" s="307"/>
      <c r="D29" s="307"/>
      <c r="E29" s="325"/>
      <c r="F29" s="313"/>
      <c r="G29" s="307"/>
      <c r="H29" s="316"/>
      <c r="I29" s="328"/>
      <c r="J29" s="307"/>
      <c r="K29" s="307"/>
      <c r="L29" s="307"/>
      <c r="M29" s="307"/>
      <c r="N29" s="241" t="s">
        <v>473</v>
      </c>
      <c r="O29" s="313"/>
      <c r="P29" s="237">
        <v>6000</v>
      </c>
      <c r="Q29" s="238" t="s">
        <v>512</v>
      </c>
      <c r="R29" s="239"/>
      <c r="S29" s="237"/>
      <c r="T29" s="237"/>
      <c r="U29" s="316"/>
      <c r="V29" s="319"/>
      <c r="W29" s="322"/>
      <c r="X29" s="2">
        <v>53</v>
      </c>
    </row>
    <row r="30" spans="1:24" s="85" customFormat="1" ht="112.5" x14ac:dyDescent="0.25">
      <c r="A30" s="109">
        <v>6</v>
      </c>
      <c r="B30" s="110" t="s">
        <v>56</v>
      </c>
      <c r="C30" s="110"/>
      <c r="D30" s="110"/>
      <c r="E30" s="111" t="s">
        <v>244</v>
      </c>
      <c r="F30" s="117" t="s">
        <v>236</v>
      </c>
      <c r="G30" s="110" t="s">
        <v>245</v>
      </c>
      <c r="H30" s="112">
        <v>7200</v>
      </c>
      <c r="I30" s="113">
        <f>IF(X30 = 54, H30 + SUM(S30:S30) - SUM(T30:T30) - SUM(P30:P30) - V30,0)</f>
        <v>5400</v>
      </c>
      <c r="J30" s="110" t="s">
        <v>246</v>
      </c>
      <c r="K30" s="110" t="s">
        <v>247</v>
      </c>
      <c r="L30" s="110"/>
      <c r="M30" s="110" t="s">
        <v>214</v>
      </c>
      <c r="N30" s="117" t="s">
        <v>374</v>
      </c>
      <c r="O30" s="117" t="s">
        <v>239</v>
      </c>
      <c r="P30" s="112">
        <v>1800</v>
      </c>
      <c r="Q30" s="111" t="s">
        <v>373</v>
      </c>
      <c r="R30" s="110"/>
      <c r="S30" s="112"/>
      <c r="T30" s="112"/>
      <c r="U30" s="112"/>
      <c r="V30" s="118"/>
      <c r="W30" s="108"/>
      <c r="X30" s="85">
        <v>54</v>
      </c>
    </row>
    <row r="31" spans="1:24" s="85" customFormat="1" ht="75" x14ac:dyDescent="0.25">
      <c r="A31" s="132">
        <v>7</v>
      </c>
      <c r="B31" s="128" t="s">
        <v>56</v>
      </c>
      <c r="C31" s="128"/>
      <c r="D31" s="128"/>
      <c r="E31" s="133" t="s">
        <v>277</v>
      </c>
      <c r="F31" s="137" t="s">
        <v>236</v>
      </c>
      <c r="G31" s="128" t="s">
        <v>278</v>
      </c>
      <c r="H31" s="129">
        <v>8000</v>
      </c>
      <c r="I31" s="134">
        <f>IF(X31 = 55, H31 + SUM(S31:S31) - SUM(T31:T31) - SUM(P31:P31) - V31,0)</f>
        <v>0</v>
      </c>
      <c r="J31" s="128" t="s">
        <v>279</v>
      </c>
      <c r="K31" s="128" t="s">
        <v>280</v>
      </c>
      <c r="L31" s="128"/>
      <c r="M31" s="128" t="s">
        <v>214</v>
      </c>
      <c r="N31" s="137" t="s">
        <v>312</v>
      </c>
      <c r="O31" s="137" t="s">
        <v>281</v>
      </c>
      <c r="P31" s="129">
        <v>8000</v>
      </c>
      <c r="Q31" s="133" t="s">
        <v>311</v>
      </c>
      <c r="R31" s="128"/>
      <c r="S31" s="129"/>
      <c r="T31" s="129"/>
      <c r="U31" s="129"/>
      <c r="V31" s="150"/>
      <c r="W31" s="131"/>
      <c r="X31" s="85">
        <v>55</v>
      </c>
    </row>
    <row r="32" spans="1:24" s="85" customFormat="1" ht="72" customHeight="1" x14ac:dyDescent="0.25">
      <c r="A32" s="329">
        <v>8</v>
      </c>
      <c r="B32" s="338" t="s">
        <v>56</v>
      </c>
      <c r="C32" s="338"/>
      <c r="D32" s="338"/>
      <c r="E32" s="350" t="s">
        <v>282</v>
      </c>
      <c r="F32" s="332" t="s">
        <v>283</v>
      </c>
      <c r="G32" s="338" t="s">
        <v>284</v>
      </c>
      <c r="H32" s="335">
        <v>28761.599999999999</v>
      </c>
      <c r="I32" s="353">
        <f>IF(X32 = 56, H32 + SUM(S32:S36) - SUM(T32:T36) - SUM(P32:P36) - V32,0)</f>
        <v>0</v>
      </c>
      <c r="J32" s="338" t="s">
        <v>285</v>
      </c>
      <c r="K32" s="338" t="s">
        <v>286</v>
      </c>
      <c r="L32" s="338"/>
      <c r="M32" s="338" t="s">
        <v>287</v>
      </c>
      <c r="N32" s="210" t="s">
        <v>307</v>
      </c>
      <c r="O32" s="332" t="s">
        <v>288</v>
      </c>
      <c r="P32" s="203">
        <v>2568</v>
      </c>
      <c r="Q32" s="202" t="s">
        <v>311</v>
      </c>
      <c r="R32" s="201"/>
      <c r="S32" s="203"/>
      <c r="T32" s="203"/>
      <c r="U32" s="335" t="s">
        <v>522</v>
      </c>
      <c r="V32" s="341">
        <v>15921.6</v>
      </c>
      <c r="W32" s="347"/>
      <c r="X32" s="85">
        <v>56</v>
      </c>
    </row>
    <row r="33" spans="1:24" x14ac:dyDescent="0.25">
      <c r="A33" s="330"/>
      <c r="B33" s="339"/>
      <c r="C33" s="339"/>
      <c r="D33" s="339"/>
      <c r="E33" s="351"/>
      <c r="F33" s="333"/>
      <c r="G33" s="339"/>
      <c r="H33" s="336"/>
      <c r="I33" s="354"/>
      <c r="J33" s="339"/>
      <c r="K33" s="339"/>
      <c r="L33" s="339"/>
      <c r="M33" s="339"/>
      <c r="N33" s="211" t="s">
        <v>347</v>
      </c>
      <c r="O33" s="333"/>
      <c r="P33" s="204">
        <v>2910.4</v>
      </c>
      <c r="Q33" s="205" t="s">
        <v>357</v>
      </c>
      <c r="R33" s="206"/>
      <c r="S33" s="204"/>
      <c r="T33" s="204"/>
      <c r="U33" s="336"/>
      <c r="V33" s="342"/>
      <c r="W33" s="348"/>
      <c r="X33" s="2">
        <v>56</v>
      </c>
    </row>
    <row r="34" spans="1:24" x14ac:dyDescent="0.25">
      <c r="A34" s="330"/>
      <c r="B34" s="339"/>
      <c r="C34" s="339"/>
      <c r="D34" s="339"/>
      <c r="E34" s="351"/>
      <c r="F34" s="333"/>
      <c r="G34" s="339"/>
      <c r="H34" s="336"/>
      <c r="I34" s="354"/>
      <c r="J34" s="339"/>
      <c r="K34" s="339"/>
      <c r="L34" s="339"/>
      <c r="M34" s="339"/>
      <c r="N34" s="211" t="s">
        <v>386</v>
      </c>
      <c r="O34" s="333"/>
      <c r="P34" s="204">
        <v>2568</v>
      </c>
      <c r="Q34" s="205" t="s">
        <v>379</v>
      </c>
      <c r="R34" s="206"/>
      <c r="S34" s="204"/>
      <c r="T34" s="204"/>
      <c r="U34" s="336"/>
      <c r="V34" s="342"/>
      <c r="W34" s="348"/>
      <c r="X34" s="2">
        <v>56</v>
      </c>
    </row>
    <row r="35" spans="1:24" x14ac:dyDescent="0.25">
      <c r="A35" s="330"/>
      <c r="B35" s="339"/>
      <c r="C35" s="339"/>
      <c r="D35" s="339"/>
      <c r="E35" s="351"/>
      <c r="F35" s="333"/>
      <c r="G35" s="339"/>
      <c r="H35" s="336"/>
      <c r="I35" s="354"/>
      <c r="J35" s="339"/>
      <c r="K35" s="339"/>
      <c r="L35" s="339"/>
      <c r="M35" s="339"/>
      <c r="N35" s="211" t="s">
        <v>462</v>
      </c>
      <c r="O35" s="333"/>
      <c r="P35" s="204">
        <v>2739.2</v>
      </c>
      <c r="Q35" s="205" t="s">
        <v>466</v>
      </c>
      <c r="R35" s="206"/>
      <c r="S35" s="204"/>
      <c r="T35" s="204"/>
      <c r="U35" s="336"/>
      <c r="V35" s="342"/>
      <c r="W35" s="348"/>
      <c r="X35" s="2">
        <v>56</v>
      </c>
    </row>
    <row r="36" spans="1:24" x14ac:dyDescent="0.25">
      <c r="A36" s="331"/>
      <c r="B36" s="340"/>
      <c r="C36" s="340"/>
      <c r="D36" s="340"/>
      <c r="E36" s="352"/>
      <c r="F36" s="334"/>
      <c r="G36" s="340"/>
      <c r="H36" s="337"/>
      <c r="I36" s="355"/>
      <c r="J36" s="340"/>
      <c r="K36" s="340"/>
      <c r="L36" s="340"/>
      <c r="M36" s="340"/>
      <c r="N36" s="212" t="s">
        <v>470</v>
      </c>
      <c r="O36" s="334"/>
      <c r="P36" s="207">
        <v>2054.4</v>
      </c>
      <c r="Q36" s="208" t="s">
        <v>473</v>
      </c>
      <c r="R36" s="209"/>
      <c r="S36" s="207"/>
      <c r="T36" s="207"/>
      <c r="U36" s="337"/>
      <c r="V36" s="343"/>
      <c r="W36" s="349"/>
      <c r="X36" s="2">
        <v>56</v>
      </c>
    </row>
    <row r="37" spans="1:24" s="85" customFormat="1" ht="72" customHeight="1" x14ac:dyDescent="0.25">
      <c r="A37" s="329">
        <v>9</v>
      </c>
      <c r="B37" s="338" t="s">
        <v>56</v>
      </c>
      <c r="C37" s="338"/>
      <c r="D37" s="338"/>
      <c r="E37" s="350" t="s">
        <v>289</v>
      </c>
      <c r="F37" s="332" t="s">
        <v>283</v>
      </c>
      <c r="G37" s="338" t="s">
        <v>290</v>
      </c>
      <c r="H37" s="335">
        <v>8400</v>
      </c>
      <c r="I37" s="353">
        <f>IF(X37 = 57, H37 + SUM(S37:S41) - SUM(T37:T41) - SUM(P37:P41) - V37,0)</f>
        <v>0</v>
      </c>
      <c r="J37" s="338" t="s">
        <v>285</v>
      </c>
      <c r="K37" s="338" t="s">
        <v>286</v>
      </c>
      <c r="L37" s="338"/>
      <c r="M37" s="338" t="s">
        <v>287</v>
      </c>
      <c r="N37" s="210" t="s">
        <v>307</v>
      </c>
      <c r="O37" s="332" t="s">
        <v>288</v>
      </c>
      <c r="P37" s="203">
        <v>750</v>
      </c>
      <c r="Q37" s="202" t="s">
        <v>313</v>
      </c>
      <c r="R37" s="201"/>
      <c r="S37" s="203"/>
      <c r="T37" s="203"/>
      <c r="U37" s="335" t="s">
        <v>523</v>
      </c>
      <c r="V37" s="341">
        <v>4650</v>
      </c>
      <c r="W37" s="347"/>
      <c r="X37" s="85">
        <v>57</v>
      </c>
    </row>
    <row r="38" spans="1:24" x14ac:dyDescent="0.25">
      <c r="A38" s="330"/>
      <c r="B38" s="339"/>
      <c r="C38" s="339"/>
      <c r="D38" s="339"/>
      <c r="E38" s="351"/>
      <c r="F38" s="333"/>
      <c r="G38" s="339"/>
      <c r="H38" s="336"/>
      <c r="I38" s="354"/>
      <c r="J38" s="339"/>
      <c r="K38" s="339"/>
      <c r="L38" s="339"/>
      <c r="M38" s="339"/>
      <c r="N38" s="211" t="s">
        <v>347</v>
      </c>
      <c r="O38" s="333"/>
      <c r="P38" s="204">
        <v>850</v>
      </c>
      <c r="Q38" s="205" t="s">
        <v>357</v>
      </c>
      <c r="R38" s="206"/>
      <c r="S38" s="204"/>
      <c r="T38" s="204"/>
      <c r="U38" s="336"/>
      <c r="V38" s="342"/>
      <c r="W38" s="348"/>
      <c r="X38" s="2">
        <v>57</v>
      </c>
    </row>
    <row r="39" spans="1:24" x14ac:dyDescent="0.25">
      <c r="A39" s="330"/>
      <c r="B39" s="339"/>
      <c r="C39" s="339"/>
      <c r="D39" s="339"/>
      <c r="E39" s="351"/>
      <c r="F39" s="333"/>
      <c r="G39" s="339"/>
      <c r="H39" s="336"/>
      <c r="I39" s="354"/>
      <c r="J39" s="339"/>
      <c r="K39" s="339"/>
      <c r="L39" s="339"/>
      <c r="M39" s="339"/>
      <c r="N39" s="211" t="s">
        <v>386</v>
      </c>
      <c r="O39" s="333"/>
      <c r="P39" s="204">
        <v>750</v>
      </c>
      <c r="Q39" s="205" t="s">
        <v>380</v>
      </c>
      <c r="R39" s="206"/>
      <c r="S39" s="204"/>
      <c r="T39" s="204"/>
      <c r="U39" s="336"/>
      <c r="V39" s="342"/>
      <c r="W39" s="348"/>
      <c r="X39" s="2">
        <v>57</v>
      </c>
    </row>
    <row r="40" spans="1:24" x14ac:dyDescent="0.25">
      <c r="A40" s="330"/>
      <c r="B40" s="339"/>
      <c r="C40" s="339"/>
      <c r="D40" s="339"/>
      <c r="E40" s="351"/>
      <c r="F40" s="333"/>
      <c r="G40" s="339"/>
      <c r="H40" s="336"/>
      <c r="I40" s="354"/>
      <c r="J40" s="339"/>
      <c r="K40" s="339"/>
      <c r="L40" s="339"/>
      <c r="M40" s="339"/>
      <c r="N40" s="211" t="s">
        <v>462</v>
      </c>
      <c r="O40" s="333"/>
      <c r="P40" s="204">
        <v>800</v>
      </c>
      <c r="Q40" s="205" t="s">
        <v>466</v>
      </c>
      <c r="R40" s="206"/>
      <c r="S40" s="204"/>
      <c r="T40" s="204"/>
      <c r="U40" s="336"/>
      <c r="V40" s="342"/>
      <c r="W40" s="348"/>
      <c r="X40" s="2">
        <v>57</v>
      </c>
    </row>
    <row r="41" spans="1:24" x14ac:dyDescent="0.25">
      <c r="A41" s="331"/>
      <c r="B41" s="340"/>
      <c r="C41" s="340"/>
      <c r="D41" s="340"/>
      <c r="E41" s="352"/>
      <c r="F41" s="334"/>
      <c r="G41" s="340"/>
      <c r="H41" s="337"/>
      <c r="I41" s="355"/>
      <c r="J41" s="340"/>
      <c r="K41" s="340"/>
      <c r="L41" s="340"/>
      <c r="M41" s="340"/>
      <c r="N41" s="212" t="s">
        <v>470</v>
      </c>
      <c r="O41" s="334"/>
      <c r="P41" s="207">
        <v>600</v>
      </c>
      <c r="Q41" s="208" t="s">
        <v>473</v>
      </c>
      <c r="R41" s="209"/>
      <c r="S41" s="207"/>
      <c r="T41" s="207"/>
      <c r="U41" s="337"/>
      <c r="V41" s="343"/>
      <c r="W41" s="349"/>
      <c r="X41" s="2">
        <v>57</v>
      </c>
    </row>
    <row r="42" spans="1:24" s="85" customFormat="1" ht="72" customHeight="1" x14ac:dyDescent="0.25">
      <c r="A42" s="308">
        <v>10</v>
      </c>
      <c r="B42" s="305" t="s">
        <v>56</v>
      </c>
      <c r="C42" s="305"/>
      <c r="D42" s="305"/>
      <c r="E42" s="344" t="s">
        <v>291</v>
      </c>
      <c r="F42" s="311" t="s">
        <v>283</v>
      </c>
      <c r="G42" s="305" t="s">
        <v>292</v>
      </c>
      <c r="H42" s="314">
        <v>157474.79999999999</v>
      </c>
      <c r="I42" s="326">
        <f>IF(X42 = 58, H42 + SUM(S42:S51) - SUM(T42:T51) - SUM(P42:P51) - V42,0)</f>
        <v>-7.2759576141834259E-12</v>
      </c>
      <c r="J42" s="305" t="s">
        <v>285</v>
      </c>
      <c r="K42" s="305" t="s">
        <v>286</v>
      </c>
      <c r="L42" s="305"/>
      <c r="M42" s="305" t="s">
        <v>287</v>
      </c>
      <c r="N42" s="240" t="s">
        <v>307</v>
      </c>
      <c r="O42" s="311" t="s">
        <v>288</v>
      </c>
      <c r="P42" s="236">
        <v>11269.73</v>
      </c>
      <c r="Q42" s="235" t="s">
        <v>311</v>
      </c>
      <c r="R42" s="234"/>
      <c r="S42" s="236"/>
      <c r="T42" s="236"/>
      <c r="U42" s="314" t="s">
        <v>519</v>
      </c>
      <c r="V42" s="317">
        <v>53294.239999999998</v>
      </c>
      <c r="W42" s="320"/>
      <c r="X42" s="85">
        <v>58</v>
      </c>
    </row>
    <row r="43" spans="1:24" x14ac:dyDescent="0.25">
      <c r="A43" s="309"/>
      <c r="B43" s="306"/>
      <c r="C43" s="306"/>
      <c r="D43" s="306"/>
      <c r="E43" s="345"/>
      <c r="F43" s="312"/>
      <c r="G43" s="306"/>
      <c r="H43" s="315"/>
      <c r="I43" s="327"/>
      <c r="J43" s="306"/>
      <c r="K43" s="306"/>
      <c r="L43" s="306"/>
      <c r="M43" s="306"/>
      <c r="N43" s="245" t="s">
        <v>307</v>
      </c>
      <c r="O43" s="312"/>
      <c r="P43" s="242">
        <v>9220.69</v>
      </c>
      <c r="Q43" s="243" t="s">
        <v>311</v>
      </c>
      <c r="R43" s="244"/>
      <c r="S43" s="242"/>
      <c r="T43" s="242"/>
      <c r="U43" s="315"/>
      <c r="V43" s="318"/>
      <c r="W43" s="321"/>
      <c r="X43" s="2">
        <v>58</v>
      </c>
    </row>
    <row r="44" spans="1:24" x14ac:dyDescent="0.25">
      <c r="A44" s="309"/>
      <c r="B44" s="306"/>
      <c r="C44" s="306"/>
      <c r="D44" s="306"/>
      <c r="E44" s="345"/>
      <c r="F44" s="312"/>
      <c r="G44" s="306"/>
      <c r="H44" s="315"/>
      <c r="I44" s="327"/>
      <c r="J44" s="306"/>
      <c r="K44" s="306"/>
      <c r="L44" s="306"/>
      <c r="M44" s="306"/>
      <c r="N44" s="245" t="s">
        <v>347</v>
      </c>
      <c r="O44" s="312"/>
      <c r="P44" s="242">
        <v>10634.23</v>
      </c>
      <c r="Q44" s="243" t="s">
        <v>357</v>
      </c>
      <c r="R44" s="244"/>
      <c r="S44" s="242"/>
      <c r="T44" s="242"/>
      <c r="U44" s="315"/>
      <c r="V44" s="318"/>
      <c r="W44" s="321"/>
      <c r="X44" s="2">
        <v>58</v>
      </c>
    </row>
    <row r="45" spans="1:24" x14ac:dyDescent="0.25">
      <c r="A45" s="309"/>
      <c r="B45" s="306"/>
      <c r="C45" s="306"/>
      <c r="D45" s="306"/>
      <c r="E45" s="345"/>
      <c r="F45" s="312"/>
      <c r="G45" s="306"/>
      <c r="H45" s="315"/>
      <c r="I45" s="327"/>
      <c r="J45" s="306"/>
      <c r="K45" s="306"/>
      <c r="L45" s="306"/>
      <c r="M45" s="306"/>
      <c r="N45" s="245" t="s">
        <v>347</v>
      </c>
      <c r="O45" s="312"/>
      <c r="P45" s="242">
        <v>8700.74</v>
      </c>
      <c r="Q45" s="243" t="s">
        <v>357</v>
      </c>
      <c r="R45" s="244"/>
      <c r="S45" s="242"/>
      <c r="T45" s="242"/>
      <c r="U45" s="315"/>
      <c r="V45" s="318"/>
      <c r="W45" s="321"/>
      <c r="X45" s="2">
        <v>58</v>
      </c>
    </row>
    <row r="46" spans="1:24" x14ac:dyDescent="0.25">
      <c r="A46" s="309"/>
      <c r="B46" s="306"/>
      <c r="C46" s="306"/>
      <c r="D46" s="306"/>
      <c r="E46" s="345"/>
      <c r="F46" s="312"/>
      <c r="G46" s="306"/>
      <c r="H46" s="315"/>
      <c r="I46" s="327"/>
      <c r="J46" s="306"/>
      <c r="K46" s="306"/>
      <c r="L46" s="306"/>
      <c r="M46" s="306"/>
      <c r="N46" s="245" t="s">
        <v>386</v>
      </c>
      <c r="O46" s="312"/>
      <c r="P46" s="242">
        <v>11999.06</v>
      </c>
      <c r="Q46" s="243" t="s">
        <v>378</v>
      </c>
      <c r="R46" s="244"/>
      <c r="S46" s="242"/>
      <c r="T46" s="242"/>
      <c r="U46" s="315"/>
      <c r="V46" s="318"/>
      <c r="W46" s="321"/>
      <c r="X46" s="2">
        <v>58</v>
      </c>
    </row>
    <row r="47" spans="1:24" x14ac:dyDescent="0.25">
      <c r="A47" s="309"/>
      <c r="B47" s="306"/>
      <c r="C47" s="306"/>
      <c r="D47" s="306"/>
      <c r="E47" s="345"/>
      <c r="F47" s="312"/>
      <c r="G47" s="306"/>
      <c r="H47" s="315"/>
      <c r="I47" s="327"/>
      <c r="J47" s="306"/>
      <c r="K47" s="306"/>
      <c r="L47" s="306"/>
      <c r="M47" s="306"/>
      <c r="N47" s="245" t="s">
        <v>386</v>
      </c>
      <c r="O47" s="312"/>
      <c r="P47" s="242">
        <v>9817.41</v>
      </c>
      <c r="Q47" s="243" t="s">
        <v>378</v>
      </c>
      <c r="R47" s="244"/>
      <c r="S47" s="242"/>
      <c r="T47" s="242"/>
      <c r="U47" s="315"/>
      <c r="V47" s="318"/>
      <c r="W47" s="321"/>
      <c r="X47" s="2">
        <v>58</v>
      </c>
    </row>
    <row r="48" spans="1:24" x14ac:dyDescent="0.25">
      <c r="A48" s="309"/>
      <c r="B48" s="306"/>
      <c r="C48" s="306"/>
      <c r="D48" s="306"/>
      <c r="E48" s="345"/>
      <c r="F48" s="312"/>
      <c r="G48" s="306"/>
      <c r="H48" s="315"/>
      <c r="I48" s="327"/>
      <c r="J48" s="306"/>
      <c r="K48" s="306"/>
      <c r="L48" s="306"/>
      <c r="M48" s="306"/>
      <c r="N48" s="245" t="s">
        <v>462</v>
      </c>
      <c r="O48" s="312"/>
      <c r="P48" s="242">
        <v>14127.21</v>
      </c>
      <c r="Q48" s="243" t="s">
        <v>466</v>
      </c>
      <c r="R48" s="244"/>
      <c r="S48" s="242"/>
      <c r="T48" s="242"/>
      <c r="U48" s="315"/>
      <c r="V48" s="318"/>
      <c r="W48" s="321"/>
      <c r="X48" s="2">
        <v>58</v>
      </c>
    </row>
    <row r="49" spans="1:24" x14ac:dyDescent="0.25">
      <c r="A49" s="309"/>
      <c r="B49" s="306"/>
      <c r="C49" s="306"/>
      <c r="D49" s="306"/>
      <c r="E49" s="345"/>
      <c r="F49" s="312"/>
      <c r="G49" s="306"/>
      <c r="H49" s="315"/>
      <c r="I49" s="327"/>
      <c r="J49" s="306"/>
      <c r="K49" s="306"/>
      <c r="L49" s="306"/>
      <c r="M49" s="306"/>
      <c r="N49" s="245" t="s">
        <v>462</v>
      </c>
      <c r="O49" s="312"/>
      <c r="P49" s="242">
        <v>11558.62</v>
      </c>
      <c r="Q49" s="243" t="s">
        <v>466</v>
      </c>
      <c r="R49" s="244"/>
      <c r="S49" s="242"/>
      <c r="T49" s="242"/>
      <c r="U49" s="315"/>
      <c r="V49" s="318"/>
      <c r="W49" s="321"/>
      <c r="X49" s="2">
        <v>58</v>
      </c>
    </row>
    <row r="50" spans="1:24" x14ac:dyDescent="0.25">
      <c r="A50" s="309"/>
      <c r="B50" s="306"/>
      <c r="C50" s="306"/>
      <c r="D50" s="306"/>
      <c r="E50" s="345"/>
      <c r="F50" s="312"/>
      <c r="G50" s="306"/>
      <c r="H50" s="315"/>
      <c r="I50" s="327"/>
      <c r="J50" s="306"/>
      <c r="K50" s="306"/>
      <c r="L50" s="306"/>
      <c r="M50" s="306"/>
      <c r="N50" s="245" t="s">
        <v>470</v>
      </c>
      <c r="O50" s="312"/>
      <c r="P50" s="242">
        <v>9269.08</v>
      </c>
      <c r="Q50" s="243" t="s">
        <v>512</v>
      </c>
      <c r="R50" s="244"/>
      <c r="S50" s="242"/>
      <c r="T50" s="242"/>
      <c r="U50" s="315"/>
      <c r="V50" s="318"/>
      <c r="W50" s="321"/>
      <c r="X50" s="2">
        <v>58</v>
      </c>
    </row>
    <row r="51" spans="1:24" x14ac:dyDescent="0.25">
      <c r="A51" s="310"/>
      <c r="B51" s="307"/>
      <c r="C51" s="307"/>
      <c r="D51" s="307"/>
      <c r="E51" s="346"/>
      <c r="F51" s="313"/>
      <c r="G51" s="307"/>
      <c r="H51" s="316"/>
      <c r="I51" s="328"/>
      <c r="J51" s="307"/>
      <c r="K51" s="307"/>
      <c r="L51" s="307"/>
      <c r="M51" s="307"/>
      <c r="N51" s="241" t="s">
        <v>470</v>
      </c>
      <c r="O51" s="313"/>
      <c r="P51" s="237">
        <v>7583.79</v>
      </c>
      <c r="Q51" s="238" t="s">
        <v>512</v>
      </c>
      <c r="R51" s="239"/>
      <c r="S51" s="237"/>
      <c r="T51" s="237"/>
      <c r="U51" s="316"/>
      <c r="V51" s="319"/>
      <c r="W51" s="322"/>
      <c r="X51" s="2">
        <v>58</v>
      </c>
    </row>
    <row r="52" spans="1:24" s="85" customFormat="1" ht="72" customHeight="1" x14ac:dyDescent="0.25">
      <c r="A52" s="329">
        <v>11</v>
      </c>
      <c r="B52" s="338" t="s">
        <v>56</v>
      </c>
      <c r="C52" s="338"/>
      <c r="D52" s="338"/>
      <c r="E52" s="350" t="s">
        <v>293</v>
      </c>
      <c r="F52" s="332" t="s">
        <v>283</v>
      </c>
      <c r="G52" s="338" t="s">
        <v>294</v>
      </c>
      <c r="H52" s="335">
        <v>46200</v>
      </c>
      <c r="I52" s="353">
        <f>IF(X52 = 59, H52 + SUM(S52:S56) - SUM(T52:T56) - SUM(P52:P56) - V52,0)</f>
        <v>0</v>
      </c>
      <c r="J52" s="338" t="s">
        <v>285</v>
      </c>
      <c r="K52" s="338" t="s">
        <v>286</v>
      </c>
      <c r="L52" s="338"/>
      <c r="M52" s="338" t="s">
        <v>287</v>
      </c>
      <c r="N52" s="210" t="s">
        <v>307</v>
      </c>
      <c r="O52" s="332" t="s">
        <v>288</v>
      </c>
      <c r="P52" s="203">
        <v>5800</v>
      </c>
      <c r="Q52" s="202" t="s">
        <v>313</v>
      </c>
      <c r="R52" s="201"/>
      <c r="S52" s="203"/>
      <c r="T52" s="203"/>
      <c r="U52" s="335" t="s">
        <v>522</v>
      </c>
      <c r="V52" s="341">
        <v>16750</v>
      </c>
      <c r="W52" s="347"/>
      <c r="X52" s="85">
        <v>59</v>
      </c>
    </row>
    <row r="53" spans="1:24" x14ac:dyDescent="0.25">
      <c r="A53" s="330"/>
      <c r="B53" s="339"/>
      <c r="C53" s="339"/>
      <c r="D53" s="339"/>
      <c r="E53" s="351"/>
      <c r="F53" s="333"/>
      <c r="G53" s="339"/>
      <c r="H53" s="336"/>
      <c r="I53" s="354"/>
      <c r="J53" s="339"/>
      <c r="K53" s="339"/>
      <c r="L53" s="339"/>
      <c r="M53" s="339"/>
      <c r="N53" s="211" t="s">
        <v>347</v>
      </c>
      <c r="O53" s="333"/>
      <c r="P53" s="204">
        <v>5475</v>
      </c>
      <c r="Q53" s="205" t="s">
        <v>357</v>
      </c>
      <c r="R53" s="206"/>
      <c r="S53" s="204"/>
      <c r="T53" s="204"/>
      <c r="U53" s="336"/>
      <c r="V53" s="342"/>
      <c r="W53" s="348"/>
      <c r="X53" s="2">
        <v>59</v>
      </c>
    </row>
    <row r="54" spans="1:24" x14ac:dyDescent="0.25">
      <c r="A54" s="330"/>
      <c r="B54" s="339"/>
      <c r="C54" s="339"/>
      <c r="D54" s="339"/>
      <c r="E54" s="351"/>
      <c r="F54" s="333"/>
      <c r="G54" s="339"/>
      <c r="H54" s="336"/>
      <c r="I54" s="354"/>
      <c r="J54" s="339"/>
      <c r="K54" s="339"/>
      <c r="L54" s="339"/>
      <c r="M54" s="339"/>
      <c r="N54" s="211" t="s">
        <v>386</v>
      </c>
      <c r="O54" s="333"/>
      <c r="P54" s="204">
        <v>6125</v>
      </c>
      <c r="Q54" s="205" t="s">
        <v>378</v>
      </c>
      <c r="R54" s="206"/>
      <c r="S54" s="204"/>
      <c r="T54" s="204"/>
      <c r="U54" s="336"/>
      <c r="V54" s="342"/>
      <c r="W54" s="348"/>
      <c r="X54" s="2">
        <v>59</v>
      </c>
    </row>
    <row r="55" spans="1:24" x14ac:dyDescent="0.25">
      <c r="A55" s="330"/>
      <c r="B55" s="339"/>
      <c r="C55" s="339"/>
      <c r="D55" s="339"/>
      <c r="E55" s="351"/>
      <c r="F55" s="333"/>
      <c r="G55" s="339"/>
      <c r="H55" s="336"/>
      <c r="I55" s="354"/>
      <c r="J55" s="339"/>
      <c r="K55" s="339"/>
      <c r="L55" s="339"/>
      <c r="M55" s="339"/>
      <c r="N55" s="211" t="s">
        <v>462</v>
      </c>
      <c r="O55" s="333"/>
      <c r="P55" s="204">
        <v>7275</v>
      </c>
      <c r="Q55" s="205" t="s">
        <v>466</v>
      </c>
      <c r="R55" s="206"/>
      <c r="S55" s="204"/>
      <c r="T55" s="204"/>
      <c r="U55" s="336"/>
      <c r="V55" s="342"/>
      <c r="W55" s="348"/>
      <c r="X55" s="2">
        <v>59</v>
      </c>
    </row>
    <row r="56" spans="1:24" x14ac:dyDescent="0.25">
      <c r="A56" s="331"/>
      <c r="B56" s="340"/>
      <c r="C56" s="340"/>
      <c r="D56" s="340"/>
      <c r="E56" s="352"/>
      <c r="F56" s="334"/>
      <c r="G56" s="340"/>
      <c r="H56" s="337"/>
      <c r="I56" s="355"/>
      <c r="J56" s="340"/>
      <c r="K56" s="340"/>
      <c r="L56" s="340"/>
      <c r="M56" s="340"/>
      <c r="N56" s="212" t="s">
        <v>470</v>
      </c>
      <c r="O56" s="334"/>
      <c r="P56" s="207">
        <v>4775</v>
      </c>
      <c r="Q56" s="208" t="s">
        <v>473</v>
      </c>
      <c r="R56" s="209"/>
      <c r="S56" s="207"/>
      <c r="T56" s="207"/>
      <c r="U56" s="337"/>
      <c r="V56" s="343"/>
      <c r="W56" s="349"/>
      <c r="X56" s="2">
        <v>59</v>
      </c>
    </row>
    <row r="57" spans="1:24" s="85" customFormat="1" ht="72" customHeight="1" x14ac:dyDescent="0.25">
      <c r="A57" s="329">
        <v>12</v>
      </c>
      <c r="B57" s="338" t="s">
        <v>56</v>
      </c>
      <c r="C57" s="338"/>
      <c r="D57" s="338"/>
      <c r="E57" s="350" t="s">
        <v>322</v>
      </c>
      <c r="F57" s="332" t="s">
        <v>283</v>
      </c>
      <c r="G57" s="338" t="s">
        <v>321</v>
      </c>
      <c r="H57" s="335">
        <v>10500</v>
      </c>
      <c r="I57" s="353">
        <f>IF(X57 = 60, H57 + SUM(S57:S62) - SUM(T57:T62) - SUM(P57:P62) - V57,0)</f>
        <v>0</v>
      </c>
      <c r="J57" s="338" t="s">
        <v>285</v>
      </c>
      <c r="K57" s="338" t="s">
        <v>286</v>
      </c>
      <c r="L57" s="338"/>
      <c r="M57" s="338" t="s">
        <v>287</v>
      </c>
      <c r="N57" s="210" t="s">
        <v>347</v>
      </c>
      <c r="O57" s="332" t="s">
        <v>288</v>
      </c>
      <c r="P57" s="203">
        <v>1375</v>
      </c>
      <c r="Q57" s="202" t="s">
        <v>351</v>
      </c>
      <c r="R57" s="201"/>
      <c r="S57" s="203"/>
      <c r="T57" s="203"/>
      <c r="U57" s="335" t="s">
        <v>522</v>
      </c>
      <c r="V57" s="341">
        <v>3700</v>
      </c>
      <c r="W57" s="347"/>
      <c r="X57" s="85">
        <v>60</v>
      </c>
    </row>
    <row r="58" spans="1:24" x14ac:dyDescent="0.25">
      <c r="A58" s="330"/>
      <c r="B58" s="339"/>
      <c r="C58" s="339"/>
      <c r="D58" s="339"/>
      <c r="E58" s="351"/>
      <c r="F58" s="333"/>
      <c r="G58" s="339"/>
      <c r="H58" s="336"/>
      <c r="I58" s="354"/>
      <c r="J58" s="339"/>
      <c r="K58" s="339"/>
      <c r="L58" s="339"/>
      <c r="M58" s="339"/>
      <c r="N58" s="211" t="s">
        <v>347</v>
      </c>
      <c r="O58" s="333"/>
      <c r="P58" s="204">
        <v>1375</v>
      </c>
      <c r="Q58" s="205" t="s">
        <v>351</v>
      </c>
      <c r="R58" s="206"/>
      <c r="S58" s="204"/>
      <c r="T58" s="204"/>
      <c r="U58" s="336"/>
      <c r="V58" s="342"/>
      <c r="W58" s="348"/>
      <c r="X58" s="2">
        <v>60</v>
      </c>
    </row>
    <row r="59" spans="1:24" x14ac:dyDescent="0.25">
      <c r="A59" s="330"/>
      <c r="B59" s="339"/>
      <c r="C59" s="339"/>
      <c r="D59" s="339"/>
      <c r="E59" s="351"/>
      <c r="F59" s="333"/>
      <c r="G59" s="339"/>
      <c r="H59" s="336"/>
      <c r="I59" s="354"/>
      <c r="J59" s="339"/>
      <c r="K59" s="339"/>
      <c r="L59" s="339"/>
      <c r="M59" s="339"/>
      <c r="N59" s="211" t="s">
        <v>347</v>
      </c>
      <c r="O59" s="333"/>
      <c r="P59" s="204">
        <v>-25</v>
      </c>
      <c r="Q59" s="205" t="s">
        <v>385</v>
      </c>
      <c r="R59" s="206"/>
      <c r="S59" s="204"/>
      <c r="T59" s="204"/>
      <c r="U59" s="336"/>
      <c r="V59" s="342"/>
      <c r="W59" s="348"/>
      <c r="X59" s="2">
        <v>60</v>
      </c>
    </row>
    <row r="60" spans="1:24" x14ac:dyDescent="0.25">
      <c r="A60" s="330"/>
      <c r="B60" s="339"/>
      <c r="C60" s="339"/>
      <c r="D60" s="339"/>
      <c r="E60" s="351"/>
      <c r="F60" s="333"/>
      <c r="G60" s="339"/>
      <c r="H60" s="336"/>
      <c r="I60" s="354"/>
      <c r="J60" s="339"/>
      <c r="K60" s="339"/>
      <c r="L60" s="339"/>
      <c r="M60" s="339"/>
      <c r="N60" s="211" t="s">
        <v>386</v>
      </c>
      <c r="O60" s="333"/>
      <c r="P60" s="204">
        <v>1425</v>
      </c>
      <c r="Q60" s="205" t="s">
        <v>380</v>
      </c>
      <c r="R60" s="206"/>
      <c r="S60" s="204"/>
      <c r="T60" s="204"/>
      <c r="U60" s="336"/>
      <c r="V60" s="342"/>
      <c r="W60" s="348"/>
      <c r="X60" s="2">
        <v>60</v>
      </c>
    </row>
    <row r="61" spans="1:24" x14ac:dyDescent="0.25">
      <c r="A61" s="330"/>
      <c r="B61" s="339"/>
      <c r="C61" s="339"/>
      <c r="D61" s="339"/>
      <c r="E61" s="351"/>
      <c r="F61" s="333"/>
      <c r="G61" s="339"/>
      <c r="H61" s="336"/>
      <c r="I61" s="354"/>
      <c r="J61" s="339"/>
      <c r="K61" s="339"/>
      <c r="L61" s="339"/>
      <c r="M61" s="339"/>
      <c r="N61" s="211" t="s">
        <v>462</v>
      </c>
      <c r="O61" s="333"/>
      <c r="P61" s="204">
        <v>1825</v>
      </c>
      <c r="Q61" s="205" t="s">
        <v>466</v>
      </c>
      <c r="R61" s="206"/>
      <c r="S61" s="204"/>
      <c r="T61" s="204"/>
      <c r="U61" s="336"/>
      <c r="V61" s="342"/>
      <c r="W61" s="348"/>
      <c r="X61" s="2">
        <v>60</v>
      </c>
    </row>
    <row r="62" spans="1:24" x14ac:dyDescent="0.25">
      <c r="A62" s="331"/>
      <c r="B62" s="340"/>
      <c r="C62" s="340"/>
      <c r="D62" s="340"/>
      <c r="E62" s="352"/>
      <c r="F62" s="334"/>
      <c r="G62" s="340"/>
      <c r="H62" s="337"/>
      <c r="I62" s="355"/>
      <c r="J62" s="340"/>
      <c r="K62" s="340"/>
      <c r="L62" s="340"/>
      <c r="M62" s="340"/>
      <c r="N62" s="212" t="s">
        <v>470</v>
      </c>
      <c r="O62" s="334"/>
      <c r="P62" s="207">
        <v>825</v>
      </c>
      <c r="Q62" s="208" t="s">
        <v>473</v>
      </c>
      <c r="R62" s="209"/>
      <c r="S62" s="207"/>
      <c r="T62" s="207"/>
      <c r="U62" s="337"/>
      <c r="V62" s="343"/>
      <c r="W62" s="349"/>
      <c r="X62" s="2">
        <v>60</v>
      </c>
    </row>
    <row r="63" spans="1:24" s="85" customFormat="1" ht="72" customHeight="1" x14ac:dyDescent="0.25">
      <c r="A63" s="329">
        <v>13</v>
      </c>
      <c r="B63" s="338" t="s">
        <v>56</v>
      </c>
      <c r="C63" s="338"/>
      <c r="D63" s="338"/>
      <c r="E63" s="350" t="s">
        <v>320</v>
      </c>
      <c r="F63" s="332" t="s">
        <v>283</v>
      </c>
      <c r="G63" s="338" t="s">
        <v>323</v>
      </c>
      <c r="H63" s="335">
        <v>40017.599999999999</v>
      </c>
      <c r="I63" s="353">
        <f>IF(X63 = 61, H63 + SUM(S63:S67) - SUM(T63:T67) - SUM(P63:P67) - V63,0)</f>
        <v>0</v>
      </c>
      <c r="J63" s="338" t="s">
        <v>285</v>
      </c>
      <c r="K63" s="338" t="s">
        <v>286</v>
      </c>
      <c r="L63" s="338"/>
      <c r="M63" s="338" t="s">
        <v>287</v>
      </c>
      <c r="N63" s="210" t="s">
        <v>347</v>
      </c>
      <c r="O63" s="332" t="s">
        <v>288</v>
      </c>
      <c r="P63" s="203">
        <v>5240.3999999999996</v>
      </c>
      <c r="Q63" s="202" t="s">
        <v>359</v>
      </c>
      <c r="R63" s="201"/>
      <c r="S63" s="203"/>
      <c r="T63" s="203"/>
      <c r="U63" s="335" t="s">
        <v>522</v>
      </c>
      <c r="V63" s="341">
        <v>14275.68</v>
      </c>
      <c r="W63" s="347"/>
      <c r="X63" s="85">
        <v>61</v>
      </c>
    </row>
    <row r="64" spans="1:24" ht="16.899999999999999" customHeight="1" x14ac:dyDescent="0.25">
      <c r="A64" s="330"/>
      <c r="B64" s="339"/>
      <c r="C64" s="339"/>
      <c r="D64" s="339"/>
      <c r="E64" s="351"/>
      <c r="F64" s="333"/>
      <c r="G64" s="339"/>
      <c r="H64" s="336"/>
      <c r="I64" s="354"/>
      <c r="J64" s="339"/>
      <c r="K64" s="339"/>
      <c r="L64" s="339"/>
      <c r="M64" s="339"/>
      <c r="N64" s="211" t="s">
        <v>347</v>
      </c>
      <c r="O64" s="333"/>
      <c r="P64" s="204">
        <v>4970.88</v>
      </c>
      <c r="Q64" s="205" t="s">
        <v>359</v>
      </c>
      <c r="R64" s="206"/>
      <c r="S64" s="204"/>
      <c r="T64" s="204"/>
      <c r="U64" s="336"/>
      <c r="V64" s="342"/>
      <c r="W64" s="348"/>
      <c r="X64" s="2">
        <v>61</v>
      </c>
    </row>
    <row r="65" spans="1:24" ht="22.9" customHeight="1" x14ac:dyDescent="0.25">
      <c r="A65" s="330"/>
      <c r="B65" s="339"/>
      <c r="C65" s="339"/>
      <c r="D65" s="339"/>
      <c r="E65" s="351"/>
      <c r="F65" s="333"/>
      <c r="G65" s="339"/>
      <c r="H65" s="336"/>
      <c r="I65" s="354"/>
      <c r="J65" s="339"/>
      <c r="K65" s="339"/>
      <c r="L65" s="339"/>
      <c r="M65" s="339"/>
      <c r="N65" s="211" t="s">
        <v>386</v>
      </c>
      <c r="O65" s="333"/>
      <c r="P65" s="204">
        <v>5430.96</v>
      </c>
      <c r="Q65" s="205" t="s">
        <v>379</v>
      </c>
      <c r="R65" s="206"/>
      <c r="S65" s="204"/>
      <c r="T65" s="204"/>
      <c r="U65" s="336"/>
      <c r="V65" s="342"/>
      <c r="W65" s="348"/>
      <c r="X65" s="2">
        <v>61</v>
      </c>
    </row>
    <row r="66" spans="1:24" x14ac:dyDescent="0.25">
      <c r="A66" s="330"/>
      <c r="B66" s="339"/>
      <c r="C66" s="339"/>
      <c r="D66" s="339"/>
      <c r="E66" s="351"/>
      <c r="F66" s="333"/>
      <c r="G66" s="339"/>
      <c r="H66" s="336"/>
      <c r="I66" s="354"/>
      <c r="J66" s="339"/>
      <c r="K66" s="339"/>
      <c r="L66" s="339"/>
      <c r="M66" s="339"/>
      <c r="N66" s="211" t="s">
        <v>462</v>
      </c>
      <c r="O66" s="333"/>
      <c r="P66" s="204">
        <v>6955.44</v>
      </c>
      <c r="Q66" s="205" t="s">
        <v>466</v>
      </c>
      <c r="R66" s="206"/>
      <c r="S66" s="204"/>
      <c r="T66" s="204"/>
      <c r="U66" s="336"/>
      <c r="V66" s="342"/>
      <c r="W66" s="348"/>
      <c r="X66" s="2">
        <v>61</v>
      </c>
    </row>
    <row r="67" spans="1:24" x14ac:dyDescent="0.25">
      <c r="A67" s="331"/>
      <c r="B67" s="340"/>
      <c r="C67" s="340"/>
      <c r="D67" s="340"/>
      <c r="E67" s="352"/>
      <c r="F67" s="334"/>
      <c r="G67" s="340"/>
      <c r="H67" s="337"/>
      <c r="I67" s="355"/>
      <c r="J67" s="340"/>
      <c r="K67" s="340"/>
      <c r="L67" s="340"/>
      <c r="M67" s="340"/>
      <c r="N67" s="212" t="s">
        <v>470</v>
      </c>
      <c r="O67" s="334"/>
      <c r="P67" s="207">
        <v>3144.24</v>
      </c>
      <c r="Q67" s="208" t="s">
        <v>473</v>
      </c>
      <c r="R67" s="209"/>
      <c r="S67" s="207"/>
      <c r="T67" s="207"/>
      <c r="U67" s="337"/>
      <c r="V67" s="343"/>
      <c r="W67" s="349"/>
      <c r="X67" s="2">
        <v>61</v>
      </c>
    </row>
    <row r="68" spans="1:24" s="85" customFormat="1" ht="118.9" customHeight="1" x14ac:dyDescent="0.25">
      <c r="A68" s="329">
        <v>14</v>
      </c>
      <c r="B68" s="338" t="s">
        <v>56</v>
      </c>
      <c r="C68" s="338"/>
      <c r="D68" s="338"/>
      <c r="E68" s="350" t="s">
        <v>412</v>
      </c>
      <c r="F68" s="332" t="s">
        <v>256</v>
      </c>
      <c r="G68" s="338" t="s">
        <v>413</v>
      </c>
      <c r="H68" s="335">
        <v>12096</v>
      </c>
      <c r="I68" s="353">
        <f>IF(X68 = 62, H68 + SUM(S68:S69) - SUM(T68:T69) - SUM(P68:P69) - V68,0)</f>
        <v>4536</v>
      </c>
      <c r="J68" s="338" t="s">
        <v>414</v>
      </c>
      <c r="K68" s="338" t="s">
        <v>415</v>
      </c>
      <c r="L68" s="338"/>
      <c r="M68" s="338" t="s">
        <v>214</v>
      </c>
      <c r="N68" s="210" t="s">
        <v>315</v>
      </c>
      <c r="O68" s="332" t="s">
        <v>416</v>
      </c>
      <c r="P68" s="203">
        <v>6048</v>
      </c>
      <c r="Q68" s="202" t="s">
        <v>469</v>
      </c>
      <c r="R68" s="201"/>
      <c r="S68" s="203"/>
      <c r="T68" s="203"/>
      <c r="U68" s="335"/>
      <c r="V68" s="341"/>
      <c r="W68" s="347"/>
      <c r="X68" s="85">
        <v>62</v>
      </c>
    </row>
    <row r="69" spans="1:24" x14ac:dyDescent="0.25">
      <c r="A69" s="331"/>
      <c r="B69" s="340"/>
      <c r="C69" s="340"/>
      <c r="D69" s="340"/>
      <c r="E69" s="352"/>
      <c r="F69" s="334"/>
      <c r="G69" s="340"/>
      <c r="H69" s="337"/>
      <c r="I69" s="355"/>
      <c r="J69" s="340"/>
      <c r="K69" s="340"/>
      <c r="L69" s="340"/>
      <c r="M69" s="340"/>
      <c r="N69" s="212" t="s">
        <v>374</v>
      </c>
      <c r="O69" s="334"/>
      <c r="P69" s="207">
        <v>1512</v>
      </c>
      <c r="Q69" s="208" t="s">
        <v>469</v>
      </c>
      <c r="R69" s="209"/>
      <c r="S69" s="207"/>
      <c r="T69" s="207"/>
      <c r="U69" s="337"/>
      <c r="V69" s="343"/>
      <c r="W69" s="349"/>
      <c r="X69" s="2">
        <v>62</v>
      </c>
    </row>
    <row r="70" spans="1:24" s="85" customFormat="1" ht="144" customHeight="1" x14ac:dyDescent="0.25">
      <c r="A70" s="361">
        <v>15</v>
      </c>
      <c r="B70" s="367" t="s">
        <v>56</v>
      </c>
      <c r="C70" s="367"/>
      <c r="D70" s="367"/>
      <c r="E70" s="373" t="s">
        <v>333</v>
      </c>
      <c r="F70" s="363" t="s">
        <v>334</v>
      </c>
      <c r="G70" s="367" t="s">
        <v>335</v>
      </c>
      <c r="H70" s="365">
        <v>2800</v>
      </c>
      <c r="I70" s="375">
        <f>IF(X70 = 63, H70 + SUM(S70:S71) - SUM(T70:T71) - SUM(P70:P71) - V70,0)</f>
        <v>0</v>
      </c>
      <c r="J70" s="367" t="s">
        <v>336</v>
      </c>
      <c r="K70" s="367" t="s">
        <v>337</v>
      </c>
      <c r="L70" s="367"/>
      <c r="M70" s="367" t="s">
        <v>338</v>
      </c>
      <c r="N70" s="179" t="s">
        <v>358</v>
      </c>
      <c r="O70" s="363" t="s">
        <v>345</v>
      </c>
      <c r="P70" s="172">
        <v>840</v>
      </c>
      <c r="Q70" s="171" t="s">
        <v>354</v>
      </c>
      <c r="R70" s="170"/>
      <c r="S70" s="172"/>
      <c r="T70" s="172"/>
      <c r="U70" s="365"/>
      <c r="V70" s="369"/>
      <c r="W70" s="371"/>
      <c r="X70" s="85">
        <v>63</v>
      </c>
    </row>
    <row r="71" spans="1:24" x14ac:dyDescent="0.25">
      <c r="A71" s="362"/>
      <c r="B71" s="368"/>
      <c r="C71" s="368"/>
      <c r="D71" s="368"/>
      <c r="E71" s="374"/>
      <c r="F71" s="364"/>
      <c r="G71" s="368"/>
      <c r="H71" s="366"/>
      <c r="I71" s="376"/>
      <c r="J71" s="368"/>
      <c r="K71" s="368"/>
      <c r="L71" s="368"/>
      <c r="M71" s="368"/>
      <c r="N71" s="181" t="s">
        <v>374</v>
      </c>
      <c r="O71" s="364"/>
      <c r="P71" s="176">
        <v>1960</v>
      </c>
      <c r="Q71" s="177" t="s">
        <v>373</v>
      </c>
      <c r="R71" s="178"/>
      <c r="S71" s="176"/>
      <c r="T71" s="176"/>
      <c r="U71" s="366"/>
      <c r="V71" s="370"/>
      <c r="W71" s="372"/>
      <c r="X71" s="2">
        <v>63</v>
      </c>
    </row>
    <row r="72" spans="1:24" s="85" customFormat="1" ht="112.5" x14ac:dyDescent="0.25">
      <c r="A72" s="151">
        <v>16</v>
      </c>
      <c r="B72" s="153" t="s">
        <v>56</v>
      </c>
      <c r="C72" s="153"/>
      <c r="D72" s="153"/>
      <c r="E72" s="156" t="s">
        <v>339</v>
      </c>
      <c r="F72" s="158" t="s">
        <v>340</v>
      </c>
      <c r="G72" s="153" t="s">
        <v>341</v>
      </c>
      <c r="H72" s="152">
        <v>40920</v>
      </c>
      <c r="I72" s="157">
        <f>IF(X72 = 64, H72 + SUM(S72:S72) - SUM(T72:T72) - SUM(P72:P72) - V72,0)</f>
        <v>0</v>
      </c>
      <c r="J72" s="153" t="s">
        <v>342</v>
      </c>
      <c r="K72" s="153" t="s">
        <v>343</v>
      </c>
      <c r="L72" s="153"/>
      <c r="M72" s="153" t="s">
        <v>344</v>
      </c>
      <c r="N72" s="158" t="s">
        <v>355</v>
      </c>
      <c r="O72" s="137" t="s">
        <v>332</v>
      </c>
      <c r="P72" s="152">
        <v>40920</v>
      </c>
      <c r="Q72" s="156" t="s">
        <v>354</v>
      </c>
      <c r="R72" s="153"/>
      <c r="S72" s="152"/>
      <c r="T72" s="152"/>
      <c r="U72" s="152"/>
      <c r="V72" s="154"/>
      <c r="W72" s="155"/>
      <c r="X72" s="85">
        <v>64</v>
      </c>
    </row>
    <row r="73" spans="1:24" s="85" customFormat="1" ht="96" customHeight="1" x14ac:dyDescent="0.25">
      <c r="A73" s="168">
        <v>17</v>
      </c>
      <c r="B73" s="163" t="s">
        <v>56</v>
      </c>
      <c r="C73" s="163"/>
      <c r="D73" s="163"/>
      <c r="E73" s="165" t="s">
        <v>360</v>
      </c>
      <c r="F73" s="169" t="s">
        <v>361</v>
      </c>
      <c r="G73" s="153" t="s">
        <v>329</v>
      </c>
      <c r="H73" s="166">
        <v>1900</v>
      </c>
      <c r="I73" s="167">
        <f>IF(X73 = 65, H73 + SUM(S73:S73) - SUM(T73:T73) - SUM(P73:P73) - V73,0)</f>
        <v>0</v>
      </c>
      <c r="J73" s="153" t="s">
        <v>330</v>
      </c>
      <c r="K73" s="153" t="s">
        <v>331</v>
      </c>
      <c r="L73" s="163"/>
      <c r="M73" s="153" t="s">
        <v>362</v>
      </c>
      <c r="N73" s="169" t="s">
        <v>373</v>
      </c>
      <c r="O73" s="137" t="s">
        <v>332</v>
      </c>
      <c r="P73" s="166">
        <v>1900</v>
      </c>
      <c r="Q73" s="165" t="s">
        <v>378</v>
      </c>
      <c r="R73" s="163"/>
      <c r="S73" s="166"/>
      <c r="T73" s="166"/>
      <c r="U73" s="166"/>
      <c r="V73" s="162"/>
      <c r="W73" s="164"/>
      <c r="X73" s="85">
        <v>65</v>
      </c>
    </row>
    <row r="74" spans="1:24" s="85" customFormat="1" ht="144" customHeight="1" x14ac:dyDescent="0.25">
      <c r="A74" s="182">
        <v>18</v>
      </c>
      <c r="B74" s="183" t="s">
        <v>56</v>
      </c>
      <c r="C74" s="183"/>
      <c r="D74" s="183"/>
      <c r="E74" s="184" t="s">
        <v>367</v>
      </c>
      <c r="F74" s="188" t="s">
        <v>368</v>
      </c>
      <c r="G74" s="183" t="s">
        <v>341</v>
      </c>
      <c r="H74" s="185">
        <v>9656</v>
      </c>
      <c r="I74" s="186">
        <f>IF(X74 = 66, H74 + SUM(S74:S74) - SUM(T74:T74) - SUM(P74:P74) - V74,0)</f>
        <v>0</v>
      </c>
      <c r="J74" s="183" t="s">
        <v>369</v>
      </c>
      <c r="K74" s="183" t="s">
        <v>370</v>
      </c>
      <c r="L74" s="183"/>
      <c r="M74" s="183" t="s">
        <v>371</v>
      </c>
      <c r="N74" s="188" t="s">
        <v>379</v>
      </c>
      <c r="O74" s="188" t="s">
        <v>372</v>
      </c>
      <c r="P74" s="185">
        <v>9656</v>
      </c>
      <c r="Q74" s="184" t="s">
        <v>383</v>
      </c>
      <c r="R74" s="183"/>
      <c r="S74" s="185"/>
      <c r="T74" s="185"/>
      <c r="U74" s="185"/>
      <c r="V74" s="189"/>
      <c r="W74" s="187"/>
      <c r="X74" s="85">
        <v>66</v>
      </c>
    </row>
    <row r="75" spans="1:24" s="85" customFormat="1" ht="93.75" x14ac:dyDescent="0.25">
      <c r="A75" s="191">
        <v>19</v>
      </c>
      <c r="B75" s="192" t="s">
        <v>56</v>
      </c>
      <c r="C75" s="192"/>
      <c r="D75" s="192"/>
      <c r="E75" s="193" t="s">
        <v>388</v>
      </c>
      <c r="F75" s="197" t="s">
        <v>389</v>
      </c>
      <c r="G75" s="192" t="s">
        <v>390</v>
      </c>
      <c r="H75" s="194">
        <v>4000</v>
      </c>
      <c r="I75" s="195">
        <f>IF(X75 = 67, H75 + SUM(S75:S75) - SUM(T75:T75) - SUM(P75:P75) - V75,0)</f>
        <v>0</v>
      </c>
      <c r="J75" s="192" t="s">
        <v>391</v>
      </c>
      <c r="K75" s="192" t="s">
        <v>392</v>
      </c>
      <c r="L75" s="192"/>
      <c r="M75" s="192" t="s">
        <v>393</v>
      </c>
      <c r="N75" s="197" t="s">
        <v>461</v>
      </c>
      <c r="O75" s="188" t="s">
        <v>394</v>
      </c>
      <c r="P75" s="194">
        <v>4000</v>
      </c>
      <c r="Q75" s="193" t="s">
        <v>460</v>
      </c>
      <c r="R75" s="192"/>
      <c r="S75" s="194"/>
      <c r="T75" s="194"/>
      <c r="U75" s="194"/>
      <c r="V75" s="196"/>
      <c r="W75" s="190"/>
      <c r="X75" s="85">
        <v>67</v>
      </c>
    </row>
    <row r="76" spans="1:24" s="85" customFormat="1" ht="93.75" x14ac:dyDescent="0.25">
      <c r="A76" s="191">
        <v>20</v>
      </c>
      <c r="B76" s="192" t="s">
        <v>56</v>
      </c>
      <c r="C76" s="192"/>
      <c r="D76" s="192"/>
      <c r="E76" s="193" t="s">
        <v>395</v>
      </c>
      <c r="F76" s="197" t="s">
        <v>396</v>
      </c>
      <c r="G76" s="192" t="s">
        <v>397</v>
      </c>
      <c r="H76" s="194">
        <v>7500</v>
      </c>
      <c r="I76" s="195">
        <f>IF(X76 = 68, H76 + SUM(S76:S76) - SUM(T76:T76) - SUM(P76:P76) - V76,0)</f>
        <v>0</v>
      </c>
      <c r="J76" s="192" t="s">
        <v>398</v>
      </c>
      <c r="K76" s="192" t="s">
        <v>399</v>
      </c>
      <c r="L76" s="192"/>
      <c r="M76" s="192" t="s">
        <v>400</v>
      </c>
      <c r="N76" s="197" t="s">
        <v>465</v>
      </c>
      <c r="O76" s="197" t="s">
        <v>401</v>
      </c>
      <c r="P76" s="194">
        <v>7500</v>
      </c>
      <c r="Q76" s="193" t="s">
        <v>466</v>
      </c>
      <c r="R76" s="192"/>
      <c r="S76" s="194"/>
      <c r="T76" s="194"/>
      <c r="U76" s="194"/>
      <c r="V76" s="196"/>
      <c r="W76" s="190"/>
      <c r="X76" s="85">
        <v>68</v>
      </c>
    </row>
    <row r="77" spans="1:24" s="85" customFormat="1" ht="93.75" x14ac:dyDescent="0.25">
      <c r="A77" s="191">
        <v>21</v>
      </c>
      <c r="B77" s="192" t="s">
        <v>56</v>
      </c>
      <c r="C77" s="192"/>
      <c r="D77" s="192"/>
      <c r="E77" s="193" t="s">
        <v>417</v>
      </c>
      <c r="F77" s="197" t="s">
        <v>419</v>
      </c>
      <c r="G77" s="192" t="s">
        <v>420</v>
      </c>
      <c r="H77" s="194">
        <v>26589</v>
      </c>
      <c r="I77" s="195">
        <f>IF(X77 = 69, H77 + SUM(S77:S77) - SUM(T77:T77) - SUM(P77:P77) - V77,0)</f>
        <v>0</v>
      </c>
      <c r="J77" s="192" t="s">
        <v>421</v>
      </c>
      <c r="K77" s="192" t="s">
        <v>422</v>
      </c>
      <c r="L77" s="192"/>
      <c r="M77" s="192" t="s">
        <v>423</v>
      </c>
      <c r="N77" s="197" t="s">
        <v>470</v>
      </c>
      <c r="O77" s="137" t="s">
        <v>424</v>
      </c>
      <c r="P77" s="194">
        <v>26589</v>
      </c>
      <c r="Q77" s="193" t="s">
        <v>472</v>
      </c>
      <c r="R77" s="192"/>
      <c r="S77" s="194"/>
      <c r="T77" s="194"/>
      <c r="U77" s="194"/>
      <c r="V77" s="196"/>
      <c r="W77" s="190"/>
      <c r="X77" s="85">
        <v>69</v>
      </c>
    </row>
    <row r="78" spans="1:24" s="85" customFormat="1" ht="93.75" x14ac:dyDescent="0.25">
      <c r="A78" s="191">
        <v>22</v>
      </c>
      <c r="B78" s="192" t="s">
        <v>56</v>
      </c>
      <c r="C78" s="192"/>
      <c r="D78" s="192"/>
      <c r="E78" s="193" t="s">
        <v>418</v>
      </c>
      <c r="F78" s="197" t="s">
        <v>419</v>
      </c>
      <c r="G78" s="192" t="s">
        <v>420</v>
      </c>
      <c r="H78" s="194">
        <v>10227</v>
      </c>
      <c r="I78" s="195">
        <f>IF(X78 = 70, H78 + SUM(S78:S78) - SUM(T78:T78) - SUM(P78:P78) - V78,0)</f>
        <v>0</v>
      </c>
      <c r="J78" s="192" t="s">
        <v>421</v>
      </c>
      <c r="K78" s="192" t="s">
        <v>422</v>
      </c>
      <c r="L78" s="192"/>
      <c r="M78" s="192" t="s">
        <v>423</v>
      </c>
      <c r="N78" s="197" t="s">
        <v>470</v>
      </c>
      <c r="O78" s="137" t="s">
        <v>425</v>
      </c>
      <c r="P78" s="194">
        <v>10227</v>
      </c>
      <c r="Q78" s="193" t="s">
        <v>472</v>
      </c>
      <c r="R78" s="192"/>
      <c r="S78" s="194"/>
      <c r="T78" s="194"/>
      <c r="U78" s="194"/>
      <c r="V78" s="196"/>
      <c r="W78" s="190"/>
      <c r="X78" s="85">
        <v>70</v>
      </c>
    </row>
    <row r="79" spans="1:24" s="85" customFormat="1" ht="90" customHeight="1" x14ac:dyDescent="0.25">
      <c r="A79" s="308">
        <v>23</v>
      </c>
      <c r="B79" s="305" t="s">
        <v>56</v>
      </c>
      <c r="C79" s="305"/>
      <c r="D79" s="305"/>
      <c r="E79" s="344" t="s">
        <v>432</v>
      </c>
      <c r="F79" s="311" t="s">
        <v>433</v>
      </c>
      <c r="G79" s="305" t="s">
        <v>434</v>
      </c>
      <c r="H79" s="314">
        <v>9760</v>
      </c>
      <c r="I79" s="326">
        <f>IF(X79 = 71, H79 + SUM(S79:S80) - SUM(T79:T80) - SUM(P79:P80) - V79,0)</f>
        <v>0</v>
      </c>
      <c r="J79" s="305" t="s">
        <v>435</v>
      </c>
      <c r="K79" s="305" t="s">
        <v>436</v>
      </c>
      <c r="L79" s="305"/>
      <c r="M79" s="305" t="s">
        <v>437</v>
      </c>
      <c r="N79" s="240" t="s">
        <v>468</v>
      </c>
      <c r="O79" s="311" t="s">
        <v>425</v>
      </c>
      <c r="P79" s="236">
        <v>6328</v>
      </c>
      <c r="Q79" s="235" t="s">
        <v>508</v>
      </c>
      <c r="R79" s="234"/>
      <c r="S79" s="236"/>
      <c r="T79" s="236"/>
      <c r="U79" s="314"/>
      <c r="V79" s="317"/>
      <c r="W79" s="320"/>
      <c r="X79" s="85">
        <v>71</v>
      </c>
    </row>
    <row r="80" spans="1:24" x14ac:dyDescent="0.25">
      <c r="A80" s="310"/>
      <c r="B80" s="307"/>
      <c r="C80" s="307"/>
      <c r="D80" s="307"/>
      <c r="E80" s="346"/>
      <c r="F80" s="313"/>
      <c r="G80" s="307"/>
      <c r="H80" s="316"/>
      <c r="I80" s="328"/>
      <c r="J80" s="307"/>
      <c r="K80" s="307"/>
      <c r="L80" s="307"/>
      <c r="M80" s="307"/>
      <c r="N80" s="241" t="s">
        <v>468</v>
      </c>
      <c r="O80" s="313"/>
      <c r="P80" s="237">
        <v>3432</v>
      </c>
      <c r="Q80" s="238" t="s">
        <v>508</v>
      </c>
      <c r="R80" s="239"/>
      <c r="S80" s="237"/>
      <c r="T80" s="237"/>
      <c r="U80" s="316"/>
      <c r="V80" s="319"/>
      <c r="W80" s="322"/>
      <c r="X80" s="2">
        <v>71</v>
      </c>
    </row>
    <row r="81" spans="1:24" s="85" customFormat="1" ht="112.5" x14ac:dyDescent="0.25">
      <c r="A81" s="191">
        <v>24</v>
      </c>
      <c r="B81" s="192" t="s">
        <v>56</v>
      </c>
      <c r="C81" s="192"/>
      <c r="D81" s="192"/>
      <c r="E81" s="193" t="s">
        <v>451</v>
      </c>
      <c r="F81" s="197" t="s">
        <v>452</v>
      </c>
      <c r="G81" s="192" t="s">
        <v>453</v>
      </c>
      <c r="H81" s="194">
        <v>14119.47</v>
      </c>
      <c r="I81" s="195">
        <f>IF(X81 = 72, H81 + SUM(S81:S81) - SUM(T81:T81) - SUM(P81:P81) - V81,0)</f>
        <v>0</v>
      </c>
      <c r="J81" s="192" t="s">
        <v>454</v>
      </c>
      <c r="K81" s="192" t="s">
        <v>455</v>
      </c>
      <c r="L81" s="192"/>
      <c r="M81" s="192" t="s">
        <v>456</v>
      </c>
      <c r="N81" s="197" t="s">
        <v>508</v>
      </c>
      <c r="O81" s="197" t="s">
        <v>457</v>
      </c>
      <c r="P81" s="194">
        <v>14119.47</v>
      </c>
      <c r="Q81" s="193" t="s">
        <v>510</v>
      </c>
      <c r="R81" s="192"/>
      <c r="S81" s="194"/>
      <c r="T81" s="194"/>
      <c r="U81" s="194"/>
      <c r="V81" s="196"/>
      <c r="W81" s="190"/>
      <c r="X81" s="85">
        <v>72</v>
      </c>
    </row>
    <row r="82" spans="1:24" s="85" customFormat="1" ht="131.25" x14ac:dyDescent="0.25">
      <c r="A82" s="223">
        <v>25</v>
      </c>
      <c r="B82" s="224" t="s">
        <v>56</v>
      </c>
      <c r="C82" s="224"/>
      <c r="D82" s="224"/>
      <c r="E82" s="225" t="s">
        <v>474</v>
      </c>
      <c r="F82" s="229" t="s">
        <v>475</v>
      </c>
      <c r="G82" s="224" t="s">
        <v>476</v>
      </c>
      <c r="H82" s="226">
        <v>151641.60000000001</v>
      </c>
      <c r="I82" s="227">
        <f>IF(X82 = 73, H82 + SUM(S82:S82) - SUM(T82:T82) - SUM(P82:P82) - V82,0)</f>
        <v>151641.60000000001</v>
      </c>
      <c r="J82" s="224" t="s">
        <v>477</v>
      </c>
      <c r="K82" s="224" t="s">
        <v>478</v>
      </c>
      <c r="L82" s="224"/>
      <c r="M82" s="224" t="s">
        <v>479</v>
      </c>
      <c r="N82" s="229"/>
      <c r="O82" s="229" t="s">
        <v>480</v>
      </c>
      <c r="P82" s="226"/>
      <c r="Q82" s="225"/>
      <c r="R82" s="224"/>
      <c r="S82" s="226"/>
      <c r="T82" s="226"/>
      <c r="U82" s="226"/>
      <c r="V82" s="228"/>
      <c r="W82" s="219"/>
      <c r="X82" s="85">
        <v>73</v>
      </c>
    </row>
    <row r="83" spans="1:24" s="85" customFormat="1" ht="112.5" x14ac:dyDescent="0.25">
      <c r="A83" s="223">
        <v>26</v>
      </c>
      <c r="B83" s="224" t="s">
        <v>56</v>
      </c>
      <c r="C83" s="224"/>
      <c r="D83" s="224"/>
      <c r="E83" s="225" t="s">
        <v>481</v>
      </c>
      <c r="F83" s="229" t="s">
        <v>482</v>
      </c>
      <c r="G83" s="224" t="s">
        <v>483</v>
      </c>
      <c r="H83" s="226">
        <v>14402</v>
      </c>
      <c r="I83" s="227">
        <f>IF(X83 = 74, H83 + SUM(S83:S83) - SUM(T83:T83) - SUM(P83:P83) - V83,0)</f>
        <v>14402</v>
      </c>
      <c r="J83" s="224" t="s">
        <v>484</v>
      </c>
      <c r="K83" s="224" t="s">
        <v>485</v>
      </c>
      <c r="L83" s="224"/>
      <c r="M83" s="224" t="s">
        <v>486</v>
      </c>
      <c r="N83" s="229"/>
      <c r="O83" s="229" t="s">
        <v>487</v>
      </c>
      <c r="P83" s="226"/>
      <c r="Q83" s="225"/>
      <c r="R83" s="224"/>
      <c r="S83" s="226"/>
      <c r="T83" s="226"/>
      <c r="U83" s="226"/>
      <c r="V83" s="228"/>
      <c r="W83" s="219"/>
      <c r="X83" s="85">
        <v>74</v>
      </c>
    </row>
    <row r="84" spans="1:24" s="85" customFormat="1" ht="160.9" customHeight="1" x14ac:dyDescent="0.25">
      <c r="A84" s="223">
        <v>27</v>
      </c>
      <c r="B84" s="224" t="s">
        <v>56</v>
      </c>
      <c r="C84" s="224"/>
      <c r="D84" s="224"/>
      <c r="E84" s="225" t="s">
        <v>498</v>
      </c>
      <c r="F84" s="229" t="s">
        <v>499</v>
      </c>
      <c r="G84" s="224" t="s">
        <v>500</v>
      </c>
      <c r="H84" s="226">
        <v>28000</v>
      </c>
      <c r="I84" s="227">
        <f>IF(X84 = 75, H84 + SUM(S84:S84) - SUM(T84:T84) - SUM(P84:P84) - V84,0)</f>
        <v>28000</v>
      </c>
      <c r="J84" s="224" t="s">
        <v>501</v>
      </c>
      <c r="K84" s="224" t="s">
        <v>502</v>
      </c>
      <c r="L84" s="224"/>
      <c r="M84" s="224" t="s">
        <v>503</v>
      </c>
      <c r="N84" s="229"/>
      <c r="O84" s="229" t="s">
        <v>504</v>
      </c>
      <c r="P84" s="226"/>
      <c r="Q84" s="225"/>
      <c r="R84" s="224"/>
      <c r="S84" s="226"/>
      <c r="T84" s="226"/>
      <c r="U84" s="226"/>
      <c r="V84" s="228"/>
      <c r="W84" s="219"/>
      <c r="X84" s="85">
        <v>75</v>
      </c>
    </row>
    <row r="85" spans="1:24" x14ac:dyDescent="0.25">
      <c r="X85" s="2">
        <v>76</v>
      </c>
    </row>
  </sheetData>
  <sheetProtection algorithmName="SHA-512" hashValue="yg7vzLI1h8xsSnRBJKVkJiRN/B/Nt3wFseQnyFncRnXaCU2JDGeePfSUG82plPNqfq8+Ay+o/xdujdxML3uWKg==" saltValue="MuqyGXYtxAy4ni/PV87/uQ==" spinCount="100000" sheet="1" objects="1" scenarios="1" formatCells="0" formatColumns="0" formatRows="0"/>
  <mergeCells count="228">
    <mergeCell ref="A70:A71"/>
    <mergeCell ref="O70:O71"/>
    <mergeCell ref="U70:U71"/>
    <mergeCell ref="B70:B71"/>
    <mergeCell ref="V70:V71"/>
    <mergeCell ref="C70:C71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25:A29"/>
    <mergeCell ref="O25:O29"/>
    <mergeCell ref="U25:U29"/>
    <mergeCell ref="B25:B29"/>
    <mergeCell ref="V25:V29"/>
    <mergeCell ref="C25:C29"/>
    <mergeCell ref="W25:W29"/>
    <mergeCell ref="A3:E3"/>
    <mergeCell ref="S2:U2"/>
    <mergeCell ref="N2:O2"/>
    <mergeCell ref="J4:K4"/>
    <mergeCell ref="M4:N4"/>
    <mergeCell ref="O4:P4"/>
    <mergeCell ref="K2:M2"/>
    <mergeCell ref="W20:W24"/>
    <mergeCell ref="D20:D24"/>
    <mergeCell ref="E20:E24"/>
    <mergeCell ref="F20:F24"/>
    <mergeCell ref="G20:G24"/>
    <mergeCell ref="H20:H24"/>
    <mergeCell ref="I20:I24"/>
    <mergeCell ref="J20:J24"/>
    <mergeCell ref="K20:K24"/>
    <mergeCell ref="L20:L24"/>
    <mergeCell ref="W68:W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C37:C41"/>
    <mergeCell ref="D37:D41"/>
    <mergeCell ref="E37:E41"/>
    <mergeCell ref="A68:A69"/>
    <mergeCell ref="O68:O69"/>
    <mergeCell ref="U68:U69"/>
    <mergeCell ref="B68:B69"/>
    <mergeCell ref="V68:V69"/>
    <mergeCell ref="C68:C69"/>
    <mergeCell ref="J57:J62"/>
    <mergeCell ref="K57:K62"/>
    <mergeCell ref="L57:L62"/>
    <mergeCell ref="W37:W41"/>
    <mergeCell ref="M37:M41"/>
    <mergeCell ref="A52:A56"/>
    <mergeCell ref="O52:O56"/>
    <mergeCell ref="U52:U56"/>
    <mergeCell ref="B52:B56"/>
    <mergeCell ref="V52:V56"/>
    <mergeCell ref="C52:C56"/>
    <mergeCell ref="A57:A62"/>
    <mergeCell ref="O57:O62"/>
    <mergeCell ref="U57:U62"/>
    <mergeCell ref="B57:B62"/>
    <mergeCell ref="V57:V62"/>
    <mergeCell ref="C57:C62"/>
    <mergeCell ref="W57:W62"/>
    <mergeCell ref="A37:A41"/>
    <mergeCell ref="O37:O41"/>
    <mergeCell ref="U37:U41"/>
    <mergeCell ref="M42:M51"/>
    <mergeCell ref="B37:B41"/>
    <mergeCell ref="V37:V41"/>
    <mergeCell ref="H52:H56"/>
    <mergeCell ref="I52:I56"/>
    <mergeCell ref="J52:J56"/>
    <mergeCell ref="K52:K56"/>
    <mergeCell ref="L52:L56"/>
    <mergeCell ref="M52:M56"/>
    <mergeCell ref="F37:F41"/>
    <mergeCell ref="G37:G41"/>
    <mergeCell ref="H37:H41"/>
    <mergeCell ref="I37:I41"/>
    <mergeCell ref="J37:J41"/>
    <mergeCell ref="K37:K41"/>
    <mergeCell ref="L37:L41"/>
    <mergeCell ref="M57:M62"/>
    <mergeCell ref="D57:D62"/>
    <mergeCell ref="E57:E62"/>
    <mergeCell ref="F57:F62"/>
    <mergeCell ref="G57:G62"/>
    <mergeCell ref="H57:H62"/>
    <mergeCell ref="I57:I62"/>
    <mergeCell ref="W32:W36"/>
    <mergeCell ref="D32:D36"/>
    <mergeCell ref="E32:E36"/>
    <mergeCell ref="F32:F36"/>
    <mergeCell ref="G32:G36"/>
    <mergeCell ref="H32:H36"/>
    <mergeCell ref="I32:I36"/>
    <mergeCell ref="J32:J36"/>
    <mergeCell ref="K32:K36"/>
    <mergeCell ref="L32:L36"/>
    <mergeCell ref="M32:M36"/>
    <mergeCell ref="L42:L51"/>
    <mergeCell ref="W52:W56"/>
    <mergeCell ref="D52:D56"/>
    <mergeCell ref="E52:E56"/>
    <mergeCell ref="F52:F56"/>
    <mergeCell ref="G52:G56"/>
    <mergeCell ref="A63:A67"/>
    <mergeCell ref="O63:O67"/>
    <mergeCell ref="U63:U67"/>
    <mergeCell ref="B63:B67"/>
    <mergeCell ref="V63:V67"/>
    <mergeCell ref="C63:C67"/>
    <mergeCell ref="W63:W67"/>
    <mergeCell ref="D63:D67"/>
    <mergeCell ref="E63:E67"/>
    <mergeCell ref="F63:F67"/>
    <mergeCell ref="G63:G67"/>
    <mergeCell ref="H63:H67"/>
    <mergeCell ref="I63:I67"/>
    <mergeCell ref="J63:J67"/>
    <mergeCell ref="K63:K67"/>
    <mergeCell ref="L63:L67"/>
    <mergeCell ref="M63:M67"/>
    <mergeCell ref="A79:A80"/>
    <mergeCell ref="O79:O80"/>
    <mergeCell ref="U79:U80"/>
    <mergeCell ref="B79:B80"/>
    <mergeCell ref="V79:V80"/>
    <mergeCell ref="C79:C80"/>
    <mergeCell ref="W79:W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M20:M24"/>
    <mergeCell ref="W42:W51"/>
    <mergeCell ref="A15:A19"/>
    <mergeCell ref="O15:O19"/>
    <mergeCell ref="U15:U19"/>
    <mergeCell ref="B15:B19"/>
    <mergeCell ref="V15:V19"/>
    <mergeCell ref="C15:C19"/>
    <mergeCell ref="W15:W19"/>
    <mergeCell ref="D15:D19"/>
    <mergeCell ref="E15:E19"/>
    <mergeCell ref="F15:F19"/>
    <mergeCell ref="G15:G19"/>
    <mergeCell ref="H15:H19"/>
    <mergeCell ref="I15:I19"/>
    <mergeCell ref="J15:J19"/>
    <mergeCell ref="K15:K19"/>
    <mergeCell ref="L15:L19"/>
    <mergeCell ref="M15:M19"/>
    <mergeCell ref="A20:A24"/>
    <mergeCell ref="O20:O24"/>
    <mergeCell ref="U20:U24"/>
    <mergeCell ref="B20:B24"/>
    <mergeCell ref="V20:V24"/>
    <mergeCell ref="C20:C24"/>
    <mergeCell ref="J25:J29"/>
    <mergeCell ref="K25:K29"/>
    <mergeCell ref="L25:L29"/>
    <mergeCell ref="A42:A51"/>
    <mergeCell ref="O42:O51"/>
    <mergeCell ref="U42:U51"/>
    <mergeCell ref="B42:B51"/>
    <mergeCell ref="V42:V51"/>
    <mergeCell ref="C42:C51"/>
    <mergeCell ref="A32:A36"/>
    <mergeCell ref="O32:O36"/>
    <mergeCell ref="U32:U36"/>
    <mergeCell ref="B32:B36"/>
    <mergeCell ref="V32:V36"/>
    <mergeCell ref="C32:C36"/>
    <mergeCell ref="D42:D51"/>
    <mergeCell ref="E42:E51"/>
    <mergeCell ref="F42:F51"/>
    <mergeCell ref="G42:G51"/>
    <mergeCell ref="H42:H51"/>
    <mergeCell ref="I42:I51"/>
    <mergeCell ref="J42:J51"/>
    <mergeCell ref="K42:K51"/>
    <mergeCell ref="M25:M29"/>
    <mergeCell ref="A10:A14"/>
    <mergeCell ref="O10:O14"/>
    <mergeCell ref="U10:U14"/>
    <mergeCell ref="B10:B14"/>
    <mergeCell ref="V10:V14"/>
    <mergeCell ref="C10:C14"/>
    <mergeCell ref="W10:W14"/>
    <mergeCell ref="D10:D14"/>
    <mergeCell ref="E10:E14"/>
    <mergeCell ref="F10:F14"/>
    <mergeCell ref="G10:G14"/>
    <mergeCell ref="H10:H14"/>
    <mergeCell ref="I10:I14"/>
    <mergeCell ref="J10:J14"/>
    <mergeCell ref="K10:K14"/>
    <mergeCell ref="L10:L14"/>
    <mergeCell ref="M10:M14"/>
    <mergeCell ref="D25:D29"/>
    <mergeCell ref="E25:E29"/>
    <mergeCell ref="F25:F29"/>
    <mergeCell ref="G25:G29"/>
    <mergeCell ref="H25:H29"/>
    <mergeCell ref="I25:I29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43"/>
  <sheetViews>
    <sheetView showGridLines="0" topLeftCell="I1" zoomScale="51" zoomScaleNormal="51" workbookViewId="0">
      <pane ySplit="8" topLeftCell="A70" activePane="bottomLeft" state="frozen"/>
      <selection pane="bottomLeft" activeCell="U138" sqref="U138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395" t="s">
        <v>24</v>
      </c>
      <c r="G2" s="396"/>
      <c r="H2" s="80">
        <f>SUM(H9:H9999)</f>
        <v>4308904.0299999993</v>
      </c>
      <c r="I2" s="68"/>
      <c r="N2" s="357" t="s">
        <v>137</v>
      </c>
      <c r="O2" s="359"/>
      <c r="P2" s="69">
        <f>SUM(P9:P9999)</f>
        <v>2872356.8800000013</v>
      </c>
      <c r="R2" s="68"/>
      <c r="S2" s="357" t="s">
        <v>45</v>
      </c>
      <c r="T2" s="358"/>
      <c r="U2" s="359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418">
        <v>1</v>
      </c>
      <c r="B9" s="421" t="s">
        <v>56</v>
      </c>
      <c r="C9" s="421"/>
      <c r="D9" s="421"/>
      <c r="E9" s="421" t="s">
        <v>158</v>
      </c>
      <c r="F9" s="427">
        <v>44560</v>
      </c>
      <c r="G9" s="430" t="s">
        <v>156</v>
      </c>
      <c r="H9" s="433">
        <v>11000</v>
      </c>
      <c r="I9" s="436">
        <f>IF(X9 = 13, H9 + SUM(S9:S22) - SUM(T9:T22) - SUM(P9:P22) - V9,0)</f>
        <v>1.1368683772161603E-13</v>
      </c>
      <c r="J9" s="439">
        <v>7707049388</v>
      </c>
      <c r="K9" s="442" t="s">
        <v>157</v>
      </c>
      <c r="L9" s="421"/>
      <c r="M9" s="421" t="s">
        <v>155</v>
      </c>
      <c r="N9" s="144">
        <v>44592</v>
      </c>
      <c r="O9" s="427" t="s">
        <v>147</v>
      </c>
      <c r="P9" s="140">
        <v>726.62</v>
      </c>
      <c r="Q9" s="139">
        <v>44608</v>
      </c>
      <c r="R9" s="138"/>
      <c r="S9" s="140"/>
      <c r="T9" s="140"/>
      <c r="U9" s="433" t="s">
        <v>318</v>
      </c>
      <c r="V9" s="445">
        <v>952.42</v>
      </c>
      <c r="W9" s="424"/>
      <c r="X9" s="85">
        <v>13</v>
      </c>
    </row>
    <row r="10" spans="1:24" x14ac:dyDescent="0.25">
      <c r="A10" s="419"/>
      <c r="B10" s="422"/>
      <c r="C10" s="422"/>
      <c r="D10" s="422"/>
      <c r="E10" s="422"/>
      <c r="F10" s="428"/>
      <c r="G10" s="431"/>
      <c r="H10" s="434"/>
      <c r="I10" s="437"/>
      <c r="J10" s="440"/>
      <c r="K10" s="443"/>
      <c r="L10" s="422"/>
      <c r="M10" s="422"/>
      <c r="N10" s="149">
        <v>44620</v>
      </c>
      <c r="O10" s="428"/>
      <c r="P10" s="146">
        <v>682.42</v>
      </c>
      <c r="Q10" s="147">
        <v>44641</v>
      </c>
      <c r="R10" s="148"/>
      <c r="S10" s="146"/>
      <c r="T10" s="146"/>
      <c r="U10" s="434"/>
      <c r="V10" s="446"/>
      <c r="W10" s="425"/>
      <c r="X10" s="2">
        <v>13</v>
      </c>
    </row>
    <row r="11" spans="1:24" x14ac:dyDescent="0.25">
      <c r="A11" s="419"/>
      <c r="B11" s="422"/>
      <c r="C11" s="422"/>
      <c r="D11" s="422"/>
      <c r="E11" s="422"/>
      <c r="F11" s="428"/>
      <c r="G11" s="431"/>
      <c r="H11" s="434"/>
      <c r="I11" s="437"/>
      <c r="J11" s="440"/>
      <c r="K11" s="443"/>
      <c r="L11" s="422"/>
      <c r="M11" s="422"/>
      <c r="N11" s="149">
        <v>44651</v>
      </c>
      <c r="O11" s="428"/>
      <c r="P11" s="146">
        <v>943.67</v>
      </c>
      <c r="Q11" s="147" t="s">
        <v>164</v>
      </c>
      <c r="R11" s="148"/>
      <c r="S11" s="146"/>
      <c r="T11" s="146"/>
      <c r="U11" s="434"/>
      <c r="V11" s="446"/>
      <c r="W11" s="425"/>
      <c r="X11" s="2">
        <v>13</v>
      </c>
    </row>
    <row r="12" spans="1:24" x14ac:dyDescent="0.25">
      <c r="A12" s="419"/>
      <c r="B12" s="422"/>
      <c r="C12" s="422"/>
      <c r="D12" s="422"/>
      <c r="E12" s="422"/>
      <c r="F12" s="428"/>
      <c r="G12" s="431"/>
      <c r="H12" s="434"/>
      <c r="I12" s="437"/>
      <c r="J12" s="440"/>
      <c r="K12" s="443"/>
      <c r="L12" s="422"/>
      <c r="M12" s="422"/>
      <c r="N12" s="149">
        <v>44681</v>
      </c>
      <c r="O12" s="428"/>
      <c r="P12" s="146">
        <v>769.14</v>
      </c>
      <c r="Q12" s="147" t="s">
        <v>165</v>
      </c>
      <c r="R12" s="148"/>
      <c r="S12" s="146"/>
      <c r="T12" s="146"/>
      <c r="U12" s="434"/>
      <c r="V12" s="446"/>
      <c r="W12" s="425"/>
      <c r="X12" s="2">
        <v>13</v>
      </c>
    </row>
    <row r="13" spans="1:24" x14ac:dyDescent="0.25">
      <c r="A13" s="419"/>
      <c r="B13" s="422"/>
      <c r="C13" s="422"/>
      <c r="D13" s="422"/>
      <c r="E13" s="422"/>
      <c r="F13" s="428"/>
      <c r="G13" s="431"/>
      <c r="H13" s="434"/>
      <c r="I13" s="437"/>
      <c r="J13" s="440"/>
      <c r="K13" s="443"/>
      <c r="L13" s="422"/>
      <c r="M13" s="422"/>
      <c r="N13" s="149">
        <v>44712</v>
      </c>
      <c r="O13" s="428"/>
      <c r="P13" s="146">
        <v>973.78</v>
      </c>
      <c r="Q13" s="147" t="s">
        <v>174</v>
      </c>
      <c r="R13" s="148"/>
      <c r="S13" s="146"/>
      <c r="T13" s="146"/>
      <c r="U13" s="434"/>
      <c r="V13" s="446"/>
      <c r="W13" s="425"/>
      <c r="X13" s="2">
        <v>13</v>
      </c>
    </row>
    <row r="14" spans="1:24" x14ac:dyDescent="0.25">
      <c r="A14" s="419"/>
      <c r="B14" s="422"/>
      <c r="C14" s="422"/>
      <c r="D14" s="422"/>
      <c r="E14" s="422"/>
      <c r="F14" s="428"/>
      <c r="G14" s="431"/>
      <c r="H14" s="434"/>
      <c r="I14" s="437"/>
      <c r="J14" s="440"/>
      <c r="K14" s="443"/>
      <c r="L14" s="422"/>
      <c r="M14" s="422"/>
      <c r="N14" s="149">
        <v>44742</v>
      </c>
      <c r="O14" s="428"/>
      <c r="P14" s="146">
        <v>772.94</v>
      </c>
      <c r="Q14" s="147" t="s">
        <v>176</v>
      </c>
      <c r="R14" s="148"/>
      <c r="S14" s="146"/>
      <c r="T14" s="146"/>
      <c r="U14" s="434"/>
      <c r="V14" s="446"/>
      <c r="W14" s="425"/>
      <c r="X14" s="2">
        <v>13</v>
      </c>
    </row>
    <row r="15" spans="1:24" x14ac:dyDescent="0.25">
      <c r="A15" s="419"/>
      <c r="B15" s="422"/>
      <c r="C15" s="422"/>
      <c r="D15" s="422"/>
      <c r="E15" s="422"/>
      <c r="F15" s="428"/>
      <c r="G15" s="431"/>
      <c r="H15" s="434"/>
      <c r="I15" s="437"/>
      <c r="J15" s="440"/>
      <c r="K15" s="443"/>
      <c r="L15" s="422"/>
      <c r="M15" s="422"/>
      <c r="N15" s="149">
        <v>44773</v>
      </c>
      <c r="O15" s="428"/>
      <c r="P15" s="146">
        <v>717.13</v>
      </c>
      <c r="Q15" s="147" t="s">
        <v>181</v>
      </c>
      <c r="R15" s="148"/>
      <c r="S15" s="146"/>
      <c r="T15" s="146"/>
      <c r="U15" s="434"/>
      <c r="V15" s="446"/>
      <c r="W15" s="425"/>
      <c r="X15" s="2">
        <v>13</v>
      </c>
    </row>
    <row r="16" spans="1:24" x14ac:dyDescent="0.25">
      <c r="A16" s="419"/>
      <c r="B16" s="422"/>
      <c r="C16" s="422"/>
      <c r="D16" s="422"/>
      <c r="E16" s="422"/>
      <c r="F16" s="428"/>
      <c r="G16" s="431"/>
      <c r="H16" s="434"/>
      <c r="I16" s="437"/>
      <c r="J16" s="440"/>
      <c r="K16" s="443"/>
      <c r="L16" s="422"/>
      <c r="M16" s="422"/>
      <c r="N16" s="149">
        <v>44804</v>
      </c>
      <c r="O16" s="428"/>
      <c r="P16" s="146">
        <v>704.78</v>
      </c>
      <c r="Q16" s="147" t="s">
        <v>185</v>
      </c>
      <c r="R16" s="148"/>
      <c r="S16" s="146"/>
      <c r="T16" s="146"/>
      <c r="U16" s="434"/>
      <c r="V16" s="446"/>
      <c r="W16" s="425"/>
      <c r="X16" s="2">
        <v>13</v>
      </c>
    </row>
    <row r="17" spans="1:24" x14ac:dyDescent="0.25">
      <c r="A17" s="419"/>
      <c r="B17" s="422"/>
      <c r="C17" s="422"/>
      <c r="D17" s="422"/>
      <c r="E17" s="422"/>
      <c r="F17" s="428"/>
      <c r="G17" s="431"/>
      <c r="H17" s="434"/>
      <c r="I17" s="437"/>
      <c r="J17" s="440"/>
      <c r="K17" s="443"/>
      <c r="L17" s="422"/>
      <c r="M17" s="422"/>
      <c r="N17" s="149">
        <v>44834</v>
      </c>
      <c r="O17" s="428"/>
      <c r="P17" s="146">
        <v>33.020000000000003</v>
      </c>
      <c r="Q17" s="147" t="s">
        <v>189</v>
      </c>
      <c r="R17" s="148"/>
      <c r="S17" s="146"/>
      <c r="T17" s="146"/>
      <c r="U17" s="434"/>
      <c r="V17" s="446"/>
      <c r="W17" s="425"/>
      <c r="X17" s="2">
        <v>13</v>
      </c>
    </row>
    <row r="18" spans="1:24" x14ac:dyDescent="0.25">
      <c r="A18" s="419"/>
      <c r="B18" s="422"/>
      <c r="C18" s="422"/>
      <c r="D18" s="422"/>
      <c r="E18" s="422"/>
      <c r="F18" s="428"/>
      <c r="G18" s="431"/>
      <c r="H18" s="434"/>
      <c r="I18" s="437"/>
      <c r="J18" s="440"/>
      <c r="K18" s="443"/>
      <c r="L18" s="422"/>
      <c r="M18" s="422"/>
      <c r="N18" s="149">
        <v>44834</v>
      </c>
      <c r="O18" s="428"/>
      <c r="P18" s="146">
        <v>805.62</v>
      </c>
      <c r="Q18" s="147" t="s">
        <v>189</v>
      </c>
      <c r="R18" s="148"/>
      <c r="S18" s="146"/>
      <c r="T18" s="146"/>
      <c r="U18" s="434"/>
      <c r="V18" s="446"/>
      <c r="W18" s="425"/>
      <c r="X18" s="2">
        <v>13</v>
      </c>
    </row>
    <row r="19" spans="1:24" x14ac:dyDescent="0.25">
      <c r="A19" s="419"/>
      <c r="B19" s="422"/>
      <c r="C19" s="422"/>
      <c r="D19" s="422"/>
      <c r="E19" s="422"/>
      <c r="F19" s="428"/>
      <c r="G19" s="431"/>
      <c r="H19" s="434"/>
      <c r="I19" s="437"/>
      <c r="J19" s="440"/>
      <c r="K19" s="443"/>
      <c r="L19" s="422"/>
      <c r="M19" s="422"/>
      <c r="N19" s="149">
        <v>44865</v>
      </c>
      <c r="O19" s="428"/>
      <c r="P19" s="146">
        <v>871.99</v>
      </c>
      <c r="Q19" s="147" t="s">
        <v>197</v>
      </c>
      <c r="R19" s="148"/>
      <c r="S19" s="146"/>
      <c r="T19" s="146"/>
      <c r="U19" s="434"/>
      <c r="V19" s="446"/>
      <c r="W19" s="425"/>
      <c r="X19" s="2">
        <v>13</v>
      </c>
    </row>
    <row r="20" spans="1:24" x14ac:dyDescent="0.25">
      <c r="A20" s="419"/>
      <c r="B20" s="422"/>
      <c r="C20" s="422"/>
      <c r="D20" s="422"/>
      <c r="E20" s="422"/>
      <c r="F20" s="428"/>
      <c r="G20" s="431"/>
      <c r="H20" s="434"/>
      <c r="I20" s="437"/>
      <c r="J20" s="440"/>
      <c r="K20" s="443"/>
      <c r="L20" s="422"/>
      <c r="M20" s="422"/>
      <c r="N20" s="149">
        <v>44895</v>
      </c>
      <c r="O20" s="428"/>
      <c r="P20" s="146">
        <v>1010.2</v>
      </c>
      <c r="Q20" s="147" t="s">
        <v>204</v>
      </c>
      <c r="R20" s="148"/>
      <c r="S20" s="146"/>
      <c r="T20" s="146"/>
      <c r="U20" s="434"/>
      <c r="V20" s="446"/>
      <c r="W20" s="425"/>
      <c r="X20" s="2">
        <v>13</v>
      </c>
    </row>
    <row r="21" spans="1:24" x14ac:dyDescent="0.25">
      <c r="A21" s="419"/>
      <c r="B21" s="422"/>
      <c r="C21" s="422"/>
      <c r="D21" s="422"/>
      <c r="E21" s="422"/>
      <c r="F21" s="428"/>
      <c r="G21" s="431"/>
      <c r="H21" s="434"/>
      <c r="I21" s="437"/>
      <c r="J21" s="440"/>
      <c r="K21" s="443"/>
      <c r="L21" s="422"/>
      <c r="M21" s="422"/>
      <c r="N21" s="149">
        <v>44926</v>
      </c>
      <c r="O21" s="428"/>
      <c r="P21" s="146">
        <v>172.08</v>
      </c>
      <c r="Q21" s="147" t="s">
        <v>265</v>
      </c>
      <c r="R21" s="148"/>
      <c r="S21" s="146"/>
      <c r="T21" s="146"/>
      <c r="U21" s="434"/>
      <c r="V21" s="446"/>
      <c r="W21" s="425"/>
      <c r="X21" s="2">
        <v>13</v>
      </c>
    </row>
    <row r="22" spans="1:24" x14ac:dyDescent="0.25">
      <c r="A22" s="420"/>
      <c r="B22" s="423"/>
      <c r="C22" s="423"/>
      <c r="D22" s="423"/>
      <c r="E22" s="423"/>
      <c r="F22" s="429"/>
      <c r="G22" s="432"/>
      <c r="H22" s="435"/>
      <c r="I22" s="438"/>
      <c r="J22" s="441"/>
      <c r="K22" s="444"/>
      <c r="L22" s="423"/>
      <c r="M22" s="423"/>
      <c r="N22" s="145">
        <v>44926</v>
      </c>
      <c r="O22" s="429"/>
      <c r="P22" s="141">
        <v>864.19</v>
      </c>
      <c r="Q22" s="142" t="s">
        <v>265</v>
      </c>
      <c r="R22" s="143"/>
      <c r="S22" s="141"/>
      <c r="T22" s="141"/>
      <c r="U22" s="435"/>
      <c r="V22" s="447"/>
      <c r="W22" s="426"/>
      <c r="X22" s="2">
        <v>13</v>
      </c>
    </row>
    <row r="23" spans="1:24" s="85" customFormat="1" ht="72" customHeight="1" x14ac:dyDescent="0.25">
      <c r="A23" s="397">
        <v>2</v>
      </c>
      <c r="B23" s="406" t="s">
        <v>56</v>
      </c>
      <c r="C23" s="406"/>
      <c r="D23" s="406"/>
      <c r="E23" s="406" t="s">
        <v>191</v>
      </c>
      <c r="F23" s="400" t="s">
        <v>186</v>
      </c>
      <c r="G23" s="454" t="s">
        <v>192</v>
      </c>
      <c r="H23" s="403">
        <v>257225.44</v>
      </c>
      <c r="I23" s="409">
        <f>IF(X23 = 46, H23 + SUM(S23:S25) - SUM(T23:T25) - SUM(P23:P25) - V23,0)</f>
        <v>-1.6298157268224145E-11</v>
      </c>
      <c r="J23" s="412">
        <v>2312054894</v>
      </c>
      <c r="K23" s="415" t="s">
        <v>149</v>
      </c>
      <c r="L23" s="406"/>
      <c r="M23" s="406" t="s">
        <v>190</v>
      </c>
      <c r="N23" s="105">
        <v>44865</v>
      </c>
      <c r="O23" s="400" t="s">
        <v>193</v>
      </c>
      <c r="P23" s="98">
        <v>7464.37</v>
      </c>
      <c r="Q23" s="97" t="s">
        <v>198</v>
      </c>
      <c r="R23" s="96"/>
      <c r="S23" s="98"/>
      <c r="T23" s="98"/>
      <c r="U23" s="403" t="s">
        <v>319</v>
      </c>
      <c r="V23" s="451">
        <v>0.17</v>
      </c>
      <c r="W23" s="448"/>
      <c r="X23" s="85">
        <v>46</v>
      </c>
    </row>
    <row r="24" spans="1:24" x14ac:dyDescent="0.25">
      <c r="A24" s="398"/>
      <c r="B24" s="407"/>
      <c r="C24" s="407"/>
      <c r="D24" s="407"/>
      <c r="E24" s="407"/>
      <c r="F24" s="401"/>
      <c r="G24" s="455"/>
      <c r="H24" s="404"/>
      <c r="I24" s="410"/>
      <c r="J24" s="413"/>
      <c r="K24" s="416"/>
      <c r="L24" s="407"/>
      <c r="M24" s="407"/>
      <c r="N24" s="106">
        <v>44895</v>
      </c>
      <c r="O24" s="401"/>
      <c r="P24" s="99">
        <v>146780.1</v>
      </c>
      <c r="Q24" s="100" t="s">
        <v>199</v>
      </c>
      <c r="R24" s="101"/>
      <c r="S24" s="99"/>
      <c r="T24" s="99"/>
      <c r="U24" s="404"/>
      <c r="V24" s="452"/>
      <c r="W24" s="449"/>
      <c r="X24" s="2">
        <v>46</v>
      </c>
    </row>
    <row r="25" spans="1:24" x14ac:dyDescent="0.25">
      <c r="A25" s="399"/>
      <c r="B25" s="408"/>
      <c r="C25" s="408"/>
      <c r="D25" s="408"/>
      <c r="E25" s="408"/>
      <c r="F25" s="402"/>
      <c r="G25" s="456"/>
      <c r="H25" s="405"/>
      <c r="I25" s="411"/>
      <c r="J25" s="414"/>
      <c r="K25" s="417"/>
      <c r="L25" s="408"/>
      <c r="M25" s="408"/>
      <c r="N25" s="107">
        <v>44914</v>
      </c>
      <c r="O25" s="402"/>
      <c r="P25" s="102">
        <v>102980.8</v>
      </c>
      <c r="Q25" s="103" t="s">
        <v>203</v>
      </c>
      <c r="R25" s="104"/>
      <c r="S25" s="102"/>
      <c r="T25" s="102"/>
      <c r="U25" s="405"/>
      <c r="V25" s="453"/>
      <c r="W25" s="450"/>
      <c r="X25" s="2">
        <v>46</v>
      </c>
    </row>
    <row r="26" spans="1:24" s="85" customFormat="1" ht="72" customHeight="1" x14ac:dyDescent="0.25">
      <c r="A26" s="361">
        <v>3</v>
      </c>
      <c r="B26" s="367" t="s">
        <v>56</v>
      </c>
      <c r="C26" s="367"/>
      <c r="D26" s="367"/>
      <c r="E26" s="367" t="s">
        <v>268</v>
      </c>
      <c r="F26" s="363" t="s">
        <v>269</v>
      </c>
      <c r="G26" s="373" t="s">
        <v>270</v>
      </c>
      <c r="H26" s="365">
        <v>474789</v>
      </c>
      <c r="I26" s="375">
        <f>IF(X26 = 55, H26 + SUM(S26:S30) - SUM(T26:T30) - SUM(P26:P30) - V26,0)</f>
        <v>0</v>
      </c>
      <c r="J26" s="466">
        <v>235300578903</v>
      </c>
      <c r="K26" s="468" t="s">
        <v>148</v>
      </c>
      <c r="L26" s="367"/>
      <c r="M26" s="367" t="s">
        <v>271</v>
      </c>
      <c r="N26" s="179">
        <v>44834</v>
      </c>
      <c r="O26" s="363" t="s">
        <v>272</v>
      </c>
      <c r="P26" s="172">
        <v>126787.5</v>
      </c>
      <c r="Q26" s="171" t="s">
        <v>273</v>
      </c>
      <c r="R26" s="170"/>
      <c r="S26" s="172"/>
      <c r="T26" s="172"/>
      <c r="U26" s="365"/>
      <c r="V26" s="461"/>
      <c r="W26" s="371"/>
      <c r="X26" s="85">
        <v>55</v>
      </c>
    </row>
    <row r="27" spans="1:24" x14ac:dyDescent="0.25">
      <c r="A27" s="457"/>
      <c r="B27" s="460"/>
      <c r="C27" s="460"/>
      <c r="D27" s="460"/>
      <c r="E27" s="460"/>
      <c r="F27" s="458"/>
      <c r="G27" s="464"/>
      <c r="H27" s="459"/>
      <c r="I27" s="465"/>
      <c r="J27" s="467"/>
      <c r="K27" s="469"/>
      <c r="L27" s="460"/>
      <c r="M27" s="460"/>
      <c r="N27" s="180">
        <v>44865</v>
      </c>
      <c r="O27" s="458"/>
      <c r="P27" s="173">
        <v>116644.5</v>
      </c>
      <c r="Q27" s="174" t="s">
        <v>197</v>
      </c>
      <c r="R27" s="175"/>
      <c r="S27" s="173"/>
      <c r="T27" s="173"/>
      <c r="U27" s="459"/>
      <c r="V27" s="462"/>
      <c r="W27" s="463"/>
      <c r="X27" s="2">
        <v>55</v>
      </c>
    </row>
    <row r="28" spans="1:24" x14ac:dyDescent="0.25">
      <c r="A28" s="457"/>
      <c r="B28" s="460"/>
      <c r="C28" s="460"/>
      <c r="D28" s="460"/>
      <c r="E28" s="460"/>
      <c r="F28" s="458"/>
      <c r="G28" s="464"/>
      <c r="H28" s="459"/>
      <c r="I28" s="465"/>
      <c r="J28" s="467"/>
      <c r="K28" s="469"/>
      <c r="L28" s="460"/>
      <c r="M28" s="460"/>
      <c r="N28" s="180">
        <v>44865</v>
      </c>
      <c r="O28" s="458"/>
      <c r="P28" s="173">
        <v>241.5</v>
      </c>
      <c r="Q28" s="174" t="s">
        <v>274</v>
      </c>
      <c r="R28" s="175"/>
      <c r="S28" s="173"/>
      <c r="T28" s="173"/>
      <c r="U28" s="459"/>
      <c r="V28" s="462"/>
      <c r="W28" s="463"/>
      <c r="X28" s="2">
        <v>55</v>
      </c>
    </row>
    <row r="29" spans="1:24" x14ac:dyDescent="0.25">
      <c r="A29" s="457"/>
      <c r="B29" s="460"/>
      <c r="C29" s="460"/>
      <c r="D29" s="460"/>
      <c r="E29" s="460"/>
      <c r="F29" s="458"/>
      <c r="G29" s="464"/>
      <c r="H29" s="459"/>
      <c r="I29" s="465"/>
      <c r="J29" s="467"/>
      <c r="K29" s="469"/>
      <c r="L29" s="460"/>
      <c r="M29" s="460"/>
      <c r="N29" s="180">
        <v>44895</v>
      </c>
      <c r="O29" s="458"/>
      <c r="P29" s="173">
        <v>103120.5</v>
      </c>
      <c r="Q29" s="174" t="s">
        <v>275</v>
      </c>
      <c r="R29" s="175"/>
      <c r="S29" s="173"/>
      <c r="T29" s="173"/>
      <c r="U29" s="459"/>
      <c r="V29" s="462"/>
      <c r="W29" s="463"/>
      <c r="X29" s="2">
        <v>55</v>
      </c>
    </row>
    <row r="30" spans="1:24" x14ac:dyDescent="0.25">
      <c r="A30" s="457"/>
      <c r="B30" s="460"/>
      <c r="C30" s="460"/>
      <c r="D30" s="460"/>
      <c r="E30" s="460"/>
      <c r="F30" s="458"/>
      <c r="G30" s="464"/>
      <c r="H30" s="459"/>
      <c r="I30" s="465"/>
      <c r="J30" s="467"/>
      <c r="K30" s="469"/>
      <c r="L30" s="460"/>
      <c r="M30" s="460"/>
      <c r="N30" s="180">
        <v>44925</v>
      </c>
      <c r="O30" s="458"/>
      <c r="P30" s="173">
        <v>127995</v>
      </c>
      <c r="Q30" s="174" t="s">
        <v>276</v>
      </c>
      <c r="R30" s="175"/>
      <c r="S30" s="173"/>
      <c r="T30" s="173"/>
      <c r="U30" s="459"/>
      <c r="V30" s="462"/>
      <c r="W30" s="463"/>
      <c r="X30" s="2">
        <v>55</v>
      </c>
    </row>
    <row r="31" spans="1:24" s="85" customFormat="1" ht="54" customHeight="1" x14ac:dyDescent="0.25">
      <c r="A31" s="308">
        <v>4</v>
      </c>
      <c r="B31" s="305" t="s">
        <v>56</v>
      </c>
      <c r="C31" s="305"/>
      <c r="D31" s="305"/>
      <c r="E31" s="305" t="s">
        <v>150</v>
      </c>
      <c r="F31" s="311" t="s">
        <v>217</v>
      </c>
      <c r="G31" s="344" t="s">
        <v>220</v>
      </c>
      <c r="H31" s="314">
        <v>24918.78</v>
      </c>
      <c r="I31" s="326">
        <f>IF(X31 = 56, H31 + SUM(S31:S35) - SUM(T31:T35) - SUM(P31:P35) - V31,0)</f>
        <v>12522</v>
      </c>
      <c r="J31" s="379">
        <v>2369002347</v>
      </c>
      <c r="K31" s="381" t="s">
        <v>221</v>
      </c>
      <c r="L31" s="305"/>
      <c r="M31" s="305" t="s">
        <v>214</v>
      </c>
      <c r="N31" s="240" t="s">
        <v>307</v>
      </c>
      <c r="O31" s="311" t="s">
        <v>222</v>
      </c>
      <c r="P31" s="236">
        <v>4841.84</v>
      </c>
      <c r="Q31" s="235" t="s">
        <v>313</v>
      </c>
      <c r="R31" s="234"/>
      <c r="S31" s="236"/>
      <c r="T31" s="236"/>
      <c r="U31" s="314"/>
      <c r="V31" s="377"/>
      <c r="W31" s="320"/>
      <c r="X31" s="85">
        <v>56</v>
      </c>
    </row>
    <row r="32" spans="1:24" x14ac:dyDescent="0.25">
      <c r="A32" s="309"/>
      <c r="B32" s="306"/>
      <c r="C32" s="306"/>
      <c r="D32" s="306"/>
      <c r="E32" s="306"/>
      <c r="F32" s="312"/>
      <c r="G32" s="345"/>
      <c r="H32" s="315"/>
      <c r="I32" s="327"/>
      <c r="J32" s="384"/>
      <c r="K32" s="385"/>
      <c r="L32" s="306"/>
      <c r="M32" s="306"/>
      <c r="N32" s="245" t="s">
        <v>347</v>
      </c>
      <c r="O32" s="312"/>
      <c r="P32" s="242">
        <v>2003.52</v>
      </c>
      <c r="Q32" s="243" t="s">
        <v>349</v>
      </c>
      <c r="R32" s="244"/>
      <c r="S32" s="242"/>
      <c r="T32" s="242"/>
      <c r="U32" s="315"/>
      <c r="V32" s="383"/>
      <c r="W32" s="321"/>
      <c r="X32" s="2">
        <v>56</v>
      </c>
    </row>
    <row r="33" spans="1:24" x14ac:dyDescent="0.25">
      <c r="A33" s="309"/>
      <c r="B33" s="306"/>
      <c r="C33" s="306"/>
      <c r="D33" s="306"/>
      <c r="E33" s="306"/>
      <c r="F33" s="312"/>
      <c r="G33" s="345"/>
      <c r="H33" s="315"/>
      <c r="I33" s="327"/>
      <c r="J33" s="384"/>
      <c r="K33" s="385"/>
      <c r="L33" s="306"/>
      <c r="M33" s="306"/>
      <c r="N33" s="245" t="s">
        <v>378</v>
      </c>
      <c r="O33" s="312"/>
      <c r="P33" s="242">
        <v>1794.82</v>
      </c>
      <c r="Q33" s="243" t="s">
        <v>381</v>
      </c>
      <c r="R33" s="244"/>
      <c r="S33" s="242"/>
      <c r="T33" s="242"/>
      <c r="U33" s="315"/>
      <c r="V33" s="383"/>
      <c r="W33" s="321"/>
      <c r="X33" s="2">
        <v>56</v>
      </c>
    </row>
    <row r="34" spans="1:24" x14ac:dyDescent="0.25">
      <c r="A34" s="309"/>
      <c r="B34" s="306"/>
      <c r="C34" s="306"/>
      <c r="D34" s="306"/>
      <c r="E34" s="306"/>
      <c r="F34" s="312"/>
      <c r="G34" s="345"/>
      <c r="H34" s="315"/>
      <c r="I34" s="327"/>
      <c r="J34" s="384"/>
      <c r="K34" s="385"/>
      <c r="L34" s="306"/>
      <c r="M34" s="306"/>
      <c r="N34" s="245" t="s">
        <v>462</v>
      </c>
      <c r="O34" s="312"/>
      <c r="P34" s="242">
        <v>1878.3</v>
      </c>
      <c r="Q34" s="243" t="s">
        <v>460</v>
      </c>
      <c r="R34" s="244"/>
      <c r="S34" s="242"/>
      <c r="T34" s="242"/>
      <c r="U34" s="315"/>
      <c r="V34" s="383"/>
      <c r="W34" s="321"/>
      <c r="X34" s="2">
        <v>56</v>
      </c>
    </row>
    <row r="35" spans="1:24" x14ac:dyDescent="0.25">
      <c r="A35" s="310"/>
      <c r="B35" s="307"/>
      <c r="C35" s="307"/>
      <c r="D35" s="307"/>
      <c r="E35" s="307"/>
      <c r="F35" s="313"/>
      <c r="G35" s="346"/>
      <c r="H35" s="316"/>
      <c r="I35" s="328"/>
      <c r="J35" s="380"/>
      <c r="K35" s="382"/>
      <c r="L35" s="307"/>
      <c r="M35" s="307"/>
      <c r="N35" s="241" t="s">
        <v>473</v>
      </c>
      <c r="O35" s="313"/>
      <c r="P35" s="237">
        <v>1878.3</v>
      </c>
      <c r="Q35" s="238" t="s">
        <v>510</v>
      </c>
      <c r="R35" s="239"/>
      <c r="S35" s="237"/>
      <c r="T35" s="237"/>
      <c r="U35" s="316"/>
      <c r="V35" s="378"/>
      <c r="W35" s="322"/>
      <c r="X35" s="2">
        <v>56</v>
      </c>
    </row>
    <row r="36" spans="1:24" s="85" customFormat="1" ht="54" customHeight="1" x14ac:dyDescent="0.25">
      <c r="A36" s="308">
        <v>5</v>
      </c>
      <c r="B36" s="305" t="s">
        <v>56</v>
      </c>
      <c r="C36" s="305"/>
      <c r="D36" s="305"/>
      <c r="E36" s="305" t="s">
        <v>216</v>
      </c>
      <c r="F36" s="311" t="s">
        <v>217</v>
      </c>
      <c r="G36" s="344" t="s">
        <v>218</v>
      </c>
      <c r="H36" s="314">
        <v>45256.44</v>
      </c>
      <c r="I36" s="326">
        <f>IF(X36 = 57, H36 + SUM(S36:S40) - SUM(T36:T40) - SUM(P36:P40) - V36,0)</f>
        <v>26399.590000000004</v>
      </c>
      <c r="J36" s="379">
        <v>2308131994</v>
      </c>
      <c r="K36" s="381" t="s">
        <v>219</v>
      </c>
      <c r="L36" s="305"/>
      <c r="M36" s="320" t="s">
        <v>214</v>
      </c>
      <c r="N36" s="240" t="s">
        <v>307</v>
      </c>
      <c r="O36" s="311" t="s">
        <v>222</v>
      </c>
      <c r="P36" s="236">
        <v>3771.37</v>
      </c>
      <c r="Q36" s="235" t="s">
        <v>310</v>
      </c>
      <c r="R36" s="234"/>
      <c r="S36" s="236"/>
      <c r="T36" s="236"/>
      <c r="U36" s="314"/>
      <c r="V36" s="377"/>
      <c r="W36" s="320"/>
      <c r="X36" s="85">
        <v>57</v>
      </c>
    </row>
    <row r="37" spans="1:24" x14ac:dyDescent="0.25">
      <c r="A37" s="309"/>
      <c r="B37" s="306"/>
      <c r="C37" s="306"/>
      <c r="D37" s="306"/>
      <c r="E37" s="306"/>
      <c r="F37" s="312"/>
      <c r="G37" s="345"/>
      <c r="H37" s="315"/>
      <c r="I37" s="327"/>
      <c r="J37" s="384"/>
      <c r="K37" s="385"/>
      <c r="L37" s="306"/>
      <c r="M37" s="321"/>
      <c r="N37" s="245" t="s">
        <v>347</v>
      </c>
      <c r="O37" s="312"/>
      <c r="P37" s="242">
        <v>3771.37</v>
      </c>
      <c r="Q37" s="243" t="s">
        <v>310</v>
      </c>
      <c r="R37" s="244"/>
      <c r="S37" s="242"/>
      <c r="T37" s="242"/>
      <c r="U37" s="315"/>
      <c r="V37" s="383"/>
      <c r="W37" s="321"/>
      <c r="X37" s="2">
        <v>57</v>
      </c>
    </row>
    <row r="38" spans="1:24" x14ac:dyDescent="0.25">
      <c r="A38" s="309"/>
      <c r="B38" s="306"/>
      <c r="C38" s="306"/>
      <c r="D38" s="306"/>
      <c r="E38" s="306"/>
      <c r="F38" s="312"/>
      <c r="G38" s="345"/>
      <c r="H38" s="315"/>
      <c r="I38" s="327"/>
      <c r="J38" s="384"/>
      <c r="K38" s="385"/>
      <c r="L38" s="306"/>
      <c r="M38" s="321"/>
      <c r="N38" s="245" t="s">
        <v>374</v>
      </c>
      <c r="O38" s="312"/>
      <c r="P38" s="242">
        <v>3771.37</v>
      </c>
      <c r="Q38" s="243" t="s">
        <v>379</v>
      </c>
      <c r="R38" s="244"/>
      <c r="S38" s="242"/>
      <c r="T38" s="242"/>
      <c r="U38" s="315"/>
      <c r="V38" s="383"/>
      <c r="W38" s="321"/>
      <c r="X38" s="2">
        <v>57</v>
      </c>
    </row>
    <row r="39" spans="1:24" x14ac:dyDescent="0.25">
      <c r="A39" s="309"/>
      <c r="B39" s="306"/>
      <c r="C39" s="306"/>
      <c r="D39" s="306"/>
      <c r="E39" s="306"/>
      <c r="F39" s="312"/>
      <c r="G39" s="345"/>
      <c r="H39" s="315"/>
      <c r="I39" s="327"/>
      <c r="J39" s="384"/>
      <c r="K39" s="385"/>
      <c r="L39" s="306"/>
      <c r="M39" s="321"/>
      <c r="N39" s="245" t="s">
        <v>463</v>
      </c>
      <c r="O39" s="312"/>
      <c r="P39" s="242">
        <v>3771.37</v>
      </c>
      <c r="Q39" s="243" t="s">
        <v>460</v>
      </c>
      <c r="R39" s="244"/>
      <c r="S39" s="242"/>
      <c r="T39" s="242"/>
      <c r="U39" s="315"/>
      <c r="V39" s="383"/>
      <c r="W39" s="321"/>
      <c r="X39" s="2">
        <v>57</v>
      </c>
    </row>
    <row r="40" spans="1:24" x14ac:dyDescent="0.25">
      <c r="A40" s="310"/>
      <c r="B40" s="307"/>
      <c r="C40" s="307"/>
      <c r="D40" s="307"/>
      <c r="E40" s="307"/>
      <c r="F40" s="313"/>
      <c r="G40" s="346"/>
      <c r="H40" s="316"/>
      <c r="I40" s="328"/>
      <c r="J40" s="380"/>
      <c r="K40" s="382"/>
      <c r="L40" s="307"/>
      <c r="M40" s="322"/>
      <c r="N40" s="241" t="s">
        <v>473</v>
      </c>
      <c r="O40" s="313"/>
      <c r="P40" s="237">
        <v>3771.37</v>
      </c>
      <c r="Q40" s="238" t="s">
        <v>512</v>
      </c>
      <c r="R40" s="239"/>
      <c r="S40" s="237"/>
      <c r="T40" s="237"/>
      <c r="U40" s="316"/>
      <c r="V40" s="378"/>
      <c r="W40" s="322"/>
      <c r="X40" s="2">
        <v>57</v>
      </c>
    </row>
    <row r="41" spans="1:24" s="85" customFormat="1" ht="54" customHeight="1" x14ac:dyDescent="0.25">
      <c r="A41" s="308">
        <v>6</v>
      </c>
      <c r="B41" s="305" t="s">
        <v>56</v>
      </c>
      <c r="C41" s="305"/>
      <c r="D41" s="305"/>
      <c r="E41" s="305" t="s">
        <v>235</v>
      </c>
      <c r="F41" s="311" t="s">
        <v>217</v>
      </c>
      <c r="G41" s="344" t="s">
        <v>230</v>
      </c>
      <c r="H41" s="314">
        <v>460063</v>
      </c>
      <c r="I41" s="326">
        <f>IF(X41 = 58, H41 + SUM(S41:S59) - SUM(T41:T59) - SUM(P41:P59) - V41,0)</f>
        <v>113863.83999999997</v>
      </c>
      <c r="J41" s="379">
        <v>2308119595</v>
      </c>
      <c r="K41" s="381" t="s">
        <v>146</v>
      </c>
      <c r="L41" s="305"/>
      <c r="M41" s="305" t="s">
        <v>214</v>
      </c>
      <c r="N41" s="240" t="s">
        <v>264</v>
      </c>
      <c r="O41" s="311" t="s">
        <v>231</v>
      </c>
      <c r="P41" s="236">
        <v>21504.21</v>
      </c>
      <c r="Q41" s="235" t="s">
        <v>263</v>
      </c>
      <c r="R41" s="234"/>
      <c r="S41" s="236"/>
      <c r="T41" s="236"/>
      <c r="U41" s="314"/>
      <c r="V41" s="377"/>
      <c r="W41" s="320"/>
      <c r="X41" s="85">
        <v>58</v>
      </c>
    </row>
    <row r="42" spans="1:24" x14ac:dyDescent="0.25">
      <c r="A42" s="309"/>
      <c r="B42" s="306"/>
      <c r="C42" s="306"/>
      <c r="D42" s="306"/>
      <c r="E42" s="306"/>
      <c r="F42" s="312"/>
      <c r="G42" s="345"/>
      <c r="H42" s="315"/>
      <c r="I42" s="327"/>
      <c r="J42" s="384"/>
      <c r="K42" s="385"/>
      <c r="L42" s="306"/>
      <c r="M42" s="306"/>
      <c r="N42" s="245" t="s">
        <v>267</v>
      </c>
      <c r="O42" s="312"/>
      <c r="P42" s="242">
        <v>17021.11</v>
      </c>
      <c r="Q42" s="243" t="s">
        <v>266</v>
      </c>
      <c r="R42" s="244"/>
      <c r="S42" s="242"/>
      <c r="T42" s="242"/>
      <c r="U42" s="315"/>
      <c r="V42" s="383"/>
      <c r="W42" s="321"/>
      <c r="X42" s="2">
        <v>58</v>
      </c>
    </row>
    <row r="43" spans="1:24" x14ac:dyDescent="0.25">
      <c r="A43" s="309"/>
      <c r="B43" s="306"/>
      <c r="C43" s="306"/>
      <c r="D43" s="306"/>
      <c r="E43" s="306"/>
      <c r="F43" s="312"/>
      <c r="G43" s="345"/>
      <c r="H43" s="315"/>
      <c r="I43" s="327"/>
      <c r="J43" s="384"/>
      <c r="K43" s="385"/>
      <c r="L43" s="306"/>
      <c r="M43" s="306"/>
      <c r="N43" s="245" t="s">
        <v>267</v>
      </c>
      <c r="O43" s="312"/>
      <c r="P43" s="242">
        <v>27235.8</v>
      </c>
      <c r="Q43" s="243" t="s">
        <v>266</v>
      </c>
      <c r="R43" s="244"/>
      <c r="S43" s="242"/>
      <c r="T43" s="242"/>
      <c r="U43" s="315"/>
      <c r="V43" s="383"/>
      <c r="W43" s="321"/>
      <c r="X43" s="2">
        <v>58</v>
      </c>
    </row>
    <row r="44" spans="1:24" x14ac:dyDescent="0.25">
      <c r="A44" s="309"/>
      <c r="B44" s="306"/>
      <c r="C44" s="306"/>
      <c r="D44" s="306"/>
      <c r="E44" s="306"/>
      <c r="F44" s="312"/>
      <c r="G44" s="345"/>
      <c r="H44" s="315"/>
      <c r="I44" s="327"/>
      <c r="J44" s="384"/>
      <c r="K44" s="385"/>
      <c r="L44" s="306"/>
      <c r="M44" s="306"/>
      <c r="N44" s="245" t="s">
        <v>304</v>
      </c>
      <c r="O44" s="312"/>
      <c r="P44" s="242">
        <v>20426.86</v>
      </c>
      <c r="Q44" s="243" t="s">
        <v>306</v>
      </c>
      <c r="R44" s="244"/>
      <c r="S44" s="242"/>
      <c r="T44" s="242"/>
      <c r="U44" s="315"/>
      <c r="V44" s="383"/>
      <c r="W44" s="321"/>
      <c r="X44" s="2">
        <v>58</v>
      </c>
    </row>
    <row r="45" spans="1:24" x14ac:dyDescent="0.25">
      <c r="A45" s="309"/>
      <c r="B45" s="306"/>
      <c r="C45" s="306"/>
      <c r="D45" s="306"/>
      <c r="E45" s="306"/>
      <c r="F45" s="312"/>
      <c r="G45" s="345"/>
      <c r="H45" s="315"/>
      <c r="I45" s="327"/>
      <c r="J45" s="384"/>
      <c r="K45" s="385"/>
      <c r="L45" s="306"/>
      <c r="M45" s="306"/>
      <c r="N45" s="245" t="s">
        <v>307</v>
      </c>
      <c r="O45" s="312"/>
      <c r="P45" s="242">
        <v>38404.03</v>
      </c>
      <c r="Q45" s="243" t="s">
        <v>315</v>
      </c>
      <c r="R45" s="244"/>
      <c r="S45" s="242"/>
      <c r="T45" s="242"/>
      <c r="U45" s="315"/>
      <c r="V45" s="383"/>
      <c r="W45" s="321"/>
      <c r="X45" s="2">
        <v>58</v>
      </c>
    </row>
    <row r="46" spans="1:24" x14ac:dyDescent="0.25">
      <c r="A46" s="309"/>
      <c r="B46" s="306"/>
      <c r="C46" s="306"/>
      <c r="D46" s="306"/>
      <c r="E46" s="306"/>
      <c r="F46" s="312"/>
      <c r="G46" s="345"/>
      <c r="H46" s="315"/>
      <c r="I46" s="327"/>
      <c r="J46" s="384"/>
      <c r="K46" s="385"/>
      <c r="L46" s="306"/>
      <c r="M46" s="306"/>
      <c r="N46" s="245" t="s">
        <v>304</v>
      </c>
      <c r="O46" s="312"/>
      <c r="P46" s="242">
        <v>36412.379999999997</v>
      </c>
      <c r="Q46" s="243" t="s">
        <v>315</v>
      </c>
      <c r="R46" s="244"/>
      <c r="S46" s="242"/>
      <c r="T46" s="242"/>
      <c r="U46" s="315"/>
      <c r="V46" s="383"/>
      <c r="W46" s="321"/>
      <c r="X46" s="2">
        <v>58</v>
      </c>
    </row>
    <row r="47" spans="1:24" x14ac:dyDescent="0.25">
      <c r="A47" s="309"/>
      <c r="B47" s="306"/>
      <c r="C47" s="306"/>
      <c r="D47" s="306"/>
      <c r="E47" s="306"/>
      <c r="F47" s="312"/>
      <c r="G47" s="345"/>
      <c r="H47" s="315"/>
      <c r="I47" s="327"/>
      <c r="J47" s="384"/>
      <c r="K47" s="385"/>
      <c r="L47" s="306"/>
      <c r="M47" s="306"/>
      <c r="N47" s="245" t="s">
        <v>346</v>
      </c>
      <c r="O47" s="312"/>
      <c r="P47" s="242">
        <v>27309.29</v>
      </c>
      <c r="Q47" s="243" t="s">
        <v>346</v>
      </c>
      <c r="R47" s="244"/>
      <c r="S47" s="242"/>
      <c r="T47" s="242"/>
      <c r="U47" s="315"/>
      <c r="V47" s="383"/>
      <c r="W47" s="321"/>
      <c r="X47" s="2">
        <v>58</v>
      </c>
    </row>
    <row r="48" spans="1:24" x14ac:dyDescent="0.25">
      <c r="A48" s="309"/>
      <c r="B48" s="306"/>
      <c r="C48" s="306"/>
      <c r="D48" s="306"/>
      <c r="E48" s="306"/>
      <c r="F48" s="312"/>
      <c r="G48" s="345"/>
      <c r="H48" s="315"/>
      <c r="I48" s="327"/>
      <c r="J48" s="384"/>
      <c r="K48" s="385"/>
      <c r="L48" s="306"/>
      <c r="M48" s="306"/>
      <c r="N48" s="245" t="s">
        <v>347</v>
      </c>
      <c r="O48" s="312"/>
      <c r="P48" s="242">
        <v>6478.89</v>
      </c>
      <c r="Q48" s="243" t="s">
        <v>352</v>
      </c>
      <c r="R48" s="244"/>
      <c r="S48" s="242"/>
      <c r="T48" s="242"/>
      <c r="U48" s="315"/>
      <c r="V48" s="383"/>
      <c r="W48" s="321"/>
      <c r="X48" s="2">
        <v>58</v>
      </c>
    </row>
    <row r="49" spans="1:24" x14ac:dyDescent="0.25">
      <c r="A49" s="309"/>
      <c r="B49" s="306"/>
      <c r="C49" s="306"/>
      <c r="D49" s="306"/>
      <c r="E49" s="306"/>
      <c r="F49" s="312"/>
      <c r="G49" s="345"/>
      <c r="H49" s="315"/>
      <c r="I49" s="327"/>
      <c r="J49" s="384"/>
      <c r="K49" s="385"/>
      <c r="L49" s="306"/>
      <c r="M49" s="306"/>
      <c r="N49" s="245" t="s">
        <v>346</v>
      </c>
      <c r="O49" s="312"/>
      <c r="P49" s="242">
        <v>27893.33</v>
      </c>
      <c r="Q49" s="243" t="s">
        <v>352</v>
      </c>
      <c r="R49" s="244"/>
      <c r="S49" s="242"/>
      <c r="T49" s="242"/>
      <c r="U49" s="315"/>
      <c r="V49" s="383"/>
      <c r="W49" s="321"/>
      <c r="X49" s="2">
        <v>58</v>
      </c>
    </row>
    <row r="50" spans="1:24" x14ac:dyDescent="0.25">
      <c r="A50" s="309"/>
      <c r="B50" s="306"/>
      <c r="C50" s="306"/>
      <c r="D50" s="306"/>
      <c r="E50" s="306"/>
      <c r="F50" s="312"/>
      <c r="G50" s="345"/>
      <c r="H50" s="315"/>
      <c r="I50" s="327"/>
      <c r="J50" s="384"/>
      <c r="K50" s="385"/>
      <c r="L50" s="306"/>
      <c r="M50" s="306"/>
      <c r="N50" s="245" t="s">
        <v>376</v>
      </c>
      <c r="O50" s="312"/>
      <c r="P50" s="242">
        <v>20920</v>
      </c>
      <c r="Q50" s="243" t="s">
        <v>375</v>
      </c>
      <c r="R50" s="244"/>
      <c r="S50" s="242"/>
      <c r="T50" s="242"/>
      <c r="U50" s="315"/>
      <c r="V50" s="383"/>
      <c r="W50" s="321"/>
      <c r="X50" s="2">
        <v>58</v>
      </c>
    </row>
    <row r="51" spans="1:24" x14ac:dyDescent="0.25">
      <c r="A51" s="309"/>
      <c r="B51" s="306"/>
      <c r="C51" s="306"/>
      <c r="D51" s="306"/>
      <c r="E51" s="306"/>
      <c r="F51" s="312"/>
      <c r="G51" s="345"/>
      <c r="H51" s="315"/>
      <c r="I51" s="327"/>
      <c r="J51" s="384"/>
      <c r="K51" s="385"/>
      <c r="L51" s="306"/>
      <c r="M51" s="306"/>
      <c r="N51" s="245" t="s">
        <v>374</v>
      </c>
      <c r="O51" s="312"/>
      <c r="P51" s="242">
        <v>270</v>
      </c>
      <c r="Q51" s="243" t="s">
        <v>383</v>
      </c>
      <c r="R51" s="244"/>
      <c r="S51" s="242"/>
      <c r="T51" s="242"/>
      <c r="U51" s="315"/>
      <c r="V51" s="383"/>
      <c r="W51" s="321"/>
      <c r="X51" s="2">
        <v>58</v>
      </c>
    </row>
    <row r="52" spans="1:24" x14ac:dyDescent="0.25">
      <c r="A52" s="309"/>
      <c r="B52" s="306"/>
      <c r="C52" s="306"/>
      <c r="D52" s="306"/>
      <c r="E52" s="306"/>
      <c r="F52" s="312"/>
      <c r="G52" s="345"/>
      <c r="H52" s="315"/>
      <c r="I52" s="327"/>
      <c r="J52" s="384"/>
      <c r="K52" s="385"/>
      <c r="L52" s="306"/>
      <c r="M52" s="306"/>
      <c r="N52" s="245" t="s">
        <v>376</v>
      </c>
      <c r="O52" s="312"/>
      <c r="P52" s="242">
        <v>15341.44</v>
      </c>
      <c r="Q52" s="243" t="s">
        <v>383</v>
      </c>
      <c r="R52" s="244"/>
      <c r="S52" s="242"/>
      <c r="T52" s="242"/>
      <c r="U52" s="315"/>
      <c r="V52" s="383"/>
      <c r="W52" s="321"/>
      <c r="X52" s="2">
        <v>58</v>
      </c>
    </row>
    <row r="53" spans="1:24" x14ac:dyDescent="0.25">
      <c r="A53" s="309"/>
      <c r="B53" s="306"/>
      <c r="C53" s="306"/>
      <c r="D53" s="306"/>
      <c r="E53" s="306"/>
      <c r="F53" s="312"/>
      <c r="G53" s="345"/>
      <c r="H53" s="315"/>
      <c r="I53" s="327"/>
      <c r="J53" s="384"/>
      <c r="K53" s="385"/>
      <c r="L53" s="306"/>
      <c r="M53" s="306"/>
      <c r="N53" s="245" t="s">
        <v>459</v>
      </c>
      <c r="O53" s="312"/>
      <c r="P53" s="242">
        <v>11506.08</v>
      </c>
      <c r="Q53" s="243" t="s">
        <v>458</v>
      </c>
      <c r="R53" s="244"/>
      <c r="S53" s="242"/>
      <c r="T53" s="242"/>
      <c r="U53" s="315"/>
      <c r="V53" s="383"/>
      <c r="W53" s="321"/>
      <c r="X53" s="2">
        <v>58</v>
      </c>
    </row>
    <row r="54" spans="1:24" x14ac:dyDescent="0.25">
      <c r="A54" s="309"/>
      <c r="B54" s="306"/>
      <c r="C54" s="306"/>
      <c r="D54" s="306"/>
      <c r="E54" s="306"/>
      <c r="F54" s="312"/>
      <c r="G54" s="345"/>
      <c r="H54" s="315"/>
      <c r="I54" s="327"/>
      <c r="J54" s="384"/>
      <c r="K54" s="385"/>
      <c r="L54" s="306"/>
      <c r="M54" s="306"/>
      <c r="N54" s="245" t="s">
        <v>463</v>
      </c>
      <c r="O54" s="312"/>
      <c r="P54" s="242">
        <v>1168</v>
      </c>
      <c r="Q54" s="243" t="s">
        <v>468</v>
      </c>
      <c r="R54" s="244"/>
      <c r="S54" s="242"/>
      <c r="T54" s="242"/>
      <c r="U54" s="315"/>
      <c r="V54" s="383"/>
      <c r="W54" s="321"/>
      <c r="X54" s="2">
        <v>58</v>
      </c>
    </row>
    <row r="55" spans="1:24" x14ac:dyDescent="0.25">
      <c r="A55" s="309"/>
      <c r="B55" s="306"/>
      <c r="C55" s="306"/>
      <c r="D55" s="306"/>
      <c r="E55" s="306"/>
      <c r="F55" s="312"/>
      <c r="G55" s="345"/>
      <c r="H55" s="315"/>
      <c r="I55" s="327"/>
      <c r="J55" s="384"/>
      <c r="K55" s="385"/>
      <c r="L55" s="306"/>
      <c r="M55" s="306"/>
      <c r="N55" s="245" t="s">
        <v>459</v>
      </c>
      <c r="O55" s="312"/>
      <c r="P55" s="242">
        <v>23631.14</v>
      </c>
      <c r="Q55" s="243" t="s">
        <v>468</v>
      </c>
      <c r="R55" s="244"/>
      <c r="S55" s="242"/>
      <c r="T55" s="242"/>
      <c r="U55" s="315"/>
      <c r="V55" s="383"/>
      <c r="W55" s="321"/>
      <c r="X55" s="2">
        <v>58</v>
      </c>
    </row>
    <row r="56" spans="1:24" x14ac:dyDescent="0.25">
      <c r="A56" s="309"/>
      <c r="B56" s="306"/>
      <c r="C56" s="306"/>
      <c r="D56" s="306"/>
      <c r="E56" s="306"/>
      <c r="F56" s="312"/>
      <c r="G56" s="345"/>
      <c r="H56" s="315"/>
      <c r="I56" s="327"/>
      <c r="J56" s="384"/>
      <c r="K56" s="385"/>
      <c r="L56" s="306"/>
      <c r="M56" s="306"/>
      <c r="N56" s="245" t="s">
        <v>508</v>
      </c>
      <c r="O56" s="312"/>
      <c r="P56" s="242">
        <v>17925.849999999999</v>
      </c>
      <c r="Q56" s="243" t="s">
        <v>511</v>
      </c>
      <c r="R56" s="244"/>
      <c r="S56" s="242"/>
      <c r="T56" s="242"/>
      <c r="U56" s="315"/>
      <c r="V56" s="383"/>
      <c r="W56" s="321"/>
      <c r="X56" s="2">
        <v>58</v>
      </c>
    </row>
    <row r="57" spans="1:24" x14ac:dyDescent="0.25">
      <c r="A57" s="309"/>
      <c r="B57" s="306"/>
      <c r="C57" s="306"/>
      <c r="D57" s="306"/>
      <c r="E57" s="306"/>
      <c r="F57" s="312"/>
      <c r="G57" s="345"/>
      <c r="H57" s="315"/>
      <c r="I57" s="327"/>
      <c r="J57" s="384"/>
      <c r="K57" s="385"/>
      <c r="L57" s="306"/>
      <c r="M57" s="306"/>
      <c r="N57" s="245" t="s">
        <v>473</v>
      </c>
      <c r="O57" s="312"/>
      <c r="P57" s="242">
        <v>11711.04</v>
      </c>
      <c r="Q57" s="243" t="s">
        <v>514</v>
      </c>
      <c r="R57" s="244"/>
      <c r="S57" s="242"/>
      <c r="T57" s="242"/>
      <c r="U57" s="315"/>
      <c r="V57" s="383"/>
      <c r="W57" s="321"/>
      <c r="X57" s="2">
        <v>58</v>
      </c>
    </row>
    <row r="58" spans="1:24" x14ac:dyDescent="0.25">
      <c r="A58" s="309"/>
      <c r="B58" s="306"/>
      <c r="C58" s="306"/>
      <c r="D58" s="306"/>
      <c r="E58" s="306"/>
      <c r="F58" s="312"/>
      <c r="G58" s="345"/>
      <c r="H58" s="315"/>
      <c r="I58" s="327"/>
      <c r="J58" s="384"/>
      <c r="K58" s="385"/>
      <c r="L58" s="306"/>
      <c r="M58" s="306"/>
      <c r="N58" s="245" t="s">
        <v>508</v>
      </c>
      <c r="O58" s="312"/>
      <c r="P58" s="242">
        <v>20769.71</v>
      </c>
      <c r="Q58" s="243" t="s">
        <v>514</v>
      </c>
      <c r="R58" s="244"/>
      <c r="S58" s="242"/>
      <c r="T58" s="242"/>
      <c r="U58" s="315"/>
      <c r="V58" s="383"/>
      <c r="W58" s="321"/>
      <c r="X58" s="2">
        <v>58</v>
      </c>
    </row>
    <row r="59" spans="1:24" x14ac:dyDescent="0.25">
      <c r="A59" s="310"/>
      <c r="B59" s="307"/>
      <c r="C59" s="307"/>
      <c r="D59" s="307"/>
      <c r="E59" s="307"/>
      <c r="F59" s="313"/>
      <c r="G59" s="346"/>
      <c r="H59" s="316"/>
      <c r="I59" s="328"/>
      <c r="J59" s="380"/>
      <c r="K59" s="382"/>
      <c r="L59" s="307"/>
      <c r="M59" s="307"/>
      <c r="N59" s="241" t="s">
        <v>473</v>
      </c>
      <c r="O59" s="313"/>
      <c r="P59" s="237">
        <v>270</v>
      </c>
      <c r="Q59" s="238" t="s">
        <v>515</v>
      </c>
      <c r="R59" s="239"/>
      <c r="S59" s="237"/>
      <c r="T59" s="237"/>
      <c r="U59" s="316"/>
      <c r="V59" s="378"/>
      <c r="W59" s="322"/>
      <c r="X59" s="2">
        <v>58</v>
      </c>
    </row>
    <row r="60" spans="1:24" s="85" customFormat="1" ht="54" customHeight="1" x14ac:dyDescent="0.25">
      <c r="A60" s="308">
        <v>7</v>
      </c>
      <c r="B60" s="305" t="s">
        <v>56</v>
      </c>
      <c r="C60" s="305"/>
      <c r="D60" s="305"/>
      <c r="E60" s="305" t="s">
        <v>233</v>
      </c>
      <c r="F60" s="311" t="s">
        <v>217</v>
      </c>
      <c r="G60" s="344" t="s">
        <v>232</v>
      </c>
      <c r="H60" s="314">
        <v>27331.200000000001</v>
      </c>
      <c r="I60" s="326">
        <f>IF(X60 = 59, H60 + SUM(S60:S64) - SUM(T60:T64) - SUM(P60:P64) - V60,0)</f>
        <v>15943.2</v>
      </c>
      <c r="J60" s="379">
        <v>2310163739</v>
      </c>
      <c r="K60" s="381" t="s">
        <v>151</v>
      </c>
      <c r="L60" s="305"/>
      <c r="M60" s="305" t="s">
        <v>214</v>
      </c>
      <c r="N60" s="240" t="s">
        <v>314</v>
      </c>
      <c r="O60" s="311" t="s">
        <v>234</v>
      </c>
      <c r="P60" s="236">
        <v>2277.6</v>
      </c>
      <c r="Q60" s="235" t="s">
        <v>317</v>
      </c>
      <c r="R60" s="234"/>
      <c r="S60" s="236"/>
      <c r="T60" s="236"/>
      <c r="U60" s="314"/>
      <c r="V60" s="377"/>
      <c r="W60" s="320"/>
      <c r="X60" s="85">
        <v>59</v>
      </c>
    </row>
    <row r="61" spans="1:24" x14ac:dyDescent="0.25">
      <c r="A61" s="309"/>
      <c r="B61" s="306"/>
      <c r="C61" s="306"/>
      <c r="D61" s="306"/>
      <c r="E61" s="306"/>
      <c r="F61" s="312"/>
      <c r="G61" s="345"/>
      <c r="H61" s="315"/>
      <c r="I61" s="327"/>
      <c r="J61" s="384"/>
      <c r="K61" s="385"/>
      <c r="L61" s="306"/>
      <c r="M61" s="306"/>
      <c r="N61" s="245" t="s">
        <v>347</v>
      </c>
      <c r="O61" s="312"/>
      <c r="P61" s="242">
        <v>2277.6</v>
      </c>
      <c r="Q61" s="243" t="s">
        <v>346</v>
      </c>
      <c r="R61" s="244"/>
      <c r="S61" s="242"/>
      <c r="T61" s="242"/>
      <c r="U61" s="315"/>
      <c r="V61" s="383"/>
      <c r="W61" s="321"/>
      <c r="X61" s="2">
        <v>59</v>
      </c>
    </row>
    <row r="62" spans="1:24" x14ac:dyDescent="0.25">
      <c r="A62" s="309"/>
      <c r="B62" s="306"/>
      <c r="C62" s="306"/>
      <c r="D62" s="306"/>
      <c r="E62" s="306"/>
      <c r="F62" s="312"/>
      <c r="G62" s="345"/>
      <c r="H62" s="315"/>
      <c r="I62" s="327"/>
      <c r="J62" s="384"/>
      <c r="K62" s="385"/>
      <c r="L62" s="306"/>
      <c r="M62" s="306"/>
      <c r="N62" s="245" t="s">
        <v>374</v>
      </c>
      <c r="O62" s="312"/>
      <c r="P62" s="242">
        <v>2277.6</v>
      </c>
      <c r="Q62" s="243" t="s">
        <v>375</v>
      </c>
      <c r="R62" s="244"/>
      <c r="S62" s="242"/>
      <c r="T62" s="242"/>
      <c r="U62" s="315"/>
      <c r="V62" s="383"/>
      <c r="W62" s="321"/>
      <c r="X62" s="2">
        <v>59</v>
      </c>
    </row>
    <row r="63" spans="1:24" x14ac:dyDescent="0.25">
      <c r="A63" s="309"/>
      <c r="B63" s="306"/>
      <c r="C63" s="306"/>
      <c r="D63" s="306"/>
      <c r="E63" s="306"/>
      <c r="F63" s="312"/>
      <c r="G63" s="345"/>
      <c r="H63" s="315"/>
      <c r="I63" s="327"/>
      <c r="J63" s="384"/>
      <c r="K63" s="385"/>
      <c r="L63" s="306"/>
      <c r="M63" s="306"/>
      <c r="N63" s="245" t="s">
        <v>462</v>
      </c>
      <c r="O63" s="312"/>
      <c r="P63" s="242">
        <v>2277.6</v>
      </c>
      <c r="Q63" s="243" t="s">
        <v>460</v>
      </c>
      <c r="R63" s="244"/>
      <c r="S63" s="242"/>
      <c r="T63" s="242"/>
      <c r="U63" s="315"/>
      <c r="V63" s="383"/>
      <c r="W63" s="321"/>
      <c r="X63" s="2">
        <v>59</v>
      </c>
    </row>
    <row r="64" spans="1:24" x14ac:dyDescent="0.25">
      <c r="A64" s="310"/>
      <c r="B64" s="307"/>
      <c r="C64" s="307"/>
      <c r="D64" s="307"/>
      <c r="E64" s="307"/>
      <c r="F64" s="313"/>
      <c r="G64" s="346"/>
      <c r="H64" s="316"/>
      <c r="I64" s="328"/>
      <c r="J64" s="380"/>
      <c r="K64" s="382"/>
      <c r="L64" s="307"/>
      <c r="M64" s="307"/>
      <c r="N64" s="241" t="s">
        <v>473</v>
      </c>
      <c r="O64" s="313"/>
      <c r="P64" s="237">
        <v>2277.6</v>
      </c>
      <c r="Q64" s="238" t="s">
        <v>513</v>
      </c>
      <c r="R64" s="239"/>
      <c r="S64" s="237"/>
      <c r="T64" s="237"/>
      <c r="U64" s="316"/>
      <c r="V64" s="378"/>
      <c r="W64" s="322"/>
      <c r="X64" s="2">
        <v>59</v>
      </c>
    </row>
    <row r="65" spans="1:24" s="85" customFormat="1" ht="75" x14ac:dyDescent="0.25">
      <c r="A65" s="109">
        <v>8</v>
      </c>
      <c r="B65" s="110" t="s">
        <v>56</v>
      </c>
      <c r="C65" s="110"/>
      <c r="D65" s="110"/>
      <c r="E65" s="110" t="s">
        <v>225</v>
      </c>
      <c r="F65" s="117" t="s">
        <v>226</v>
      </c>
      <c r="G65" s="111" t="s">
        <v>227</v>
      </c>
      <c r="H65" s="112">
        <v>30012.16</v>
      </c>
      <c r="I65" s="113">
        <f>IF(X65 = 60, H65 + SUM(S65:S65) - SUM(T65:T65) - SUM(P65:P65) - V65,0)</f>
        <v>22509.119999999999</v>
      </c>
      <c r="J65" s="114">
        <v>274062111</v>
      </c>
      <c r="K65" s="115" t="s">
        <v>160</v>
      </c>
      <c r="L65" s="110"/>
      <c r="M65" s="110" t="s">
        <v>228</v>
      </c>
      <c r="N65" s="117" t="s">
        <v>377</v>
      </c>
      <c r="O65" s="117" t="s">
        <v>229</v>
      </c>
      <c r="P65" s="112">
        <v>7503.04</v>
      </c>
      <c r="Q65" s="111" t="s">
        <v>375</v>
      </c>
      <c r="R65" s="110"/>
      <c r="S65" s="112"/>
      <c r="T65" s="112"/>
      <c r="U65" s="112"/>
      <c r="V65" s="116"/>
      <c r="W65" s="108"/>
      <c r="X65" s="85">
        <v>60</v>
      </c>
    </row>
    <row r="66" spans="1:24" s="85" customFormat="1" ht="127.15" customHeight="1" x14ac:dyDescent="0.25">
      <c r="A66" s="308">
        <v>9</v>
      </c>
      <c r="B66" s="305" t="s">
        <v>56</v>
      </c>
      <c r="C66" s="305"/>
      <c r="D66" s="305"/>
      <c r="E66" s="305" t="s">
        <v>159</v>
      </c>
      <c r="F66" s="311" t="s">
        <v>236</v>
      </c>
      <c r="G66" s="344" t="s">
        <v>259</v>
      </c>
      <c r="H66" s="314">
        <v>114400</v>
      </c>
      <c r="I66" s="326">
        <f>IF(X66 = 61, H66 + SUM(S66:S75) - SUM(T66:T75) - SUM(P66:P75) - V66,0)</f>
        <v>61880</v>
      </c>
      <c r="J66" s="379">
        <v>2353017179</v>
      </c>
      <c r="K66" s="381" t="s">
        <v>166</v>
      </c>
      <c r="L66" s="305"/>
      <c r="M66" s="305" t="s">
        <v>214</v>
      </c>
      <c r="N66" s="240" t="s">
        <v>307</v>
      </c>
      <c r="O66" s="311" t="s">
        <v>260</v>
      </c>
      <c r="P66" s="236">
        <v>4800</v>
      </c>
      <c r="Q66" s="235" t="s">
        <v>314</v>
      </c>
      <c r="R66" s="234"/>
      <c r="S66" s="236"/>
      <c r="T66" s="236"/>
      <c r="U66" s="314"/>
      <c r="V66" s="377"/>
      <c r="W66" s="320"/>
      <c r="X66" s="85">
        <v>61</v>
      </c>
    </row>
    <row r="67" spans="1:24" x14ac:dyDescent="0.25">
      <c r="A67" s="309"/>
      <c r="B67" s="306"/>
      <c r="C67" s="306"/>
      <c r="D67" s="306"/>
      <c r="E67" s="306"/>
      <c r="F67" s="312"/>
      <c r="G67" s="345"/>
      <c r="H67" s="315"/>
      <c r="I67" s="327"/>
      <c r="J67" s="384"/>
      <c r="K67" s="385"/>
      <c r="L67" s="306"/>
      <c r="M67" s="306"/>
      <c r="N67" s="245" t="s">
        <v>307</v>
      </c>
      <c r="O67" s="312"/>
      <c r="P67" s="242">
        <v>5600</v>
      </c>
      <c r="Q67" s="243" t="s">
        <v>314</v>
      </c>
      <c r="R67" s="244"/>
      <c r="S67" s="242"/>
      <c r="T67" s="242"/>
      <c r="U67" s="315"/>
      <c r="V67" s="383"/>
      <c r="W67" s="321"/>
      <c r="X67" s="2">
        <v>61</v>
      </c>
    </row>
    <row r="68" spans="1:24" x14ac:dyDescent="0.25">
      <c r="A68" s="309"/>
      <c r="B68" s="306"/>
      <c r="C68" s="306"/>
      <c r="D68" s="306"/>
      <c r="E68" s="306"/>
      <c r="F68" s="312"/>
      <c r="G68" s="345"/>
      <c r="H68" s="315"/>
      <c r="I68" s="327"/>
      <c r="J68" s="384"/>
      <c r="K68" s="385"/>
      <c r="L68" s="306"/>
      <c r="M68" s="306"/>
      <c r="N68" s="245" t="s">
        <v>347</v>
      </c>
      <c r="O68" s="312"/>
      <c r="P68" s="242">
        <v>4560</v>
      </c>
      <c r="Q68" s="243" t="s">
        <v>351</v>
      </c>
      <c r="R68" s="244"/>
      <c r="S68" s="242"/>
      <c r="T68" s="242"/>
      <c r="U68" s="315"/>
      <c r="V68" s="383"/>
      <c r="W68" s="321"/>
      <c r="X68" s="2">
        <v>61</v>
      </c>
    </row>
    <row r="69" spans="1:24" x14ac:dyDescent="0.25">
      <c r="A69" s="309"/>
      <c r="B69" s="306"/>
      <c r="C69" s="306"/>
      <c r="D69" s="306"/>
      <c r="E69" s="306"/>
      <c r="F69" s="312"/>
      <c r="G69" s="345"/>
      <c r="H69" s="315"/>
      <c r="I69" s="327"/>
      <c r="J69" s="384"/>
      <c r="K69" s="385"/>
      <c r="L69" s="306"/>
      <c r="M69" s="306"/>
      <c r="N69" s="245" t="s">
        <v>347</v>
      </c>
      <c r="O69" s="312"/>
      <c r="P69" s="242">
        <v>5320</v>
      </c>
      <c r="Q69" s="243" t="s">
        <v>351</v>
      </c>
      <c r="R69" s="244"/>
      <c r="S69" s="242"/>
      <c r="T69" s="242"/>
      <c r="U69" s="315"/>
      <c r="V69" s="383"/>
      <c r="W69" s="321"/>
      <c r="X69" s="2">
        <v>61</v>
      </c>
    </row>
    <row r="70" spans="1:24" x14ac:dyDescent="0.25">
      <c r="A70" s="309"/>
      <c r="B70" s="306"/>
      <c r="C70" s="306"/>
      <c r="D70" s="306"/>
      <c r="E70" s="306"/>
      <c r="F70" s="312"/>
      <c r="G70" s="345"/>
      <c r="H70" s="315"/>
      <c r="I70" s="327"/>
      <c r="J70" s="384"/>
      <c r="K70" s="385"/>
      <c r="L70" s="306"/>
      <c r="M70" s="306"/>
      <c r="N70" s="245" t="s">
        <v>374</v>
      </c>
      <c r="O70" s="312"/>
      <c r="P70" s="242">
        <v>3840</v>
      </c>
      <c r="Q70" s="243" t="s">
        <v>379</v>
      </c>
      <c r="R70" s="244"/>
      <c r="S70" s="242"/>
      <c r="T70" s="242"/>
      <c r="U70" s="315"/>
      <c r="V70" s="383"/>
      <c r="W70" s="321"/>
      <c r="X70" s="2">
        <v>61</v>
      </c>
    </row>
    <row r="71" spans="1:24" x14ac:dyDescent="0.25">
      <c r="A71" s="309"/>
      <c r="B71" s="306"/>
      <c r="C71" s="306"/>
      <c r="D71" s="306"/>
      <c r="E71" s="306"/>
      <c r="F71" s="312"/>
      <c r="G71" s="345"/>
      <c r="H71" s="315"/>
      <c r="I71" s="327"/>
      <c r="J71" s="384"/>
      <c r="K71" s="385"/>
      <c r="L71" s="306"/>
      <c r="M71" s="306"/>
      <c r="N71" s="245" t="s">
        <v>374</v>
      </c>
      <c r="O71" s="312"/>
      <c r="P71" s="242">
        <v>4480</v>
      </c>
      <c r="Q71" s="243" t="s">
        <v>379</v>
      </c>
      <c r="R71" s="244"/>
      <c r="S71" s="242"/>
      <c r="T71" s="242"/>
      <c r="U71" s="315"/>
      <c r="V71" s="383"/>
      <c r="W71" s="321"/>
      <c r="X71" s="2">
        <v>61</v>
      </c>
    </row>
    <row r="72" spans="1:24" x14ac:dyDescent="0.25">
      <c r="A72" s="309"/>
      <c r="B72" s="306"/>
      <c r="C72" s="306"/>
      <c r="D72" s="306"/>
      <c r="E72" s="306"/>
      <c r="F72" s="312"/>
      <c r="G72" s="345"/>
      <c r="H72" s="315"/>
      <c r="I72" s="327"/>
      <c r="J72" s="384"/>
      <c r="K72" s="385"/>
      <c r="L72" s="306"/>
      <c r="M72" s="306"/>
      <c r="N72" s="245" t="s">
        <v>463</v>
      </c>
      <c r="O72" s="312"/>
      <c r="P72" s="242">
        <v>5640</v>
      </c>
      <c r="Q72" s="243" t="s">
        <v>467</v>
      </c>
      <c r="R72" s="244"/>
      <c r="S72" s="242"/>
      <c r="T72" s="242"/>
      <c r="U72" s="315"/>
      <c r="V72" s="383"/>
      <c r="W72" s="321"/>
      <c r="X72" s="2">
        <v>61</v>
      </c>
    </row>
    <row r="73" spans="1:24" x14ac:dyDescent="0.25">
      <c r="A73" s="309"/>
      <c r="B73" s="306"/>
      <c r="C73" s="306"/>
      <c r="D73" s="306"/>
      <c r="E73" s="306"/>
      <c r="F73" s="312"/>
      <c r="G73" s="345"/>
      <c r="H73" s="315"/>
      <c r="I73" s="327"/>
      <c r="J73" s="384"/>
      <c r="K73" s="385"/>
      <c r="L73" s="306"/>
      <c r="M73" s="306"/>
      <c r="N73" s="245" t="s">
        <v>463</v>
      </c>
      <c r="O73" s="312"/>
      <c r="P73" s="242">
        <v>6580</v>
      </c>
      <c r="Q73" s="243" t="s">
        <v>467</v>
      </c>
      <c r="R73" s="244"/>
      <c r="S73" s="242"/>
      <c r="T73" s="242"/>
      <c r="U73" s="315"/>
      <c r="V73" s="383"/>
      <c r="W73" s="321"/>
      <c r="X73" s="2">
        <v>61</v>
      </c>
    </row>
    <row r="74" spans="1:24" x14ac:dyDescent="0.25">
      <c r="A74" s="309"/>
      <c r="B74" s="306"/>
      <c r="C74" s="306"/>
      <c r="D74" s="306"/>
      <c r="E74" s="306"/>
      <c r="F74" s="312"/>
      <c r="G74" s="345"/>
      <c r="H74" s="315"/>
      <c r="I74" s="327"/>
      <c r="J74" s="384"/>
      <c r="K74" s="385"/>
      <c r="L74" s="306"/>
      <c r="M74" s="306"/>
      <c r="N74" s="245" t="s">
        <v>473</v>
      </c>
      <c r="O74" s="312"/>
      <c r="P74" s="242">
        <v>5400</v>
      </c>
      <c r="Q74" s="243" t="s">
        <v>512</v>
      </c>
      <c r="R74" s="244"/>
      <c r="S74" s="242"/>
      <c r="T74" s="242"/>
      <c r="U74" s="315"/>
      <c r="V74" s="383"/>
      <c r="W74" s="321"/>
      <c r="X74" s="2">
        <v>61</v>
      </c>
    </row>
    <row r="75" spans="1:24" x14ac:dyDescent="0.25">
      <c r="A75" s="310"/>
      <c r="B75" s="307"/>
      <c r="C75" s="307"/>
      <c r="D75" s="307"/>
      <c r="E75" s="307"/>
      <c r="F75" s="313"/>
      <c r="G75" s="346"/>
      <c r="H75" s="316"/>
      <c r="I75" s="328"/>
      <c r="J75" s="380"/>
      <c r="K75" s="382"/>
      <c r="L75" s="307"/>
      <c r="M75" s="307"/>
      <c r="N75" s="241" t="s">
        <v>473</v>
      </c>
      <c r="O75" s="313"/>
      <c r="P75" s="237">
        <v>6300</v>
      </c>
      <c r="Q75" s="238" t="s">
        <v>512</v>
      </c>
      <c r="R75" s="239"/>
      <c r="S75" s="237"/>
      <c r="T75" s="237"/>
      <c r="U75" s="316"/>
      <c r="V75" s="378"/>
      <c r="W75" s="322"/>
      <c r="X75" s="2">
        <v>61</v>
      </c>
    </row>
    <row r="76" spans="1:24" s="85" customFormat="1" ht="72" customHeight="1" x14ac:dyDescent="0.25">
      <c r="A76" s="308">
        <v>10</v>
      </c>
      <c r="B76" s="305" t="s">
        <v>56</v>
      </c>
      <c r="C76" s="305"/>
      <c r="D76" s="305"/>
      <c r="E76" s="305" t="s">
        <v>248</v>
      </c>
      <c r="F76" s="311" t="s">
        <v>236</v>
      </c>
      <c r="G76" s="344" t="s">
        <v>184</v>
      </c>
      <c r="H76" s="314">
        <v>598920</v>
      </c>
      <c r="I76" s="326">
        <f>IF(X76 = 62, H76 + SUM(S76:S80) - SUM(T76:T80) - SUM(P76:P80) - V76,0)</f>
        <v>4.3655745685100555E-11</v>
      </c>
      <c r="J76" s="379">
        <v>235300578903</v>
      </c>
      <c r="K76" s="381" t="s">
        <v>148</v>
      </c>
      <c r="L76" s="305"/>
      <c r="M76" s="305" t="s">
        <v>249</v>
      </c>
      <c r="N76" s="240" t="s">
        <v>307</v>
      </c>
      <c r="O76" s="311" t="s">
        <v>296</v>
      </c>
      <c r="P76" s="236">
        <v>101430</v>
      </c>
      <c r="Q76" s="235" t="s">
        <v>309</v>
      </c>
      <c r="R76" s="234"/>
      <c r="S76" s="236"/>
      <c r="T76" s="236"/>
      <c r="U76" s="314" t="s">
        <v>518</v>
      </c>
      <c r="V76" s="377">
        <v>51970.8</v>
      </c>
      <c r="W76" s="320"/>
      <c r="X76" s="85">
        <v>62</v>
      </c>
    </row>
    <row r="77" spans="1:24" x14ac:dyDescent="0.25">
      <c r="A77" s="309"/>
      <c r="B77" s="306"/>
      <c r="C77" s="306"/>
      <c r="D77" s="306"/>
      <c r="E77" s="306"/>
      <c r="F77" s="312"/>
      <c r="G77" s="345"/>
      <c r="H77" s="315"/>
      <c r="I77" s="327"/>
      <c r="J77" s="384"/>
      <c r="K77" s="385"/>
      <c r="L77" s="306"/>
      <c r="M77" s="306"/>
      <c r="N77" s="245" t="s">
        <v>347</v>
      </c>
      <c r="O77" s="312"/>
      <c r="P77" s="242">
        <v>107950.5</v>
      </c>
      <c r="Q77" s="243" t="s">
        <v>349</v>
      </c>
      <c r="R77" s="244"/>
      <c r="S77" s="242"/>
      <c r="T77" s="242"/>
      <c r="U77" s="315"/>
      <c r="V77" s="383"/>
      <c r="W77" s="321"/>
      <c r="X77" s="2">
        <v>62</v>
      </c>
    </row>
    <row r="78" spans="1:24" x14ac:dyDescent="0.25">
      <c r="A78" s="309"/>
      <c r="B78" s="306"/>
      <c r="C78" s="306"/>
      <c r="D78" s="306"/>
      <c r="E78" s="306"/>
      <c r="F78" s="312"/>
      <c r="G78" s="345"/>
      <c r="H78" s="315"/>
      <c r="I78" s="327"/>
      <c r="J78" s="384"/>
      <c r="K78" s="385"/>
      <c r="L78" s="306"/>
      <c r="M78" s="306"/>
      <c r="N78" s="245" t="s">
        <v>374</v>
      </c>
      <c r="O78" s="312"/>
      <c r="P78" s="242">
        <v>103555.2</v>
      </c>
      <c r="Q78" s="243" t="s">
        <v>382</v>
      </c>
      <c r="R78" s="244"/>
      <c r="S78" s="242"/>
      <c r="T78" s="242"/>
      <c r="U78" s="315"/>
      <c r="V78" s="383"/>
      <c r="W78" s="321"/>
      <c r="X78" s="2">
        <v>62</v>
      </c>
    </row>
    <row r="79" spans="1:24" x14ac:dyDescent="0.25">
      <c r="A79" s="309"/>
      <c r="B79" s="306"/>
      <c r="C79" s="306"/>
      <c r="D79" s="306"/>
      <c r="E79" s="306"/>
      <c r="F79" s="312"/>
      <c r="G79" s="345"/>
      <c r="H79" s="315"/>
      <c r="I79" s="327"/>
      <c r="J79" s="384"/>
      <c r="K79" s="385"/>
      <c r="L79" s="306"/>
      <c r="M79" s="306"/>
      <c r="N79" s="245" t="s">
        <v>464</v>
      </c>
      <c r="O79" s="312"/>
      <c r="P79" s="242">
        <v>111090</v>
      </c>
      <c r="Q79" s="243" t="s">
        <v>465</v>
      </c>
      <c r="R79" s="244"/>
      <c r="S79" s="242"/>
      <c r="T79" s="242"/>
      <c r="U79" s="315"/>
      <c r="V79" s="383"/>
      <c r="W79" s="321"/>
      <c r="X79" s="2">
        <v>62</v>
      </c>
    </row>
    <row r="80" spans="1:24" x14ac:dyDescent="0.25">
      <c r="A80" s="310"/>
      <c r="B80" s="307"/>
      <c r="C80" s="307"/>
      <c r="D80" s="307"/>
      <c r="E80" s="307"/>
      <c r="F80" s="313"/>
      <c r="G80" s="346"/>
      <c r="H80" s="316"/>
      <c r="I80" s="328"/>
      <c r="J80" s="380"/>
      <c r="K80" s="382"/>
      <c r="L80" s="307"/>
      <c r="M80" s="307"/>
      <c r="N80" s="241" t="s">
        <v>473</v>
      </c>
      <c r="O80" s="313"/>
      <c r="P80" s="237">
        <v>122923.5</v>
      </c>
      <c r="Q80" s="238" t="s">
        <v>512</v>
      </c>
      <c r="R80" s="239"/>
      <c r="S80" s="237"/>
      <c r="T80" s="237"/>
      <c r="U80" s="316"/>
      <c r="V80" s="378"/>
      <c r="W80" s="322"/>
      <c r="X80" s="2">
        <v>62</v>
      </c>
    </row>
    <row r="81" spans="1:24" s="85" customFormat="1" ht="72" customHeight="1" x14ac:dyDescent="0.25">
      <c r="A81" s="361">
        <v>11</v>
      </c>
      <c r="B81" s="367" t="s">
        <v>56</v>
      </c>
      <c r="C81" s="367"/>
      <c r="D81" s="367"/>
      <c r="E81" s="367" t="s">
        <v>277</v>
      </c>
      <c r="F81" s="363" t="s">
        <v>283</v>
      </c>
      <c r="G81" s="373" t="s">
        <v>299</v>
      </c>
      <c r="H81" s="365">
        <v>540855.12</v>
      </c>
      <c r="I81" s="375">
        <f>IF(X81 = 63, H81 + SUM(S81:S96) - SUM(T81:T96) - SUM(P81:P96) - V81,0)</f>
        <v>8.7311491370201111E-11</v>
      </c>
      <c r="J81" s="466">
        <v>2353020735</v>
      </c>
      <c r="K81" s="468" t="s">
        <v>286</v>
      </c>
      <c r="L81" s="367"/>
      <c r="M81" s="367" t="s">
        <v>300</v>
      </c>
      <c r="N81" s="179" t="s">
        <v>307</v>
      </c>
      <c r="O81" s="363" t="s">
        <v>288</v>
      </c>
      <c r="P81" s="172">
        <v>3418.85</v>
      </c>
      <c r="Q81" s="171" t="s">
        <v>313</v>
      </c>
      <c r="R81" s="170" t="s">
        <v>363</v>
      </c>
      <c r="S81" s="172">
        <v>3999.24</v>
      </c>
      <c r="T81" s="172"/>
      <c r="U81" s="365" t="s">
        <v>366</v>
      </c>
      <c r="V81" s="461">
        <v>133339.26999999999</v>
      </c>
      <c r="W81" s="371"/>
      <c r="X81" s="85">
        <v>63</v>
      </c>
    </row>
    <row r="82" spans="1:24" x14ac:dyDescent="0.25">
      <c r="A82" s="457"/>
      <c r="B82" s="460"/>
      <c r="C82" s="460"/>
      <c r="D82" s="460"/>
      <c r="E82" s="460"/>
      <c r="F82" s="458"/>
      <c r="G82" s="464"/>
      <c r="H82" s="459"/>
      <c r="I82" s="465"/>
      <c r="J82" s="467"/>
      <c r="K82" s="469"/>
      <c r="L82" s="460"/>
      <c r="M82" s="460"/>
      <c r="N82" s="180" t="s">
        <v>316</v>
      </c>
      <c r="O82" s="458"/>
      <c r="P82" s="173">
        <v>5033.3100000000004</v>
      </c>
      <c r="Q82" s="174" t="s">
        <v>313</v>
      </c>
      <c r="R82" s="175"/>
      <c r="S82" s="173"/>
      <c r="T82" s="173"/>
      <c r="U82" s="459"/>
      <c r="V82" s="462"/>
      <c r="W82" s="463"/>
      <c r="X82" s="2">
        <v>63</v>
      </c>
    </row>
    <row r="83" spans="1:24" x14ac:dyDescent="0.25">
      <c r="A83" s="457"/>
      <c r="B83" s="460"/>
      <c r="C83" s="460"/>
      <c r="D83" s="460"/>
      <c r="E83" s="460"/>
      <c r="F83" s="458"/>
      <c r="G83" s="464"/>
      <c r="H83" s="459"/>
      <c r="I83" s="465"/>
      <c r="J83" s="467"/>
      <c r="K83" s="469"/>
      <c r="L83" s="460"/>
      <c r="M83" s="460"/>
      <c r="N83" s="180" t="s">
        <v>312</v>
      </c>
      <c r="O83" s="458"/>
      <c r="P83" s="173">
        <v>21396.01</v>
      </c>
      <c r="Q83" s="174" t="s">
        <v>314</v>
      </c>
      <c r="R83" s="175"/>
      <c r="S83" s="173"/>
      <c r="T83" s="173"/>
      <c r="U83" s="459"/>
      <c r="V83" s="462"/>
      <c r="W83" s="463"/>
      <c r="X83" s="2">
        <v>63</v>
      </c>
    </row>
    <row r="84" spans="1:24" x14ac:dyDescent="0.25">
      <c r="A84" s="457"/>
      <c r="B84" s="460"/>
      <c r="C84" s="460"/>
      <c r="D84" s="460"/>
      <c r="E84" s="460"/>
      <c r="F84" s="458"/>
      <c r="G84" s="464"/>
      <c r="H84" s="459"/>
      <c r="I84" s="465"/>
      <c r="J84" s="467"/>
      <c r="K84" s="469"/>
      <c r="L84" s="460"/>
      <c r="M84" s="460"/>
      <c r="N84" s="180" t="s">
        <v>312</v>
      </c>
      <c r="O84" s="458"/>
      <c r="P84" s="173">
        <v>1365.73</v>
      </c>
      <c r="Q84" s="174" t="s">
        <v>314</v>
      </c>
      <c r="R84" s="175"/>
      <c r="S84" s="173"/>
      <c r="T84" s="173"/>
      <c r="U84" s="459"/>
      <c r="V84" s="462"/>
      <c r="W84" s="463"/>
      <c r="X84" s="2">
        <v>63</v>
      </c>
    </row>
    <row r="85" spans="1:24" x14ac:dyDescent="0.25">
      <c r="A85" s="457"/>
      <c r="B85" s="460"/>
      <c r="C85" s="460"/>
      <c r="D85" s="460"/>
      <c r="E85" s="460"/>
      <c r="F85" s="458"/>
      <c r="G85" s="464"/>
      <c r="H85" s="459"/>
      <c r="I85" s="465"/>
      <c r="J85" s="467"/>
      <c r="K85" s="469"/>
      <c r="L85" s="460"/>
      <c r="M85" s="460"/>
      <c r="N85" s="180" t="s">
        <v>307</v>
      </c>
      <c r="O85" s="458"/>
      <c r="P85" s="173">
        <v>53560.87</v>
      </c>
      <c r="Q85" s="174" t="s">
        <v>314</v>
      </c>
      <c r="R85" s="175"/>
      <c r="S85" s="173"/>
      <c r="T85" s="173"/>
      <c r="U85" s="459"/>
      <c r="V85" s="462"/>
      <c r="W85" s="463"/>
      <c r="X85" s="2">
        <v>63</v>
      </c>
    </row>
    <row r="86" spans="1:24" x14ac:dyDescent="0.25">
      <c r="A86" s="457"/>
      <c r="B86" s="460"/>
      <c r="C86" s="460"/>
      <c r="D86" s="460"/>
      <c r="E86" s="460"/>
      <c r="F86" s="458"/>
      <c r="G86" s="464"/>
      <c r="H86" s="459"/>
      <c r="I86" s="465"/>
      <c r="J86" s="467"/>
      <c r="K86" s="469"/>
      <c r="L86" s="460"/>
      <c r="M86" s="460"/>
      <c r="N86" s="180" t="s">
        <v>316</v>
      </c>
      <c r="O86" s="458"/>
      <c r="P86" s="173">
        <v>78853.5</v>
      </c>
      <c r="Q86" s="174" t="s">
        <v>314</v>
      </c>
      <c r="R86" s="175"/>
      <c r="S86" s="173"/>
      <c r="T86" s="173"/>
      <c r="U86" s="459"/>
      <c r="V86" s="462"/>
      <c r="W86" s="463"/>
      <c r="X86" s="2">
        <v>63</v>
      </c>
    </row>
    <row r="87" spans="1:24" x14ac:dyDescent="0.25">
      <c r="A87" s="457"/>
      <c r="B87" s="460"/>
      <c r="C87" s="460"/>
      <c r="D87" s="460"/>
      <c r="E87" s="460"/>
      <c r="F87" s="458"/>
      <c r="G87" s="464"/>
      <c r="H87" s="459"/>
      <c r="I87" s="465"/>
      <c r="J87" s="467"/>
      <c r="K87" s="469"/>
      <c r="L87" s="460"/>
      <c r="M87" s="460"/>
      <c r="N87" s="180" t="s">
        <v>315</v>
      </c>
      <c r="O87" s="458"/>
      <c r="P87" s="173">
        <v>64258.87</v>
      </c>
      <c r="Q87" s="174" t="s">
        <v>346</v>
      </c>
      <c r="R87" s="175"/>
      <c r="S87" s="173"/>
      <c r="T87" s="173"/>
      <c r="U87" s="459"/>
      <c r="V87" s="462"/>
      <c r="W87" s="463"/>
      <c r="X87" s="2">
        <v>63</v>
      </c>
    </row>
    <row r="88" spans="1:24" x14ac:dyDescent="0.25">
      <c r="A88" s="457"/>
      <c r="B88" s="460"/>
      <c r="C88" s="460"/>
      <c r="D88" s="460"/>
      <c r="E88" s="460"/>
      <c r="F88" s="458"/>
      <c r="G88" s="464"/>
      <c r="H88" s="459"/>
      <c r="I88" s="465"/>
      <c r="J88" s="467"/>
      <c r="K88" s="469"/>
      <c r="L88" s="460"/>
      <c r="M88" s="460"/>
      <c r="N88" s="180" t="s">
        <v>315</v>
      </c>
      <c r="O88" s="458"/>
      <c r="P88" s="173">
        <v>4101.72</v>
      </c>
      <c r="Q88" s="174" t="s">
        <v>346</v>
      </c>
      <c r="R88" s="175"/>
      <c r="S88" s="173"/>
      <c r="T88" s="173"/>
      <c r="U88" s="459"/>
      <c r="V88" s="462"/>
      <c r="W88" s="463"/>
      <c r="X88" s="2">
        <v>63</v>
      </c>
    </row>
    <row r="89" spans="1:24" x14ac:dyDescent="0.25">
      <c r="A89" s="457"/>
      <c r="B89" s="460"/>
      <c r="C89" s="460"/>
      <c r="D89" s="460"/>
      <c r="E89" s="460"/>
      <c r="F89" s="458"/>
      <c r="G89" s="464"/>
      <c r="H89" s="459"/>
      <c r="I89" s="465"/>
      <c r="J89" s="467"/>
      <c r="K89" s="469"/>
      <c r="L89" s="460"/>
      <c r="M89" s="460"/>
      <c r="N89" s="180" t="s">
        <v>348</v>
      </c>
      <c r="O89" s="458"/>
      <c r="P89" s="173">
        <v>22033.64</v>
      </c>
      <c r="Q89" s="174" t="s">
        <v>359</v>
      </c>
      <c r="R89" s="175"/>
      <c r="S89" s="173"/>
      <c r="T89" s="173"/>
      <c r="U89" s="459"/>
      <c r="V89" s="462"/>
      <c r="W89" s="463"/>
      <c r="X89" s="2">
        <v>63</v>
      </c>
    </row>
    <row r="90" spans="1:24" x14ac:dyDescent="0.25">
      <c r="A90" s="457"/>
      <c r="B90" s="460"/>
      <c r="C90" s="460"/>
      <c r="D90" s="460"/>
      <c r="E90" s="460"/>
      <c r="F90" s="458"/>
      <c r="G90" s="464"/>
      <c r="H90" s="459"/>
      <c r="I90" s="465"/>
      <c r="J90" s="467"/>
      <c r="K90" s="469"/>
      <c r="L90" s="460"/>
      <c r="M90" s="460"/>
      <c r="N90" s="180" t="s">
        <v>348</v>
      </c>
      <c r="O90" s="458"/>
      <c r="P90" s="173">
        <v>1406.43</v>
      </c>
      <c r="Q90" s="174" t="s">
        <v>359</v>
      </c>
      <c r="R90" s="175"/>
      <c r="S90" s="173"/>
      <c r="T90" s="173"/>
      <c r="U90" s="459"/>
      <c r="V90" s="462"/>
      <c r="W90" s="463"/>
      <c r="X90" s="2">
        <v>63</v>
      </c>
    </row>
    <row r="91" spans="1:24" x14ac:dyDescent="0.25">
      <c r="A91" s="457"/>
      <c r="B91" s="460"/>
      <c r="C91" s="460"/>
      <c r="D91" s="460"/>
      <c r="E91" s="460"/>
      <c r="F91" s="458"/>
      <c r="G91" s="464"/>
      <c r="H91" s="459"/>
      <c r="I91" s="465"/>
      <c r="J91" s="467"/>
      <c r="K91" s="469"/>
      <c r="L91" s="460"/>
      <c r="M91" s="460"/>
      <c r="N91" s="180" t="s">
        <v>347</v>
      </c>
      <c r="O91" s="458"/>
      <c r="P91" s="173">
        <v>39320.480000000003</v>
      </c>
      <c r="Q91" s="174" t="s">
        <v>359</v>
      </c>
      <c r="R91" s="175"/>
      <c r="S91" s="173"/>
      <c r="T91" s="173"/>
      <c r="U91" s="459"/>
      <c r="V91" s="462"/>
      <c r="W91" s="463"/>
      <c r="X91" s="2">
        <v>63</v>
      </c>
    </row>
    <row r="92" spans="1:24" x14ac:dyDescent="0.25">
      <c r="A92" s="457"/>
      <c r="B92" s="460"/>
      <c r="C92" s="460"/>
      <c r="D92" s="460"/>
      <c r="E92" s="460"/>
      <c r="F92" s="458"/>
      <c r="G92" s="464"/>
      <c r="H92" s="459"/>
      <c r="I92" s="465"/>
      <c r="J92" s="467"/>
      <c r="K92" s="469"/>
      <c r="L92" s="460"/>
      <c r="M92" s="460"/>
      <c r="N92" s="180" t="s">
        <v>347</v>
      </c>
      <c r="O92" s="458"/>
      <c r="P92" s="173">
        <v>2509.87</v>
      </c>
      <c r="Q92" s="174" t="s">
        <v>359</v>
      </c>
      <c r="R92" s="175"/>
      <c r="S92" s="173"/>
      <c r="T92" s="173"/>
      <c r="U92" s="459"/>
      <c r="V92" s="462"/>
      <c r="W92" s="463"/>
      <c r="X92" s="2">
        <v>63</v>
      </c>
    </row>
    <row r="93" spans="1:24" x14ac:dyDescent="0.25">
      <c r="A93" s="457"/>
      <c r="B93" s="460"/>
      <c r="C93" s="460"/>
      <c r="D93" s="460"/>
      <c r="E93" s="460"/>
      <c r="F93" s="458"/>
      <c r="G93" s="464"/>
      <c r="H93" s="459"/>
      <c r="I93" s="465"/>
      <c r="J93" s="467"/>
      <c r="K93" s="469"/>
      <c r="L93" s="460"/>
      <c r="M93" s="460"/>
      <c r="N93" s="180" t="s">
        <v>359</v>
      </c>
      <c r="O93" s="458"/>
      <c r="P93" s="173">
        <v>61540.42</v>
      </c>
      <c r="Q93" s="174" t="s">
        <v>356</v>
      </c>
      <c r="R93" s="175"/>
      <c r="S93" s="173"/>
      <c r="T93" s="173"/>
      <c r="U93" s="459"/>
      <c r="V93" s="462"/>
      <c r="W93" s="463"/>
      <c r="X93" s="2">
        <v>63</v>
      </c>
    </row>
    <row r="94" spans="1:24" x14ac:dyDescent="0.25">
      <c r="A94" s="457"/>
      <c r="B94" s="460"/>
      <c r="C94" s="460"/>
      <c r="D94" s="460"/>
      <c r="E94" s="460"/>
      <c r="F94" s="458"/>
      <c r="G94" s="464"/>
      <c r="H94" s="459"/>
      <c r="I94" s="465"/>
      <c r="J94" s="467"/>
      <c r="K94" s="469"/>
      <c r="L94" s="460"/>
      <c r="M94" s="460"/>
      <c r="N94" s="180" t="s">
        <v>359</v>
      </c>
      <c r="O94" s="458"/>
      <c r="P94" s="173">
        <v>3928.19</v>
      </c>
      <c r="Q94" s="174" t="s">
        <v>356</v>
      </c>
      <c r="R94" s="175"/>
      <c r="S94" s="173"/>
      <c r="T94" s="173"/>
      <c r="U94" s="459"/>
      <c r="V94" s="462"/>
      <c r="W94" s="463"/>
      <c r="X94" s="2">
        <v>63</v>
      </c>
    </row>
    <row r="95" spans="1:24" x14ac:dyDescent="0.25">
      <c r="A95" s="457"/>
      <c r="B95" s="460"/>
      <c r="C95" s="460"/>
      <c r="D95" s="460"/>
      <c r="E95" s="460"/>
      <c r="F95" s="458"/>
      <c r="G95" s="464"/>
      <c r="H95" s="459"/>
      <c r="I95" s="465"/>
      <c r="J95" s="467"/>
      <c r="K95" s="469"/>
      <c r="L95" s="460"/>
      <c r="M95" s="460"/>
      <c r="N95" s="180" t="s">
        <v>386</v>
      </c>
      <c r="O95" s="458"/>
      <c r="P95" s="173">
        <v>45859.91</v>
      </c>
      <c r="Q95" s="174" t="s">
        <v>381</v>
      </c>
      <c r="R95" s="175"/>
      <c r="S95" s="173"/>
      <c r="T95" s="173"/>
      <c r="U95" s="459"/>
      <c r="V95" s="462"/>
      <c r="W95" s="463"/>
      <c r="X95" s="2">
        <v>63</v>
      </c>
    </row>
    <row r="96" spans="1:24" x14ac:dyDescent="0.25">
      <c r="A96" s="362"/>
      <c r="B96" s="368"/>
      <c r="C96" s="368"/>
      <c r="D96" s="368"/>
      <c r="E96" s="368"/>
      <c r="F96" s="364"/>
      <c r="G96" s="374"/>
      <c r="H96" s="366"/>
      <c r="I96" s="376"/>
      <c r="J96" s="470"/>
      <c r="K96" s="471"/>
      <c r="L96" s="368"/>
      <c r="M96" s="368"/>
      <c r="N96" s="181" t="s">
        <v>386</v>
      </c>
      <c r="O96" s="364"/>
      <c r="P96" s="176">
        <v>2927.29</v>
      </c>
      <c r="Q96" s="177" t="s">
        <v>381</v>
      </c>
      <c r="R96" s="178"/>
      <c r="S96" s="176"/>
      <c r="T96" s="176"/>
      <c r="U96" s="366"/>
      <c r="V96" s="472"/>
      <c r="W96" s="372"/>
      <c r="X96" s="2">
        <v>63</v>
      </c>
    </row>
    <row r="97" spans="1:24" s="85" customFormat="1" ht="72" customHeight="1" x14ac:dyDescent="0.25">
      <c r="A97" s="361">
        <v>12</v>
      </c>
      <c r="B97" s="367" t="s">
        <v>56</v>
      </c>
      <c r="C97" s="367"/>
      <c r="D97" s="367"/>
      <c r="E97" s="367" t="s">
        <v>297</v>
      </c>
      <c r="F97" s="363" t="s">
        <v>283</v>
      </c>
      <c r="G97" s="373" t="s">
        <v>301</v>
      </c>
      <c r="H97" s="365">
        <v>179400</v>
      </c>
      <c r="I97" s="375">
        <f>IF(X97 = 65, H97 + SUM(S97:S104) - SUM(T97:T104) - SUM(P97:P104) - V97,0)</f>
        <v>0</v>
      </c>
      <c r="J97" s="466">
        <v>2353020735</v>
      </c>
      <c r="K97" s="468" t="s">
        <v>286</v>
      </c>
      <c r="L97" s="367"/>
      <c r="M97" s="367" t="s">
        <v>300</v>
      </c>
      <c r="N97" s="179" t="s">
        <v>307</v>
      </c>
      <c r="O97" s="363" t="s">
        <v>288</v>
      </c>
      <c r="P97" s="172">
        <v>18900</v>
      </c>
      <c r="Q97" s="171" t="s">
        <v>313</v>
      </c>
      <c r="R97" s="170"/>
      <c r="S97" s="172"/>
      <c r="T97" s="172"/>
      <c r="U97" s="365" t="s">
        <v>366</v>
      </c>
      <c r="V97" s="461">
        <v>41725</v>
      </c>
      <c r="W97" s="371"/>
      <c r="X97" s="85">
        <v>65</v>
      </c>
    </row>
    <row r="98" spans="1:24" x14ac:dyDescent="0.25">
      <c r="A98" s="457"/>
      <c r="B98" s="460"/>
      <c r="C98" s="460"/>
      <c r="D98" s="460"/>
      <c r="E98" s="460"/>
      <c r="F98" s="458"/>
      <c r="G98" s="464"/>
      <c r="H98" s="459"/>
      <c r="I98" s="465"/>
      <c r="J98" s="467"/>
      <c r="K98" s="469"/>
      <c r="L98" s="460"/>
      <c r="M98" s="460"/>
      <c r="N98" s="180" t="s">
        <v>316</v>
      </c>
      <c r="O98" s="458"/>
      <c r="P98" s="173">
        <v>27825</v>
      </c>
      <c r="Q98" s="174" t="s">
        <v>313</v>
      </c>
      <c r="R98" s="175"/>
      <c r="S98" s="173"/>
      <c r="T98" s="173"/>
      <c r="U98" s="459"/>
      <c r="V98" s="462"/>
      <c r="W98" s="463"/>
      <c r="X98" s="2">
        <v>65</v>
      </c>
    </row>
    <row r="99" spans="1:24" x14ac:dyDescent="0.25">
      <c r="A99" s="457"/>
      <c r="B99" s="460"/>
      <c r="C99" s="460"/>
      <c r="D99" s="460"/>
      <c r="E99" s="460"/>
      <c r="F99" s="458"/>
      <c r="G99" s="464"/>
      <c r="H99" s="459"/>
      <c r="I99" s="465"/>
      <c r="J99" s="467"/>
      <c r="K99" s="469"/>
      <c r="L99" s="460"/>
      <c r="M99" s="460"/>
      <c r="N99" s="180" t="s">
        <v>312</v>
      </c>
      <c r="O99" s="458"/>
      <c r="P99" s="173">
        <v>7550</v>
      </c>
      <c r="Q99" s="174" t="s">
        <v>314</v>
      </c>
      <c r="R99" s="175"/>
      <c r="S99" s="173"/>
      <c r="T99" s="173"/>
      <c r="U99" s="459"/>
      <c r="V99" s="462"/>
      <c r="W99" s="463"/>
      <c r="X99" s="2">
        <v>65</v>
      </c>
    </row>
    <row r="100" spans="1:24" x14ac:dyDescent="0.25">
      <c r="A100" s="457"/>
      <c r="B100" s="460"/>
      <c r="C100" s="460"/>
      <c r="D100" s="460"/>
      <c r="E100" s="460"/>
      <c r="F100" s="458"/>
      <c r="G100" s="464"/>
      <c r="H100" s="459"/>
      <c r="I100" s="465"/>
      <c r="J100" s="467"/>
      <c r="K100" s="469"/>
      <c r="L100" s="460"/>
      <c r="M100" s="460"/>
      <c r="N100" s="180" t="s">
        <v>315</v>
      </c>
      <c r="O100" s="458"/>
      <c r="P100" s="173">
        <v>22675</v>
      </c>
      <c r="Q100" s="174" t="s">
        <v>346</v>
      </c>
      <c r="R100" s="175"/>
      <c r="S100" s="173"/>
      <c r="T100" s="173"/>
      <c r="U100" s="459"/>
      <c r="V100" s="462"/>
      <c r="W100" s="463"/>
      <c r="X100" s="2">
        <v>65</v>
      </c>
    </row>
    <row r="101" spans="1:24" x14ac:dyDescent="0.25">
      <c r="A101" s="457"/>
      <c r="B101" s="460"/>
      <c r="C101" s="460"/>
      <c r="D101" s="460"/>
      <c r="E101" s="460"/>
      <c r="F101" s="458"/>
      <c r="G101" s="464"/>
      <c r="H101" s="459"/>
      <c r="I101" s="465"/>
      <c r="J101" s="467"/>
      <c r="K101" s="469"/>
      <c r="L101" s="460"/>
      <c r="M101" s="460"/>
      <c r="N101" s="180" t="s">
        <v>347</v>
      </c>
      <c r="O101" s="458"/>
      <c r="P101" s="173">
        <v>13875</v>
      </c>
      <c r="Q101" s="174" t="s">
        <v>357</v>
      </c>
      <c r="R101" s="175"/>
      <c r="S101" s="173"/>
      <c r="T101" s="173"/>
      <c r="U101" s="459"/>
      <c r="V101" s="462"/>
      <c r="W101" s="463"/>
      <c r="X101" s="2">
        <v>65</v>
      </c>
    </row>
    <row r="102" spans="1:24" x14ac:dyDescent="0.25">
      <c r="A102" s="457"/>
      <c r="B102" s="460"/>
      <c r="C102" s="460"/>
      <c r="D102" s="460"/>
      <c r="E102" s="460"/>
      <c r="F102" s="458"/>
      <c r="G102" s="464"/>
      <c r="H102" s="459"/>
      <c r="I102" s="465"/>
      <c r="J102" s="467"/>
      <c r="K102" s="469"/>
      <c r="L102" s="460"/>
      <c r="M102" s="460"/>
      <c r="N102" s="180" t="s">
        <v>348</v>
      </c>
      <c r="O102" s="458"/>
      <c r="P102" s="173">
        <v>7775</v>
      </c>
      <c r="Q102" s="174" t="s">
        <v>352</v>
      </c>
      <c r="R102" s="175"/>
      <c r="S102" s="173"/>
      <c r="T102" s="173"/>
      <c r="U102" s="459"/>
      <c r="V102" s="462"/>
      <c r="W102" s="463"/>
      <c r="X102" s="2">
        <v>65</v>
      </c>
    </row>
    <row r="103" spans="1:24" x14ac:dyDescent="0.25">
      <c r="A103" s="457"/>
      <c r="B103" s="460"/>
      <c r="C103" s="460"/>
      <c r="D103" s="460"/>
      <c r="E103" s="460"/>
      <c r="F103" s="458"/>
      <c r="G103" s="464"/>
      <c r="H103" s="459"/>
      <c r="I103" s="465"/>
      <c r="J103" s="467"/>
      <c r="K103" s="469"/>
      <c r="L103" s="460"/>
      <c r="M103" s="460"/>
      <c r="N103" s="180" t="s">
        <v>359</v>
      </c>
      <c r="O103" s="458"/>
      <c r="P103" s="173">
        <v>23325</v>
      </c>
      <c r="Q103" s="174" t="s">
        <v>356</v>
      </c>
      <c r="R103" s="175"/>
      <c r="S103" s="173"/>
      <c r="T103" s="173"/>
      <c r="U103" s="459"/>
      <c r="V103" s="462"/>
      <c r="W103" s="463"/>
      <c r="X103" s="2">
        <v>65</v>
      </c>
    </row>
    <row r="104" spans="1:24" x14ac:dyDescent="0.25">
      <c r="A104" s="362"/>
      <c r="B104" s="368"/>
      <c r="C104" s="368"/>
      <c r="D104" s="368"/>
      <c r="E104" s="368"/>
      <c r="F104" s="364"/>
      <c r="G104" s="374"/>
      <c r="H104" s="366"/>
      <c r="I104" s="376"/>
      <c r="J104" s="470"/>
      <c r="K104" s="471"/>
      <c r="L104" s="368"/>
      <c r="M104" s="368"/>
      <c r="N104" s="181" t="s">
        <v>386</v>
      </c>
      <c r="O104" s="364"/>
      <c r="P104" s="176">
        <v>15750</v>
      </c>
      <c r="Q104" s="177" t="s">
        <v>380</v>
      </c>
      <c r="R104" s="178"/>
      <c r="S104" s="176"/>
      <c r="T104" s="176"/>
      <c r="U104" s="366"/>
      <c r="V104" s="472"/>
      <c r="W104" s="372"/>
      <c r="X104" s="2">
        <v>65</v>
      </c>
    </row>
    <row r="105" spans="1:24" s="85" customFormat="1" ht="87.6" customHeight="1" x14ac:dyDescent="0.25">
      <c r="A105" s="308">
        <v>13</v>
      </c>
      <c r="B105" s="305" t="s">
        <v>56</v>
      </c>
      <c r="C105" s="305"/>
      <c r="D105" s="305"/>
      <c r="E105" s="305" t="s">
        <v>298</v>
      </c>
      <c r="F105" s="311" t="s">
        <v>283</v>
      </c>
      <c r="G105" s="344" t="s">
        <v>302</v>
      </c>
      <c r="H105" s="314">
        <v>66360</v>
      </c>
      <c r="I105" s="326">
        <f>IF(X105 = 66, H105 + SUM(S105:S114) - SUM(T105:T114) - SUM(P105:P114) - V105,0)</f>
        <v>0</v>
      </c>
      <c r="J105" s="379">
        <v>2353020735</v>
      </c>
      <c r="K105" s="381" t="s">
        <v>286</v>
      </c>
      <c r="L105" s="305"/>
      <c r="M105" s="305" t="s">
        <v>287</v>
      </c>
      <c r="N105" s="240" t="s">
        <v>307</v>
      </c>
      <c r="O105" s="311" t="s">
        <v>288</v>
      </c>
      <c r="P105" s="236">
        <v>4572</v>
      </c>
      <c r="Q105" s="235" t="s">
        <v>311</v>
      </c>
      <c r="R105" s="234"/>
      <c r="S105" s="236"/>
      <c r="T105" s="236"/>
      <c r="U105" s="314" t="s">
        <v>519</v>
      </c>
      <c r="V105" s="377">
        <v>29534</v>
      </c>
      <c r="W105" s="320"/>
      <c r="X105" s="85">
        <v>66</v>
      </c>
    </row>
    <row r="106" spans="1:24" x14ac:dyDescent="0.25">
      <c r="A106" s="309"/>
      <c r="B106" s="306"/>
      <c r="C106" s="306"/>
      <c r="D106" s="306"/>
      <c r="E106" s="306"/>
      <c r="F106" s="312"/>
      <c r="G106" s="345"/>
      <c r="H106" s="315"/>
      <c r="I106" s="327"/>
      <c r="J106" s="384"/>
      <c r="K106" s="385"/>
      <c r="L106" s="306"/>
      <c r="M106" s="306"/>
      <c r="N106" s="245" t="s">
        <v>307</v>
      </c>
      <c r="O106" s="312"/>
      <c r="P106" s="242">
        <v>4010</v>
      </c>
      <c r="Q106" s="243" t="s">
        <v>311</v>
      </c>
      <c r="R106" s="244"/>
      <c r="S106" s="242"/>
      <c r="T106" s="242"/>
      <c r="U106" s="315"/>
      <c r="V106" s="383"/>
      <c r="W106" s="321"/>
      <c r="X106" s="2">
        <v>66</v>
      </c>
    </row>
    <row r="107" spans="1:24" x14ac:dyDescent="0.25">
      <c r="A107" s="309"/>
      <c r="B107" s="306"/>
      <c r="C107" s="306"/>
      <c r="D107" s="306"/>
      <c r="E107" s="306"/>
      <c r="F107" s="312"/>
      <c r="G107" s="345"/>
      <c r="H107" s="315"/>
      <c r="I107" s="327"/>
      <c r="J107" s="384"/>
      <c r="K107" s="385"/>
      <c r="L107" s="306"/>
      <c r="M107" s="306"/>
      <c r="N107" s="245" t="s">
        <v>347</v>
      </c>
      <c r="O107" s="312"/>
      <c r="P107" s="242">
        <v>4494</v>
      </c>
      <c r="Q107" s="243" t="s">
        <v>357</v>
      </c>
      <c r="R107" s="244"/>
      <c r="S107" s="242"/>
      <c r="T107" s="242"/>
      <c r="U107" s="315"/>
      <c r="V107" s="383"/>
      <c r="W107" s="321"/>
      <c r="X107" s="2">
        <v>66</v>
      </c>
    </row>
    <row r="108" spans="1:24" x14ac:dyDescent="0.25">
      <c r="A108" s="309"/>
      <c r="B108" s="306"/>
      <c r="C108" s="306"/>
      <c r="D108" s="306"/>
      <c r="E108" s="306"/>
      <c r="F108" s="312"/>
      <c r="G108" s="345"/>
      <c r="H108" s="315"/>
      <c r="I108" s="327"/>
      <c r="J108" s="384"/>
      <c r="K108" s="385"/>
      <c r="L108" s="306"/>
      <c r="M108" s="306"/>
      <c r="N108" s="245" t="s">
        <v>347</v>
      </c>
      <c r="O108" s="312"/>
      <c r="P108" s="242">
        <v>2610</v>
      </c>
      <c r="Q108" s="243" t="s">
        <v>357</v>
      </c>
      <c r="R108" s="244"/>
      <c r="S108" s="242"/>
      <c r="T108" s="242"/>
      <c r="U108" s="315"/>
      <c r="V108" s="383"/>
      <c r="W108" s="321"/>
      <c r="X108" s="2">
        <v>66</v>
      </c>
    </row>
    <row r="109" spans="1:24" x14ac:dyDescent="0.25">
      <c r="A109" s="309"/>
      <c r="B109" s="306"/>
      <c r="C109" s="306"/>
      <c r="D109" s="306"/>
      <c r="E109" s="306"/>
      <c r="F109" s="312"/>
      <c r="G109" s="345"/>
      <c r="H109" s="315"/>
      <c r="I109" s="327"/>
      <c r="J109" s="384"/>
      <c r="K109" s="385"/>
      <c r="L109" s="306"/>
      <c r="M109" s="306"/>
      <c r="N109" s="245" t="s">
        <v>386</v>
      </c>
      <c r="O109" s="312"/>
      <c r="P109" s="242">
        <v>4554</v>
      </c>
      <c r="Q109" s="243" t="s">
        <v>379</v>
      </c>
      <c r="R109" s="244"/>
      <c r="S109" s="242"/>
      <c r="T109" s="242"/>
      <c r="U109" s="315"/>
      <c r="V109" s="383"/>
      <c r="W109" s="321"/>
      <c r="X109" s="2">
        <v>66</v>
      </c>
    </row>
    <row r="110" spans="1:24" x14ac:dyDescent="0.25">
      <c r="A110" s="309"/>
      <c r="B110" s="306"/>
      <c r="C110" s="306"/>
      <c r="D110" s="306"/>
      <c r="E110" s="306"/>
      <c r="F110" s="312"/>
      <c r="G110" s="345"/>
      <c r="H110" s="315"/>
      <c r="I110" s="327"/>
      <c r="J110" s="384"/>
      <c r="K110" s="385"/>
      <c r="L110" s="306"/>
      <c r="M110" s="306"/>
      <c r="N110" s="245" t="s">
        <v>386</v>
      </c>
      <c r="O110" s="312"/>
      <c r="P110" s="242">
        <v>2530</v>
      </c>
      <c r="Q110" s="243" t="s">
        <v>379</v>
      </c>
      <c r="R110" s="244"/>
      <c r="S110" s="242"/>
      <c r="T110" s="242"/>
      <c r="U110" s="315"/>
      <c r="V110" s="383"/>
      <c r="W110" s="321"/>
      <c r="X110" s="2">
        <v>66</v>
      </c>
    </row>
    <row r="111" spans="1:24" x14ac:dyDescent="0.25">
      <c r="A111" s="309"/>
      <c r="B111" s="306"/>
      <c r="C111" s="306"/>
      <c r="D111" s="306"/>
      <c r="E111" s="306"/>
      <c r="F111" s="312"/>
      <c r="G111" s="345"/>
      <c r="H111" s="315"/>
      <c r="I111" s="327"/>
      <c r="J111" s="384"/>
      <c r="K111" s="385"/>
      <c r="L111" s="306"/>
      <c r="M111" s="306"/>
      <c r="N111" s="245" t="s">
        <v>462</v>
      </c>
      <c r="O111" s="312"/>
      <c r="P111" s="242">
        <v>5730</v>
      </c>
      <c r="Q111" s="243" t="s">
        <v>466</v>
      </c>
      <c r="R111" s="244"/>
      <c r="S111" s="242"/>
      <c r="T111" s="242"/>
      <c r="U111" s="315"/>
      <c r="V111" s="383"/>
      <c r="W111" s="321"/>
      <c r="X111" s="2">
        <v>66</v>
      </c>
    </row>
    <row r="112" spans="1:24" x14ac:dyDescent="0.25">
      <c r="A112" s="309"/>
      <c r="B112" s="306"/>
      <c r="C112" s="306"/>
      <c r="D112" s="306"/>
      <c r="E112" s="306"/>
      <c r="F112" s="312"/>
      <c r="G112" s="345"/>
      <c r="H112" s="315"/>
      <c r="I112" s="327"/>
      <c r="J112" s="384"/>
      <c r="K112" s="385"/>
      <c r="L112" s="306"/>
      <c r="M112" s="306"/>
      <c r="N112" s="245" t="s">
        <v>462</v>
      </c>
      <c r="O112" s="312"/>
      <c r="P112" s="242">
        <v>3080</v>
      </c>
      <c r="Q112" s="243" t="s">
        <v>466</v>
      </c>
      <c r="R112" s="244"/>
      <c r="S112" s="242"/>
      <c r="T112" s="242"/>
      <c r="U112" s="315"/>
      <c r="V112" s="383"/>
      <c r="W112" s="321"/>
      <c r="X112" s="2">
        <v>66</v>
      </c>
    </row>
    <row r="113" spans="1:24" x14ac:dyDescent="0.25">
      <c r="A113" s="309"/>
      <c r="B113" s="306"/>
      <c r="C113" s="306"/>
      <c r="D113" s="306"/>
      <c r="E113" s="306"/>
      <c r="F113" s="312"/>
      <c r="G113" s="345"/>
      <c r="H113" s="315"/>
      <c r="I113" s="327"/>
      <c r="J113" s="384"/>
      <c r="K113" s="385"/>
      <c r="L113" s="306"/>
      <c r="M113" s="306"/>
      <c r="N113" s="245" t="s">
        <v>470</v>
      </c>
      <c r="O113" s="312"/>
      <c r="P113" s="242">
        <v>3366</v>
      </c>
      <c r="Q113" s="243" t="s">
        <v>512</v>
      </c>
      <c r="R113" s="244"/>
      <c r="S113" s="242"/>
      <c r="T113" s="242"/>
      <c r="U113" s="315"/>
      <c r="V113" s="383"/>
      <c r="W113" s="321"/>
      <c r="X113" s="2">
        <v>66</v>
      </c>
    </row>
    <row r="114" spans="1:24" x14ac:dyDescent="0.25">
      <c r="A114" s="310"/>
      <c r="B114" s="307"/>
      <c r="C114" s="307"/>
      <c r="D114" s="307"/>
      <c r="E114" s="307"/>
      <c r="F114" s="313"/>
      <c r="G114" s="346"/>
      <c r="H114" s="316"/>
      <c r="I114" s="328"/>
      <c r="J114" s="380"/>
      <c r="K114" s="382"/>
      <c r="L114" s="307"/>
      <c r="M114" s="307"/>
      <c r="N114" s="241" t="s">
        <v>470</v>
      </c>
      <c r="O114" s="313"/>
      <c r="P114" s="237">
        <v>1880</v>
      </c>
      <c r="Q114" s="238" t="s">
        <v>512</v>
      </c>
      <c r="R114" s="239"/>
      <c r="S114" s="237"/>
      <c r="T114" s="237"/>
      <c r="U114" s="316"/>
      <c r="V114" s="378"/>
      <c r="W114" s="322"/>
      <c r="X114" s="2">
        <v>66</v>
      </c>
    </row>
    <row r="115" spans="1:24" s="85" customFormat="1" ht="93.75" x14ac:dyDescent="0.25">
      <c r="A115" s="132">
        <v>14</v>
      </c>
      <c r="B115" s="128" t="s">
        <v>56</v>
      </c>
      <c r="C115" s="128"/>
      <c r="D115" s="128"/>
      <c r="E115" s="110" t="s">
        <v>251</v>
      </c>
      <c r="F115" s="137" t="s">
        <v>252</v>
      </c>
      <c r="G115" s="111" t="s">
        <v>253</v>
      </c>
      <c r="H115" s="129">
        <v>9000</v>
      </c>
      <c r="I115" s="134">
        <f>IF(X115 = 67, H115 + SUM(S115:S115) - SUM(T115:T115) - SUM(P115:P115) - V115,0)</f>
        <v>0</v>
      </c>
      <c r="J115" s="135">
        <v>2335015365</v>
      </c>
      <c r="K115" s="136" t="s">
        <v>154</v>
      </c>
      <c r="L115" s="128"/>
      <c r="M115" s="128" t="s">
        <v>254</v>
      </c>
      <c r="N115" s="137" t="s">
        <v>310</v>
      </c>
      <c r="O115" s="117" t="s">
        <v>255</v>
      </c>
      <c r="P115" s="129">
        <v>9000</v>
      </c>
      <c r="Q115" s="133" t="s">
        <v>314</v>
      </c>
      <c r="R115" s="128"/>
      <c r="S115" s="129"/>
      <c r="T115" s="129"/>
      <c r="U115" s="129"/>
      <c r="V115" s="130"/>
      <c r="W115" s="131"/>
      <c r="X115" s="85">
        <v>67</v>
      </c>
    </row>
    <row r="116" spans="1:24" s="85" customFormat="1" ht="75" x14ac:dyDescent="0.25">
      <c r="A116" s="132">
        <v>15</v>
      </c>
      <c r="B116" s="128" t="s">
        <v>56</v>
      </c>
      <c r="C116" s="128"/>
      <c r="D116" s="128"/>
      <c r="E116" s="128" t="s">
        <v>295</v>
      </c>
      <c r="F116" s="137" t="s">
        <v>256</v>
      </c>
      <c r="G116" s="111" t="s">
        <v>257</v>
      </c>
      <c r="H116" s="112">
        <v>5849</v>
      </c>
      <c r="I116" s="134">
        <f>IF(X116 = 68, H116 + SUM(S116:S116) - SUM(T116:T116) - SUM(P116:P116) - V116,0)</f>
        <v>0</v>
      </c>
      <c r="J116" s="114">
        <v>235002152355</v>
      </c>
      <c r="K116" s="136" t="s">
        <v>194</v>
      </c>
      <c r="L116" s="128"/>
      <c r="M116" s="110" t="s">
        <v>258</v>
      </c>
      <c r="N116" s="137" t="s">
        <v>305</v>
      </c>
      <c r="O116" s="117" t="s">
        <v>250</v>
      </c>
      <c r="P116" s="129">
        <v>5849</v>
      </c>
      <c r="Q116" s="133" t="s">
        <v>304</v>
      </c>
      <c r="R116" s="128"/>
      <c r="S116" s="129"/>
      <c r="T116" s="129"/>
      <c r="U116" s="129"/>
      <c r="V116" s="130"/>
      <c r="W116" s="131"/>
      <c r="X116" s="85">
        <v>68</v>
      </c>
    </row>
    <row r="117" spans="1:24" s="85" customFormat="1" ht="56.25" x14ac:dyDescent="0.25">
      <c r="A117" s="151">
        <v>16</v>
      </c>
      <c r="B117" s="153" t="s">
        <v>56</v>
      </c>
      <c r="C117" s="153"/>
      <c r="D117" s="153"/>
      <c r="E117" s="153" t="s">
        <v>324</v>
      </c>
      <c r="F117" s="158" t="s">
        <v>325</v>
      </c>
      <c r="G117" s="156" t="s">
        <v>329</v>
      </c>
      <c r="H117" s="152">
        <v>3000</v>
      </c>
      <c r="I117" s="157">
        <f>IF(X117 = 69, H117 + SUM(S117:S117) - SUM(T117:T117) - SUM(P117:P117) - V117,0)</f>
        <v>0</v>
      </c>
      <c r="J117" s="159">
        <v>2311187588</v>
      </c>
      <c r="K117" s="160" t="s">
        <v>326</v>
      </c>
      <c r="L117" s="153"/>
      <c r="M117" s="153" t="s">
        <v>327</v>
      </c>
      <c r="N117" s="158" t="s">
        <v>353</v>
      </c>
      <c r="O117" s="117" t="s">
        <v>328</v>
      </c>
      <c r="P117" s="152">
        <v>3000</v>
      </c>
      <c r="Q117" s="156" t="s">
        <v>352</v>
      </c>
      <c r="R117" s="153"/>
      <c r="S117" s="152"/>
      <c r="T117" s="152"/>
      <c r="U117" s="152"/>
      <c r="V117" s="161"/>
      <c r="W117" s="155"/>
      <c r="X117" s="85">
        <v>69</v>
      </c>
    </row>
    <row r="118" spans="1:24" s="85" customFormat="1" ht="58.15" customHeight="1" x14ac:dyDescent="0.25">
      <c r="A118" s="329">
        <v>17</v>
      </c>
      <c r="B118" s="338" t="s">
        <v>56</v>
      </c>
      <c r="C118" s="338"/>
      <c r="D118" s="338"/>
      <c r="E118" s="338" t="s">
        <v>277</v>
      </c>
      <c r="F118" s="332" t="s">
        <v>364</v>
      </c>
      <c r="G118" s="350" t="s">
        <v>299</v>
      </c>
      <c r="H118" s="335">
        <v>341975.03999999998</v>
      </c>
      <c r="I118" s="353">
        <f>IF(X118 = 70, H118 + SUM(S118:S127) - SUM(T118:T127) - SUM(P118:P127) - V118,0)</f>
        <v>-5.0931703299283981E-11</v>
      </c>
      <c r="J118" s="386">
        <v>2353020735</v>
      </c>
      <c r="K118" s="389" t="s">
        <v>286</v>
      </c>
      <c r="L118" s="338"/>
      <c r="M118" s="338" t="s">
        <v>365</v>
      </c>
      <c r="N118" s="210" t="s">
        <v>379</v>
      </c>
      <c r="O118" s="332" t="s">
        <v>288</v>
      </c>
      <c r="P118" s="203">
        <v>45641.53</v>
      </c>
      <c r="Q118" s="202" t="s">
        <v>387</v>
      </c>
      <c r="R118" s="201"/>
      <c r="S118" s="203"/>
      <c r="T118" s="203"/>
      <c r="U118" s="335" t="s">
        <v>520</v>
      </c>
      <c r="V118" s="392">
        <v>64023.13</v>
      </c>
      <c r="W118" s="347"/>
      <c r="X118" s="85">
        <v>70</v>
      </c>
    </row>
    <row r="119" spans="1:24" x14ac:dyDescent="0.25">
      <c r="A119" s="330"/>
      <c r="B119" s="339"/>
      <c r="C119" s="339"/>
      <c r="D119" s="339"/>
      <c r="E119" s="339"/>
      <c r="F119" s="333"/>
      <c r="G119" s="351"/>
      <c r="H119" s="336"/>
      <c r="I119" s="354"/>
      <c r="J119" s="387"/>
      <c r="K119" s="390"/>
      <c r="L119" s="339"/>
      <c r="M119" s="339"/>
      <c r="N119" s="211" t="s">
        <v>379</v>
      </c>
      <c r="O119" s="333"/>
      <c r="P119" s="204">
        <v>2913.35</v>
      </c>
      <c r="Q119" s="205" t="s">
        <v>387</v>
      </c>
      <c r="R119" s="206"/>
      <c r="S119" s="204"/>
      <c r="T119" s="204"/>
      <c r="U119" s="336"/>
      <c r="V119" s="393"/>
      <c r="W119" s="348"/>
      <c r="X119" s="2">
        <v>70</v>
      </c>
    </row>
    <row r="120" spans="1:24" x14ac:dyDescent="0.25">
      <c r="A120" s="330"/>
      <c r="B120" s="339"/>
      <c r="C120" s="339"/>
      <c r="D120" s="339"/>
      <c r="E120" s="339"/>
      <c r="F120" s="333"/>
      <c r="G120" s="351"/>
      <c r="H120" s="336"/>
      <c r="I120" s="354"/>
      <c r="J120" s="387"/>
      <c r="K120" s="390"/>
      <c r="L120" s="339"/>
      <c r="M120" s="339"/>
      <c r="N120" s="211" t="s">
        <v>384</v>
      </c>
      <c r="O120" s="333"/>
      <c r="P120" s="204">
        <v>5808.11</v>
      </c>
      <c r="Q120" s="205" t="s">
        <v>460</v>
      </c>
      <c r="R120" s="206"/>
      <c r="S120" s="204"/>
      <c r="T120" s="204"/>
      <c r="U120" s="336"/>
      <c r="V120" s="393"/>
      <c r="W120" s="348"/>
      <c r="X120" s="2">
        <v>70</v>
      </c>
    </row>
    <row r="121" spans="1:24" x14ac:dyDescent="0.25">
      <c r="A121" s="330"/>
      <c r="B121" s="339"/>
      <c r="C121" s="339"/>
      <c r="D121" s="339"/>
      <c r="E121" s="339"/>
      <c r="F121" s="333"/>
      <c r="G121" s="351"/>
      <c r="H121" s="336"/>
      <c r="I121" s="354"/>
      <c r="J121" s="387"/>
      <c r="K121" s="390"/>
      <c r="L121" s="339"/>
      <c r="M121" s="339"/>
      <c r="N121" s="211" t="s">
        <v>384</v>
      </c>
      <c r="O121" s="333"/>
      <c r="P121" s="204">
        <v>90991.89</v>
      </c>
      <c r="Q121" s="205" t="s">
        <v>460</v>
      </c>
      <c r="R121" s="206"/>
      <c r="S121" s="204"/>
      <c r="T121" s="204"/>
      <c r="U121" s="336"/>
      <c r="V121" s="393"/>
      <c r="W121" s="348"/>
      <c r="X121" s="2">
        <v>70</v>
      </c>
    </row>
    <row r="122" spans="1:24" x14ac:dyDescent="0.25">
      <c r="A122" s="330"/>
      <c r="B122" s="339"/>
      <c r="C122" s="339"/>
      <c r="D122" s="339"/>
      <c r="E122" s="339"/>
      <c r="F122" s="333"/>
      <c r="G122" s="351"/>
      <c r="H122" s="336"/>
      <c r="I122" s="354"/>
      <c r="J122" s="387"/>
      <c r="K122" s="390"/>
      <c r="L122" s="339"/>
      <c r="M122" s="339"/>
      <c r="N122" s="211" t="s">
        <v>462</v>
      </c>
      <c r="O122" s="333"/>
      <c r="P122" s="204">
        <v>31311.89</v>
      </c>
      <c r="Q122" s="205" t="s">
        <v>466</v>
      </c>
      <c r="R122" s="206"/>
      <c r="S122" s="204"/>
      <c r="T122" s="204"/>
      <c r="U122" s="336"/>
      <c r="V122" s="393"/>
      <c r="W122" s="348"/>
      <c r="X122" s="2">
        <v>70</v>
      </c>
    </row>
    <row r="123" spans="1:24" x14ac:dyDescent="0.25">
      <c r="A123" s="330"/>
      <c r="B123" s="339"/>
      <c r="C123" s="339"/>
      <c r="D123" s="339"/>
      <c r="E123" s="339"/>
      <c r="F123" s="333"/>
      <c r="G123" s="351"/>
      <c r="H123" s="336"/>
      <c r="I123" s="354"/>
      <c r="J123" s="387"/>
      <c r="K123" s="390"/>
      <c r="L123" s="339"/>
      <c r="M123" s="339"/>
      <c r="N123" s="211" t="s">
        <v>462</v>
      </c>
      <c r="O123" s="333"/>
      <c r="P123" s="204">
        <v>1998.67</v>
      </c>
      <c r="Q123" s="205" t="s">
        <v>466</v>
      </c>
      <c r="R123" s="206"/>
      <c r="S123" s="204"/>
      <c r="T123" s="204"/>
      <c r="U123" s="336"/>
      <c r="V123" s="393"/>
      <c r="W123" s="348"/>
      <c r="X123" s="2">
        <v>70</v>
      </c>
    </row>
    <row r="124" spans="1:24" x14ac:dyDescent="0.25">
      <c r="A124" s="330"/>
      <c r="B124" s="339"/>
      <c r="C124" s="339"/>
      <c r="D124" s="339"/>
      <c r="E124" s="339"/>
      <c r="F124" s="333"/>
      <c r="G124" s="351"/>
      <c r="H124" s="336"/>
      <c r="I124" s="354"/>
      <c r="J124" s="387"/>
      <c r="K124" s="390"/>
      <c r="L124" s="339"/>
      <c r="M124" s="339"/>
      <c r="N124" s="211" t="s">
        <v>465</v>
      </c>
      <c r="O124" s="333"/>
      <c r="P124" s="204">
        <v>32256.639999999999</v>
      </c>
      <c r="Q124" s="205" t="s">
        <v>468</v>
      </c>
      <c r="R124" s="206"/>
      <c r="S124" s="204"/>
      <c r="T124" s="204"/>
      <c r="U124" s="336"/>
      <c r="V124" s="393"/>
      <c r="W124" s="348"/>
      <c r="X124" s="2">
        <v>70</v>
      </c>
    </row>
    <row r="125" spans="1:24" x14ac:dyDescent="0.25">
      <c r="A125" s="330"/>
      <c r="B125" s="339"/>
      <c r="C125" s="339"/>
      <c r="D125" s="339"/>
      <c r="E125" s="339"/>
      <c r="F125" s="333"/>
      <c r="G125" s="351"/>
      <c r="H125" s="336"/>
      <c r="I125" s="354"/>
      <c r="J125" s="387"/>
      <c r="K125" s="390"/>
      <c r="L125" s="339"/>
      <c r="M125" s="339"/>
      <c r="N125" s="211" t="s">
        <v>465</v>
      </c>
      <c r="O125" s="333"/>
      <c r="P125" s="204">
        <v>2058.98</v>
      </c>
      <c r="Q125" s="205" t="s">
        <v>468</v>
      </c>
      <c r="R125" s="206"/>
      <c r="S125" s="204"/>
      <c r="T125" s="204"/>
      <c r="U125" s="336"/>
      <c r="V125" s="393"/>
      <c r="W125" s="348"/>
      <c r="X125" s="2">
        <v>70</v>
      </c>
    </row>
    <row r="126" spans="1:24" x14ac:dyDescent="0.25">
      <c r="A126" s="330"/>
      <c r="B126" s="339"/>
      <c r="C126" s="339"/>
      <c r="D126" s="339"/>
      <c r="E126" s="339"/>
      <c r="F126" s="333"/>
      <c r="G126" s="351"/>
      <c r="H126" s="336"/>
      <c r="I126" s="354"/>
      <c r="J126" s="387"/>
      <c r="K126" s="390"/>
      <c r="L126" s="339"/>
      <c r="M126" s="339"/>
      <c r="N126" s="211" t="s">
        <v>470</v>
      </c>
      <c r="O126" s="333"/>
      <c r="P126" s="204">
        <v>61072.52</v>
      </c>
      <c r="Q126" s="205" t="s">
        <v>473</v>
      </c>
      <c r="R126" s="206"/>
      <c r="S126" s="204"/>
      <c r="T126" s="204"/>
      <c r="U126" s="336"/>
      <c r="V126" s="393"/>
      <c r="W126" s="348"/>
      <c r="X126" s="2">
        <v>70</v>
      </c>
    </row>
    <row r="127" spans="1:24" x14ac:dyDescent="0.25">
      <c r="A127" s="331"/>
      <c r="B127" s="340"/>
      <c r="C127" s="340"/>
      <c r="D127" s="340"/>
      <c r="E127" s="340"/>
      <c r="F127" s="334"/>
      <c r="G127" s="352"/>
      <c r="H127" s="337"/>
      <c r="I127" s="355"/>
      <c r="J127" s="388"/>
      <c r="K127" s="391"/>
      <c r="L127" s="340"/>
      <c r="M127" s="340"/>
      <c r="N127" s="212" t="s">
        <v>470</v>
      </c>
      <c r="O127" s="334"/>
      <c r="P127" s="207">
        <v>3898.33</v>
      </c>
      <c r="Q127" s="208" t="s">
        <v>473</v>
      </c>
      <c r="R127" s="209"/>
      <c r="S127" s="207"/>
      <c r="T127" s="207"/>
      <c r="U127" s="337"/>
      <c r="V127" s="394"/>
      <c r="W127" s="349"/>
      <c r="X127" s="2">
        <v>70</v>
      </c>
    </row>
    <row r="128" spans="1:24" s="85" customFormat="1" ht="60.6" customHeight="1" x14ac:dyDescent="0.25">
      <c r="A128" s="329">
        <v>18</v>
      </c>
      <c r="B128" s="338" t="s">
        <v>56</v>
      </c>
      <c r="C128" s="338"/>
      <c r="D128" s="338"/>
      <c r="E128" s="338" t="s">
        <v>297</v>
      </c>
      <c r="F128" s="332" t="s">
        <v>364</v>
      </c>
      <c r="G128" s="350" t="s">
        <v>301</v>
      </c>
      <c r="H128" s="335">
        <v>110400</v>
      </c>
      <c r="I128" s="353">
        <f>IF(X128 = 71, H128 + SUM(S128:S132) - SUM(T128:T132) - SUM(P128:P132) - V128,0)</f>
        <v>0</v>
      </c>
      <c r="J128" s="386">
        <v>2353020735</v>
      </c>
      <c r="K128" s="389" t="s">
        <v>286</v>
      </c>
      <c r="L128" s="338"/>
      <c r="M128" s="338" t="s">
        <v>365</v>
      </c>
      <c r="N128" s="210" t="s">
        <v>379</v>
      </c>
      <c r="O128" s="332" t="s">
        <v>288</v>
      </c>
      <c r="P128" s="203">
        <v>15675</v>
      </c>
      <c r="Q128" s="202" t="s">
        <v>387</v>
      </c>
      <c r="R128" s="201"/>
      <c r="S128" s="203"/>
      <c r="T128" s="203"/>
      <c r="U128" s="335" t="s">
        <v>520</v>
      </c>
      <c r="V128" s="392">
        <v>17350</v>
      </c>
      <c r="W128" s="347"/>
      <c r="X128" s="85">
        <v>71</v>
      </c>
    </row>
    <row r="129" spans="1:24" x14ac:dyDescent="0.25">
      <c r="A129" s="330"/>
      <c r="B129" s="339"/>
      <c r="C129" s="339"/>
      <c r="D129" s="339"/>
      <c r="E129" s="339"/>
      <c r="F129" s="333"/>
      <c r="G129" s="351"/>
      <c r="H129" s="336"/>
      <c r="I129" s="354"/>
      <c r="J129" s="387"/>
      <c r="K129" s="390"/>
      <c r="L129" s="339"/>
      <c r="M129" s="339"/>
      <c r="N129" s="211" t="s">
        <v>384</v>
      </c>
      <c r="O129" s="333"/>
      <c r="P129" s="204">
        <v>31250</v>
      </c>
      <c r="Q129" s="205" t="s">
        <v>460</v>
      </c>
      <c r="R129" s="206"/>
      <c r="S129" s="204"/>
      <c r="T129" s="204"/>
      <c r="U129" s="336"/>
      <c r="V129" s="393"/>
      <c r="W129" s="348"/>
      <c r="X129" s="2">
        <v>71</v>
      </c>
    </row>
    <row r="130" spans="1:24" x14ac:dyDescent="0.25">
      <c r="A130" s="330"/>
      <c r="B130" s="339"/>
      <c r="C130" s="339"/>
      <c r="D130" s="339"/>
      <c r="E130" s="339"/>
      <c r="F130" s="333"/>
      <c r="G130" s="351"/>
      <c r="H130" s="336"/>
      <c r="I130" s="354"/>
      <c r="J130" s="387"/>
      <c r="K130" s="390"/>
      <c r="L130" s="339"/>
      <c r="M130" s="339"/>
      <c r="N130" s="211" t="s">
        <v>462</v>
      </c>
      <c r="O130" s="333"/>
      <c r="P130" s="204">
        <v>11600</v>
      </c>
      <c r="Q130" s="205" t="s">
        <v>467</v>
      </c>
      <c r="R130" s="206"/>
      <c r="S130" s="204"/>
      <c r="T130" s="204"/>
      <c r="U130" s="336"/>
      <c r="V130" s="393"/>
      <c r="W130" s="348"/>
      <c r="X130" s="2">
        <v>71</v>
      </c>
    </row>
    <row r="131" spans="1:24" x14ac:dyDescent="0.25">
      <c r="A131" s="330"/>
      <c r="B131" s="339"/>
      <c r="C131" s="339"/>
      <c r="D131" s="339"/>
      <c r="E131" s="339"/>
      <c r="F131" s="333"/>
      <c r="G131" s="351"/>
      <c r="H131" s="336"/>
      <c r="I131" s="354"/>
      <c r="J131" s="387"/>
      <c r="K131" s="390"/>
      <c r="L131" s="339"/>
      <c r="M131" s="339"/>
      <c r="N131" s="211" t="s">
        <v>465</v>
      </c>
      <c r="O131" s="333"/>
      <c r="P131" s="204">
        <v>11950</v>
      </c>
      <c r="Q131" s="205" t="s">
        <v>468</v>
      </c>
      <c r="R131" s="206"/>
      <c r="S131" s="204"/>
      <c r="T131" s="204"/>
      <c r="U131" s="336"/>
      <c r="V131" s="393"/>
      <c r="W131" s="348"/>
      <c r="X131" s="2">
        <v>71</v>
      </c>
    </row>
    <row r="132" spans="1:24" x14ac:dyDescent="0.25">
      <c r="A132" s="331"/>
      <c r="B132" s="340"/>
      <c r="C132" s="340"/>
      <c r="D132" s="340"/>
      <c r="E132" s="340"/>
      <c r="F132" s="334"/>
      <c r="G132" s="352"/>
      <c r="H132" s="337"/>
      <c r="I132" s="355"/>
      <c r="J132" s="388"/>
      <c r="K132" s="391"/>
      <c r="L132" s="340"/>
      <c r="M132" s="340"/>
      <c r="N132" s="212" t="s">
        <v>470</v>
      </c>
      <c r="O132" s="334"/>
      <c r="P132" s="207">
        <v>22575</v>
      </c>
      <c r="Q132" s="208" t="s">
        <v>473</v>
      </c>
      <c r="R132" s="209"/>
      <c r="S132" s="207"/>
      <c r="T132" s="207"/>
      <c r="U132" s="337"/>
      <c r="V132" s="394"/>
      <c r="W132" s="349"/>
      <c r="X132" s="2">
        <v>71</v>
      </c>
    </row>
    <row r="133" spans="1:24" s="85" customFormat="1" ht="75" x14ac:dyDescent="0.25">
      <c r="A133" s="191">
        <v>19</v>
      </c>
      <c r="B133" s="192" t="s">
        <v>56</v>
      </c>
      <c r="C133" s="192"/>
      <c r="D133" s="192"/>
      <c r="E133" s="192" t="s">
        <v>402</v>
      </c>
      <c r="F133" s="197" t="s">
        <v>403</v>
      </c>
      <c r="G133" s="193" t="s">
        <v>404</v>
      </c>
      <c r="H133" s="194">
        <v>15000</v>
      </c>
      <c r="I133" s="195">
        <f>IF(X133 = 72, H133 + SUM(S133:S133) - SUM(T133:T133) - SUM(P133:P133) - V133,0)</f>
        <v>0</v>
      </c>
      <c r="J133" s="198">
        <v>235002152355</v>
      </c>
      <c r="K133" s="136" t="s">
        <v>194</v>
      </c>
      <c r="L133" s="192"/>
      <c r="M133" s="110" t="s">
        <v>405</v>
      </c>
      <c r="N133" s="197" t="s">
        <v>466</v>
      </c>
      <c r="O133" s="117" t="s">
        <v>250</v>
      </c>
      <c r="P133" s="194">
        <v>15000</v>
      </c>
      <c r="Q133" s="193" t="s">
        <v>467</v>
      </c>
      <c r="R133" s="192"/>
      <c r="S133" s="194"/>
      <c r="T133" s="194"/>
      <c r="U133" s="194"/>
      <c r="V133" s="199"/>
      <c r="W133" s="190"/>
      <c r="X133" s="85">
        <v>72</v>
      </c>
    </row>
    <row r="134" spans="1:24" s="85" customFormat="1" ht="112.5" x14ac:dyDescent="0.25">
      <c r="A134" s="191">
        <v>20</v>
      </c>
      <c r="B134" s="192" t="s">
        <v>56</v>
      </c>
      <c r="C134" s="192"/>
      <c r="D134" s="192"/>
      <c r="E134" s="192" t="s">
        <v>406</v>
      </c>
      <c r="F134" s="197" t="s">
        <v>407</v>
      </c>
      <c r="G134" s="193" t="s">
        <v>408</v>
      </c>
      <c r="H134" s="194">
        <v>30730</v>
      </c>
      <c r="I134" s="195">
        <f>IF(X134 = 73, H134 + SUM(S134:S134) - SUM(T134:T134) - SUM(P134:P134) - V134,0)</f>
        <v>0</v>
      </c>
      <c r="J134" s="198">
        <v>2636040789</v>
      </c>
      <c r="K134" s="200" t="s">
        <v>409</v>
      </c>
      <c r="L134" s="192"/>
      <c r="M134" s="192" t="s">
        <v>410</v>
      </c>
      <c r="N134" s="197" t="s">
        <v>470</v>
      </c>
      <c r="O134" s="117" t="s">
        <v>411</v>
      </c>
      <c r="P134" s="194">
        <v>30730</v>
      </c>
      <c r="Q134" s="193" t="s">
        <v>469</v>
      </c>
      <c r="R134" s="192"/>
      <c r="S134" s="194"/>
      <c r="T134" s="194"/>
      <c r="U134" s="194"/>
      <c r="V134" s="199"/>
      <c r="W134" s="190"/>
      <c r="X134" s="85">
        <v>73</v>
      </c>
    </row>
    <row r="135" spans="1:24" s="85" customFormat="1" ht="93.75" x14ac:dyDescent="0.25">
      <c r="A135" s="191">
        <v>21</v>
      </c>
      <c r="B135" s="192" t="s">
        <v>56</v>
      </c>
      <c r="C135" s="192"/>
      <c r="D135" s="192"/>
      <c r="E135" s="192" t="s">
        <v>426</v>
      </c>
      <c r="F135" s="197" t="s">
        <v>427</v>
      </c>
      <c r="G135" s="193" t="s">
        <v>428</v>
      </c>
      <c r="H135" s="194">
        <v>237856.35</v>
      </c>
      <c r="I135" s="195">
        <f>IF(X135 = 74, H135 + SUM(S135:S135) - SUM(T135:T135) - SUM(P135:P135) - V135,0)</f>
        <v>237856.35</v>
      </c>
      <c r="J135" s="198">
        <v>7116151604</v>
      </c>
      <c r="K135" s="200" t="s">
        <v>429</v>
      </c>
      <c r="L135" s="192"/>
      <c r="M135" s="192" t="s">
        <v>430</v>
      </c>
      <c r="N135" s="197"/>
      <c r="O135" s="117" t="s">
        <v>431</v>
      </c>
      <c r="P135" s="194"/>
      <c r="Q135" s="193"/>
      <c r="R135" s="192"/>
      <c r="S135" s="194"/>
      <c r="T135" s="194"/>
      <c r="U135" s="194"/>
      <c r="V135" s="199"/>
      <c r="W135" s="190"/>
      <c r="X135" s="85">
        <v>74</v>
      </c>
    </row>
    <row r="136" spans="1:24" s="85" customFormat="1" ht="75" x14ac:dyDescent="0.25">
      <c r="A136" s="191">
        <v>22</v>
      </c>
      <c r="B136" s="192" t="s">
        <v>56</v>
      </c>
      <c r="C136" s="192"/>
      <c r="D136" s="192"/>
      <c r="E136" s="192" t="s">
        <v>438</v>
      </c>
      <c r="F136" s="197" t="s">
        <v>439</v>
      </c>
      <c r="G136" s="193" t="s">
        <v>440</v>
      </c>
      <c r="H136" s="194">
        <v>15400</v>
      </c>
      <c r="I136" s="195">
        <f>IF(X136 = 75, H136 + SUM(S136:S136) - SUM(T136:T136) - SUM(P136:P136) - V136,0)</f>
        <v>0</v>
      </c>
      <c r="J136" s="198">
        <v>235002152355</v>
      </c>
      <c r="K136" s="200" t="s">
        <v>194</v>
      </c>
      <c r="L136" s="192"/>
      <c r="M136" s="192" t="s">
        <v>441</v>
      </c>
      <c r="N136" s="197" t="s">
        <v>470</v>
      </c>
      <c r="O136" s="117" t="s">
        <v>250</v>
      </c>
      <c r="P136" s="194">
        <v>15400</v>
      </c>
      <c r="Q136" s="193" t="s">
        <v>472</v>
      </c>
      <c r="R136" s="192"/>
      <c r="S136" s="194"/>
      <c r="T136" s="194"/>
      <c r="U136" s="194"/>
      <c r="V136" s="199"/>
      <c r="W136" s="190"/>
      <c r="X136" s="85">
        <v>75</v>
      </c>
    </row>
    <row r="137" spans="1:24" s="85" customFormat="1" ht="54.6" customHeight="1" x14ac:dyDescent="0.25">
      <c r="A137" s="191">
        <v>23</v>
      </c>
      <c r="B137" s="192" t="s">
        <v>56</v>
      </c>
      <c r="C137" s="192"/>
      <c r="D137" s="192"/>
      <c r="E137" s="192" t="s">
        <v>442</v>
      </c>
      <c r="F137" s="197" t="s">
        <v>443</v>
      </c>
      <c r="G137" s="193" t="s">
        <v>227</v>
      </c>
      <c r="H137" s="194">
        <v>7000</v>
      </c>
      <c r="I137" s="195">
        <f>IF(X137 = 76, H137 + SUM(S137:S137) - SUM(T137:T137) - SUM(P137:P137) - V137,0)</f>
        <v>0</v>
      </c>
      <c r="J137" s="198">
        <v>2353018870</v>
      </c>
      <c r="K137" s="200" t="s">
        <v>160</v>
      </c>
      <c r="L137" s="192"/>
      <c r="M137" s="192" t="s">
        <v>444</v>
      </c>
      <c r="N137" s="197" t="s">
        <v>509</v>
      </c>
      <c r="O137" s="197" t="s">
        <v>234</v>
      </c>
      <c r="P137" s="194">
        <v>7000</v>
      </c>
      <c r="Q137" s="193" t="s">
        <v>508</v>
      </c>
      <c r="R137" s="192"/>
      <c r="S137" s="194"/>
      <c r="T137" s="194"/>
      <c r="U137" s="194"/>
      <c r="V137" s="199"/>
      <c r="W137" s="190"/>
      <c r="X137" s="85">
        <v>76</v>
      </c>
    </row>
    <row r="138" spans="1:24" s="85" customFormat="1" ht="74.45" customHeight="1" x14ac:dyDescent="0.25">
      <c r="A138" s="191">
        <v>24</v>
      </c>
      <c r="B138" s="192" t="s">
        <v>56</v>
      </c>
      <c r="C138" s="192"/>
      <c r="D138" s="192"/>
      <c r="E138" s="192" t="s">
        <v>445</v>
      </c>
      <c r="F138" s="197" t="s">
        <v>419</v>
      </c>
      <c r="G138" s="193" t="s">
        <v>446</v>
      </c>
      <c r="H138" s="194">
        <v>75337.5</v>
      </c>
      <c r="I138" s="195">
        <f>IF(X138 = 77, H138 + SUM(S138:S138) - SUM(T138:T138) - SUM(P138:P138) - V138,0)</f>
        <v>0</v>
      </c>
      <c r="J138" s="198">
        <v>2353020735</v>
      </c>
      <c r="K138" s="200" t="s">
        <v>286</v>
      </c>
      <c r="L138" s="192"/>
      <c r="M138" s="192" t="s">
        <v>447</v>
      </c>
      <c r="N138" s="197" t="s">
        <v>516</v>
      </c>
      <c r="O138" s="169" t="s">
        <v>288</v>
      </c>
      <c r="P138" s="194">
        <v>64575</v>
      </c>
      <c r="Q138" s="193" t="s">
        <v>517</v>
      </c>
      <c r="R138" s="192"/>
      <c r="S138" s="194"/>
      <c r="T138" s="194"/>
      <c r="U138" s="194" t="s">
        <v>521</v>
      </c>
      <c r="V138" s="199">
        <v>10762.5</v>
      </c>
      <c r="W138" s="190"/>
      <c r="X138" s="85">
        <v>77</v>
      </c>
    </row>
    <row r="139" spans="1:24" s="85" customFormat="1" ht="67.150000000000006" customHeight="1" x14ac:dyDescent="0.25">
      <c r="A139" s="308">
        <v>25</v>
      </c>
      <c r="B139" s="305" t="s">
        <v>56</v>
      </c>
      <c r="C139" s="305"/>
      <c r="D139" s="305"/>
      <c r="E139" s="305" t="s">
        <v>448</v>
      </c>
      <c r="F139" s="311" t="s">
        <v>449</v>
      </c>
      <c r="G139" s="344" t="s">
        <v>450</v>
      </c>
      <c r="H139" s="314">
        <v>26910</v>
      </c>
      <c r="I139" s="326">
        <f>IF(X139 = 78, H139 + SUM(S139:S140) - SUM(T139:T140) - SUM(P139:P140) - V139,0)</f>
        <v>0</v>
      </c>
      <c r="J139" s="379">
        <v>2353020735</v>
      </c>
      <c r="K139" s="381" t="s">
        <v>286</v>
      </c>
      <c r="L139" s="305"/>
      <c r="M139" s="305" t="s">
        <v>447</v>
      </c>
      <c r="N139" s="240" t="s">
        <v>516</v>
      </c>
      <c r="O139" s="311" t="s">
        <v>288</v>
      </c>
      <c r="P139" s="236">
        <v>16146</v>
      </c>
      <c r="Q139" s="235" t="s">
        <v>517</v>
      </c>
      <c r="R139" s="234"/>
      <c r="S139" s="236"/>
      <c r="T139" s="236"/>
      <c r="U139" s="314"/>
      <c r="V139" s="377"/>
      <c r="W139" s="320"/>
      <c r="X139" s="85">
        <v>78</v>
      </c>
    </row>
    <row r="140" spans="1:24" x14ac:dyDescent="0.25">
      <c r="A140" s="310"/>
      <c r="B140" s="307"/>
      <c r="C140" s="307"/>
      <c r="D140" s="307"/>
      <c r="E140" s="307"/>
      <c r="F140" s="313"/>
      <c r="G140" s="346"/>
      <c r="H140" s="316"/>
      <c r="I140" s="328"/>
      <c r="J140" s="380"/>
      <c r="K140" s="382"/>
      <c r="L140" s="307"/>
      <c r="M140" s="307"/>
      <c r="N140" s="241" t="s">
        <v>516</v>
      </c>
      <c r="O140" s="313"/>
      <c r="P140" s="237">
        <v>10764</v>
      </c>
      <c r="Q140" s="238" t="s">
        <v>517</v>
      </c>
      <c r="R140" s="239"/>
      <c r="S140" s="237"/>
      <c r="T140" s="237"/>
      <c r="U140" s="316"/>
      <c r="V140" s="378"/>
      <c r="W140" s="322"/>
      <c r="X140" s="2">
        <v>78</v>
      </c>
    </row>
    <row r="141" spans="1:24" s="85" customFormat="1" ht="56.25" x14ac:dyDescent="0.25">
      <c r="A141" s="223">
        <v>26</v>
      </c>
      <c r="B141" s="224" t="s">
        <v>56</v>
      </c>
      <c r="C141" s="224"/>
      <c r="D141" s="224"/>
      <c r="E141" s="224" t="s">
        <v>492</v>
      </c>
      <c r="F141" s="229" t="s">
        <v>493</v>
      </c>
      <c r="G141" s="225" t="s">
        <v>494</v>
      </c>
      <c r="H141" s="226">
        <v>995</v>
      </c>
      <c r="I141" s="227">
        <f>IF(X141 = 79, H141 + SUM(S141:S141) - SUM(T141:T141) - SUM(P141:P141) - V141,0)</f>
        <v>995</v>
      </c>
      <c r="J141" s="231">
        <v>2310132554</v>
      </c>
      <c r="K141" s="232" t="s">
        <v>495</v>
      </c>
      <c r="L141" s="224"/>
      <c r="M141" s="224" t="s">
        <v>496</v>
      </c>
      <c r="N141" s="229"/>
      <c r="O141" s="169" t="s">
        <v>497</v>
      </c>
      <c r="P141" s="226"/>
      <c r="Q141" s="225"/>
      <c r="R141" s="224"/>
      <c r="S141" s="226"/>
      <c r="T141" s="226"/>
      <c r="U141" s="226"/>
      <c r="V141" s="233"/>
      <c r="W141" s="219"/>
      <c r="X141" s="85">
        <v>79</v>
      </c>
    </row>
    <row r="142" spans="1:24" s="85" customFormat="1" ht="90" customHeight="1" x14ac:dyDescent="0.25">
      <c r="A142" s="223">
        <v>27</v>
      </c>
      <c r="B142" s="224" t="s">
        <v>56</v>
      </c>
      <c r="C142" s="224"/>
      <c r="D142" s="224"/>
      <c r="E142" s="224" t="s">
        <v>505</v>
      </c>
      <c r="F142" s="229" t="s">
        <v>506</v>
      </c>
      <c r="G142" s="225" t="s">
        <v>184</v>
      </c>
      <c r="H142" s="226">
        <v>598920</v>
      </c>
      <c r="I142" s="227">
        <f>IF(X142 = 80, H142 + SUM(S142:S142) - SUM(T142:T142) - SUM(P142:P142) - V142,0)</f>
        <v>598920</v>
      </c>
      <c r="J142" s="231">
        <v>235300578903</v>
      </c>
      <c r="K142" s="232" t="s">
        <v>148</v>
      </c>
      <c r="L142" s="224"/>
      <c r="M142" s="224" t="s">
        <v>507</v>
      </c>
      <c r="N142" s="229"/>
      <c r="O142" s="229" t="s">
        <v>296</v>
      </c>
      <c r="P142" s="226"/>
      <c r="Q142" s="225"/>
      <c r="R142" s="224"/>
      <c r="S142" s="226"/>
      <c r="T142" s="226"/>
      <c r="U142" s="226"/>
      <c r="V142" s="233"/>
      <c r="W142" s="219"/>
      <c r="X142" s="85">
        <v>80</v>
      </c>
    </row>
    <row r="143" spans="1:24" x14ac:dyDescent="0.25">
      <c r="X143" s="2">
        <v>81</v>
      </c>
    </row>
  </sheetData>
  <sheetProtection algorithmName="SHA-512" hashValue="e92fuFDDz9ruYroIwi9SkBKukpeRBlxGz4D5UFhOYHWlweSZSl4hyihzFWePDLdbWqMZrxh6VhUsvQrL8H9S7A==" saltValue="sSjiEnEweJcc55oVbwKjmQ==" spinCount="100000" sheet="1" objects="1" scenarios="1" formatCells="0" formatColumns="0" formatRows="0"/>
  <mergeCells count="258">
    <mergeCell ref="A81:A96"/>
    <mergeCell ref="O81:O96"/>
    <mergeCell ref="U81:U96"/>
    <mergeCell ref="B81:B96"/>
    <mergeCell ref="V81:V96"/>
    <mergeCell ref="C81:C96"/>
    <mergeCell ref="A97:A104"/>
    <mergeCell ref="B97:B104"/>
    <mergeCell ref="V97:V104"/>
    <mergeCell ref="C97:C104"/>
    <mergeCell ref="D97:D104"/>
    <mergeCell ref="E97:E104"/>
    <mergeCell ref="F97:F104"/>
    <mergeCell ref="G97:G104"/>
    <mergeCell ref="H97:H104"/>
    <mergeCell ref="I97:I104"/>
    <mergeCell ref="J97:J104"/>
    <mergeCell ref="K97:K104"/>
    <mergeCell ref="L97:L104"/>
    <mergeCell ref="M97:M104"/>
    <mergeCell ref="O97:O104"/>
    <mergeCell ref="W81:W96"/>
    <mergeCell ref="D81:D96"/>
    <mergeCell ref="E81:E96"/>
    <mergeCell ref="F81:F96"/>
    <mergeCell ref="G81:G96"/>
    <mergeCell ref="H81:H96"/>
    <mergeCell ref="I81:I96"/>
    <mergeCell ref="U97:U104"/>
    <mergeCell ref="J81:J96"/>
    <mergeCell ref="K81:K96"/>
    <mergeCell ref="L81:L96"/>
    <mergeCell ref="M81:M96"/>
    <mergeCell ref="W97:W104"/>
    <mergeCell ref="W23:W25"/>
    <mergeCell ref="V23:V25"/>
    <mergeCell ref="C23:C25"/>
    <mergeCell ref="D23:D25"/>
    <mergeCell ref="E23:E25"/>
    <mergeCell ref="F23:F25"/>
    <mergeCell ref="G23:G25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B36:B40"/>
    <mergeCell ref="V36:V40"/>
    <mergeCell ref="C36:C40"/>
    <mergeCell ref="S2:U2"/>
    <mergeCell ref="F2:G2"/>
    <mergeCell ref="N2:O2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W118:W127"/>
    <mergeCell ref="A128:A132"/>
    <mergeCell ref="O128:O132"/>
    <mergeCell ref="U128:U132"/>
    <mergeCell ref="B128:B132"/>
    <mergeCell ref="V128:V132"/>
    <mergeCell ref="C128:C132"/>
    <mergeCell ref="W128:W132"/>
    <mergeCell ref="D118:D127"/>
    <mergeCell ref="E118:E127"/>
    <mergeCell ref="F118:F127"/>
    <mergeCell ref="G118:G127"/>
    <mergeCell ref="H118:H127"/>
    <mergeCell ref="I118:I127"/>
    <mergeCell ref="J118:J127"/>
    <mergeCell ref="K118:K127"/>
    <mergeCell ref="L118:L127"/>
    <mergeCell ref="D128:D132"/>
    <mergeCell ref="E128:E132"/>
    <mergeCell ref="F128:F132"/>
    <mergeCell ref="G128:G132"/>
    <mergeCell ref="H128:H132"/>
    <mergeCell ref="I128:I132"/>
    <mergeCell ref="M118:M127"/>
    <mergeCell ref="J128:J132"/>
    <mergeCell ref="K128:K132"/>
    <mergeCell ref="L128:L132"/>
    <mergeCell ref="M128:M132"/>
    <mergeCell ref="A118:A127"/>
    <mergeCell ref="O118:O127"/>
    <mergeCell ref="U118:U127"/>
    <mergeCell ref="B118:B127"/>
    <mergeCell ref="V118:V127"/>
    <mergeCell ref="C118:C127"/>
    <mergeCell ref="W31:W35"/>
    <mergeCell ref="D31:D35"/>
    <mergeCell ref="E31:E35"/>
    <mergeCell ref="F31:F35"/>
    <mergeCell ref="G31:G35"/>
    <mergeCell ref="H31:H35"/>
    <mergeCell ref="I31:I35"/>
    <mergeCell ref="J31:J35"/>
    <mergeCell ref="K31:K35"/>
    <mergeCell ref="L31:L35"/>
    <mergeCell ref="M31:M35"/>
    <mergeCell ref="A105:A114"/>
    <mergeCell ref="O105:O114"/>
    <mergeCell ref="U105:U114"/>
    <mergeCell ref="B105:B114"/>
    <mergeCell ref="V105:V114"/>
    <mergeCell ref="C105:C114"/>
    <mergeCell ref="A31:A35"/>
    <mergeCell ref="O31:O35"/>
    <mergeCell ref="U31:U35"/>
    <mergeCell ref="B31:B35"/>
    <mergeCell ref="V31:V35"/>
    <mergeCell ref="C31:C35"/>
    <mergeCell ref="O76:O80"/>
    <mergeCell ref="U76:U80"/>
    <mergeCell ref="V76:V80"/>
    <mergeCell ref="A66:A75"/>
    <mergeCell ref="O66:O75"/>
    <mergeCell ref="U66:U75"/>
    <mergeCell ref="B66:B75"/>
    <mergeCell ref="V66:V75"/>
    <mergeCell ref="C66:C75"/>
    <mergeCell ref="A76:A80"/>
    <mergeCell ref="B76:B80"/>
    <mergeCell ref="A36:A40"/>
    <mergeCell ref="W105:W114"/>
    <mergeCell ref="D105:D114"/>
    <mergeCell ref="E105:E114"/>
    <mergeCell ref="F105:F114"/>
    <mergeCell ref="G105:G114"/>
    <mergeCell ref="H105:H114"/>
    <mergeCell ref="I105:I114"/>
    <mergeCell ref="J105:J114"/>
    <mergeCell ref="K105:K114"/>
    <mergeCell ref="L105:L114"/>
    <mergeCell ref="M105:M114"/>
    <mergeCell ref="W66:W75"/>
    <mergeCell ref="D66:D75"/>
    <mergeCell ref="E66:E75"/>
    <mergeCell ref="F66:F75"/>
    <mergeCell ref="G66:G75"/>
    <mergeCell ref="H66:H75"/>
    <mergeCell ref="I66:I75"/>
    <mergeCell ref="J66:J75"/>
    <mergeCell ref="K66:K75"/>
    <mergeCell ref="L66:L75"/>
    <mergeCell ref="M66:M75"/>
    <mergeCell ref="W36:W40"/>
    <mergeCell ref="D36:D40"/>
    <mergeCell ref="E36:E40"/>
    <mergeCell ref="F36:F40"/>
    <mergeCell ref="G36:G40"/>
    <mergeCell ref="H36:H40"/>
    <mergeCell ref="I36:I40"/>
    <mergeCell ref="J36:J40"/>
    <mergeCell ref="K36:K40"/>
    <mergeCell ref="L36:L40"/>
    <mergeCell ref="M36:M40"/>
    <mergeCell ref="O36:O40"/>
    <mergeCell ref="U36:U40"/>
    <mergeCell ref="C76:C80"/>
    <mergeCell ref="W76:W80"/>
    <mergeCell ref="D76:D80"/>
    <mergeCell ref="E76:E80"/>
    <mergeCell ref="F76:F80"/>
    <mergeCell ref="G76:G80"/>
    <mergeCell ref="H76:H80"/>
    <mergeCell ref="I76:I80"/>
    <mergeCell ref="J76:J80"/>
    <mergeCell ref="K76:K80"/>
    <mergeCell ref="L76:L80"/>
    <mergeCell ref="M76:M80"/>
    <mergeCell ref="A60:A64"/>
    <mergeCell ref="O60:O64"/>
    <mergeCell ref="U60:U64"/>
    <mergeCell ref="B60:B64"/>
    <mergeCell ref="V60:V64"/>
    <mergeCell ref="C60:C64"/>
    <mergeCell ref="W60:W64"/>
    <mergeCell ref="D60:D64"/>
    <mergeCell ref="E60:E64"/>
    <mergeCell ref="F60:F64"/>
    <mergeCell ref="G60:G64"/>
    <mergeCell ref="H60:H64"/>
    <mergeCell ref="I60:I64"/>
    <mergeCell ref="J60:J64"/>
    <mergeCell ref="K60:K64"/>
    <mergeCell ref="L60:L64"/>
    <mergeCell ref="M60:M64"/>
    <mergeCell ref="A41:A59"/>
    <mergeCell ref="O41:O59"/>
    <mergeCell ref="U41:U59"/>
    <mergeCell ref="B41:B59"/>
    <mergeCell ref="V41:V59"/>
    <mergeCell ref="C41:C59"/>
    <mergeCell ref="W41:W59"/>
    <mergeCell ref="D41:D59"/>
    <mergeCell ref="E41:E59"/>
    <mergeCell ref="F41:F59"/>
    <mergeCell ref="G41:G59"/>
    <mergeCell ref="H41:H59"/>
    <mergeCell ref="I41:I59"/>
    <mergeCell ref="J41:J59"/>
    <mergeCell ref="K41:K59"/>
    <mergeCell ref="L41:L59"/>
    <mergeCell ref="M41:M59"/>
    <mergeCell ref="A139:A140"/>
    <mergeCell ref="O139:O140"/>
    <mergeCell ref="U139:U140"/>
    <mergeCell ref="B139:B140"/>
    <mergeCell ref="V139:V140"/>
    <mergeCell ref="C139:C140"/>
    <mergeCell ref="W139:W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tabSelected="1" zoomScale="50" zoomScaleNormal="50" workbookViewId="0">
      <pane ySplit="8" topLeftCell="A9" activePane="bottomLeft" state="frozen"/>
      <selection pane="bottomLeft" activeCell="N14" sqref="N14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395" t="s">
        <v>24</v>
      </c>
      <c r="F2" s="396"/>
      <c r="G2" s="80">
        <f>SUM(G9:G9999)</f>
        <v>1889780.05</v>
      </c>
      <c r="L2" s="473" t="s">
        <v>137</v>
      </c>
      <c r="M2" s="474"/>
      <c r="N2" s="69">
        <f>SUM(N9:N9999)</f>
        <v>801665.47999999986</v>
      </c>
      <c r="P2" s="68"/>
      <c r="Q2" s="357" t="s">
        <v>45</v>
      </c>
      <c r="R2" s="358"/>
      <c r="S2" s="359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475">
        <v>1</v>
      </c>
      <c r="B9" s="478"/>
      <c r="C9" s="478"/>
      <c r="D9" s="478" t="s">
        <v>191</v>
      </c>
      <c r="E9" s="484">
        <v>44925</v>
      </c>
      <c r="F9" s="481" t="s">
        <v>192</v>
      </c>
      <c r="G9" s="487">
        <v>1097939</v>
      </c>
      <c r="H9" s="493">
        <f>IF(V9 = 4, G9 + SUM(Q9:Q13) - SUM(R9:R13) - SUM(N9:N13) - T9,0)</f>
        <v>296273.52000000014</v>
      </c>
      <c r="I9" s="496">
        <v>2312054894</v>
      </c>
      <c r="J9" s="478" t="s">
        <v>149</v>
      </c>
      <c r="K9" s="478" t="s">
        <v>223</v>
      </c>
      <c r="L9" s="220" t="s">
        <v>307</v>
      </c>
      <c r="M9" s="478" t="s">
        <v>224</v>
      </c>
      <c r="N9" s="214">
        <v>383959.73</v>
      </c>
      <c r="O9" s="220" t="s">
        <v>348</v>
      </c>
      <c r="P9" s="213"/>
      <c r="Q9" s="214"/>
      <c r="R9" s="214"/>
      <c r="S9" s="481"/>
      <c r="T9" s="487"/>
      <c r="U9" s="490"/>
      <c r="V9" s="85">
        <v>4</v>
      </c>
    </row>
    <row r="10" spans="1:22" x14ac:dyDescent="0.25">
      <c r="A10" s="476"/>
      <c r="B10" s="479"/>
      <c r="C10" s="479"/>
      <c r="D10" s="479"/>
      <c r="E10" s="485"/>
      <c r="F10" s="482"/>
      <c r="G10" s="488"/>
      <c r="H10" s="494"/>
      <c r="I10" s="497"/>
      <c r="J10" s="479"/>
      <c r="K10" s="479"/>
      <c r="L10" s="221" t="s">
        <v>347</v>
      </c>
      <c r="M10" s="479"/>
      <c r="N10" s="215">
        <v>76695.94</v>
      </c>
      <c r="O10" s="221" t="s">
        <v>356</v>
      </c>
      <c r="P10" s="216"/>
      <c r="Q10" s="215"/>
      <c r="R10" s="215"/>
      <c r="S10" s="482"/>
      <c r="T10" s="488"/>
      <c r="U10" s="491"/>
      <c r="V10" s="2">
        <v>4</v>
      </c>
    </row>
    <row r="11" spans="1:22" x14ac:dyDescent="0.25">
      <c r="A11" s="476"/>
      <c r="B11" s="479"/>
      <c r="C11" s="479"/>
      <c r="D11" s="479"/>
      <c r="E11" s="485"/>
      <c r="F11" s="482"/>
      <c r="G11" s="488"/>
      <c r="H11" s="494"/>
      <c r="I11" s="497"/>
      <c r="J11" s="479"/>
      <c r="K11" s="479"/>
      <c r="L11" s="221" t="s">
        <v>347</v>
      </c>
      <c r="M11" s="479"/>
      <c r="N11" s="215">
        <v>160000</v>
      </c>
      <c r="O11" s="221" t="s">
        <v>375</v>
      </c>
      <c r="P11" s="216"/>
      <c r="Q11" s="215"/>
      <c r="R11" s="215"/>
      <c r="S11" s="482"/>
      <c r="T11" s="488"/>
      <c r="U11" s="491"/>
      <c r="V11" s="2">
        <v>4</v>
      </c>
    </row>
    <row r="12" spans="1:22" x14ac:dyDescent="0.25">
      <c r="A12" s="476"/>
      <c r="B12" s="479"/>
      <c r="C12" s="479"/>
      <c r="D12" s="479"/>
      <c r="E12" s="485"/>
      <c r="F12" s="482"/>
      <c r="G12" s="488"/>
      <c r="H12" s="494"/>
      <c r="I12" s="497"/>
      <c r="J12" s="479"/>
      <c r="K12" s="479"/>
      <c r="L12" s="221" t="s">
        <v>374</v>
      </c>
      <c r="M12" s="479"/>
      <c r="N12" s="215">
        <v>134512.32999999999</v>
      </c>
      <c r="O12" s="221" t="s">
        <v>384</v>
      </c>
      <c r="P12" s="216"/>
      <c r="Q12" s="215"/>
      <c r="R12" s="215"/>
      <c r="S12" s="482"/>
      <c r="T12" s="488"/>
      <c r="U12" s="491"/>
      <c r="V12" s="2">
        <v>4</v>
      </c>
    </row>
    <row r="13" spans="1:22" x14ac:dyDescent="0.25">
      <c r="A13" s="477"/>
      <c r="B13" s="480"/>
      <c r="C13" s="480"/>
      <c r="D13" s="480"/>
      <c r="E13" s="486"/>
      <c r="F13" s="483"/>
      <c r="G13" s="489"/>
      <c r="H13" s="495"/>
      <c r="I13" s="498"/>
      <c r="J13" s="480"/>
      <c r="K13" s="480"/>
      <c r="L13" s="222" t="s">
        <v>463</v>
      </c>
      <c r="M13" s="480"/>
      <c r="N13" s="217">
        <v>46497.48</v>
      </c>
      <c r="O13" s="222" t="s">
        <v>467</v>
      </c>
      <c r="P13" s="218"/>
      <c r="Q13" s="217"/>
      <c r="R13" s="217"/>
      <c r="S13" s="483"/>
      <c r="T13" s="489"/>
      <c r="U13" s="492"/>
      <c r="V13" s="2">
        <v>4</v>
      </c>
    </row>
    <row r="14" spans="1:22" s="85" customFormat="1" ht="93.75" x14ac:dyDescent="0.25">
      <c r="A14" s="223">
        <v>2</v>
      </c>
      <c r="B14" s="224"/>
      <c r="C14" s="224"/>
      <c r="D14" s="224" t="s">
        <v>488</v>
      </c>
      <c r="E14" s="229" t="s">
        <v>489</v>
      </c>
      <c r="F14" s="225" t="s">
        <v>476</v>
      </c>
      <c r="G14" s="226">
        <v>791841.05</v>
      </c>
      <c r="H14" s="227">
        <f>IF(V14 = 5, G14 + SUM(Q14:Q14) - SUM(R14:R14) - SUM(N14:N14) - T14,0)</f>
        <v>791841.05</v>
      </c>
      <c r="I14" s="230">
        <v>7715995942</v>
      </c>
      <c r="J14" s="224" t="s">
        <v>478</v>
      </c>
      <c r="K14" s="224" t="s">
        <v>490</v>
      </c>
      <c r="L14" s="229"/>
      <c r="M14" s="224" t="s">
        <v>491</v>
      </c>
      <c r="N14" s="226"/>
      <c r="O14" s="229"/>
      <c r="P14" s="225"/>
      <c r="Q14" s="226"/>
      <c r="R14" s="226"/>
      <c r="S14" s="225"/>
      <c r="T14" s="226"/>
      <c r="U14" s="219"/>
      <c r="V14" s="85">
        <v>5</v>
      </c>
    </row>
    <row r="15" spans="1:22" ht="18" x14ac:dyDescent="0.3">
      <c r="V15" s="2">
        <v>6</v>
      </c>
    </row>
  </sheetData>
  <sheetProtection password="EB34" sheet="1" objects="1" scenarios="1" formatCells="0" formatColumns="0" formatRows="0"/>
  <mergeCells count="18">
    <mergeCell ref="T9:T13"/>
    <mergeCell ref="U9:U13"/>
    <mergeCell ref="H9:H13"/>
    <mergeCell ref="I9:I13"/>
    <mergeCell ref="J9:J13"/>
    <mergeCell ref="K9:K13"/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95" t="s">
        <v>139</v>
      </c>
      <c r="F2" s="396"/>
      <c r="G2" s="82">
        <f>SUM(G9:G9999)</f>
        <v>0</v>
      </c>
      <c r="O2" s="395" t="s">
        <v>24</v>
      </c>
      <c r="P2" s="396"/>
      <c r="Q2" s="80">
        <f>SUM(Q9:Q9999)</f>
        <v>0</v>
      </c>
      <c r="T2" s="357" t="s">
        <v>137</v>
      </c>
      <c r="U2" s="359"/>
      <c r="V2" s="69">
        <f>SUM(V9:V9999)</f>
        <v>0</v>
      </c>
      <c r="X2" s="68"/>
      <c r="Y2" s="357" t="s">
        <v>45</v>
      </c>
      <c r="Z2" s="358"/>
      <c r="AA2" s="359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/hNjrZmMtwfoxYKuzuJuhex1owiNFACAtpvyD/N47+1N7XkprcaVPsDcgK7SaT4m1A4M9xft5aGM7vSIKDm8rw==" saltValue="HOF8t3HmPhvX4PnyrxNJg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95" t="s">
        <v>139</v>
      </c>
      <c r="F2" s="396"/>
      <c r="G2" s="82">
        <f>SUM(G9:G9999)</f>
        <v>0</v>
      </c>
      <c r="H2" s="10"/>
      <c r="O2" s="395" t="s">
        <v>24</v>
      </c>
      <c r="P2" s="396"/>
      <c r="Q2" s="80">
        <f>SUM(Q9:Q9999)</f>
        <v>0</v>
      </c>
      <c r="T2" s="357" t="s">
        <v>137</v>
      </c>
      <c r="U2" s="359"/>
      <c r="V2" s="69">
        <f>SUM(V9:V9999)</f>
        <v>0</v>
      </c>
      <c r="X2" s="68"/>
      <c r="Y2" s="357" t="s">
        <v>45</v>
      </c>
      <c r="Z2" s="358"/>
      <c r="AA2" s="359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7T7FEOB9CMRkePIhgy1a9CCDxsOGkHUOWDnhJlON6PEkTGbbbrkca2gOD/4OqsNSnaNWLgvWGA0Vo+b0q0Pmcg==" saltValue="ydG4TStoMGXwf2ig1gj9g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31"/>
  <sheetViews>
    <sheetView showGridLines="0" topLeftCell="B1" zoomScale="50" zoomScaleNormal="50" workbookViewId="0">
      <pane ySplit="8" topLeftCell="A9" activePane="bottomLeft" state="frozen"/>
      <selection pane="bottomLeft" activeCell="W22" sqref="W22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95" t="s">
        <v>139</v>
      </c>
      <c r="F2" s="396"/>
      <c r="G2" s="82">
        <f>SUM(G9:G9999)</f>
        <v>1367088</v>
      </c>
      <c r="H2" s="10"/>
      <c r="O2" s="395" t="s">
        <v>24</v>
      </c>
      <c r="P2" s="396"/>
      <c r="Q2" s="80">
        <f>SUM(Q9:Q9999)</f>
        <v>1241120.1600000001</v>
      </c>
      <c r="T2" s="357" t="s">
        <v>137</v>
      </c>
      <c r="U2" s="359"/>
      <c r="V2" s="69">
        <f>SUM(V9:V9999)</f>
        <v>903000.4800000001</v>
      </c>
      <c r="X2" s="68"/>
      <c r="Y2" s="357" t="s">
        <v>45</v>
      </c>
      <c r="Z2" s="358"/>
      <c r="AA2" s="359"/>
      <c r="AB2" s="70">
        <f>SUM(AB9:AB9999)</f>
        <v>8112</v>
      </c>
    </row>
    <row r="4" spans="1:30" ht="39.950000000000003" customHeight="1" x14ac:dyDescent="0.3">
      <c r="P4" s="356"/>
      <c r="Q4" s="356"/>
      <c r="R4" s="356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517">
        <v>1</v>
      </c>
      <c r="B9" s="520"/>
      <c r="C9" s="520" t="s">
        <v>161</v>
      </c>
      <c r="D9" s="520"/>
      <c r="E9" s="520" t="s">
        <v>162</v>
      </c>
      <c r="F9" s="520" t="s">
        <v>163</v>
      </c>
      <c r="G9" s="523">
        <v>624240</v>
      </c>
      <c r="H9" s="529">
        <f>IF(AD9 = 1, G9 - Q9,0)</f>
        <v>66540</v>
      </c>
      <c r="I9" s="523"/>
      <c r="J9" s="523"/>
      <c r="K9" s="520"/>
      <c r="L9" s="520"/>
      <c r="M9" s="520" t="s">
        <v>167</v>
      </c>
      <c r="N9" s="532" t="s">
        <v>168</v>
      </c>
      <c r="O9" s="535">
        <v>2308080429</v>
      </c>
      <c r="P9" s="520" t="s">
        <v>169</v>
      </c>
      <c r="Q9" s="523">
        <v>557700</v>
      </c>
      <c r="R9" s="529">
        <f>IF(AD9 = 1, Q9 + SUM(Y9:Y17) - SUM(Z9:Z17) - SUM(V9:V17) - AB9,0)</f>
        <v>0</v>
      </c>
      <c r="S9" s="520" t="s">
        <v>171</v>
      </c>
      <c r="T9" s="125" t="s">
        <v>165</v>
      </c>
      <c r="U9" s="520" t="s">
        <v>170</v>
      </c>
      <c r="V9" s="120">
        <v>52728</v>
      </c>
      <c r="W9" s="125" t="s">
        <v>172</v>
      </c>
      <c r="X9" s="119"/>
      <c r="Y9" s="120"/>
      <c r="Z9" s="120"/>
      <c r="AA9" s="520" t="s">
        <v>303</v>
      </c>
      <c r="AB9" s="523">
        <v>8112</v>
      </c>
      <c r="AC9" s="526"/>
      <c r="AD9" s="85">
        <v>1</v>
      </c>
    </row>
    <row r="10" spans="1:30" x14ac:dyDescent="0.25">
      <c r="A10" s="518"/>
      <c r="B10" s="521"/>
      <c r="C10" s="521"/>
      <c r="D10" s="521"/>
      <c r="E10" s="521"/>
      <c r="F10" s="521"/>
      <c r="G10" s="524"/>
      <c r="H10" s="530"/>
      <c r="I10" s="524"/>
      <c r="J10" s="524"/>
      <c r="K10" s="521"/>
      <c r="L10" s="521"/>
      <c r="M10" s="521"/>
      <c r="N10" s="533"/>
      <c r="O10" s="536"/>
      <c r="P10" s="521"/>
      <c r="Q10" s="524"/>
      <c r="R10" s="530"/>
      <c r="S10" s="521"/>
      <c r="T10" s="126" t="s">
        <v>173</v>
      </c>
      <c r="U10" s="521"/>
      <c r="V10" s="121">
        <v>62868</v>
      </c>
      <c r="W10" s="126" t="s">
        <v>175</v>
      </c>
      <c r="X10" s="122"/>
      <c r="Y10" s="121"/>
      <c r="Z10" s="121"/>
      <c r="AA10" s="521"/>
      <c r="AB10" s="524"/>
      <c r="AC10" s="527"/>
      <c r="AD10" s="2">
        <v>1</v>
      </c>
    </row>
    <row r="11" spans="1:30" x14ac:dyDescent="0.25">
      <c r="A11" s="518"/>
      <c r="B11" s="521"/>
      <c r="C11" s="521"/>
      <c r="D11" s="521"/>
      <c r="E11" s="521"/>
      <c r="F11" s="521"/>
      <c r="G11" s="524"/>
      <c r="H11" s="530"/>
      <c r="I11" s="524"/>
      <c r="J11" s="524"/>
      <c r="K11" s="521"/>
      <c r="L11" s="521"/>
      <c r="M11" s="521"/>
      <c r="N11" s="533"/>
      <c r="O11" s="536"/>
      <c r="P11" s="521"/>
      <c r="Q11" s="524"/>
      <c r="R11" s="530"/>
      <c r="S11" s="521"/>
      <c r="T11" s="126" t="s">
        <v>178</v>
      </c>
      <c r="U11" s="521"/>
      <c r="V11" s="121">
        <v>60840</v>
      </c>
      <c r="W11" s="126" t="s">
        <v>177</v>
      </c>
      <c r="X11" s="122"/>
      <c r="Y11" s="121"/>
      <c r="Z11" s="121"/>
      <c r="AA11" s="521"/>
      <c r="AB11" s="524"/>
      <c r="AC11" s="527"/>
      <c r="AD11" s="2">
        <v>1</v>
      </c>
    </row>
    <row r="12" spans="1:30" x14ac:dyDescent="0.25">
      <c r="A12" s="518"/>
      <c r="B12" s="521"/>
      <c r="C12" s="521"/>
      <c r="D12" s="521"/>
      <c r="E12" s="521"/>
      <c r="F12" s="521"/>
      <c r="G12" s="524"/>
      <c r="H12" s="530"/>
      <c r="I12" s="524"/>
      <c r="J12" s="524"/>
      <c r="K12" s="521"/>
      <c r="L12" s="521"/>
      <c r="M12" s="521"/>
      <c r="N12" s="533"/>
      <c r="O12" s="536"/>
      <c r="P12" s="521"/>
      <c r="Q12" s="524"/>
      <c r="R12" s="530"/>
      <c r="S12" s="521"/>
      <c r="T12" s="126" t="s">
        <v>179</v>
      </c>
      <c r="U12" s="521"/>
      <c r="V12" s="121">
        <v>62868</v>
      </c>
      <c r="W12" s="126" t="s">
        <v>180</v>
      </c>
      <c r="X12" s="122"/>
      <c r="Y12" s="121"/>
      <c r="Z12" s="121"/>
      <c r="AA12" s="521"/>
      <c r="AB12" s="524"/>
      <c r="AC12" s="527"/>
      <c r="AD12" s="2">
        <v>1</v>
      </c>
    </row>
    <row r="13" spans="1:30" x14ac:dyDescent="0.25">
      <c r="A13" s="518"/>
      <c r="B13" s="521"/>
      <c r="C13" s="521"/>
      <c r="D13" s="521"/>
      <c r="E13" s="521"/>
      <c r="F13" s="521"/>
      <c r="G13" s="524"/>
      <c r="H13" s="530"/>
      <c r="I13" s="524"/>
      <c r="J13" s="524"/>
      <c r="K13" s="521"/>
      <c r="L13" s="521"/>
      <c r="M13" s="521"/>
      <c r="N13" s="533"/>
      <c r="O13" s="536"/>
      <c r="P13" s="521"/>
      <c r="Q13" s="524"/>
      <c r="R13" s="530"/>
      <c r="S13" s="521"/>
      <c r="T13" s="126" t="s">
        <v>183</v>
      </c>
      <c r="U13" s="521"/>
      <c r="V13" s="121">
        <v>62868</v>
      </c>
      <c r="W13" s="126" t="s">
        <v>182</v>
      </c>
      <c r="X13" s="122"/>
      <c r="Y13" s="121"/>
      <c r="Z13" s="121"/>
      <c r="AA13" s="521"/>
      <c r="AB13" s="524"/>
      <c r="AC13" s="527"/>
      <c r="AD13" s="2">
        <v>1</v>
      </c>
    </row>
    <row r="14" spans="1:30" x14ac:dyDescent="0.25">
      <c r="A14" s="518"/>
      <c r="B14" s="521"/>
      <c r="C14" s="521"/>
      <c r="D14" s="521"/>
      <c r="E14" s="521"/>
      <c r="F14" s="521"/>
      <c r="G14" s="524"/>
      <c r="H14" s="530"/>
      <c r="I14" s="524"/>
      <c r="J14" s="524"/>
      <c r="K14" s="521"/>
      <c r="L14" s="521"/>
      <c r="M14" s="521"/>
      <c r="N14" s="533"/>
      <c r="O14" s="536"/>
      <c r="P14" s="521"/>
      <c r="Q14" s="524"/>
      <c r="R14" s="530"/>
      <c r="S14" s="521"/>
      <c r="T14" s="126" t="s">
        <v>187</v>
      </c>
      <c r="U14" s="521"/>
      <c r="V14" s="121">
        <v>60840</v>
      </c>
      <c r="W14" s="126" t="s">
        <v>188</v>
      </c>
      <c r="X14" s="122"/>
      <c r="Y14" s="121"/>
      <c r="Z14" s="121"/>
      <c r="AA14" s="521"/>
      <c r="AB14" s="524"/>
      <c r="AC14" s="527"/>
      <c r="AD14" s="2">
        <v>1</v>
      </c>
    </row>
    <row r="15" spans="1:30" x14ac:dyDescent="0.25">
      <c r="A15" s="518"/>
      <c r="B15" s="521"/>
      <c r="C15" s="521"/>
      <c r="D15" s="521"/>
      <c r="E15" s="521"/>
      <c r="F15" s="521"/>
      <c r="G15" s="524"/>
      <c r="H15" s="530"/>
      <c r="I15" s="524"/>
      <c r="J15" s="524"/>
      <c r="K15" s="521"/>
      <c r="L15" s="521"/>
      <c r="M15" s="521"/>
      <c r="N15" s="533"/>
      <c r="O15" s="536"/>
      <c r="P15" s="521"/>
      <c r="Q15" s="524"/>
      <c r="R15" s="530"/>
      <c r="S15" s="521"/>
      <c r="T15" s="126" t="s">
        <v>196</v>
      </c>
      <c r="U15" s="521"/>
      <c r="V15" s="121">
        <v>62868</v>
      </c>
      <c r="W15" s="126" t="s">
        <v>195</v>
      </c>
      <c r="X15" s="122"/>
      <c r="Y15" s="121"/>
      <c r="Z15" s="121"/>
      <c r="AA15" s="521"/>
      <c r="AB15" s="524"/>
      <c r="AC15" s="527"/>
      <c r="AD15" s="2">
        <v>1</v>
      </c>
    </row>
    <row r="16" spans="1:30" x14ac:dyDescent="0.25">
      <c r="A16" s="518"/>
      <c r="B16" s="521"/>
      <c r="C16" s="521"/>
      <c r="D16" s="521"/>
      <c r="E16" s="521"/>
      <c r="F16" s="521"/>
      <c r="G16" s="524"/>
      <c r="H16" s="530"/>
      <c r="I16" s="524"/>
      <c r="J16" s="524"/>
      <c r="K16" s="521"/>
      <c r="L16" s="521"/>
      <c r="M16" s="521"/>
      <c r="N16" s="533"/>
      <c r="O16" s="536"/>
      <c r="P16" s="521"/>
      <c r="Q16" s="524"/>
      <c r="R16" s="530"/>
      <c r="S16" s="521"/>
      <c r="T16" s="126" t="s">
        <v>202</v>
      </c>
      <c r="U16" s="521"/>
      <c r="V16" s="121">
        <v>60840</v>
      </c>
      <c r="W16" s="126" t="s">
        <v>201</v>
      </c>
      <c r="X16" s="122"/>
      <c r="Y16" s="121"/>
      <c r="Z16" s="121"/>
      <c r="AA16" s="521"/>
      <c r="AB16" s="524"/>
      <c r="AC16" s="527"/>
      <c r="AD16" s="2">
        <v>1</v>
      </c>
    </row>
    <row r="17" spans="1:30" x14ac:dyDescent="0.25">
      <c r="A17" s="519"/>
      <c r="B17" s="522"/>
      <c r="C17" s="522"/>
      <c r="D17" s="522"/>
      <c r="E17" s="522"/>
      <c r="F17" s="522"/>
      <c r="G17" s="525"/>
      <c r="H17" s="531"/>
      <c r="I17" s="525"/>
      <c r="J17" s="525"/>
      <c r="K17" s="522"/>
      <c r="L17" s="522"/>
      <c r="M17" s="522"/>
      <c r="N17" s="534"/>
      <c r="O17" s="537"/>
      <c r="P17" s="522"/>
      <c r="Q17" s="525"/>
      <c r="R17" s="531"/>
      <c r="S17" s="522"/>
      <c r="T17" s="127" t="s">
        <v>262</v>
      </c>
      <c r="U17" s="522"/>
      <c r="V17" s="123">
        <v>62868</v>
      </c>
      <c r="W17" s="127" t="s">
        <v>261</v>
      </c>
      <c r="X17" s="124"/>
      <c r="Y17" s="123"/>
      <c r="Z17" s="123"/>
      <c r="AA17" s="522"/>
      <c r="AB17" s="525"/>
      <c r="AC17" s="528"/>
      <c r="AD17" s="2">
        <v>1</v>
      </c>
    </row>
    <row r="18" spans="1:30" s="85" customFormat="1" ht="72" customHeight="1" x14ac:dyDescent="0.25">
      <c r="A18" s="538">
        <v>2</v>
      </c>
      <c r="B18" s="502"/>
      <c r="C18" s="502" t="s">
        <v>205</v>
      </c>
      <c r="D18" s="502"/>
      <c r="E18" s="502" t="s">
        <v>206</v>
      </c>
      <c r="F18" s="502" t="s">
        <v>163</v>
      </c>
      <c r="G18" s="505">
        <v>742848</v>
      </c>
      <c r="H18" s="508">
        <f>IF(AD18 = 3, G18 - Q18,0)</f>
        <v>59427.839999999967</v>
      </c>
      <c r="I18" s="505"/>
      <c r="J18" s="505"/>
      <c r="K18" s="502"/>
      <c r="L18" s="502"/>
      <c r="M18" s="502" t="s">
        <v>206</v>
      </c>
      <c r="N18" s="511" t="s">
        <v>200</v>
      </c>
      <c r="O18" s="514">
        <v>2304067057</v>
      </c>
      <c r="P18" s="502" t="s">
        <v>207</v>
      </c>
      <c r="Q18" s="505">
        <v>683420.16000000003</v>
      </c>
      <c r="R18" s="508">
        <f>IF(AD18 = 3, Q18 + SUM(Y18:Y22) - SUM(Z18:Z22) - SUM(V18:V22) - AB18,0)</f>
        <v>330007.68000000005</v>
      </c>
      <c r="S18" s="502" t="s">
        <v>208</v>
      </c>
      <c r="T18" s="252" t="s">
        <v>307</v>
      </c>
      <c r="U18" s="502" t="s">
        <v>209</v>
      </c>
      <c r="V18" s="247">
        <v>72554.880000000005</v>
      </c>
      <c r="W18" s="252" t="s">
        <v>313</v>
      </c>
      <c r="X18" s="246"/>
      <c r="Y18" s="247"/>
      <c r="Z18" s="247"/>
      <c r="AA18" s="502"/>
      <c r="AB18" s="505"/>
      <c r="AC18" s="499"/>
      <c r="AD18" s="85">
        <v>3</v>
      </c>
    </row>
    <row r="19" spans="1:30" x14ac:dyDescent="0.25">
      <c r="A19" s="539"/>
      <c r="B19" s="503"/>
      <c r="C19" s="503"/>
      <c r="D19" s="503"/>
      <c r="E19" s="503"/>
      <c r="F19" s="503"/>
      <c r="G19" s="506"/>
      <c r="H19" s="509"/>
      <c r="I19" s="506"/>
      <c r="J19" s="506"/>
      <c r="K19" s="503"/>
      <c r="L19" s="503"/>
      <c r="M19" s="503"/>
      <c r="N19" s="512"/>
      <c r="O19" s="515"/>
      <c r="P19" s="503"/>
      <c r="Q19" s="506"/>
      <c r="R19" s="509"/>
      <c r="S19" s="503"/>
      <c r="T19" s="253" t="s">
        <v>348</v>
      </c>
      <c r="U19" s="503"/>
      <c r="V19" s="248">
        <v>65533.440000000002</v>
      </c>
      <c r="W19" s="253" t="s">
        <v>351</v>
      </c>
      <c r="X19" s="249"/>
      <c r="Y19" s="248"/>
      <c r="Z19" s="248"/>
      <c r="AA19" s="503"/>
      <c r="AB19" s="506"/>
      <c r="AC19" s="500"/>
      <c r="AD19" s="2">
        <v>3</v>
      </c>
    </row>
    <row r="20" spans="1:30" x14ac:dyDescent="0.25">
      <c r="A20" s="539"/>
      <c r="B20" s="503"/>
      <c r="C20" s="503"/>
      <c r="D20" s="503"/>
      <c r="E20" s="503"/>
      <c r="F20" s="503"/>
      <c r="G20" s="506"/>
      <c r="H20" s="509"/>
      <c r="I20" s="506"/>
      <c r="J20" s="506"/>
      <c r="K20" s="503"/>
      <c r="L20" s="503"/>
      <c r="M20" s="503"/>
      <c r="N20" s="512"/>
      <c r="O20" s="515"/>
      <c r="P20" s="503"/>
      <c r="Q20" s="506"/>
      <c r="R20" s="509"/>
      <c r="S20" s="503"/>
      <c r="T20" s="253" t="s">
        <v>380</v>
      </c>
      <c r="U20" s="503"/>
      <c r="V20" s="248">
        <v>72554.880000000005</v>
      </c>
      <c r="W20" s="253" t="s">
        <v>379</v>
      </c>
      <c r="X20" s="249"/>
      <c r="Y20" s="248"/>
      <c r="Z20" s="248"/>
      <c r="AA20" s="503"/>
      <c r="AB20" s="506"/>
      <c r="AC20" s="500"/>
      <c r="AD20" s="2">
        <v>3</v>
      </c>
    </row>
    <row r="21" spans="1:30" x14ac:dyDescent="0.25">
      <c r="A21" s="539"/>
      <c r="B21" s="503"/>
      <c r="C21" s="503"/>
      <c r="D21" s="503"/>
      <c r="E21" s="503"/>
      <c r="F21" s="503"/>
      <c r="G21" s="506"/>
      <c r="H21" s="509"/>
      <c r="I21" s="506"/>
      <c r="J21" s="506"/>
      <c r="K21" s="503"/>
      <c r="L21" s="503"/>
      <c r="M21" s="503"/>
      <c r="N21" s="512"/>
      <c r="O21" s="515"/>
      <c r="P21" s="503"/>
      <c r="Q21" s="506"/>
      <c r="R21" s="509"/>
      <c r="S21" s="503"/>
      <c r="T21" s="253" t="s">
        <v>458</v>
      </c>
      <c r="U21" s="503"/>
      <c r="V21" s="248">
        <v>70214.399999999994</v>
      </c>
      <c r="W21" s="253" t="s">
        <v>471</v>
      </c>
      <c r="X21" s="249"/>
      <c r="Y21" s="248"/>
      <c r="Z21" s="248"/>
      <c r="AA21" s="503"/>
      <c r="AB21" s="506"/>
      <c r="AC21" s="500"/>
      <c r="AD21" s="2">
        <v>3</v>
      </c>
    </row>
    <row r="22" spans="1:30" x14ac:dyDescent="0.25">
      <c r="A22" s="540"/>
      <c r="B22" s="504"/>
      <c r="C22" s="504"/>
      <c r="D22" s="504"/>
      <c r="E22" s="504"/>
      <c r="F22" s="504"/>
      <c r="G22" s="507"/>
      <c r="H22" s="510"/>
      <c r="I22" s="507"/>
      <c r="J22" s="507"/>
      <c r="K22" s="504"/>
      <c r="L22" s="504"/>
      <c r="M22" s="504"/>
      <c r="N22" s="513"/>
      <c r="O22" s="516"/>
      <c r="P22" s="504"/>
      <c r="Q22" s="507"/>
      <c r="R22" s="510"/>
      <c r="S22" s="504"/>
      <c r="T22" s="254" t="s">
        <v>510</v>
      </c>
      <c r="U22" s="504"/>
      <c r="V22" s="250">
        <v>72554.880000000005</v>
      </c>
      <c r="W22" s="254" t="s">
        <v>512</v>
      </c>
      <c r="X22" s="251"/>
      <c r="Y22" s="250"/>
      <c r="Z22" s="250"/>
      <c r="AA22" s="504"/>
      <c r="AB22" s="507"/>
      <c r="AC22" s="501"/>
      <c r="AD22" s="2">
        <v>3</v>
      </c>
    </row>
    <row r="23" spans="1:30" ht="18" x14ac:dyDescent="0.3">
      <c r="M23" s="3"/>
      <c r="AD23" s="2">
        <v>4</v>
      </c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  <row r="28" spans="1:30" ht="18" x14ac:dyDescent="0.3">
      <c r="M28" s="3"/>
    </row>
    <row r="29" spans="1:30" ht="18" x14ac:dyDescent="0.3">
      <c r="M29" s="3"/>
    </row>
    <row r="30" spans="1:30" ht="18" x14ac:dyDescent="0.3">
      <c r="M30" s="3"/>
    </row>
    <row r="31" spans="1:30" ht="18" x14ac:dyDescent="0.3">
      <c r="M31" s="3"/>
    </row>
  </sheetData>
  <sheetProtection algorithmName="SHA-512" hashValue="IDSahERMl0rIH5nrDVJFyQG7ribyuTH6MPvXBA/SjjERMQz4c3R3PkkBnHP+DMknXSxdMVzGSpEAFvbPfJW2Dw==" saltValue="e7x9twid3YwaULBXs6K/ww==" spinCount="100000" sheet="1" objects="1" scenarios="1" formatCells="0" formatColumns="0" formatRows="0"/>
  <mergeCells count="51">
    <mergeCell ref="A18:A22"/>
    <mergeCell ref="U18:U22"/>
    <mergeCell ref="AA18:AA22"/>
    <mergeCell ref="B18:B22"/>
    <mergeCell ref="AB18:AB22"/>
    <mergeCell ref="C18:C22"/>
    <mergeCell ref="S18:S2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  <mergeCell ref="AC18:AC22"/>
    <mergeCell ref="D18:D22"/>
    <mergeCell ref="E18:E22"/>
    <mergeCell ref="F18:F22"/>
    <mergeCell ref="G18:G22"/>
    <mergeCell ref="H18:H22"/>
    <mergeCell ref="I18:I22"/>
    <mergeCell ref="J18:J22"/>
    <mergeCell ref="K18:K22"/>
    <mergeCell ref="L18:L22"/>
    <mergeCell ref="M18:M22"/>
    <mergeCell ref="N18:N22"/>
    <mergeCell ref="O18:O22"/>
    <mergeCell ref="P18:P22"/>
    <mergeCell ref="Q18:Q22"/>
    <mergeCell ref="R18:R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84</v>
      </c>
      <c r="B1" s="47">
        <v>27</v>
      </c>
      <c r="C1" s="47">
        <v>9</v>
      </c>
      <c r="D1" s="543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44"/>
      <c r="E2" s="32"/>
      <c r="F2" s="62">
        <v>75</v>
      </c>
      <c r="G2" s="66">
        <v>80</v>
      </c>
      <c r="H2" s="65">
        <v>5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142</v>
      </c>
      <c r="B4" s="44">
        <v>27</v>
      </c>
      <c r="C4" s="44">
        <v>9</v>
      </c>
      <c r="D4" s="545" t="s">
        <v>102</v>
      </c>
      <c r="E4" s="32"/>
      <c r="F4" s="62">
        <v>76</v>
      </c>
      <c r="G4" s="66">
        <v>81</v>
      </c>
      <c r="H4" s="65">
        <v>6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546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14</v>
      </c>
      <c r="B7" s="46">
        <v>2</v>
      </c>
      <c r="C7" s="46">
        <v>9</v>
      </c>
      <c r="D7" s="547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48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549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550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551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552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22</v>
      </c>
      <c r="B16" s="38">
        <v>2</v>
      </c>
      <c r="C16" s="38">
        <v>9</v>
      </c>
      <c r="D16" s="541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42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2023-07-05T09:45:10Z</dcterms:modified>
</cp:coreProperties>
</file>