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10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 iterate="1"/>
</workbook>
</file>

<file path=xl/calcChain.xml><?xml version="1.0" encoding="utf-8"?>
<calcChain xmlns="http://schemas.openxmlformats.org/spreadsheetml/2006/main">
  <c r="I41" i="27" l="1"/>
  <c r="I40" i="27" l="1"/>
  <c r="H2" i="27"/>
  <c r="P2" i="27"/>
  <c r="V2" i="27"/>
  <c r="I142" i="31"/>
  <c r="H2" i="31"/>
  <c r="P2" i="31"/>
  <c r="V2" i="31"/>
  <c r="H15" i="17"/>
  <c r="R15" i="17"/>
  <c r="H9" i="17"/>
  <c r="R9" i="17"/>
  <c r="G2" i="17"/>
  <c r="Q2" i="17"/>
  <c r="V2" i="17"/>
  <c r="AB2" i="17"/>
  <c r="I9" i="31"/>
  <c r="I25" i="31"/>
  <c r="I45" i="31"/>
  <c r="I23" i="27"/>
  <c r="I57" i="31"/>
  <c r="I63" i="31"/>
  <c r="I51" i="31"/>
  <c r="G2" i="19"/>
  <c r="N2" i="19"/>
  <c r="T2" i="19"/>
  <c r="I39" i="31"/>
  <c r="I116" i="31"/>
  <c r="I31" i="31"/>
  <c r="I112" i="31"/>
  <c r="I37" i="31"/>
  <c r="I96" i="31"/>
  <c r="H13" i="19" l="1"/>
  <c r="G2" i="20" l="1"/>
  <c r="Q2" i="20"/>
  <c r="V2" i="20"/>
  <c r="AB2" i="20"/>
  <c r="G2" i="22"/>
  <c r="Q2" i="22"/>
  <c r="V2" i="22"/>
  <c r="AB2" i="22"/>
  <c r="I39" i="27"/>
  <c r="I137" i="31"/>
  <c r="I38" i="27"/>
  <c r="I139" i="31"/>
  <c r="I37" i="27"/>
  <c r="I36" i="27"/>
  <c r="I136" i="31" l="1"/>
  <c r="H9" i="22" l="1"/>
  <c r="R9" i="22"/>
  <c r="I35" i="27" l="1"/>
  <c r="I34" i="27"/>
  <c r="I33" i="27"/>
  <c r="I32" i="27"/>
  <c r="I31" i="27"/>
  <c r="I30" i="27"/>
  <c r="I29" i="27"/>
  <c r="I120" i="31"/>
  <c r="I118" i="31"/>
  <c r="H9" i="19" l="1"/>
  <c r="I22" i="27" l="1"/>
  <c r="I21" i="27"/>
  <c r="I20" i="27"/>
  <c r="I19" i="27"/>
  <c r="I18" i="27"/>
  <c r="I72" i="31" l="1"/>
  <c r="I69" i="31" l="1"/>
  <c r="I111" i="31" l="1"/>
  <c r="I110" i="31"/>
  <c r="I109" i="31"/>
  <c r="I108" i="31"/>
  <c r="I107" i="31"/>
  <c r="I105" i="31"/>
  <c r="I11" i="27"/>
  <c r="I17" i="27" l="1"/>
  <c r="I16" i="27"/>
  <c r="I15" i="27"/>
  <c r="I104" i="31"/>
  <c r="I102" i="31"/>
  <c r="I13" i="27"/>
  <c r="I9" i="27"/>
  <c r="H17" i="17" l="1"/>
  <c r="R17" i="17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<sst xmlns="http://schemas.openxmlformats.org/spreadsheetml/2006/main" count="1267" uniqueCount="485">
  <si>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</si>
  <si>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</si>
  <si>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</si>
  <si>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</si>
  <si>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</si>
  <si>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</si>
  <si>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</si>
  <si>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</si>
  <si>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</si>
  <si>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</si>
  <si>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</si>
  <si>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</si>
  <si>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</si>
  <si>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</si>
  <si>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</si>
  <si>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</si>
  <si>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</si>
  <si>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</si>
  <si>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</si>
  <si>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</si>
  <si>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</si>
  <si>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</si>
  <si>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</si>
  <si>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</si>
  <si>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</si>
  <si>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</si>
  <si>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</si>
  <si>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</si>
  <si>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</si>
  <si>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</si>
  <si>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</si>
  <si>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</si>
  <si>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</si>
  <si>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</si>
  <si>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</si>
  <si>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</si>
  <si>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</si>
  <si>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</si>
  <si>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</si>
  <si>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</si>
  <si>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</si>
  <si>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</si>
  <si>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</si>
  <si>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</si>
  <si>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</si>
  <si>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</si>
  <si>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</si>
  <si>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</si>
  <si>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</si>
  <si>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</si>
  <si>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</si>
  <si>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</si>
  <si>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</si>
  <si>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</si>
  <si>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</si>
  <si>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</si>
  <si>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</si>
  <si>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</si>
  <si>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</si>
  <si>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</si>
  <si>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</si>
  <si>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</si>
  <si>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</si>
  <si>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</si>
  <si>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</si>
  <si>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</si>
  <si>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</si>
  <si>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</si>
  <si>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</si>
  <si>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</si>
  <si>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</si>
  <si>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</si>
  <si>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</si>
  <si>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</si>
  <si>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</si>
  <si>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</si>
  <si>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</si>
  <si>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</si>
  <si>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</si>
  <si>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</si>
  <si>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</si>
  <si>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</si>
  <si>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</si>
  <si>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</si>
  <si>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</si>
  <si>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</si>
  <si>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</si>
  <si>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</si>
  <si>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</si>
  <si>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</si>
  <si>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</si>
  <si>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</si>
  <si>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</si>
  <si>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</si>
  <si>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</si>
  <si>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</si>
  <si>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</si>
  <si>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</si>
  <si>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</si>
  <si>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</si>
  <si>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</si>
  <si>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</si>
  <si>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</si>
  <si>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</si>
  <si>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</si>
  <si>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</si>
  <si>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</si>
  <si>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</si>
  <si>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</si>
  <si>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</si>
  <si>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</si>
  <si>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</si>
  <si>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</si>
  <si>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</si>
  <si>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</si>
  <si>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</si>
  <si>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</si>
  <si>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</si>
  <si>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</si>
  <si>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</si>
  <si>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</si>
  <si>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</si>
  <si>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</si>
  <si>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</si>
  <si>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</si>
  <si>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</si>
  <si>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</si>
  <si>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</si>
  <si>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</si>
  <si>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</si>
  <si>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</si>
  <si>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</si>
  <si>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</si>
  <si>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</si>
  <si>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</si>
  <si>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</si>
  <si>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</si>
  <si>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</si>
  <si>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</si>
  <si>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</si>
  <si>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</si>
  <si>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</si>
  <si>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</si>
  <si>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</si>
  <si>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</si>
  <si>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</si>
  <si>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</si>
  <si>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</si>
  <si>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</si>
  <si>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</si>
  <si>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</si>
  <si>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</si>
  <si>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</si>
  <si>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</si>
  <si>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</si>
  <si>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</si>
  <si>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</si>
  <si>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</si>
  <si>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</si>
  <si>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</si>
  <si>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</si>
  <si>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</si>
  <si>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</si>
  <si>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</si>
  <si>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</si>
  <si>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</si>
  <si>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</si>
  <si>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</si>
  <si>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</si>
  <si>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</si>
  <si>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</si>
  <si>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</si>
  <si>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</si>
  <si>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</si>
  <si>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</si>
  <si>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</si>
  <si>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</si>
  <si>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</si>
  <si>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</si>
  <si>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</si>
  <si>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</si>
  <si>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</si>
  <si>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</si>
  <si>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</si>
  <si>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</si>
  <si>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</si>
  <si>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</si>
  <si>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</si>
  <si>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</si>
  <si>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</si>
  <si>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</si>
  <si>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</si>
  <si>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</si>
  <si>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</si>
  <si>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</si>
  <si>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</si>
  <si>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</si>
  <si>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</si>
  <si>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</si>
  <si>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</si>
  <si>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</si>
  <si>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</si>
  <si>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</si>
  <si>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</si>
  <si>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</si>
  <si>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</si>
  <si>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</si>
  <si>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</si>
  <si>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</si>
  <si>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</si>
  <si>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03.02.2025г.</t>
  </si>
  <si>
    <t>поставка товаров</t>
  </si>
  <si>
    <t>ООО "Компьютер бизнес сервис СИБИЭС"</t>
  </si>
  <si>
    <t>с 03.02.2025г. по 21.02.2025г.</t>
  </si>
  <si>
    <t>в течение 10 рабочих дней с даты подписания документов о приемке товара</t>
  </si>
  <si>
    <t>06.02.2025г.</t>
  </si>
  <si>
    <t>2353002623</t>
  </si>
  <si>
    <t>09.01.2025г.</t>
  </si>
  <si>
    <t>поставка нефтепродуктов</t>
  </si>
  <si>
    <t>235300578903</t>
  </si>
  <si>
    <t>ИП Калайчев Ш.С.</t>
  </si>
  <si>
    <t>с 09.01.2025г. по 28.02.2025г.</t>
  </si>
  <si>
    <t>31.01.2025г.</t>
  </si>
  <si>
    <t>в течение 10 рабочих дней с даты получения документов о поставке товаров</t>
  </si>
  <si>
    <t>11.02.2025г.</t>
  </si>
  <si>
    <t>235300203781</t>
  </si>
  <si>
    <t>ИП Ледовская С.В.</t>
  </si>
  <si>
    <t>12.02.2025г.</t>
  </si>
  <si>
    <t>услуги по выполнению предрейсового и послерейсового технического осмотра ТС</t>
  </si>
  <si>
    <t>Тимашевская РО КРО ОО "ВОА"</t>
  </si>
  <si>
    <t>с 27.01.2025г. по 31.12.2025г.</t>
  </si>
  <si>
    <t>в течение 10 рабочих дней с момента выставления счета</t>
  </si>
  <si>
    <t>13.02.2025г.</t>
  </si>
  <si>
    <t>№6</t>
  </si>
  <si>
    <t>поставка товара</t>
  </si>
  <si>
    <t>ИП Латышева Н.П.</t>
  </si>
  <si>
    <t>с 13.02.2025г.по 31.12.2025г.</t>
  </si>
  <si>
    <t>14.02.2025г.</t>
  </si>
  <si>
    <t>№3</t>
  </si>
  <si>
    <t>05.02.2025г.</t>
  </si>
  <si>
    <t>ремонт автомобиля</t>
  </si>
  <si>
    <t>ИП Аполонов А.А.</t>
  </si>
  <si>
    <t>17.02.2025г.</t>
  </si>
  <si>
    <t>25.02.2025г.</t>
  </si>
  <si>
    <t>неисключительное право использования программы для ЭВМ</t>
  </si>
  <si>
    <t>234602203000</t>
  </si>
  <si>
    <t>ИП Архангельский А.А.</t>
  </si>
  <si>
    <t>26.02.2025г.</t>
  </si>
  <si>
    <t>в течение 10 рабочих дней со дня подписания акта оказанных услуг</t>
  </si>
  <si>
    <t>№2</t>
  </si>
  <si>
    <t>24.02.2025г.</t>
  </si>
  <si>
    <t>с 24.02.2025г. по 17.03.2025г.</t>
  </si>
  <si>
    <t>ремонт принтера</t>
  </si>
  <si>
    <t xml:space="preserve">с 17.02.2025г. по 07.03.2025г. </t>
  </si>
  <si>
    <t>27.02.2025г.</t>
  </si>
  <si>
    <t>24.01.2025г.</t>
  </si>
  <si>
    <t>07.02.2025г.</t>
  </si>
  <si>
    <t>20.02.2025г.</t>
  </si>
  <si>
    <t>04.03.2025г.</t>
  </si>
  <si>
    <t>18.02.2025г.</t>
  </si>
  <si>
    <t>18.08.2025г.</t>
  </si>
  <si>
    <t>28.02.2025г.</t>
  </si>
  <si>
    <t>13.03.2025г.</t>
  </si>
  <si>
    <t>14.03.2025г.</t>
  </si>
  <si>
    <t>17.03.2025г.</t>
  </si>
  <si>
    <t>18.03.2025г.</t>
  </si>
  <si>
    <t>10.03.2025г.</t>
  </si>
  <si>
    <t>ИП Карлов И.В.</t>
  </si>
  <si>
    <t>05.02.2025г. по 25.02.2025г.</t>
  </si>
  <si>
    <t>с 10.03.2025г. по 30.04.2025г.</t>
  </si>
  <si>
    <t>ремонт транспортных средств</t>
  </si>
  <si>
    <t>с 28.02.2025г. по 31.03.2025г.</t>
  </si>
  <si>
    <t>11.03.2025г.</t>
  </si>
  <si>
    <t>№01-06/2025</t>
  </si>
  <si>
    <t>эеспертно-оценочные работы</t>
  </si>
  <si>
    <t>Тимашевская торгово-промышленная палата</t>
  </si>
  <si>
    <t>№4</t>
  </si>
  <si>
    <t>с 17.03.2025г. По 02.04.2025г.</t>
  </si>
  <si>
    <t>20.03.2025г.</t>
  </si>
  <si>
    <t>№23-12190</t>
  </si>
  <si>
    <t>полиграфическая продукция</t>
  </si>
  <si>
    <t>ООО "СБМ"</t>
  </si>
  <si>
    <t>с 26.02.2025г. по 31.12.2025г.</t>
  </si>
  <si>
    <t>в течение 10 рабочих дней с момента получения продукции</t>
  </si>
  <si>
    <t>25.03.2025г.</t>
  </si>
  <si>
    <t>№14/26.02</t>
  </si>
  <si>
    <t>учебники для библиотечного фонда</t>
  </si>
  <si>
    <t>ООО "Вольный странник"</t>
  </si>
  <si>
    <t>12.03.2025г.</t>
  </si>
  <si>
    <t>21.03.2025г.</t>
  </si>
  <si>
    <t>31.03.2025г.</t>
  </si>
  <si>
    <t>03.03.2025г.</t>
  </si>
  <si>
    <t>13.02.2024г.</t>
  </si>
  <si>
    <t>11.04.2025г.</t>
  </si>
  <si>
    <t>09.04.2025г.</t>
  </si>
  <si>
    <t>10.04.2025г.</t>
  </si>
  <si>
    <t>б/н от 11.04.2025г.</t>
  </si>
  <si>
    <t>02.04.2025г.</t>
  </si>
  <si>
    <t>01.04.2025г.</t>
  </si>
  <si>
    <t>07.04.2025г.</t>
  </si>
  <si>
    <t>08.04.2025г.</t>
  </si>
  <si>
    <t>15.04.2025г.</t>
  </si>
  <si>
    <t>бензин</t>
  </si>
  <si>
    <t>с 01.03.2025г. по 30.06.2025г.</t>
  </si>
  <si>
    <t>в течение 10 рабочих дней с момента подписания документа о приемке</t>
  </si>
  <si>
    <t>№К134648/25</t>
  </si>
  <si>
    <t>16.04.2025г.</t>
  </si>
  <si>
    <t>программа для ЭВМ</t>
  </si>
  <si>
    <t>6663003127</t>
  </si>
  <si>
    <t>АО "ПФ"СКБ Контур"</t>
  </si>
  <si>
    <t>с 16.04.205г. по 31.12.2025г.</t>
  </si>
  <si>
    <t>17.04.2025г.</t>
  </si>
  <si>
    <t>в течение 10 рабочих дней со дня получения документов на оплату</t>
  </si>
  <si>
    <t>21.04.2025г.</t>
  </si>
  <si>
    <t>№04/2025</t>
  </si>
  <si>
    <t xml:space="preserve">ковер борцовский </t>
  </si>
  <si>
    <t>7329022201</t>
  </si>
  <si>
    <t>ООО "РУССАМБО"</t>
  </si>
  <si>
    <t>с 15.04.2025г. по 31.12.2025г.</t>
  </si>
  <si>
    <t>23.04.2025г.</t>
  </si>
  <si>
    <t>УПД</t>
  </si>
  <si>
    <t>2310132554</t>
  </si>
  <si>
    <t>ООО "Краснодарский краевой коллектор учебно-наглядных пособий, технических средств обучения и оборудования"</t>
  </si>
  <si>
    <t>с 18.03.2025г. по 15.08.2025г.</t>
  </si>
  <si>
    <t>в течение 7 рабочих дней с момента подписания документов</t>
  </si>
  <si>
    <t>аккумулятор</t>
  </si>
  <si>
    <t>233613206000</t>
  </si>
  <si>
    <t>ИП Демченко Е.Ю.</t>
  </si>
  <si>
    <t>04.04.2025г.</t>
  </si>
  <si>
    <t>в течение 10 рабочих дней с момента подписания документов на оплату</t>
  </si>
  <si>
    <t>26.03.2025г.</t>
  </si>
  <si>
    <t>светильники</t>
  </si>
  <si>
    <t>233003348389</t>
  </si>
  <si>
    <t>ИП Тарануха А.В.</t>
  </si>
  <si>
    <t>№14/25</t>
  </si>
  <si>
    <t>дератизация</t>
  </si>
  <si>
    <t>ООО "Дезинфекция"</t>
  </si>
  <si>
    <t>27.03.2025г.</t>
  </si>
  <si>
    <t>20.01.2025г.</t>
  </si>
  <si>
    <t>услуги связи</t>
  </si>
  <si>
    <t>7707049388</t>
  </si>
  <si>
    <t>ПАО "Ростелеком"</t>
  </si>
  <si>
    <t>с 26.03.2025г. по 18.04.2025г.</t>
  </si>
  <si>
    <t>с 02.07.2025г. по 30,04.2025г.</t>
  </si>
  <si>
    <t>№А0172156</t>
  </si>
  <si>
    <t>21.02.2025г.</t>
  </si>
  <si>
    <t>учебники</t>
  </si>
  <si>
    <t>АО "Издательство "Просвещение"</t>
  </si>
  <si>
    <t>c 21.02.2025г. по 30.06.2025г.</t>
  </si>
  <si>
    <t>22.04.2025г.</t>
  </si>
  <si>
    <t>в течение 10 рабочих дней со дня подписания заказчиком УПД</t>
  </si>
  <si>
    <t>03.04.2025г.</t>
  </si>
  <si>
    <t>04.05.2025г.</t>
  </si>
  <si>
    <t>07.05.2025г.</t>
  </si>
  <si>
    <t>28.03.2025г.</t>
  </si>
  <si>
    <t>25.04.2025г.</t>
  </si>
  <si>
    <t>30.04.2025г.</t>
  </si>
  <si>
    <t>05.05.2025г.</t>
  </si>
  <si>
    <t>15.05.2025г.</t>
  </si>
  <si>
    <t>12.05.2025г.</t>
  </si>
  <si>
    <t>13.05.2025г.</t>
  </si>
  <si>
    <t>16.05.2025г.</t>
  </si>
  <si>
    <t>услуги по организации питания</t>
  </si>
  <si>
    <t>ООО Тимашевское предприятие розничной торговли райпо"</t>
  </si>
  <si>
    <t>с 01.04.2025г. по 24.05.2025г.</t>
  </si>
  <si>
    <t>21.05.2025г.</t>
  </si>
  <si>
    <t>23.05.2025г.</t>
  </si>
  <si>
    <t>30.05.2025г.</t>
  </si>
  <si>
    <t>26.05.2025г.</t>
  </si>
  <si>
    <t>товар (ошнетушители)</t>
  </si>
  <si>
    <t>ИП Черненко В.А.</t>
  </si>
  <si>
    <t>с 26.05.2025г. по 31.12.2025г.</t>
  </si>
  <si>
    <t>27.05.2025г.</t>
  </si>
  <si>
    <t>в срок не более 10 рабочих дней с даты подписания заказчиком документа о приемке</t>
  </si>
  <si>
    <t>235307300400</t>
  </si>
  <si>
    <t>№392</t>
  </si>
  <si>
    <t>карта тахографа</t>
  </si>
  <si>
    <t>2369000660</t>
  </si>
  <si>
    <t>с 13.05.2025г. по 31.12.2025г.</t>
  </si>
  <si>
    <t>в срок не более 7 рабочих дней с даты подписания заказчиком дтоварной накладной</t>
  </si>
  <si>
    <t>№АТ00-005223</t>
  </si>
  <si>
    <t>2311187588</t>
  </si>
  <si>
    <t>ООО "АйТи Мониторинг"</t>
  </si>
  <si>
    <t>с 15.05.2025г. по 31.12.2025г.</t>
  </si>
  <si>
    <t>19.05.2025г.</t>
  </si>
  <si>
    <t>№06/К/СМЭВ/7943</t>
  </si>
  <si>
    <t>28.04.2025г.</t>
  </si>
  <si>
    <t>программное обеспечение</t>
  </si>
  <si>
    <t>право использования программного обеспечения</t>
  </si>
  <si>
    <t>2308065195</t>
  </si>
  <si>
    <t>ГУП КК "ЦИТ"</t>
  </si>
  <si>
    <t>в срок не более 7 рабочих дней с даты подписания УПД</t>
  </si>
  <si>
    <t>с 28.04.2025г. по 31.12.2025г.</t>
  </si>
  <si>
    <t>№06/СМЭВ/7942</t>
  </si>
  <si>
    <t>услуги по обслуживанию</t>
  </si>
  <si>
    <t>№75/25</t>
  </si>
  <si>
    <t>медицинские услуги</t>
  </si>
  <si>
    <t>2353006498</t>
  </si>
  <si>
    <t>с 12.05.2025г. по 12.05.2025г.</t>
  </si>
  <si>
    <t>в течение 7 рабочих дней с даты подписания сторонами акта об оказании услуг</t>
  </si>
  <si>
    <t>№75-1/25</t>
  </si>
  <si>
    <t>22.05.2025г.</t>
  </si>
  <si>
    <t>28.05.2025г.</t>
  </si>
  <si>
    <t>02.06.2025г.</t>
  </si>
  <si>
    <t>03.06.2025г.</t>
  </si>
  <si>
    <t>31.05.2025г.</t>
  </si>
  <si>
    <t>04.06.2025г.</t>
  </si>
  <si>
    <t>05.06.2025г.</t>
  </si>
  <si>
    <t>16.06.2025г.</t>
  </si>
  <si>
    <t>№14/25К</t>
  </si>
  <si>
    <t>Дезинсекция</t>
  </si>
  <si>
    <t>с 19.05.2025г. по 15.06.2025г.</t>
  </si>
  <si>
    <t>06.06.2025г.</t>
  </si>
  <si>
    <t>№ 4327/132</t>
  </si>
  <si>
    <t>24.04.2025г.</t>
  </si>
  <si>
    <t>визуально-инструментальное обследование нежилого здания</t>
  </si>
  <si>
    <t>2369002795</t>
  </si>
  <si>
    <t>ООО "Кадастр-Гео"</t>
  </si>
  <si>
    <t>30 рабочих дней со дня заключения контракта</t>
  </si>
  <si>
    <t>10.06.2025г.</t>
  </si>
  <si>
    <t>в течении 10 рабочих дней с момента подписания документа о приемке оказанных услуг</t>
  </si>
  <si>
    <t>19.06.2025г.</t>
  </si>
  <si>
    <t>№A0174626</t>
  </si>
  <si>
    <t>АО "Издательство Просвещение"</t>
  </si>
  <si>
    <t>20.06.2025г.</t>
  </si>
  <si>
    <t>с 21.02.2025г. по 30.06.2025г.</t>
  </si>
  <si>
    <t>в течение 10 рабочих дней с даты утверждения акта приемки товаров</t>
  </si>
  <si>
    <t>№41</t>
  </si>
  <si>
    <t>обучение по программе профессиональной переподготовке</t>
  </si>
  <si>
    <t>2369980106</t>
  </si>
  <si>
    <t>ЧОУ ДПО "Сигнал"</t>
  </si>
  <si>
    <t>21.06.2025г.</t>
  </si>
  <si>
    <t>26.06.2025г.</t>
  </si>
  <si>
    <t>с 05.05.2025г. по 21.06.2025г.</t>
  </si>
  <si>
    <t>в течение 10 рабочих дней с даты подписания сторонами акта об оказании услуг</t>
  </si>
  <si>
    <t>№14-Л</t>
  </si>
  <si>
    <t>организация питания детей в период летнего лагеря дневного пребывания</t>
  </si>
  <si>
    <t>с 26.05.2025г. по 15.06.2025г.</t>
  </si>
  <si>
    <t>25.06.2025г.</t>
  </si>
  <si>
    <t>11.06.2025г.</t>
  </si>
  <si>
    <t>б/н от 30.06.2025</t>
  </si>
  <si>
    <t>б/н от 30.05.2025г.</t>
  </si>
  <si>
    <t>№5720/220</t>
  </si>
  <si>
    <t>поставка периодических печатных изданий</t>
  </si>
  <si>
    <t>7724490000</t>
  </si>
  <si>
    <t>АО "Почта России"</t>
  </si>
  <si>
    <t>с 01.07.2025г. по 30.12.2025г.</t>
  </si>
  <si>
    <t>29.05.2025г.</t>
  </si>
  <si>
    <t>в течение 7 рабочих дней с даты подписания контракта</t>
  </si>
  <si>
    <t>№ФПК-72/5822</t>
  </si>
  <si>
    <t>Повышение квалификации</t>
  </si>
  <si>
    <t>2310018516</t>
  </si>
  <si>
    <t>ФГБОУ ВО КГУФКСТ</t>
  </si>
  <si>
    <t xml:space="preserve"> с 19.05.2025г. по 29.05.2025г.</t>
  </si>
  <si>
    <t>Не позднее 10 рабочих дней с момента подписания акта об оказании услуг</t>
  </si>
  <si>
    <t>08183000199250001470001</t>
  </si>
  <si>
    <t>32353015326 25 000002</t>
  </si>
  <si>
    <t>2353021954</t>
  </si>
  <si>
    <t>ООО "ЧОП "БЕРКУТ"</t>
  </si>
  <si>
    <t>25 32353015326235301001 0008 001 8010 244</t>
  </si>
  <si>
    <t>0818300019925000147</t>
  </si>
  <si>
    <t>с 28.05.2025г. по 02.02.2026г.</t>
  </si>
  <si>
    <t>30.06.2025г.</t>
  </si>
  <si>
    <t>03.07.2025г.</t>
  </si>
  <si>
    <t>30.06.20255г.</t>
  </si>
  <si>
    <t>04.07.2025г.</t>
  </si>
  <si>
    <t>27.06.2025г.</t>
  </si>
  <si>
    <t>30.07.2025г.</t>
  </si>
  <si>
    <t>09.07.2025г.</t>
  </si>
  <si>
    <t>14.07.2025г.</t>
  </si>
  <si>
    <t>01.07.2025г.</t>
  </si>
  <si>
    <t>08.07.2025г.</t>
  </si>
  <si>
    <t>№154</t>
  </si>
  <si>
    <t xml:space="preserve">за краску, эмаль </t>
  </si>
  <si>
    <t>07.07.2025г.</t>
  </si>
  <si>
    <t>с 01.07.2025г. По 31.12.2025г.</t>
  </si>
  <si>
    <t>№15</t>
  </si>
  <si>
    <t>перезарядка огнетушителей</t>
  </si>
  <si>
    <t>№16/25</t>
  </si>
  <si>
    <t>20.05.2025г.</t>
  </si>
  <si>
    <t>услуги по освидетельствованию технического состояния техники и оборудования</t>
  </si>
  <si>
    <t>3441026752</t>
  </si>
  <si>
    <t>ООО "Телекомсервис"</t>
  </si>
  <si>
    <t>с 20.05.2025г. по 31.12.2025г.</t>
  </si>
  <si>
    <t>16.07.2025г.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</si>
</sst>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>
      <alignment horizontal="center" vertical="center" wrapText="1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00FF00"/>
      <color rgb="FFFF9999"/>
      <color rgb="FFA30101"/>
      <color rgb="FFFF6D6D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4</xdr:row>
      <xdr:rowOff>2635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4</xdr:row>
      <xdr:rowOff>2770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G10" sqref="G10:I10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61" t="s">
        <v>141</v>
      </c>
      <c r="B1" s="262"/>
      <c r="C1" s="262"/>
      <c r="D1" s="262"/>
      <c r="E1" s="261" t="s">
        <v>154</v>
      </c>
      <c r="F1" s="262"/>
      <c r="G1" s="262"/>
      <c r="H1" s="262"/>
      <c r="I1" s="262"/>
      <c r="J1" s="262"/>
      <c r="K1" s="262"/>
      <c r="L1" s="262"/>
      <c r="M1" s="262"/>
      <c r="N1" s="26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97" t="s">
        <v>25</v>
      </c>
      <c r="B4" s="298"/>
      <c r="C4" s="4">
        <v>12888781.939999999</v>
      </c>
      <c r="D4" s="5"/>
      <c r="E4" s="299" t="s">
        <v>140</v>
      </c>
      <c r="F4" s="300"/>
      <c r="G4" s="301"/>
      <c r="H4" s="302">
        <v>2000000</v>
      </c>
      <c r="I4" s="303"/>
      <c r="J4" s="304"/>
      <c r="K4" s="17"/>
      <c r="L4" s="81" t="s">
        <v>55</v>
      </c>
      <c r="M4" s="299">
        <v>4962082.2699999996</v>
      </c>
      <c r="N4" s="301"/>
    </row>
    <row r="5" spans="1:14" ht="30.75" customHeight="1" thickBot="1" x14ac:dyDescent="0.3">
      <c r="A5" s="297" t="s">
        <v>26</v>
      </c>
      <c r="B5" s="298"/>
      <c r="C5" s="6">
        <f>C4-G15+J15</f>
        <v>4234373.7699999996</v>
      </c>
      <c r="D5" s="5"/>
      <c r="E5" s="299" t="s">
        <v>53</v>
      </c>
      <c r="F5" s="300"/>
      <c r="G5" s="301"/>
      <c r="H5" s="292">
        <f>H4-G12</f>
        <v>1289430.4100000001</v>
      </c>
      <c r="I5" s="293"/>
      <c r="J5" s="294"/>
      <c r="K5" s="17"/>
      <c r="L5" s="81" t="s">
        <v>54</v>
      </c>
      <c r="M5" s="295">
        <f>M4-G13+J13</f>
        <v>2396220.0699999998</v>
      </c>
      <c r="N5" s="296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305" t="s">
        <v>27</v>
      </c>
      <c r="B8" s="306"/>
      <c r="C8" s="307"/>
      <c r="D8" s="305" t="s">
        <v>28</v>
      </c>
      <c r="E8" s="306"/>
      <c r="F8" s="307"/>
      <c r="G8" s="308" t="s">
        <v>29</v>
      </c>
      <c r="H8" s="309"/>
      <c r="I8" s="310"/>
      <c r="J8" s="308" t="s">
        <v>142</v>
      </c>
      <c r="K8" s="309"/>
      <c r="L8" s="310"/>
      <c r="M8" s="305" t="s">
        <v>30</v>
      </c>
      <c r="N8" s="307"/>
    </row>
    <row r="9" spans="1:14" ht="41.25" customHeight="1" thickBot="1" x14ac:dyDescent="0.3">
      <c r="A9" s="283" t="s">
        <v>31</v>
      </c>
      <c r="B9" s="284"/>
      <c r="C9" s="285"/>
      <c r="D9" s="282">
        <f>'Состоявшиеся аукционы'!G2</f>
        <v>2938320</v>
      </c>
      <c r="E9" s="282"/>
      <c r="F9" s="282"/>
      <c r="G9" s="282">
        <f>'Состоявшиеся аукционы'!Q2</f>
        <v>1500200.8</v>
      </c>
      <c r="H9" s="282"/>
      <c r="I9" s="282"/>
      <c r="J9" s="279">
        <f>'Состоявшиеся аукционы'!AB2</f>
        <v>0</v>
      </c>
      <c r="K9" s="280"/>
      <c r="L9" s="281"/>
      <c r="M9" s="282">
        <f t="shared" ref="M9:M15" si="0">D9-G9</f>
        <v>1438119.2</v>
      </c>
      <c r="N9" s="282"/>
    </row>
    <row r="10" spans="1:14" ht="78.75" customHeight="1" thickBot="1" x14ac:dyDescent="0.3">
      <c r="A10" s="283" t="s">
        <v>49</v>
      </c>
      <c r="B10" s="284"/>
      <c r="C10" s="285"/>
      <c r="D10" s="282">
        <f>'Несостоявшиеся аукционы'!G2</f>
        <v>1539365.26</v>
      </c>
      <c r="E10" s="282"/>
      <c r="F10" s="282"/>
      <c r="G10" s="282">
        <f>'Несостоявшиеся аукционы'!Q2</f>
        <v>1539365.26</v>
      </c>
      <c r="H10" s="282"/>
      <c r="I10" s="282"/>
      <c r="J10" s="279">
        <f>'Несостоявшиеся аукционы'!AB2</f>
        <v>0</v>
      </c>
      <c r="K10" s="280"/>
      <c r="L10" s="281"/>
      <c r="M10" s="282">
        <f t="shared" si="0"/>
        <v>0</v>
      </c>
      <c r="N10" s="282"/>
    </row>
    <row r="11" spans="1:14" ht="40.5" customHeight="1" thickBot="1" x14ac:dyDescent="0.3">
      <c r="A11" s="283" t="s">
        <v>83</v>
      </c>
      <c r="B11" s="284"/>
      <c r="C11" s="285"/>
      <c r="D11" s="279">
        <f>'Иные конкурентные закупки'!G2</f>
        <v>0</v>
      </c>
      <c r="E11" s="280"/>
      <c r="F11" s="281"/>
      <c r="G11" s="279">
        <f>'Иные конкурентные закупки'!Q2</f>
        <v>0</v>
      </c>
      <c r="H11" s="280"/>
      <c r="I11" s="281"/>
      <c r="J11" s="279">
        <f>'Иные конкурентные закупки'!AB2</f>
        <v>0</v>
      </c>
      <c r="K11" s="280"/>
      <c r="L11" s="281"/>
      <c r="M11" s="279">
        <f t="shared" si="0"/>
        <v>0</v>
      </c>
      <c r="N11" s="281"/>
    </row>
    <row r="12" spans="1:14" ht="54.75" customHeight="1" thickBot="1" x14ac:dyDescent="0.3">
      <c r="A12" s="286" t="s">
        <v>50</v>
      </c>
      <c r="B12" s="287"/>
      <c r="C12" s="288"/>
      <c r="D12" s="282">
        <f>'Ед. поставщик п.4 ч.1'!H2</f>
        <v>710569.59</v>
      </c>
      <c r="E12" s="282"/>
      <c r="F12" s="282"/>
      <c r="G12" s="282">
        <f>D12</f>
        <v>710569.59</v>
      </c>
      <c r="H12" s="282"/>
      <c r="I12" s="282"/>
      <c r="J12" s="279">
        <f>'Ед. поставщик п.4 ч.1'!V2</f>
        <v>0</v>
      </c>
      <c r="K12" s="280"/>
      <c r="L12" s="281"/>
      <c r="M12" s="282">
        <f t="shared" si="0"/>
        <v>0</v>
      </c>
      <c r="N12" s="282"/>
    </row>
    <row r="13" spans="1:14" ht="45.75" customHeight="1" thickBot="1" x14ac:dyDescent="0.3">
      <c r="A13" s="286" t="s">
        <v>51</v>
      </c>
      <c r="B13" s="287"/>
      <c r="C13" s="288"/>
      <c r="D13" s="282">
        <f>'Ед. поставщик п.5 ч.1'!H2</f>
        <v>2719235.9699999997</v>
      </c>
      <c r="E13" s="282"/>
      <c r="F13" s="282"/>
      <c r="G13" s="282">
        <f>D13</f>
        <v>2719235.9699999997</v>
      </c>
      <c r="H13" s="282"/>
      <c r="I13" s="282"/>
      <c r="J13" s="279">
        <f>'Ед. поставщик п.5 ч.1'!V2</f>
        <v>153373.76999999999</v>
      </c>
      <c r="K13" s="280"/>
      <c r="L13" s="281"/>
      <c r="M13" s="282">
        <f t="shared" si="0"/>
        <v>0</v>
      </c>
      <c r="N13" s="282"/>
    </row>
    <row r="14" spans="1:14" ht="45.75" customHeight="1" thickBot="1" x14ac:dyDescent="0.3">
      <c r="A14" s="276" t="s">
        <v>52</v>
      </c>
      <c r="B14" s="277"/>
      <c r="C14" s="278"/>
      <c r="D14" s="279">
        <f>'Ед.поставщик за искл. п.4,5 ч.1'!G2</f>
        <v>2338410.3200000003</v>
      </c>
      <c r="E14" s="280"/>
      <c r="F14" s="281"/>
      <c r="G14" s="279">
        <f>D14</f>
        <v>2338410.3200000003</v>
      </c>
      <c r="H14" s="280"/>
      <c r="I14" s="281"/>
      <c r="J14" s="279">
        <f>'Ед.поставщик за искл. п.4,5 ч.1'!T2</f>
        <v>0</v>
      </c>
      <c r="K14" s="280"/>
      <c r="L14" s="281"/>
      <c r="M14" s="282">
        <f t="shared" si="0"/>
        <v>0</v>
      </c>
      <c r="N14" s="282"/>
    </row>
    <row r="15" spans="1:14" ht="21" thickBot="1" x14ac:dyDescent="0.3">
      <c r="A15" s="289" t="s">
        <v>143</v>
      </c>
      <c r="B15" s="290"/>
      <c r="C15" s="291"/>
      <c r="D15" s="282">
        <f>SUM(D9:D14)</f>
        <v>10245901.140000001</v>
      </c>
      <c r="E15" s="282"/>
      <c r="F15" s="282"/>
      <c r="G15" s="279">
        <f>SUM(G9:G14)</f>
        <v>8807781.9399999995</v>
      </c>
      <c r="H15" s="280"/>
      <c r="I15" s="281"/>
      <c r="J15" s="279">
        <f>SUM(J9:J14)</f>
        <v>153373.76999999999</v>
      </c>
      <c r="K15" s="280"/>
      <c r="L15" s="281"/>
      <c r="M15" s="282">
        <f t="shared" si="0"/>
        <v>1438119.2000000011</v>
      </c>
      <c r="N15" s="282"/>
    </row>
    <row r="18" spans="1:12" ht="15.75" thickBot="1" x14ac:dyDescent="0.3"/>
    <row r="19" spans="1:12" ht="23.25" customHeight="1" x14ac:dyDescent="0.25">
      <c r="A19" s="264" t="s">
        <v>35</v>
      </c>
      <c r="B19" s="265"/>
      <c r="C19" s="266"/>
      <c r="D19" s="27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7033197.3700000001</v>
      </c>
      <c r="E19" s="271"/>
      <c r="F19" s="271"/>
      <c r="G19" s="272"/>
      <c r="I19" s="15"/>
      <c r="J19" s="15"/>
      <c r="K19" s="15"/>
      <c r="L19" s="15"/>
    </row>
    <row r="20" spans="1:12" ht="24" customHeight="1" thickBot="1" x14ac:dyDescent="0.3">
      <c r="A20" s="267"/>
      <c r="B20" s="268"/>
      <c r="C20" s="269"/>
      <c r="D20" s="273"/>
      <c r="E20" s="274"/>
      <c r="F20" s="274"/>
      <c r="G20" s="275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42"/>
  <sheetViews>
    <sheetView showGridLines="0" topLeftCell="G1" zoomScale="60" zoomScaleNormal="60" workbookViewId="0">
      <pane ySplit="8" topLeftCell="A39" activePane="bottomLeft" state="frozen"/>
      <selection activeCell="I1" sqref="I1"/>
      <selection pane="bottomLeft" activeCell="J40" sqref="J40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SUM(H9:H10001)</f>
        <v>710569.59</v>
      </c>
      <c r="K2" s="329"/>
      <c r="L2" s="329"/>
      <c r="M2" s="329"/>
      <c r="N2" s="325" t="s">
        <v>137</v>
      </c>
      <c r="O2" s="327"/>
      <c r="P2" s="69">
        <f>SUM(P9:P10001)</f>
        <v>704481.5</v>
      </c>
      <c r="R2" s="68"/>
      <c r="S2" s="325" t="s">
        <v>45</v>
      </c>
      <c r="T2" s="326"/>
      <c r="U2" s="327"/>
      <c r="V2" s="70">
        <f>SUM(V9:V10001)</f>
        <v>0</v>
      </c>
    </row>
    <row r="3" spans="1:24" x14ac:dyDescent="0.25">
      <c r="A3" s="329"/>
      <c r="B3" s="329"/>
      <c r="C3" s="329"/>
      <c r="D3" s="329"/>
      <c r="E3" s="329"/>
      <c r="N3" s="68"/>
    </row>
    <row r="4" spans="1:24" ht="39.950000000000003" customHeight="1" x14ac:dyDescent="0.25">
      <c r="J4" s="328"/>
      <c r="K4" s="328"/>
      <c r="M4" s="328"/>
      <c r="N4" s="328"/>
      <c r="O4" s="328"/>
      <c r="P4" s="328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30">
        <v>1</v>
      </c>
      <c r="B9" s="311" t="s">
        <v>56</v>
      </c>
      <c r="C9" s="311"/>
      <c r="D9" s="311"/>
      <c r="E9" s="321" t="s">
        <v>161</v>
      </c>
      <c r="F9" s="313" t="s">
        <v>210</v>
      </c>
      <c r="G9" s="311" t="s">
        <v>211</v>
      </c>
      <c r="H9" s="315">
        <v>24800</v>
      </c>
      <c r="I9" s="317">
        <f>IF(X9 = 145, H9 + SUM(S9:S10) - SUM(T9:T10) - SUM(P9:P10) - V9,0)</f>
        <v>0</v>
      </c>
      <c r="J9" s="311" t="s">
        <v>216</v>
      </c>
      <c r="K9" s="311" t="s">
        <v>212</v>
      </c>
      <c r="L9" s="311"/>
      <c r="M9" s="311" t="s">
        <v>213</v>
      </c>
      <c r="N9" s="98" t="s">
        <v>210</v>
      </c>
      <c r="O9" s="313" t="s">
        <v>214</v>
      </c>
      <c r="P9" s="99">
        <v>8000</v>
      </c>
      <c r="Q9" s="100" t="s">
        <v>215</v>
      </c>
      <c r="R9" s="101"/>
      <c r="S9" s="99"/>
      <c r="T9" s="99"/>
      <c r="U9" s="315"/>
      <c r="V9" s="323"/>
      <c r="W9" s="319"/>
      <c r="X9" s="85">
        <v>145</v>
      </c>
    </row>
    <row r="10" spans="1:24" s="97" customFormat="1" x14ac:dyDescent="0.25">
      <c r="A10" s="331"/>
      <c r="B10" s="312"/>
      <c r="C10" s="312"/>
      <c r="D10" s="312"/>
      <c r="E10" s="322"/>
      <c r="F10" s="314"/>
      <c r="G10" s="312"/>
      <c r="H10" s="316"/>
      <c r="I10" s="318"/>
      <c r="J10" s="312"/>
      <c r="K10" s="312"/>
      <c r="L10" s="312"/>
      <c r="M10" s="312"/>
      <c r="N10" s="102" t="s">
        <v>210</v>
      </c>
      <c r="O10" s="314"/>
      <c r="P10" s="103">
        <v>16800</v>
      </c>
      <c r="Q10" s="104" t="s">
        <v>215</v>
      </c>
      <c r="R10" s="105"/>
      <c r="S10" s="103"/>
      <c r="T10" s="103"/>
      <c r="U10" s="316"/>
      <c r="V10" s="324"/>
      <c r="W10" s="320"/>
      <c r="X10" s="97">
        <v>145</v>
      </c>
    </row>
    <row r="11" spans="1:24" s="85" customFormat="1" ht="72" customHeight="1" x14ac:dyDescent="0.25">
      <c r="A11" s="335">
        <v>2</v>
      </c>
      <c r="B11" s="341" t="s">
        <v>56</v>
      </c>
      <c r="C11" s="341"/>
      <c r="D11" s="341"/>
      <c r="E11" s="347" t="s">
        <v>161</v>
      </c>
      <c r="F11" s="337" t="s">
        <v>217</v>
      </c>
      <c r="G11" s="341" t="s">
        <v>218</v>
      </c>
      <c r="H11" s="339">
        <v>156799.5</v>
      </c>
      <c r="I11" s="349">
        <f>IF(X11 = 146, H11 + SUM(S11:S12) - SUM(T11:T12) - SUM(P11:P12) - V11,0)</f>
        <v>0</v>
      </c>
      <c r="J11" s="341" t="s">
        <v>219</v>
      </c>
      <c r="K11" s="341" t="s">
        <v>220</v>
      </c>
      <c r="L11" s="341"/>
      <c r="M11" s="341" t="s">
        <v>221</v>
      </c>
      <c r="N11" s="121" t="s">
        <v>222</v>
      </c>
      <c r="O11" s="337" t="s">
        <v>223</v>
      </c>
      <c r="P11" s="115">
        <v>61490</v>
      </c>
      <c r="Q11" s="116" t="s">
        <v>224</v>
      </c>
      <c r="R11" s="117"/>
      <c r="S11" s="115"/>
      <c r="T11" s="115"/>
      <c r="U11" s="339"/>
      <c r="V11" s="343"/>
      <c r="W11" s="345"/>
      <c r="X11" s="85">
        <v>146</v>
      </c>
    </row>
    <row r="12" spans="1:24" s="97" customFormat="1" x14ac:dyDescent="0.25">
      <c r="A12" s="336"/>
      <c r="B12" s="342"/>
      <c r="C12" s="342"/>
      <c r="D12" s="342"/>
      <c r="E12" s="348"/>
      <c r="F12" s="338"/>
      <c r="G12" s="342"/>
      <c r="H12" s="340"/>
      <c r="I12" s="350"/>
      <c r="J12" s="342"/>
      <c r="K12" s="342"/>
      <c r="L12" s="342"/>
      <c r="M12" s="342"/>
      <c r="N12" s="122" t="s">
        <v>261</v>
      </c>
      <c r="O12" s="338"/>
      <c r="P12" s="118">
        <v>95309.5</v>
      </c>
      <c r="Q12" s="119" t="s">
        <v>263</v>
      </c>
      <c r="R12" s="120"/>
      <c r="S12" s="118"/>
      <c r="T12" s="118"/>
      <c r="U12" s="340"/>
      <c r="V12" s="344"/>
      <c r="W12" s="346"/>
      <c r="X12" s="97">
        <v>146</v>
      </c>
    </row>
    <row r="13" spans="1:24" s="85" customFormat="1" ht="36" customHeight="1" x14ac:dyDescent="0.25">
      <c r="A13" s="330">
        <v>3</v>
      </c>
      <c r="B13" s="311" t="s">
        <v>56</v>
      </c>
      <c r="C13" s="311"/>
      <c r="D13" s="311"/>
      <c r="E13" s="321" t="s">
        <v>161</v>
      </c>
      <c r="F13" s="313" t="s">
        <v>210</v>
      </c>
      <c r="G13" s="311" t="s">
        <v>211</v>
      </c>
      <c r="H13" s="315">
        <v>26438</v>
      </c>
      <c r="I13" s="317">
        <f>IF(X13 = 147, H13 + SUM(S13:S14) - SUM(T13:T14) - SUM(P13:P14) - V13,0)</f>
        <v>0</v>
      </c>
      <c r="J13" s="311" t="s">
        <v>225</v>
      </c>
      <c r="K13" s="311" t="s">
        <v>226</v>
      </c>
      <c r="L13" s="311"/>
      <c r="M13" s="311" t="s">
        <v>213</v>
      </c>
      <c r="N13" s="98" t="s">
        <v>210</v>
      </c>
      <c r="O13" s="313" t="s">
        <v>214</v>
      </c>
      <c r="P13" s="99">
        <v>16139</v>
      </c>
      <c r="Q13" s="100" t="s">
        <v>224</v>
      </c>
      <c r="R13" s="101"/>
      <c r="S13" s="99"/>
      <c r="T13" s="99"/>
      <c r="U13" s="315"/>
      <c r="V13" s="323"/>
      <c r="W13" s="319"/>
      <c r="X13" s="85">
        <v>147</v>
      </c>
    </row>
    <row r="14" spans="1:24" s="97" customFormat="1" x14ac:dyDescent="0.25">
      <c r="A14" s="331"/>
      <c r="B14" s="312"/>
      <c r="C14" s="312"/>
      <c r="D14" s="312"/>
      <c r="E14" s="322"/>
      <c r="F14" s="314"/>
      <c r="G14" s="312"/>
      <c r="H14" s="316"/>
      <c r="I14" s="318"/>
      <c r="J14" s="312"/>
      <c r="K14" s="312"/>
      <c r="L14" s="312"/>
      <c r="M14" s="312"/>
      <c r="N14" s="102" t="s">
        <v>210</v>
      </c>
      <c r="O14" s="314"/>
      <c r="P14" s="103">
        <v>10299</v>
      </c>
      <c r="Q14" s="104" t="s">
        <v>224</v>
      </c>
      <c r="R14" s="105"/>
      <c r="S14" s="103"/>
      <c r="T14" s="103"/>
      <c r="U14" s="316"/>
      <c r="V14" s="324"/>
      <c r="W14" s="320"/>
      <c r="X14" s="97">
        <v>147</v>
      </c>
    </row>
    <row r="15" spans="1:24" s="85" customFormat="1" ht="75" x14ac:dyDescent="0.25">
      <c r="A15" s="86">
        <v>4</v>
      </c>
      <c r="B15" s="88" t="s">
        <v>56</v>
      </c>
      <c r="C15" s="88"/>
      <c r="D15" s="88"/>
      <c r="E15" s="91" t="s">
        <v>161</v>
      </c>
      <c r="F15" s="96" t="s">
        <v>243</v>
      </c>
      <c r="G15" s="88" t="s">
        <v>244</v>
      </c>
      <c r="H15" s="87">
        <v>8000</v>
      </c>
      <c r="I15" s="92">
        <f>IF(X15 = 148, H15 + SUM(S15:S15) - SUM(T15:T15) - SUM(P15:P15) - V15,0)</f>
        <v>0</v>
      </c>
      <c r="J15" s="88" t="s">
        <v>245</v>
      </c>
      <c r="K15" s="88" t="s">
        <v>246</v>
      </c>
      <c r="L15" s="88"/>
      <c r="M15" s="88" t="s">
        <v>221</v>
      </c>
      <c r="N15" s="96" t="s">
        <v>243</v>
      </c>
      <c r="O15" s="96" t="s">
        <v>248</v>
      </c>
      <c r="P15" s="87">
        <v>8000</v>
      </c>
      <c r="Q15" s="91" t="s">
        <v>247</v>
      </c>
      <c r="R15" s="88"/>
      <c r="S15" s="87"/>
      <c r="T15" s="87"/>
      <c r="U15" s="87"/>
      <c r="V15" s="95"/>
      <c r="W15" s="90"/>
      <c r="X15" s="85">
        <v>148</v>
      </c>
    </row>
    <row r="16" spans="1:24" s="85" customFormat="1" ht="93.75" x14ac:dyDescent="0.25">
      <c r="A16" s="86">
        <v>5</v>
      </c>
      <c r="B16" s="88" t="s">
        <v>56</v>
      </c>
      <c r="C16" s="88"/>
      <c r="D16" s="88"/>
      <c r="E16" s="91" t="s">
        <v>249</v>
      </c>
      <c r="F16" s="96" t="s">
        <v>250</v>
      </c>
      <c r="G16" s="88" t="s">
        <v>211</v>
      </c>
      <c r="H16" s="87">
        <v>46500</v>
      </c>
      <c r="I16" s="92">
        <f>IF(X16 = 149, H16 + SUM(S16:S16) - SUM(T16:T16) - SUM(P16:P16) - V16,0)</f>
        <v>0</v>
      </c>
      <c r="J16" s="88" t="s">
        <v>216</v>
      </c>
      <c r="K16" s="88" t="s">
        <v>212</v>
      </c>
      <c r="L16" s="88"/>
      <c r="M16" s="88" t="s">
        <v>251</v>
      </c>
      <c r="N16" s="96" t="s">
        <v>250</v>
      </c>
      <c r="O16" s="96" t="s">
        <v>214</v>
      </c>
      <c r="P16" s="87">
        <v>46500</v>
      </c>
      <c r="Q16" s="91">
        <v>45715</v>
      </c>
      <c r="R16" s="88"/>
      <c r="S16" s="87"/>
      <c r="T16" s="87"/>
      <c r="U16" s="87"/>
      <c r="V16" s="95"/>
      <c r="W16" s="90"/>
      <c r="X16" s="85">
        <v>149</v>
      </c>
    </row>
    <row r="17" spans="1:24" s="85" customFormat="1" ht="75" x14ac:dyDescent="0.25">
      <c r="A17" s="86">
        <v>6</v>
      </c>
      <c r="B17" s="88" t="s">
        <v>56</v>
      </c>
      <c r="C17" s="88"/>
      <c r="D17" s="88"/>
      <c r="E17" s="91" t="s">
        <v>238</v>
      </c>
      <c r="F17" s="96" t="s">
        <v>242</v>
      </c>
      <c r="G17" s="88" t="s">
        <v>252</v>
      </c>
      <c r="H17" s="87">
        <v>8100</v>
      </c>
      <c r="I17" s="92">
        <f>IF(X17 = 150, H17 + SUM(S17:S17) - SUM(T17:T17) - SUM(P17:P17) - V17,0)</f>
        <v>0</v>
      </c>
      <c r="J17" s="88" t="s">
        <v>216</v>
      </c>
      <c r="K17" s="88" t="s">
        <v>212</v>
      </c>
      <c r="L17" s="88"/>
      <c r="M17" s="88" t="s">
        <v>253</v>
      </c>
      <c r="N17" s="96" t="s">
        <v>250</v>
      </c>
      <c r="O17" s="96" t="s">
        <v>248</v>
      </c>
      <c r="P17" s="87">
        <v>8100</v>
      </c>
      <c r="Q17" s="91" t="s">
        <v>254</v>
      </c>
      <c r="R17" s="88"/>
      <c r="S17" s="87"/>
      <c r="T17" s="87"/>
      <c r="U17" s="87"/>
      <c r="V17" s="95"/>
      <c r="W17" s="90"/>
      <c r="X17" s="85">
        <v>150</v>
      </c>
    </row>
    <row r="18" spans="1:24" s="85" customFormat="1" ht="56.25" x14ac:dyDescent="0.25">
      <c r="A18" s="146">
        <v>7</v>
      </c>
      <c r="B18" s="147" t="s">
        <v>56</v>
      </c>
      <c r="C18" s="147"/>
      <c r="D18" s="147"/>
      <c r="E18" s="148" t="s">
        <v>305</v>
      </c>
      <c r="F18" s="152" t="s">
        <v>306</v>
      </c>
      <c r="G18" s="147" t="s">
        <v>307</v>
      </c>
      <c r="H18" s="149">
        <v>2640</v>
      </c>
      <c r="I18" s="150">
        <f>IF(X18 = 151, H18 + SUM(S18:S18) - SUM(T18:T18) - SUM(P18:P18) - V18,0)</f>
        <v>0</v>
      </c>
      <c r="J18" s="147" t="s">
        <v>308</v>
      </c>
      <c r="K18" s="147" t="s">
        <v>309</v>
      </c>
      <c r="L18" s="147"/>
      <c r="M18" s="147" t="s">
        <v>310</v>
      </c>
      <c r="N18" s="152" t="s">
        <v>311</v>
      </c>
      <c r="O18" s="152" t="s">
        <v>312</v>
      </c>
      <c r="P18" s="149">
        <v>2640</v>
      </c>
      <c r="Q18" s="148" t="s">
        <v>313</v>
      </c>
      <c r="R18" s="147"/>
      <c r="S18" s="149"/>
      <c r="T18" s="149"/>
      <c r="U18" s="149"/>
      <c r="V18" s="153"/>
      <c r="W18" s="151"/>
      <c r="X18" s="85">
        <v>151</v>
      </c>
    </row>
    <row r="19" spans="1:24" s="85" customFormat="1" ht="56.25" x14ac:dyDescent="0.25">
      <c r="A19" s="146">
        <v>8</v>
      </c>
      <c r="B19" s="147" t="s">
        <v>56</v>
      </c>
      <c r="C19" s="147"/>
      <c r="D19" s="147"/>
      <c r="E19" s="148" t="s">
        <v>314</v>
      </c>
      <c r="F19" s="152" t="s">
        <v>301</v>
      </c>
      <c r="G19" s="147" t="s">
        <v>315</v>
      </c>
      <c r="H19" s="149">
        <v>89733</v>
      </c>
      <c r="I19" s="150">
        <f>IF(X19 = 152, H19 + SUM(S19:S19) - SUM(T19:T19) - SUM(P19:P19) - V19,0)</f>
        <v>0</v>
      </c>
      <c r="J19" s="147" t="s">
        <v>316</v>
      </c>
      <c r="K19" s="147" t="s">
        <v>317</v>
      </c>
      <c r="L19" s="147"/>
      <c r="M19" s="147" t="s">
        <v>318</v>
      </c>
      <c r="N19" s="152" t="s">
        <v>301</v>
      </c>
      <c r="O19" s="152" t="s">
        <v>312</v>
      </c>
      <c r="P19" s="149">
        <v>89733</v>
      </c>
      <c r="Q19" s="148" t="s">
        <v>319</v>
      </c>
      <c r="R19" s="147"/>
      <c r="S19" s="149"/>
      <c r="T19" s="149"/>
      <c r="U19" s="149"/>
      <c r="V19" s="153"/>
      <c r="W19" s="151"/>
      <c r="X19" s="85">
        <v>152</v>
      </c>
    </row>
    <row r="20" spans="1:24" s="85" customFormat="1" ht="112.5" x14ac:dyDescent="0.25">
      <c r="A20" s="146">
        <v>9</v>
      </c>
      <c r="B20" s="147" t="s">
        <v>56</v>
      </c>
      <c r="C20" s="147"/>
      <c r="D20" s="147"/>
      <c r="E20" s="148" t="s">
        <v>161</v>
      </c>
      <c r="F20" s="152" t="s">
        <v>265</v>
      </c>
      <c r="G20" s="147" t="s">
        <v>320</v>
      </c>
      <c r="H20" s="149">
        <v>700</v>
      </c>
      <c r="I20" s="150">
        <f>IF(X20 = 153, H20 + SUM(S20:S20) - SUM(T20:T20) - SUM(P20:P20) - V20,0)</f>
        <v>0</v>
      </c>
      <c r="J20" s="147" t="s">
        <v>321</v>
      </c>
      <c r="K20" s="147" t="s">
        <v>322</v>
      </c>
      <c r="L20" s="147"/>
      <c r="M20" s="147" t="s">
        <v>323</v>
      </c>
      <c r="N20" s="152" t="s">
        <v>301</v>
      </c>
      <c r="O20" s="152" t="s">
        <v>324</v>
      </c>
      <c r="P20" s="149">
        <v>700</v>
      </c>
      <c r="Q20" s="148" t="s">
        <v>313</v>
      </c>
      <c r="R20" s="147"/>
      <c r="S20" s="149"/>
      <c r="T20" s="149"/>
      <c r="U20" s="149"/>
      <c r="V20" s="153"/>
      <c r="W20" s="151"/>
      <c r="X20" s="85">
        <v>153</v>
      </c>
    </row>
    <row r="21" spans="1:24" s="85" customFormat="1" ht="75" x14ac:dyDescent="0.25">
      <c r="A21" s="146">
        <v>10</v>
      </c>
      <c r="B21" s="147" t="s">
        <v>56</v>
      </c>
      <c r="C21" s="147"/>
      <c r="D21" s="147"/>
      <c r="E21" s="148" t="s">
        <v>160</v>
      </c>
      <c r="F21" s="152" t="s">
        <v>297</v>
      </c>
      <c r="G21" s="147" t="s">
        <v>325</v>
      </c>
      <c r="H21" s="149">
        <v>9890</v>
      </c>
      <c r="I21" s="150">
        <f>IF(X21 = 154, H21 + SUM(S21:S21) - SUM(T21:T21) - SUM(P21:P21) - V21,0)</f>
        <v>0</v>
      </c>
      <c r="J21" s="147" t="s">
        <v>326</v>
      </c>
      <c r="K21" s="147" t="s">
        <v>327</v>
      </c>
      <c r="L21" s="147"/>
      <c r="M21" s="147" t="s">
        <v>343</v>
      </c>
      <c r="N21" s="152" t="s">
        <v>328</v>
      </c>
      <c r="O21" s="152" t="s">
        <v>329</v>
      </c>
      <c r="P21" s="149">
        <v>9890</v>
      </c>
      <c r="Q21" s="148" t="s">
        <v>300</v>
      </c>
      <c r="R21" s="147"/>
      <c r="S21" s="149"/>
      <c r="T21" s="149"/>
      <c r="U21" s="149"/>
      <c r="V21" s="153"/>
      <c r="W21" s="151"/>
      <c r="X21" s="85">
        <v>154</v>
      </c>
    </row>
    <row r="22" spans="1:24" s="85" customFormat="1" ht="56.25" x14ac:dyDescent="0.25">
      <c r="A22" s="146">
        <v>11</v>
      </c>
      <c r="B22" s="147" t="s">
        <v>56</v>
      </c>
      <c r="C22" s="147"/>
      <c r="D22" s="147"/>
      <c r="E22" s="148" t="s">
        <v>160</v>
      </c>
      <c r="F22" s="152" t="s">
        <v>330</v>
      </c>
      <c r="G22" s="147" t="s">
        <v>331</v>
      </c>
      <c r="H22" s="149">
        <v>12151.68</v>
      </c>
      <c r="I22" s="150">
        <f>IF(X22 = 155, H22 + SUM(S22:S22) - SUM(T22:T22) - SUM(P22:P22) - V22,0)</f>
        <v>0</v>
      </c>
      <c r="J22" s="147" t="s">
        <v>332</v>
      </c>
      <c r="K22" s="147" t="s">
        <v>333</v>
      </c>
      <c r="L22" s="147"/>
      <c r="M22" s="147" t="s">
        <v>342</v>
      </c>
      <c r="N22" s="152" t="s">
        <v>337</v>
      </c>
      <c r="O22" s="152" t="s">
        <v>312</v>
      </c>
      <c r="P22" s="149">
        <v>12151.68</v>
      </c>
      <c r="Q22" s="148" t="s">
        <v>297</v>
      </c>
      <c r="R22" s="147"/>
      <c r="S22" s="149"/>
      <c r="T22" s="149"/>
      <c r="U22" s="149"/>
      <c r="V22" s="153"/>
      <c r="W22" s="151"/>
      <c r="X22" s="85">
        <v>155</v>
      </c>
    </row>
    <row r="23" spans="1:24" s="85" customFormat="1" ht="72" customHeight="1" x14ac:dyDescent="0.25">
      <c r="A23" s="351">
        <v>12</v>
      </c>
      <c r="B23" s="360" t="s">
        <v>56</v>
      </c>
      <c r="C23" s="360"/>
      <c r="D23" s="360"/>
      <c r="E23" s="366" t="s">
        <v>160</v>
      </c>
      <c r="F23" s="354" t="s">
        <v>338</v>
      </c>
      <c r="G23" s="360" t="s">
        <v>339</v>
      </c>
      <c r="H23" s="357">
        <v>10980.22</v>
      </c>
      <c r="I23" s="369">
        <f>IF(X23 = 156, H23 + SUM(S23:S28) - SUM(T23:T28) - SUM(P23:P28) - V23,0)</f>
        <v>6088.0899999999992</v>
      </c>
      <c r="J23" s="360" t="s">
        <v>340</v>
      </c>
      <c r="K23" s="360" t="s">
        <v>341</v>
      </c>
      <c r="L23" s="360"/>
      <c r="M23" s="360" t="s">
        <v>171</v>
      </c>
      <c r="N23" s="247" t="s">
        <v>290</v>
      </c>
      <c r="O23" s="354" t="s">
        <v>329</v>
      </c>
      <c r="P23" s="233">
        <v>866.1</v>
      </c>
      <c r="Q23" s="231" t="s">
        <v>294</v>
      </c>
      <c r="R23" s="232"/>
      <c r="S23" s="233"/>
      <c r="T23" s="233"/>
      <c r="U23" s="357"/>
      <c r="V23" s="363"/>
      <c r="W23" s="332"/>
      <c r="X23" s="85">
        <v>156</v>
      </c>
    </row>
    <row r="24" spans="1:24" s="97" customFormat="1" x14ac:dyDescent="0.25">
      <c r="A24" s="352"/>
      <c r="B24" s="361"/>
      <c r="C24" s="361"/>
      <c r="D24" s="361"/>
      <c r="E24" s="367"/>
      <c r="F24" s="355"/>
      <c r="G24" s="361"/>
      <c r="H24" s="358"/>
      <c r="I24" s="370"/>
      <c r="J24" s="361"/>
      <c r="K24" s="361"/>
      <c r="L24" s="361"/>
      <c r="M24" s="361"/>
      <c r="N24" s="248" t="s">
        <v>261</v>
      </c>
      <c r="O24" s="355"/>
      <c r="P24" s="237">
        <v>721.49</v>
      </c>
      <c r="Q24" s="235" t="s">
        <v>262</v>
      </c>
      <c r="R24" s="236"/>
      <c r="S24" s="237"/>
      <c r="T24" s="237"/>
      <c r="U24" s="358"/>
      <c r="V24" s="364"/>
      <c r="W24" s="333"/>
      <c r="X24" s="97">
        <v>156</v>
      </c>
    </row>
    <row r="25" spans="1:24" s="97" customFormat="1" x14ac:dyDescent="0.25">
      <c r="A25" s="352"/>
      <c r="B25" s="361"/>
      <c r="C25" s="361"/>
      <c r="D25" s="361"/>
      <c r="E25" s="367"/>
      <c r="F25" s="355"/>
      <c r="G25" s="361"/>
      <c r="H25" s="358"/>
      <c r="I25" s="370"/>
      <c r="J25" s="361"/>
      <c r="K25" s="361"/>
      <c r="L25" s="361"/>
      <c r="M25" s="361"/>
      <c r="N25" s="248" t="s">
        <v>222</v>
      </c>
      <c r="O25" s="355"/>
      <c r="P25" s="237">
        <v>834.89</v>
      </c>
      <c r="Q25" s="235" t="s">
        <v>227</v>
      </c>
      <c r="R25" s="236"/>
      <c r="S25" s="237"/>
      <c r="T25" s="237"/>
      <c r="U25" s="358"/>
      <c r="V25" s="364"/>
      <c r="W25" s="333"/>
      <c r="X25" s="97">
        <v>156</v>
      </c>
    </row>
    <row r="26" spans="1:24" s="97" customFormat="1" x14ac:dyDescent="0.25">
      <c r="A26" s="352"/>
      <c r="B26" s="361"/>
      <c r="C26" s="361"/>
      <c r="D26" s="361"/>
      <c r="E26" s="367"/>
      <c r="F26" s="355"/>
      <c r="G26" s="361"/>
      <c r="H26" s="358"/>
      <c r="I26" s="370"/>
      <c r="J26" s="361"/>
      <c r="K26" s="361"/>
      <c r="L26" s="361"/>
      <c r="M26" s="361"/>
      <c r="N26" s="248" t="s">
        <v>356</v>
      </c>
      <c r="O26" s="355"/>
      <c r="P26" s="237">
        <v>828.24</v>
      </c>
      <c r="Q26" s="235" t="s">
        <v>357</v>
      </c>
      <c r="R26" s="236"/>
      <c r="S26" s="237"/>
      <c r="T26" s="237"/>
      <c r="U26" s="358"/>
      <c r="V26" s="364"/>
      <c r="W26" s="333"/>
      <c r="X26" s="97">
        <v>156</v>
      </c>
    </row>
    <row r="27" spans="1:24" s="97" customFormat="1" x14ac:dyDescent="0.25">
      <c r="A27" s="352"/>
      <c r="B27" s="361"/>
      <c r="C27" s="361"/>
      <c r="D27" s="361"/>
      <c r="E27" s="367"/>
      <c r="F27" s="355"/>
      <c r="G27" s="361"/>
      <c r="H27" s="358"/>
      <c r="I27" s="370"/>
      <c r="J27" s="361"/>
      <c r="K27" s="361"/>
      <c r="L27" s="361"/>
      <c r="M27" s="361"/>
      <c r="N27" s="248" t="s">
        <v>405</v>
      </c>
      <c r="O27" s="355"/>
      <c r="P27" s="237">
        <v>830.5</v>
      </c>
      <c r="Q27" s="235" t="s">
        <v>412</v>
      </c>
      <c r="R27" s="236"/>
      <c r="S27" s="237"/>
      <c r="T27" s="237"/>
      <c r="U27" s="358"/>
      <c r="V27" s="364"/>
      <c r="W27" s="333"/>
      <c r="X27" s="97">
        <v>156</v>
      </c>
    </row>
    <row r="28" spans="1:24" s="97" customFormat="1" x14ac:dyDescent="0.25">
      <c r="A28" s="353"/>
      <c r="B28" s="362"/>
      <c r="C28" s="362"/>
      <c r="D28" s="362"/>
      <c r="E28" s="368"/>
      <c r="F28" s="356"/>
      <c r="G28" s="362"/>
      <c r="H28" s="359"/>
      <c r="I28" s="371"/>
      <c r="J28" s="362"/>
      <c r="K28" s="362"/>
      <c r="L28" s="362"/>
      <c r="M28" s="362"/>
      <c r="N28" s="249" t="s">
        <v>462</v>
      </c>
      <c r="O28" s="356"/>
      <c r="P28" s="243">
        <v>810.91</v>
      </c>
      <c r="Q28" s="244" t="s">
        <v>468</v>
      </c>
      <c r="R28" s="245"/>
      <c r="S28" s="243"/>
      <c r="T28" s="243"/>
      <c r="U28" s="359"/>
      <c r="V28" s="365"/>
      <c r="W28" s="334"/>
      <c r="X28" s="97">
        <v>156</v>
      </c>
    </row>
    <row r="29" spans="1:24" s="85" customFormat="1" ht="93.75" x14ac:dyDescent="0.25">
      <c r="A29" s="163">
        <v>13</v>
      </c>
      <c r="B29" s="164" t="s">
        <v>56</v>
      </c>
      <c r="C29" s="164"/>
      <c r="D29" s="164"/>
      <c r="E29" s="165" t="s">
        <v>160</v>
      </c>
      <c r="F29" s="181" t="s">
        <v>368</v>
      </c>
      <c r="G29" s="164" t="s">
        <v>369</v>
      </c>
      <c r="H29" s="166">
        <v>9400</v>
      </c>
      <c r="I29" s="167">
        <f>IF(X29 = 157, H29 + SUM(S29:S29) - SUM(T29:T29) - SUM(P29:P29) - V29,0)</f>
        <v>0</v>
      </c>
      <c r="J29" s="164" t="s">
        <v>374</v>
      </c>
      <c r="K29" s="164" t="s">
        <v>370</v>
      </c>
      <c r="L29" s="164"/>
      <c r="M29" s="164" t="s">
        <v>371</v>
      </c>
      <c r="N29" s="181" t="s">
        <v>372</v>
      </c>
      <c r="O29" s="181" t="s">
        <v>373</v>
      </c>
      <c r="P29" s="166">
        <v>9400</v>
      </c>
      <c r="Q29" s="165" t="s">
        <v>367</v>
      </c>
      <c r="R29" s="164"/>
      <c r="S29" s="166"/>
      <c r="T29" s="166"/>
      <c r="U29" s="166"/>
      <c r="V29" s="182"/>
      <c r="W29" s="168"/>
      <c r="X29" s="85">
        <v>157</v>
      </c>
    </row>
    <row r="30" spans="1:24" s="85" customFormat="1" ht="93.75" x14ac:dyDescent="0.25">
      <c r="A30" s="163">
        <v>14</v>
      </c>
      <c r="B30" s="164" t="s">
        <v>56</v>
      </c>
      <c r="C30" s="164"/>
      <c r="D30" s="164"/>
      <c r="E30" s="165" t="s">
        <v>375</v>
      </c>
      <c r="F30" s="181" t="s">
        <v>360</v>
      </c>
      <c r="G30" s="164" t="s">
        <v>376</v>
      </c>
      <c r="H30" s="166">
        <v>5000</v>
      </c>
      <c r="I30" s="167">
        <f>IF(X30 = 158, H30 + SUM(S30:S30) - SUM(T30:T30) - SUM(P30:P30) - V30,0)</f>
        <v>0</v>
      </c>
      <c r="J30" s="164" t="s">
        <v>377</v>
      </c>
      <c r="K30" s="164" t="s">
        <v>153</v>
      </c>
      <c r="L30" s="164"/>
      <c r="M30" s="164" t="s">
        <v>378</v>
      </c>
      <c r="N30" s="181" t="s">
        <v>360</v>
      </c>
      <c r="O30" s="181" t="s">
        <v>379</v>
      </c>
      <c r="P30" s="166">
        <v>5000</v>
      </c>
      <c r="Q30" s="165" t="s">
        <v>358</v>
      </c>
      <c r="R30" s="164"/>
      <c r="S30" s="166"/>
      <c r="T30" s="166"/>
      <c r="U30" s="166"/>
      <c r="V30" s="182"/>
      <c r="W30" s="168"/>
      <c r="X30" s="85">
        <v>158</v>
      </c>
    </row>
    <row r="31" spans="1:24" s="85" customFormat="1" ht="93.75" x14ac:dyDescent="0.25">
      <c r="A31" s="163">
        <v>15</v>
      </c>
      <c r="B31" s="164" t="s">
        <v>56</v>
      </c>
      <c r="C31" s="164"/>
      <c r="D31" s="164"/>
      <c r="E31" s="165" t="s">
        <v>380</v>
      </c>
      <c r="F31" s="181" t="s">
        <v>358</v>
      </c>
      <c r="G31" s="164" t="s">
        <v>388</v>
      </c>
      <c r="H31" s="166">
        <v>4000</v>
      </c>
      <c r="I31" s="167">
        <f>IF(X31 = 159, H31 + SUM(S31:S31) - SUM(T31:T31) - SUM(P31:P31) - V31,0)</f>
        <v>0</v>
      </c>
      <c r="J31" s="164" t="s">
        <v>381</v>
      </c>
      <c r="K31" s="164" t="s">
        <v>382</v>
      </c>
      <c r="L31" s="164"/>
      <c r="M31" s="164" t="s">
        <v>383</v>
      </c>
      <c r="N31" s="181" t="s">
        <v>358</v>
      </c>
      <c r="O31" s="181" t="s">
        <v>373</v>
      </c>
      <c r="P31" s="166">
        <v>4000</v>
      </c>
      <c r="Q31" s="165" t="s">
        <v>384</v>
      </c>
      <c r="R31" s="164"/>
      <c r="S31" s="166"/>
      <c r="T31" s="166"/>
      <c r="U31" s="166"/>
      <c r="V31" s="182"/>
      <c r="W31" s="168"/>
      <c r="X31" s="85">
        <v>159</v>
      </c>
    </row>
    <row r="32" spans="1:24" s="85" customFormat="1" ht="56.25" x14ac:dyDescent="0.25">
      <c r="A32" s="163">
        <v>16</v>
      </c>
      <c r="B32" s="164" t="s">
        <v>56</v>
      </c>
      <c r="C32" s="164"/>
      <c r="D32" s="164"/>
      <c r="E32" s="165" t="s">
        <v>385</v>
      </c>
      <c r="F32" s="181" t="s">
        <v>386</v>
      </c>
      <c r="G32" s="164" t="s">
        <v>387</v>
      </c>
      <c r="H32" s="166">
        <v>3400</v>
      </c>
      <c r="I32" s="167">
        <f>IF(X32 = 160, H32 + SUM(S32:S32) - SUM(T32:T32) - SUM(P32:P32) - V32,0)</f>
        <v>0</v>
      </c>
      <c r="J32" s="164" t="s">
        <v>389</v>
      </c>
      <c r="K32" s="164" t="s">
        <v>390</v>
      </c>
      <c r="L32" s="164"/>
      <c r="M32" s="164" t="s">
        <v>392</v>
      </c>
      <c r="N32" s="181" t="s">
        <v>386</v>
      </c>
      <c r="O32" s="181" t="s">
        <v>391</v>
      </c>
      <c r="P32" s="166">
        <v>3400</v>
      </c>
      <c r="Q32" s="165" t="s">
        <v>357</v>
      </c>
      <c r="R32" s="164"/>
      <c r="S32" s="166"/>
      <c r="T32" s="166"/>
      <c r="U32" s="166"/>
      <c r="V32" s="182"/>
      <c r="W32" s="168"/>
      <c r="X32" s="85">
        <v>160</v>
      </c>
    </row>
    <row r="33" spans="1:24" s="85" customFormat="1" ht="56.25" x14ac:dyDescent="0.25">
      <c r="A33" s="163">
        <v>17</v>
      </c>
      <c r="B33" s="164" t="s">
        <v>56</v>
      </c>
      <c r="C33" s="164"/>
      <c r="D33" s="164"/>
      <c r="E33" s="165" t="s">
        <v>393</v>
      </c>
      <c r="F33" s="181" t="s">
        <v>386</v>
      </c>
      <c r="G33" s="164" t="s">
        <v>394</v>
      </c>
      <c r="H33" s="166">
        <v>3701.7</v>
      </c>
      <c r="I33" s="167">
        <f>IF(X33 = 161, H33 + SUM(S33:S33) - SUM(T33:T33) - SUM(P33:P33) - V33,0)</f>
        <v>0</v>
      </c>
      <c r="J33" s="164" t="s">
        <v>389</v>
      </c>
      <c r="K33" s="164" t="s">
        <v>390</v>
      </c>
      <c r="L33" s="164"/>
      <c r="M33" s="164" t="s">
        <v>392</v>
      </c>
      <c r="N33" s="181">
        <v>45775</v>
      </c>
      <c r="O33" s="181" t="s">
        <v>391</v>
      </c>
      <c r="P33" s="166">
        <v>3701.7</v>
      </c>
      <c r="Q33" s="165">
        <v>45782</v>
      </c>
      <c r="R33" s="164"/>
      <c r="S33" s="166"/>
      <c r="T33" s="166"/>
      <c r="U33" s="166"/>
      <c r="V33" s="182"/>
      <c r="W33" s="168"/>
      <c r="X33" s="85">
        <v>161</v>
      </c>
    </row>
    <row r="34" spans="1:24" s="85" customFormat="1" ht="93.75" x14ac:dyDescent="0.25">
      <c r="A34" s="163">
        <v>18</v>
      </c>
      <c r="B34" s="164" t="s">
        <v>56</v>
      </c>
      <c r="C34" s="164"/>
      <c r="D34" s="164"/>
      <c r="E34" s="165" t="s">
        <v>395</v>
      </c>
      <c r="F34" s="181" t="s">
        <v>299</v>
      </c>
      <c r="G34" s="164" t="s">
        <v>396</v>
      </c>
      <c r="H34" s="166">
        <v>52595</v>
      </c>
      <c r="I34" s="167">
        <f>IF(X34 = 162, H34 + SUM(S34:S34) - SUM(T34:T34) - SUM(P34:P34) - V34,0)</f>
        <v>0</v>
      </c>
      <c r="J34" s="164" t="s">
        <v>397</v>
      </c>
      <c r="K34" s="164" t="s">
        <v>170</v>
      </c>
      <c r="L34" s="164"/>
      <c r="M34" s="164" t="s">
        <v>398</v>
      </c>
      <c r="N34" s="181" t="s">
        <v>359</v>
      </c>
      <c r="O34" s="181" t="s">
        <v>399</v>
      </c>
      <c r="P34" s="166">
        <v>52595</v>
      </c>
      <c r="Q34" s="165" t="s">
        <v>361</v>
      </c>
      <c r="R34" s="164"/>
      <c r="S34" s="166"/>
      <c r="T34" s="166"/>
      <c r="U34" s="166"/>
      <c r="V34" s="182"/>
      <c r="W34" s="168"/>
      <c r="X34" s="85">
        <v>162</v>
      </c>
    </row>
    <row r="35" spans="1:24" s="85" customFormat="1" ht="93.75" x14ac:dyDescent="0.25">
      <c r="A35" s="163">
        <v>19</v>
      </c>
      <c r="B35" s="164" t="s">
        <v>56</v>
      </c>
      <c r="C35" s="164"/>
      <c r="D35" s="164"/>
      <c r="E35" s="165" t="s">
        <v>400</v>
      </c>
      <c r="F35" s="181" t="s">
        <v>299</v>
      </c>
      <c r="G35" s="164" t="s">
        <v>396</v>
      </c>
      <c r="H35" s="166">
        <v>2916</v>
      </c>
      <c r="I35" s="167">
        <f>IF(X35 = 163, H35 + SUM(S35:S35) - SUM(T35:T35) - SUM(P35:P35) - V35,0)</f>
        <v>0</v>
      </c>
      <c r="J35" s="164" t="s">
        <v>397</v>
      </c>
      <c r="K35" s="164" t="s">
        <v>170</v>
      </c>
      <c r="L35" s="164"/>
      <c r="M35" s="164" t="s">
        <v>398</v>
      </c>
      <c r="N35" s="181" t="s">
        <v>359</v>
      </c>
      <c r="O35" s="181" t="s">
        <v>399</v>
      </c>
      <c r="P35" s="166">
        <v>2916</v>
      </c>
      <c r="Q35" s="165" t="s">
        <v>361</v>
      </c>
      <c r="R35" s="164"/>
      <c r="S35" s="166"/>
      <c r="T35" s="166"/>
      <c r="U35" s="166"/>
      <c r="V35" s="182"/>
      <c r="W35" s="168"/>
      <c r="X35" s="85">
        <v>163</v>
      </c>
    </row>
    <row r="36" spans="1:24" s="85" customFormat="1" ht="93.75" x14ac:dyDescent="0.25">
      <c r="A36" s="193">
        <v>20</v>
      </c>
      <c r="B36" s="194" t="s">
        <v>56</v>
      </c>
      <c r="C36" s="194"/>
      <c r="D36" s="194"/>
      <c r="E36" s="195" t="s">
        <v>413</v>
      </c>
      <c r="F36" s="201" t="s">
        <v>414</v>
      </c>
      <c r="G36" s="194" t="s">
        <v>415</v>
      </c>
      <c r="H36" s="196">
        <v>180000</v>
      </c>
      <c r="I36" s="197">
        <f>IF(X36 = 164, H36 + SUM(S36:S36) - SUM(T36:T36) - SUM(P36:P36) - V36,0)</f>
        <v>0</v>
      </c>
      <c r="J36" s="194" t="s">
        <v>416</v>
      </c>
      <c r="K36" s="194" t="s">
        <v>417</v>
      </c>
      <c r="L36" s="194"/>
      <c r="M36" s="194" t="s">
        <v>418</v>
      </c>
      <c r="N36" s="201" t="s">
        <v>419</v>
      </c>
      <c r="O36" s="201" t="s">
        <v>420</v>
      </c>
      <c r="P36" s="196">
        <v>180000</v>
      </c>
      <c r="Q36" s="195" t="s">
        <v>421</v>
      </c>
      <c r="R36" s="194"/>
      <c r="S36" s="196"/>
      <c r="T36" s="196"/>
      <c r="U36" s="196"/>
      <c r="V36" s="202"/>
      <c r="W36" s="189"/>
      <c r="X36" s="85">
        <v>164</v>
      </c>
    </row>
    <row r="37" spans="1:24" s="85" customFormat="1" ht="93.75" x14ac:dyDescent="0.25">
      <c r="A37" s="193">
        <v>21</v>
      </c>
      <c r="B37" s="194" t="s">
        <v>56</v>
      </c>
      <c r="C37" s="194"/>
      <c r="D37" s="194"/>
      <c r="E37" s="195" t="s">
        <v>427</v>
      </c>
      <c r="F37" s="201" t="s">
        <v>357</v>
      </c>
      <c r="G37" s="194" t="s">
        <v>428</v>
      </c>
      <c r="H37" s="196">
        <v>9000</v>
      </c>
      <c r="I37" s="197">
        <f>IF(X37 = 165, H37 + SUM(S37:S37) - SUM(T37:T37) - SUM(P37:P37) - V37,0)</f>
        <v>0</v>
      </c>
      <c r="J37" s="194" t="s">
        <v>429</v>
      </c>
      <c r="K37" s="194" t="s">
        <v>430</v>
      </c>
      <c r="L37" s="194"/>
      <c r="M37" s="194" t="s">
        <v>433</v>
      </c>
      <c r="N37" s="201" t="s">
        <v>431</v>
      </c>
      <c r="O37" s="201" t="s">
        <v>434</v>
      </c>
      <c r="P37" s="196">
        <v>9000</v>
      </c>
      <c r="Q37" s="195" t="s">
        <v>432</v>
      </c>
      <c r="R37" s="194"/>
      <c r="S37" s="196"/>
      <c r="T37" s="196"/>
      <c r="U37" s="196"/>
      <c r="V37" s="202"/>
      <c r="W37" s="189"/>
      <c r="X37" s="85">
        <v>165</v>
      </c>
    </row>
    <row r="38" spans="1:24" s="85" customFormat="1" ht="56.25" x14ac:dyDescent="0.25">
      <c r="A38" s="193">
        <v>22</v>
      </c>
      <c r="B38" s="194" t="s">
        <v>56</v>
      </c>
      <c r="C38" s="194"/>
      <c r="D38" s="194"/>
      <c r="E38" s="195" t="s">
        <v>442</v>
      </c>
      <c r="F38" s="201" t="s">
        <v>402</v>
      </c>
      <c r="G38" s="194" t="s">
        <v>443</v>
      </c>
      <c r="H38" s="196">
        <v>15504.49</v>
      </c>
      <c r="I38" s="197">
        <f>IF(X38 = 166, H38 + SUM(S38:S38) - SUM(T38:T38) - SUM(P38:P38) - V38,0)</f>
        <v>0</v>
      </c>
      <c r="J38" s="194" t="s">
        <v>444</v>
      </c>
      <c r="K38" s="194" t="s">
        <v>445</v>
      </c>
      <c r="L38" s="194"/>
      <c r="M38" s="194" t="s">
        <v>446</v>
      </c>
      <c r="N38" s="201" t="s">
        <v>447</v>
      </c>
      <c r="O38" s="201" t="s">
        <v>448</v>
      </c>
      <c r="P38" s="196">
        <v>15504.49</v>
      </c>
      <c r="Q38" s="195" t="s">
        <v>404</v>
      </c>
      <c r="R38" s="194"/>
      <c r="S38" s="196"/>
      <c r="T38" s="196"/>
      <c r="U38" s="196"/>
      <c r="V38" s="202"/>
      <c r="W38" s="189"/>
      <c r="X38" s="85">
        <v>166</v>
      </c>
    </row>
    <row r="39" spans="1:24" s="85" customFormat="1" ht="75" x14ac:dyDescent="0.25">
      <c r="A39" s="193">
        <v>23</v>
      </c>
      <c r="B39" s="194" t="s">
        <v>56</v>
      </c>
      <c r="C39" s="194"/>
      <c r="D39" s="194"/>
      <c r="E39" s="195" t="s">
        <v>449</v>
      </c>
      <c r="F39" s="201">
        <v>45796</v>
      </c>
      <c r="G39" s="194" t="s">
        <v>450</v>
      </c>
      <c r="H39" s="196">
        <v>8000</v>
      </c>
      <c r="I39" s="197">
        <f>IF(X39 = 167, H39 + SUM(S39:S39) - SUM(T39:T39) - SUM(P39:P39) - V39,0)</f>
        <v>0</v>
      </c>
      <c r="J39" s="194" t="s">
        <v>451</v>
      </c>
      <c r="K39" s="194" t="s">
        <v>452</v>
      </c>
      <c r="L39" s="194"/>
      <c r="M39" s="194" t="s">
        <v>453</v>
      </c>
      <c r="N39" s="201" t="s">
        <v>447</v>
      </c>
      <c r="O39" s="201" t="s">
        <v>454</v>
      </c>
      <c r="P39" s="196">
        <v>8000</v>
      </c>
      <c r="Q39" s="195" t="s">
        <v>447</v>
      </c>
      <c r="R39" s="194"/>
      <c r="S39" s="196"/>
      <c r="T39" s="196"/>
      <c r="U39" s="196"/>
      <c r="V39" s="202"/>
      <c r="W39" s="189"/>
      <c r="X39" s="85">
        <v>167</v>
      </c>
    </row>
    <row r="40" spans="1:24" s="85" customFormat="1" ht="75" x14ac:dyDescent="0.25">
      <c r="A40" s="222">
        <v>24</v>
      </c>
      <c r="B40" s="223" t="s">
        <v>56</v>
      </c>
      <c r="C40" s="223"/>
      <c r="D40" s="223"/>
      <c r="E40" s="224" t="s">
        <v>476</v>
      </c>
      <c r="F40" s="252" t="s">
        <v>470</v>
      </c>
      <c r="G40" s="223" t="s">
        <v>477</v>
      </c>
      <c r="H40" s="225">
        <v>2320</v>
      </c>
      <c r="I40" s="226">
        <f>IF(X40 = 168, H40 + SUM(S40:S40) - SUM(T40:T40) - SUM(P40:P40) - V40,0)</f>
        <v>0</v>
      </c>
      <c r="J40" s="223" t="s">
        <v>374</v>
      </c>
      <c r="K40" s="223" t="s">
        <v>370</v>
      </c>
      <c r="L40" s="223"/>
      <c r="M40" s="223" t="s">
        <v>446</v>
      </c>
      <c r="N40" s="252" t="s">
        <v>463</v>
      </c>
      <c r="O40" s="252" t="s">
        <v>454</v>
      </c>
      <c r="P40" s="225">
        <v>2320</v>
      </c>
      <c r="Q40" s="224" t="s">
        <v>468</v>
      </c>
      <c r="R40" s="223"/>
      <c r="S40" s="225"/>
      <c r="T40" s="225"/>
      <c r="U40" s="225"/>
      <c r="V40" s="250"/>
      <c r="W40" s="219"/>
      <c r="X40" s="85">
        <v>168</v>
      </c>
    </row>
    <row r="41" spans="1:24" s="85" customFormat="1" ht="56.25" x14ac:dyDescent="0.25">
      <c r="A41" s="238">
        <v>25</v>
      </c>
      <c r="B41" s="239" t="s">
        <v>56</v>
      </c>
      <c r="C41" s="239"/>
      <c r="D41" s="239"/>
      <c r="E41" s="240" t="s">
        <v>478</v>
      </c>
      <c r="F41" s="260" t="s">
        <v>479</v>
      </c>
      <c r="G41" s="239" t="s">
        <v>480</v>
      </c>
      <c r="H41" s="241">
        <v>18000</v>
      </c>
      <c r="I41" s="242">
        <f>IF(X41 = 169, H41 + SUM(S41:S41) - SUM(T41:T41) - SUM(P41:P41) - V41,0)</f>
        <v>0</v>
      </c>
      <c r="J41" s="239" t="s">
        <v>481</v>
      </c>
      <c r="K41" s="239" t="s">
        <v>482</v>
      </c>
      <c r="L41" s="239"/>
      <c r="M41" s="239" t="s">
        <v>483</v>
      </c>
      <c r="N41" s="260" t="s">
        <v>484</v>
      </c>
      <c r="O41" s="260" t="s">
        <v>56</v>
      </c>
      <c r="P41" s="241">
        <v>18000</v>
      </c>
      <c r="Q41" s="240">
        <v>45855</v>
      </c>
      <c r="R41" s="239"/>
      <c r="S41" s="241"/>
      <c r="T41" s="241"/>
      <c r="U41" s="241"/>
      <c r="V41" s="251"/>
      <c r="W41" s="246"/>
      <c r="X41" s="85">
        <v>169</v>
      </c>
    </row>
    <row r="42" spans="1:24" x14ac:dyDescent="0.25">
      <c r="X42" s="2">
        <v>170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75">
    <mergeCell ref="A23:A28"/>
    <mergeCell ref="O23:O28"/>
    <mergeCell ref="U23:U28"/>
    <mergeCell ref="B23:B28"/>
    <mergeCell ref="V23:V28"/>
    <mergeCell ref="C23:C28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  <mergeCell ref="M23:M28"/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W13:W14"/>
    <mergeCell ref="W23:W28"/>
    <mergeCell ref="A11:A12"/>
    <mergeCell ref="O11:O12"/>
    <mergeCell ref="U11:U12"/>
    <mergeCell ref="B11:B12"/>
    <mergeCell ref="V11:V12"/>
    <mergeCell ref="C11:C12"/>
    <mergeCell ref="A13:A14"/>
    <mergeCell ref="O13:O14"/>
    <mergeCell ref="U13:U14"/>
    <mergeCell ref="B13:B14"/>
    <mergeCell ref="V13:V14"/>
    <mergeCell ref="C13:C14"/>
    <mergeCell ref="D13:D14"/>
    <mergeCell ref="E13:E14"/>
    <mergeCell ref="C9:C10"/>
    <mergeCell ref="S2:U2"/>
    <mergeCell ref="N2:O2"/>
    <mergeCell ref="J4:K4"/>
    <mergeCell ref="M4:N4"/>
    <mergeCell ref="O4:P4"/>
    <mergeCell ref="K2:M2"/>
    <mergeCell ref="A3:E3"/>
    <mergeCell ref="A9:A10"/>
    <mergeCell ref="O9:O10"/>
    <mergeCell ref="U9:U10"/>
    <mergeCell ref="B9:B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9:V10"/>
    <mergeCell ref="K13:K14"/>
    <mergeCell ref="L13:L14"/>
    <mergeCell ref="M13:M14"/>
    <mergeCell ref="F13:F14"/>
    <mergeCell ref="G13:G14"/>
    <mergeCell ref="H13:H14"/>
    <mergeCell ref="I13:I14"/>
    <mergeCell ref="J13:J14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43"/>
  <sheetViews>
    <sheetView showGridLines="0" topLeftCell="F1" zoomScale="55" zoomScaleNormal="55" workbookViewId="0">
      <pane ySplit="8" topLeftCell="A138" activePane="bottomLeft" state="frozen"/>
      <selection pane="bottomLeft" activeCell="N145" sqref="N145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403" t="s">
        <v>24</v>
      </c>
      <c r="G2" s="404"/>
      <c r="H2" s="80">
        <f>SUM(H9:H10000)</f>
        <v>2719235.9699999997</v>
      </c>
      <c r="I2" s="68"/>
      <c r="N2" s="325" t="s">
        <v>137</v>
      </c>
      <c r="O2" s="327"/>
      <c r="P2" s="69">
        <f>SUM(P9:P10000)</f>
        <v>2120870.66</v>
      </c>
      <c r="R2" s="68"/>
      <c r="S2" s="325" t="s">
        <v>45</v>
      </c>
      <c r="T2" s="326"/>
      <c r="U2" s="327"/>
      <c r="V2" s="70">
        <f>SUM(V9:V10000)</f>
        <v>153373.76999999999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51">
        <v>1</v>
      </c>
      <c r="B9" s="360" t="s">
        <v>56</v>
      </c>
      <c r="C9" s="360"/>
      <c r="D9" s="360"/>
      <c r="E9" s="360" t="s">
        <v>152</v>
      </c>
      <c r="F9" s="354" t="s">
        <v>163</v>
      </c>
      <c r="G9" s="366" t="s">
        <v>164</v>
      </c>
      <c r="H9" s="357">
        <v>431034.73</v>
      </c>
      <c r="I9" s="369">
        <f>IF(X9 = 156, H9 + SUM(S9:S24) - SUM(T9:T24) - SUM(P9:P24) - V9,0)</f>
        <v>5487.9199999999255</v>
      </c>
      <c r="J9" s="423">
        <v>2308119595</v>
      </c>
      <c r="K9" s="426" t="s">
        <v>165</v>
      </c>
      <c r="L9" s="360"/>
      <c r="M9" s="360" t="s">
        <v>166</v>
      </c>
      <c r="N9" s="247">
        <v>45717</v>
      </c>
      <c r="O9" s="354" t="s">
        <v>167</v>
      </c>
      <c r="P9" s="230">
        <v>22821.16</v>
      </c>
      <c r="Q9" s="231" t="s">
        <v>258</v>
      </c>
      <c r="R9" s="232"/>
      <c r="S9" s="233"/>
      <c r="T9" s="233"/>
      <c r="U9" s="357"/>
      <c r="V9" s="454"/>
      <c r="W9" s="332"/>
      <c r="X9" s="85">
        <v>156</v>
      </c>
    </row>
    <row r="10" spans="1:24" s="97" customFormat="1" x14ac:dyDescent="0.25">
      <c r="A10" s="352"/>
      <c r="B10" s="361"/>
      <c r="C10" s="361"/>
      <c r="D10" s="361"/>
      <c r="E10" s="361"/>
      <c r="F10" s="355"/>
      <c r="G10" s="367"/>
      <c r="H10" s="358"/>
      <c r="I10" s="370"/>
      <c r="J10" s="424"/>
      <c r="K10" s="427"/>
      <c r="L10" s="361"/>
      <c r="M10" s="361"/>
      <c r="N10" s="248">
        <v>45689</v>
      </c>
      <c r="O10" s="355"/>
      <c r="P10" s="234">
        <v>23926.44</v>
      </c>
      <c r="Q10" s="235" t="s">
        <v>259</v>
      </c>
      <c r="R10" s="236"/>
      <c r="S10" s="237"/>
      <c r="T10" s="237"/>
      <c r="U10" s="358"/>
      <c r="V10" s="455"/>
      <c r="W10" s="333"/>
      <c r="X10" s="97">
        <v>156</v>
      </c>
    </row>
    <row r="11" spans="1:24" s="97" customFormat="1" x14ac:dyDescent="0.25">
      <c r="A11" s="352"/>
      <c r="B11" s="361"/>
      <c r="C11" s="361"/>
      <c r="D11" s="361"/>
      <c r="E11" s="361"/>
      <c r="F11" s="355"/>
      <c r="G11" s="367"/>
      <c r="H11" s="358"/>
      <c r="I11" s="370"/>
      <c r="J11" s="424"/>
      <c r="K11" s="427"/>
      <c r="L11" s="361"/>
      <c r="M11" s="361"/>
      <c r="N11" s="248">
        <v>45658</v>
      </c>
      <c r="O11" s="355"/>
      <c r="P11" s="234">
        <v>26239.72</v>
      </c>
      <c r="Q11" s="235" t="s">
        <v>181</v>
      </c>
      <c r="R11" s="236"/>
      <c r="S11" s="237"/>
      <c r="T11" s="237"/>
      <c r="U11" s="358"/>
      <c r="V11" s="455"/>
      <c r="W11" s="333"/>
      <c r="X11" s="97">
        <v>156</v>
      </c>
    </row>
    <row r="12" spans="1:24" s="97" customFormat="1" x14ac:dyDescent="0.25">
      <c r="A12" s="352"/>
      <c r="B12" s="361"/>
      <c r="C12" s="361"/>
      <c r="D12" s="361"/>
      <c r="E12" s="361"/>
      <c r="F12" s="355"/>
      <c r="G12" s="367"/>
      <c r="H12" s="358"/>
      <c r="I12" s="370"/>
      <c r="J12" s="424"/>
      <c r="K12" s="427"/>
      <c r="L12" s="361"/>
      <c r="M12" s="361"/>
      <c r="N12" s="248">
        <v>45689</v>
      </c>
      <c r="O12" s="355"/>
      <c r="P12" s="234">
        <v>30419.5</v>
      </c>
      <c r="Q12" s="235" t="s">
        <v>260</v>
      </c>
      <c r="R12" s="236"/>
      <c r="S12" s="237"/>
      <c r="T12" s="237"/>
      <c r="U12" s="358"/>
      <c r="V12" s="455"/>
      <c r="W12" s="333"/>
      <c r="X12" s="97">
        <v>156</v>
      </c>
    </row>
    <row r="13" spans="1:24" s="97" customFormat="1" x14ac:dyDescent="0.25">
      <c r="A13" s="352"/>
      <c r="B13" s="361"/>
      <c r="C13" s="361"/>
      <c r="D13" s="361"/>
      <c r="E13" s="361"/>
      <c r="F13" s="355"/>
      <c r="G13" s="367"/>
      <c r="H13" s="358"/>
      <c r="I13" s="370"/>
      <c r="J13" s="424"/>
      <c r="K13" s="427"/>
      <c r="L13" s="361"/>
      <c r="M13" s="361"/>
      <c r="N13" s="248">
        <v>45688</v>
      </c>
      <c r="O13" s="355"/>
      <c r="P13" s="234">
        <v>49822.09</v>
      </c>
      <c r="Q13" s="235" t="s">
        <v>259</v>
      </c>
      <c r="R13" s="236"/>
      <c r="S13" s="237"/>
      <c r="T13" s="237"/>
      <c r="U13" s="358"/>
      <c r="V13" s="455"/>
      <c r="W13" s="333"/>
      <c r="X13" s="97">
        <v>156</v>
      </c>
    </row>
    <row r="14" spans="1:24" s="97" customFormat="1" x14ac:dyDescent="0.25">
      <c r="A14" s="352"/>
      <c r="B14" s="361"/>
      <c r="C14" s="361"/>
      <c r="D14" s="361"/>
      <c r="E14" s="361"/>
      <c r="F14" s="355"/>
      <c r="G14" s="367"/>
      <c r="H14" s="358"/>
      <c r="I14" s="370"/>
      <c r="J14" s="424"/>
      <c r="K14" s="427"/>
      <c r="L14" s="361"/>
      <c r="M14" s="361"/>
      <c r="N14" s="248">
        <v>45716</v>
      </c>
      <c r="O14" s="355"/>
      <c r="P14" s="234">
        <v>41231.519999999997</v>
      </c>
      <c r="Q14" s="235" t="s">
        <v>265</v>
      </c>
      <c r="R14" s="236"/>
      <c r="S14" s="237"/>
      <c r="T14" s="237"/>
      <c r="U14" s="358"/>
      <c r="V14" s="455"/>
      <c r="W14" s="333"/>
      <c r="X14" s="97">
        <v>156</v>
      </c>
    </row>
    <row r="15" spans="1:24" s="97" customFormat="1" x14ac:dyDescent="0.25">
      <c r="A15" s="352"/>
      <c r="B15" s="361"/>
      <c r="C15" s="361"/>
      <c r="D15" s="361"/>
      <c r="E15" s="361"/>
      <c r="F15" s="355"/>
      <c r="G15" s="367"/>
      <c r="H15" s="358"/>
      <c r="I15" s="370"/>
      <c r="J15" s="424"/>
      <c r="K15" s="427"/>
      <c r="L15" s="361"/>
      <c r="M15" s="361"/>
      <c r="N15" s="248">
        <v>45717</v>
      </c>
      <c r="O15" s="355"/>
      <c r="P15" s="234">
        <v>41616.769999999997</v>
      </c>
      <c r="Q15" s="235" t="s">
        <v>265</v>
      </c>
      <c r="R15" s="236"/>
      <c r="S15" s="237"/>
      <c r="T15" s="237"/>
      <c r="U15" s="358"/>
      <c r="V15" s="455"/>
      <c r="W15" s="333"/>
      <c r="X15" s="97">
        <v>156</v>
      </c>
    </row>
    <row r="16" spans="1:24" s="97" customFormat="1" x14ac:dyDescent="0.25">
      <c r="A16" s="352"/>
      <c r="B16" s="361"/>
      <c r="C16" s="361"/>
      <c r="D16" s="361"/>
      <c r="E16" s="361"/>
      <c r="F16" s="355"/>
      <c r="G16" s="367"/>
      <c r="H16" s="358"/>
      <c r="I16" s="370"/>
      <c r="J16" s="424"/>
      <c r="K16" s="427"/>
      <c r="L16" s="361"/>
      <c r="M16" s="361"/>
      <c r="N16" s="248">
        <v>45748</v>
      </c>
      <c r="O16" s="355"/>
      <c r="P16" s="234">
        <v>31219.94</v>
      </c>
      <c r="Q16" s="235" t="s">
        <v>297</v>
      </c>
      <c r="R16" s="236"/>
      <c r="S16" s="237"/>
      <c r="T16" s="237"/>
      <c r="U16" s="358"/>
      <c r="V16" s="455"/>
      <c r="W16" s="333"/>
      <c r="X16" s="97">
        <v>156</v>
      </c>
    </row>
    <row r="17" spans="1:24" s="97" customFormat="1" x14ac:dyDescent="0.25">
      <c r="A17" s="352"/>
      <c r="B17" s="361"/>
      <c r="C17" s="361"/>
      <c r="D17" s="361"/>
      <c r="E17" s="361"/>
      <c r="F17" s="355"/>
      <c r="G17" s="367"/>
      <c r="H17" s="358"/>
      <c r="I17" s="370"/>
      <c r="J17" s="424"/>
      <c r="K17" s="427"/>
      <c r="L17" s="361"/>
      <c r="M17" s="361"/>
      <c r="N17" s="248">
        <v>45748</v>
      </c>
      <c r="O17" s="355"/>
      <c r="P17" s="234">
        <v>22457.84</v>
      </c>
      <c r="Q17" s="235" t="s">
        <v>301</v>
      </c>
      <c r="R17" s="236"/>
      <c r="S17" s="237"/>
      <c r="T17" s="237"/>
      <c r="U17" s="358"/>
      <c r="V17" s="455"/>
      <c r="W17" s="333"/>
      <c r="X17" s="97">
        <v>156</v>
      </c>
    </row>
    <row r="18" spans="1:24" s="97" customFormat="1" x14ac:dyDescent="0.25">
      <c r="A18" s="352"/>
      <c r="B18" s="361"/>
      <c r="C18" s="361"/>
      <c r="D18" s="361"/>
      <c r="E18" s="361"/>
      <c r="F18" s="355"/>
      <c r="G18" s="367"/>
      <c r="H18" s="358"/>
      <c r="I18" s="370"/>
      <c r="J18" s="424"/>
      <c r="K18" s="427"/>
      <c r="L18" s="361"/>
      <c r="M18" s="361"/>
      <c r="N18" s="248">
        <v>45778</v>
      </c>
      <c r="O18" s="355"/>
      <c r="P18" s="234">
        <v>16846.63</v>
      </c>
      <c r="Q18" s="235" t="s">
        <v>357</v>
      </c>
      <c r="R18" s="236"/>
      <c r="S18" s="237"/>
      <c r="T18" s="237"/>
      <c r="U18" s="358"/>
      <c r="V18" s="455"/>
      <c r="W18" s="333"/>
      <c r="X18" s="97">
        <v>156</v>
      </c>
    </row>
    <row r="19" spans="1:24" s="97" customFormat="1" x14ac:dyDescent="0.25">
      <c r="A19" s="352"/>
      <c r="B19" s="361"/>
      <c r="C19" s="361"/>
      <c r="D19" s="361"/>
      <c r="E19" s="361"/>
      <c r="F19" s="355"/>
      <c r="G19" s="367"/>
      <c r="H19" s="358"/>
      <c r="I19" s="370"/>
      <c r="J19" s="424"/>
      <c r="K19" s="427"/>
      <c r="L19" s="361"/>
      <c r="M19" s="361"/>
      <c r="N19" s="248">
        <v>45777</v>
      </c>
      <c r="O19" s="355"/>
      <c r="P19" s="234">
        <v>9744.89</v>
      </c>
      <c r="Q19" s="235" t="s">
        <v>358</v>
      </c>
      <c r="R19" s="236"/>
      <c r="S19" s="237"/>
      <c r="T19" s="237"/>
      <c r="U19" s="358"/>
      <c r="V19" s="455"/>
      <c r="W19" s="333"/>
      <c r="X19" s="97">
        <v>156</v>
      </c>
    </row>
    <row r="20" spans="1:24" s="97" customFormat="1" x14ac:dyDescent="0.25">
      <c r="A20" s="352"/>
      <c r="B20" s="361"/>
      <c r="C20" s="361"/>
      <c r="D20" s="361"/>
      <c r="E20" s="361"/>
      <c r="F20" s="355"/>
      <c r="G20" s="367"/>
      <c r="H20" s="358"/>
      <c r="I20" s="370"/>
      <c r="J20" s="424"/>
      <c r="K20" s="427"/>
      <c r="L20" s="361"/>
      <c r="M20" s="361"/>
      <c r="N20" s="248">
        <v>45778</v>
      </c>
      <c r="O20" s="355"/>
      <c r="P20" s="234">
        <v>31287.71</v>
      </c>
      <c r="Q20" s="235" t="s">
        <v>358</v>
      </c>
      <c r="R20" s="236"/>
      <c r="S20" s="237"/>
      <c r="T20" s="237"/>
      <c r="U20" s="358"/>
      <c r="V20" s="455"/>
      <c r="W20" s="333"/>
      <c r="X20" s="97">
        <v>156</v>
      </c>
    </row>
    <row r="21" spans="1:24" s="97" customFormat="1" x14ac:dyDescent="0.25">
      <c r="A21" s="352"/>
      <c r="B21" s="361"/>
      <c r="C21" s="361"/>
      <c r="D21" s="361"/>
      <c r="E21" s="361"/>
      <c r="F21" s="355"/>
      <c r="G21" s="367"/>
      <c r="H21" s="358"/>
      <c r="I21" s="370"/>
      <c r="J21" s="424"/>
      <c r="K21" s="427"/>
      <c r="L21" s="361"/>
      <c r="M21" s="361"/>
      <c r="N21" s="248">
        <v>45809</v>
      </c>
      <c r="O21" s="355"/>
      <c r="P21" s="237">
        <v>23473</v>
      </c>
      <c r="Q21" s="235" t="s">
        <v>403</v>
      </c>
      <c r="R21" s="236"/>
      <c r="S21" s="237"/>
      <c r="T21" s="237"/>
      <c r="U21" s="358"/>
      <c r="V21" s="455"/>
      <c r="W21" s="333"/>
      <c r="X21" s="97">
        <v>156</v>
      </c>
    </row>
    <row r="22" spans="1:24" s="97" customFormat="1" x14ac:dyDescent="0.25">
      <c r="A22" s="352"/>
      <c r="B22" s="361"/>
      <c r="C22" s="361"/>
      <c r="D22" s="361"/>
      <c r="E22" s="361"/>
      <c r="F22" s="355"/>
      <c r="G22" s="367"/>
      <c r="H22" s="358"/>
      <c r="I22" s="370"/>
      <c r="J22" s="424"/>
      <c r="K22" s="427"/>
      <c r="L22" s="361"/>
      <c r="M22" s="361"/>
      <c r="N22" s="248">
        <v>45809</v>
      </c>
      <c r="O22" s="355"/>
      <c r="P22" s="237">
        <v>20580.89</v>
      </c>
      <c r="Q22" s="235" t="s">
        <v>408</v>
      </c>
      <c r="R22" s="236"/>
      <c r="S22" s="237"/>
      <c r="T22" s="237"/>
      <c r="U22" s="358"/>
      <c r="V22" s="455"/>
      <c r="W22" s="333"/>
      <c r="X22" s="97">
        <v>156</v>
      </c>
    </row>
    <row r="23" spans="1:24" s="97" customFormat="1" x14ac:dyDescent="0.25">
      <c r="A23" s="352"/>
      <c r="B23" s="361"/>
      <c r="C23" s="361"/>
      <c r="D23" s="361"/>
      <c r="E23" s="361"/>
      <c r="F23" s="355"/>
      <c r="G23" s="367"/>
      <c r="H23" s="358"/>
      <c r="I23" s="370"/>
      <c r="J23" s="424"/>
      <c r="K23" s="427"/>
      <c r="L23" s="361"/>
      <c r="M23" s="361"/>
      <c r="N23" s="248">
        <v>45839</v>
      </c>
      <c r="O23" s="355"/>
      <c r="P23" s="237">
        <v>16805.580000000002</v>
      </c>
      <c r="Q23" s="235" t="s">
        <v>470</v>
      </c>
      <c r="R23" s="236"/>
      <c r="S23" s="237"/>
      <c r="T23" s="237"/>
      <c r="U23" s="358"/>
      <c r="V23" s="455"/>
      <c r="W23" s="333"/>
      <c r="X23" s="97">
        <v>156</v>
      </c>
    </row>
    <row r="24" spans="1:24" s="97" customFormat="1" x14ac:dyDescent="0.25">
      <c r="A24" s="353"/>
      <c r="B24" s="362"/>
      <c r="C24" s="362"/>
      <c r="D24" s="362"/>
      <c r="E24" s="362"/>
      <c r="F24" s="356"/>
      <c r="G24" s="368"/>
      <c r="H24" s="359"/>
      <c r="I24" s="371"/>
      <c r="J24" s="425"/>
      <c r="K24" s="428"/>
      <c r="L24" s="362"/>
      <c r="M24" s="362"/>
      <c r="N24" s="249">
        <v>45839</v>
      </c>
      <c r="O24" s="356"/>
      <c r="P24" s="243">
        <v>17053.13</v>
      </c>
      <c r="Q24" s="244" t="s">
        <v>469</v>
      </c>
      <c r="R24" s="245"/>
      <c r="S24" s="243"/>
      <c r="T24" s="243"/>
      <c r="U24" s="359"/>
      <c r="V24" s="456"/>
      <c r="W24" s="334"/>
      <c r="X24" s="97">
        <v>156</v>
      </c>
    </row>
    <row r="25" spans="1:24" s="85" customFormat="1" ht="72" customHeight="1" x14ac:dyDescent="0.25">
      <c r="A25" s="351">
        <v>2</v>
      </c>
      <c r="B25" s="360" t="s">
        <v>56</v>
      </c>
      <c r="C25" s="360"/>
      <c r="D25" s="360"/>
      <c r="E25" s="360" t="s">
        <v>168</v>
      </c>
      <c r="F25" s="354" t="s">
        <v>163</v>
      </c>
      <c r="G25" s="366" t="s">
        <v>169</v>
      </c>
      <c r="H25" s="357">
        <v>104228</v>
      </c>
      <c r="I25" s="369">
        <f>IF(X25 = 157, H25 + SUM(S25:S30) - SUM(T25:T30) - SUM(P25:P30) - V25,0)</f>
        <v>76108</v>
      </c>
      <c r="J25" s="423">
        <v>2353006498</v>
      </c>
      <c r="K25" s="426" t="s">
        <v>170</v>
      </c>
      <c r="L25" s="360"/>
      <c r="M25" s="360" t="s">
        <v>171</v>
      </c>
      <c r="N25" s="247" t="s">
        <v>261</v>
      </c>
      <c r="O25" s="354" t="s">
        <v>172</v>
      </c>
      <c r="P25" s="233">
        <v>4440</v>
      </c>
      <c r="Q25" s="231" t="s">
        <v>263</v>
      </c>
      <c r="R25" s="232"/>
      <c r="S25" s="233"/>
      <c r="T25" s="233"/>
      <c r="U25" s="357"/>
      <c r="V25" s="454"/>
      <c r="W25" s="332"/>
      <c r="X25" s="85">
        <v>157</v>
      </c>
    </row>
    <row r="26" spans="1:24" s="97" customFormat="1" x14ac:dyDescent="0.25">
      <c r="A26" s="352"/>
      <c r="B26" s="361"/>
      <c r="C26" s="361"/>
      <c r="D26" s="361"/>
      <c r="E26" s="361"/>
      <c r="F26" s="355"/>
      <c r="G26" s="367"/>
      <c r="H26" s="358"/>
      <c r="I26" s="370"/>
      <c r="J26" s="424"/>
      <c r="K26" s="427"/>
      <c r="L26" s="361"/>
      <c r="M26" s="361"/>
      <c r="N26" s="248" t="s">
        <v>222</v>
      </c>
      <c r="O26" s="355"/>
      <c r="P26" s="237">
        <v>2516</v>
      </c>
      <c r="Q26" s="235" t="s">
        <v>264</v>
      </c>
      <c r="R26" s="236"/>
      <c r="S26" s="237"/>
      <c r="T26" s="237"/>
      <c r="U26" s="358"/>
      <c r="V26" s="455"/>
      <c r="W26" s="333"/>
      <c r="X26" s="97">
        <v>157</v>
      </c>
    </row>
    <row r="27" spans="1:24" s="97" customFormat="1" x14ac:dyDescent="0.25">
      <c r="A27" s="352"/>
      <c r="B27" s="361"/>
      <c r="C27" s="361"/>
      <c r="D27" s="361"/>
      <c r="E27" s="361"/>
      <c r="F27" s="355"/>
      <c r="G27" s="367"/>
      <c r="H27" s="358"/>
      <c r="I27" s="370"/>
      <c r="J27" s="424"/>
      <c r="K27" s="427"/>
      <c r="L27" s="361"/>
      <c r="M27" s="361"/>
      <c r="N27" s="248" t="s">
        <v>290</v>
      </c>
      <c r="O27" s="355"/>
      <c r="P27" s="237">
        <v>4884</v>
      </c>
      <c r="Q27" s="235" t="s">
        <v>294</v>
      </c>
      <c r="R27" s="236"/>
      <c r="S27" s="237"/>
      <c r="T27" s="237"/>
      <c r="U27" s="358"/>
      <c r="V27" s="455"/>
      <c r="W27" s="333"/>
      <c r="X27" s="97">
        <v>157</v>
      </c>
    </row>
    <row r="28" spans="1:24" s="97" customFormat="1" x14ac:dyDescent="0.25">
      <c r="A28" s="352"/>
      <c r="B28" s="361"/>
      <c r="C28" s="361"/>
      <c r="D28" s="361"/>
      <c r="E28" s="361"/>
      <c r="F28" s="355"/>
      <c r="G28" s="367"/>
      <c r="H28" s="358"/>
      <c r="I28" s="370"/>
      <c r="J28" s="424"/>
      <c r="K28" s="427"/>
      <c r="L28" s="361"/>
      <c r="M28" s="361"/>
      <c r="N28" s="248" t="s">
        <v>356</v>
      </c>
      <c r="O28" s="355"/>
      <c r="P28" s="237">
        <v>6216</v>
      </c>
      <c r="Q28" s="235" t="s">
        <v>360</v>
      </c>
      <c r="R28" s="236"/>
      <c r="S28" s="237"/>
      <c r="T28" s="237"/>
      <c r="U28" s="358"/>
      <c r="V28" s="455"/>
      <c r="W28" s="333"/>
      <c r="X28" s="97">
        <v>157</v>
      </c>
    </row>
    <row r="29" spans="1:24" s="97" customFormat="1" x14ac:dyDescent="0.25">
      <c r="A29" s="352"/>
      <c r="B29" s="361"/>
      <c r="C29" s="361"/>
      <c r="D29" s="361"/>
      <c r="E29" s="361"/>
      <c r="F29" s="355"/>
      <c r="G29" s="367"/>
      <c r="H29" s="358"/>
      <c r="I29" s="370"/>
      <c r="J29" s="424"/>
      <c r="K29" s="427"/>
      <c r="L29" s="361"/>
      <c r="M29" s="361"/>
      <c r="N29" s="248" t="s">
        <v>367</v>
      </c>
      <c r="O29" s="355"/>
      <c r="P29" s="237">
        <v>5328</v>
      </c>
      <c r="Q29" s="235" t="s">
        <v>408</v>
      </c>
      <c r="R29" s="236"/>
      <c r="S29" s="237"/>
      <c r="T29" s="237"/>
      <c r="U29" s="358"/>
      <c r="V29" s="455"/>
      <c r="W29" s="333"/>
      <c r="X29" s="97">
        <v>157</v>
      </c>
    </row>
    <row r="30" spans="1:24" s="97" customFormat="1" x14ac:dyDescent="0.25">
      <c r="A30" s="353"/>
      <c r="B30" s="362"/>
      <c r="C30" s="362"/>
      <c r="D30" s="362"/>
      <c r="E30" s="362"/>
      <c r="F30" s="356"/>
      <c r="G30" s="368"/>
      <c r="H30" s="359"/>
      <c r="I30" s="371"/>
      <c r="J30" s="425"/>
      <c r="K30" s="428"/>
      <c r="L30" s="362"/>
      <c r="M30" s="362"/>
      <c r="N30" s="249" t="s">
        <v>462</v>
      </c>
      <c r="O30" s="356"/>
      <c r="P30" s="243">
        <v>4736</v>
      </c>
      <c r="Q30" s="244" t="s">
        <v>468</v>
      </c>
      <c r="R30" s="245"/>
      <c r="S30" s="243"/>
      <c r="T30" s="243"/>
      <c r="U30" s="359"/>
      <c r="V30" s="456"/>
      <c r="W30" s="334"/>
      <c r="X30" s="97">
        <v>157</v>
      </c>
    </row>
    <row r="31" spans="1:24" s="85" customFormat="1" ht="54" customHeight="1" x14ac:dyDescent="0.25">
      <c r="A31" s="351">
        <v>3</v>
      </c>
      <c r="B31" s="360" t="s">
        <v>56</v>
      </c>
      <c r="C31" s="360"/>
      <c r="D31" s="360"/>
      <c r="E31" s="360" t="s">
        <v>173</v>
      </c>
      <c r="F31" s="354" t="s">
        <v>163</v>
      </c>
      <c r="G31" s="366" t="s">
        <v>174</v>
      </c>
      <c r="H31" s="357">
        <v>50565.84</v>
      </c>
      <c r="I31" s="369">
        <f>IF(X31 = 158, H31 + SUM(S31:S36) - SUM(T31:T36) - SUM(P31:P36) - V31,0)</f>
        <v>26311.73</v>
      </c>
      <c r="J31" s="423">
        <v>2308131994</v>
      </c>
      <c r="K31" s="426" t="s">
        <v>155</v>
      </c>
      <c r="L31" s="360"/>
      <c r="M31" s="360" t="s">
        <v>171</v>
      </c>
      <c r="N31" s="247">
        <v>45688</v>
      </c>
      <c r="O31" s="354" t="s">
        <v>175</v>
      </c>
      <c r="P31" s="233">
        <v>4042.35</v>
      </c>
      <c r="Q31" s="231" t="s">
        <v>227</v>
      </c>
      <c r="R31" s="232"/>
      <c r="S31" s="233"/>
      <c r="T31" s="233"/>
      <c r="U31" s="357"/>
      <c r="V31" s="454"/>
      <c r="W31" s="332"/>
      <c r="X31" s="85">
        <v>158</v>
      </c>
    </row>
    <row r="32" spans="1:24" s="97" customFormat="1" x14ac:dyDescent="0.25">
      <c r="A32" s="352"/>
      <c r="B32" s="361"/>
      <c r="C32" s="361"/>
      <c r="D32" s="361"/>
      <c r="E32" s="361"/>
      <c r="F32" s="355"/>
      <c r="G32" s="367"/>
      <c r="H32" s="358"/>
      <c r="I32" s="370"/>
      <c r="J32" s="424"/>
      <c r="K32" s="427"/>
      <c r="L32" s="361"/>
      <c r="M32" s="361"/>
      <c r="N32" s="248" t="s">
        <v>261</v>
      </c>
      <c r="O32" s="355"/>
      <c r="P32" s="237">
        <v>4042.35</v>
      </c>
      <c r="Q32" s="235" t="s">
        <v>262</v>
      </c>
      <c r="R32" s="236"/>
      <c r="S32" s="237"/>
      <c r="T32" s="237"/>
      <c r="U32" s="358"/>
      <c r="V32" s="455"/>
      <c r="W32" s="333"/>
      <c r="X32" s="97">
        <v>158</v>
      </c>
    </row>
    <row r="33" spans="1:24" s="97" customFormat="1" x14ac:dyDescent="0.25">
      <c r="A33" s="352"/>
      <c r="B33" s="361"/>
      <c r="C33" s="361"/>
      <c r="D33" s="361"/>
      <c r="E33" s="361"/>
      <c r="F33" s="355"/>
      <c r="G33" s="367"/>
      <c r="H33" s="358"/>
      <c r="I33" s="370"/>
      <c r="J33" s="424"/>
      <c r="K33" s="427"/>
      <c r="L33" s="361"/>
      <c r="M33" s="361"/>
      <c r="N33" s="248" t="s">
        <v>290</v>
      </c>
      <c r="O33" s="355"/>
      <c r="P33" s="237">
        <v>4042.35</v>
      </c>
      <c r="Q33" s="235" t="s">
        <v>300</v>
      </c>
      <c r="R33" s="236"/>
      <c r="S33" s="237"/>
      <c r="T33" s="237"/>
      <c r="U33" s="358"/>
      <c r="V33" s="455"/>
      <c r="W33" s="333"/>
      <c r="X33" s="97">
        <v>158</v>
      </c>
    </row>
    <row r="34" spans="1:24" s="97" customFormat="1" x14ac:dyDescent="0.25">
      <c r="A34" s="352"/>
      <c r="B34" s="361"/>
      <c r="C34" s="361"/>
      <c r="D34" s="361"/>
      <c r="E34" s="361"/>
      <c r="F34" s="355"/>
      <c r="G34" s="367"/>
      <c r="H34" s="358"/>
      <c r="I34" s="370"/>
      <c r="J34" s="424"/>
      <c r="K34" s="427"/>
      <c r="L34" s="361"/>
      <c r="M34" s="361"/>
      <c r="N34" s="248" t="s">
        <v>356</v>
      </c>
      <c r="O34" s="355"/>
      <c r="P34" s="237">
        <v>4042.35</v>
      </c>
      <c r="Q34" s="235" t="s">
        <v>359</v>
      </c>
      <c r="R34" s="236"/>
      <c r="S34" s="237"/>
      <c r="T34" s="237"/>
      <c r="U34" s="358"/>
      <c r="V34" s="455"/>
      <c r="W34" s="333"/>
      <c r="X34" s="97">
        <v>158</v>
      </c>
    </row>
    <row r="35" spans="1:24" s="97" customFormat="1" x14ac:dyDescent="0.25">
      <c r="A35" s="352"/>
      <c r="B35" s="361"/>
      <c r="C35" s="361"/>
      <c r="D35" s="361"/>
      <c r="E35" s="361"/>
      <c r="F35" s="355"/>
      <c r="G35" s="367"/>
      <c r="H35" s="358"/>
      <c r="I35" s="370"/>
      <c r="J35" s="424"/>
      <c r="K35" s="427"/>
      <c r="L35" s="361"/>
      <c r="M35" s="361"/>
      <c r="N35" s="248" t="s">
        <v>405</v>
      </c>
      <c r="O35" s="355"/>
      <c r="P35" s="237">
        <v>4042.36</v>
      </c>
      <c r="Q35" s="235" t="s">
        <v>404</v>
      </c>
      <c r="R35" s="236"/>
      <c r="S35" s="237"/>
      <c r="T35" s="237"/>
      <c r="U35" s="358"/>
      <c r="V35" s="455"/>
      <c r="W35" s="333"/>
      <c r="X35" s="97">
        <v>158</v>
      </c>
    </row>
    <row r="36" spans="1:24" s="97" customFormat="1" x14ac:dyDescent="0.25">
      <c r="A36" s="353"/>
      <c r="B36" s="362"/>
      <c r="C36" s="362"/>
      <c r="D36" s="362"/>
      <c r="E36" s="362"/>
      <c r="F36" s="356"/>
      <c r="G36" s="368"/>
      <c r="H36" s="359"/>
      <c r="I36" s="371"/>
      <c r="J36" s="425"/>
      <c r="K36" s="428"/>
      <c r="L36" s="362"/>
      <c r="M36" s="362"/>
      <c r="N36" s="249" t="s">
        <v>462</v>
      </c>
      <c r="O36" s="356"/>
      <c r="P36" s="243">
        <v>4042.35</v>
      </c>
      <c r="Q36" s="244" t="s">
        <v>465</v>
      </c>
      <c r="R36" s="245"/>
      <c r="S36" s="243"/>
      <c r="T36" s="243"/>
      <c r="U36" s="359"/>
      <c r="V36" s="456"/>
      <c r="W36" s="334"/>
      <c r="X36" s="97">
        <v>158</v>
      </c>
    </row>
    <row r="37" spans="1:24" s="85" customFormat="1" ht="54" customHeight="1" x14ac:dyDescent="0.25">
      <c r="A37" s="351">
        <v>4</v>
      </c>
      <c r="B37" s="360" t="s">
        <v>56</v>
      </c>
      <c r="C37" s="360"/>
      <c r="D37" s="360"/>
      <c r="E37" s="360" t="s">
        <v>176</v>
      </c>
      <c r="F37" s="354" t="s">
        <v>163</v>
      </c>
      <c r="G37" s="366" t="s">
        <v>177</v>
      </c>
      <c r="H37" s="357">
        <v>9600</v>
      </c>
      <c r="I37" s="369">
        <f>IF(X37 = 159, H37 + SUM(S37:S38) - SUM(T37:T38) - SUM(P37:P38) - V37,0)</f>
        <v>4800</v>
      </c>
      <c r="J37" s="423">
        <v>2369000660</v>
      </c>
      <c r="K37" s="426" t="s">
        <v>153</v>
      </c>
      <c r="L37" s="360"/>
      <c r="M37" s="360" t="s">
        <v>171</v>
      </c>
      <c r="N37" s="247" t="s">
        <v>290</v>
      </c>
      <c r="O37" s="354" t="s">
        <v>179</v>
      </c>
      <c r="P37" s="233">
        <v>2400</v>
      </c>
      <c r="Q37" s="231" t="s">
        <v>297</v>
      </c>
      <c r="R37" s="232"/>
      <c r="S37" s="233"/>
      <c r="T37" s="233"/>
      <c r="U37" s="357"/>
      <c r="V37" s="454"/>
      <c r="W37" s="332"/>
      <c r="X37" s="85">
        <v>159</v>
      </c>
    </row>
    <row r="38" spans="1:24" s="97" customFormat="1" x14ac:dyDescent="0.25">
      <c r="A38" s="353"/>
      <c r="B38" s="362"/>
      <c r="C38" s="362"/>
      <c r="D38" s="362"/>
      <c r="E38" s="362"/>
      <c r="F38" s="356"/>
      <c r="G38" s="368"/>
      <c r="H38" s="359"/>
      <c r="I38" s="371"/>
      <c r="J38" s="425"/>
      <c r="K38" s="428"/>
      <c r="L38" s="362"/>
      <c r="M38" s="362"/>
      <c r="N38" s="249" t="s">
        <v>462</v>
      </c>
      <c r="O38" s="356"/>
      <c r="P38" s="243">
        <v>2400</v>
      </c>
      <c r="Q38" s="244">
        <v>45841</v>
      </c>
      <c r="R38" s="245"/>
      <c r="S38" s="243"/>
      <c r="T38" s="243"/>
      <c r="U38" s="359"/>
      <c r="V38" s="456"/>
      <c r="W38" s="334"/>
      <c r="X38" s="97">
        <v>159</v>
      </c>
    </row>
    <row r="39" spans="1:24" s="85" customFormat="1" ht="54" customHeight="1" x14ac:dyDescent="0.25">
      <c r="A39" s="351">
        <v>5</v>
      </c>
      <c r="B39" s="360" t="s">
        <v>56</v>
      </c>
      <c r="C39" s="360"/>
      <c r="D39" s="360"/>
      <c r="E39" s="360" t="s">
        <v>161</v>
      </c>
      <c r="F39" s="354" t="s">
        <v>163</v>
      </c>
      <c r="G39" s="366" t="s">
        <v>178</v>
      </c>
      <c r="H39" s="357">
        <v>27331.200000000001</v>
      </c>
      <c r="I39" s="369">
        <f>IF(X39 = 160, H39 + SUM(S39:S44) - SUM(T39:T44) - SUM(P39:P44) - V39,0)</f>
        <v>13665.6</v>
      </c>
      <c r="J39" s="423">
        <v>2310163739</v>
      </c>
      <c r="K39" s="426" t="s">
        <v>147</v>
      </c>
      <c r="L39" s="360"/>
      <c r="M39" s="360" t="s">
        <v>171</v>
      </c>
      <c r="N39" s="247" t="s">
        <v>222</v>
      </c>
      <c r="O39" s="354" t="s">
        <v>180</v>
      </c>
      <c r="P39" s="233">
        <v>2277.6</v>
      </c>
      <c r="Q39" s="231" t="s">
        <v>243</v>
      </c>
      <c r="R39" s="232"/>
      <c r="S39" s="233"/>
      <c r="T39" s="233"/>
      <c r="U39" s="357"/>
      <c r="V39" s="454"/>
      <c r="W39" s="332"/>
      <c r="X39" s="85">
        <v>160</v>
      </c>
    </row>
    <row r="40" spans="1:24" s="97" customFormat="1" x14ac:dyDescent="0.25">
      <c r="A40" s="352"/>
      <c r="B40" s="361"/>
      <c r="C40" s="361"/>
      <c r="D40" s="361"/>
      <c r="E40" s="361"/>
      <c r="F40" s="355"/>
      <c r="G40" s="367"/>
      <c r="H40" s="358"/>
      <c r="I40" s="370"/>
      <c r="J40" s="424"/>
      <c r="K40" s="427"/>
      <c r="L40" s="361"/>
      <c r="M40" s="361"/>
      <c r="N40" s="248" t="s">
        <v>261</v>
      </c>
      <c r="O40" s="355"/>
      <c r="P40" s="237">
        <v>2277.6</v>
      </c>
      <c r="Q40" s="235" t="s">
        <v>258</v>
      </c>
      <c r="R40" s="236"/>
      <c r="S40" s="237"/>
      <c r="T40" s="237"/>
      <c r="U40" s="358"/>
      <c r="V40" s="455"/>
      <c r="W40" s="333"/>
      <c r="X40" s="97">
        <v>160</v>
      </c>
    </row>
    <row r="41" spans="1:24" s="97" customFormat="1" x14ac:dyDescent="0.25">
      <c r="A41" s="352"/>
      <c r="B41" s="361"/>
      <c r="C41" s="361"/>
      <c r="D41" s="361"/>
      <c r="E41" s="361"/>
      <c r="F41" s="355"/>
      <c r="G41" s="367"/>
      <c r="H41" s="358"/>
      <c r="I41" s="370"/>
      <c r="J41" s="424"/>
      <c r="K41" s="427"/>
      <c r="L41" s="361"/>
      <c r="M41" s="361"/>
      <c r="N41" s="248" t="s">
        <v>290</v>
      </c>
      <c r="O41" s="355"/>
      <c r="P41" s="237">
        <v>2277.6</v>
      </c>
      <c r="Q41" s="235" t="s">
        <v>297</v>
      </c>
      <c r="R41" s="236"/>
      <c r="S41" s="237"/>
      <c r="T41" s="237"/>
      <c r="U41" s="358"/>
      <c r="V41" s="455"/>
      <c r="W41" s="333"/>
      <c r="X41" s="97">
        <v>160</v>
      </c>
    </row>
    <row r="42" spans="1:24" s="97" customFormat="1" x14ac:dyDescent="0.25">
      <c r="A42" s="352"/>
      <c r="B42" s="361"/>
      <c r="C42" s="361"/>
      <c r="D42" s="361"/>
      <c r="E42" s="361"/>
      <c r="F42" s="355"/>
      <c r="G42" s="367"/>
      <c r="H42" s="358"/>
      <c r="I42" s="370"/>
      <c r="J42" s="424"/>
      <c r="K42" s="427"/>
      <c r="L42" s="361"/>
      <c r="M42" s="361"/>
      <c r="N42" s="248" t="s">
        <v>356</v>
      </c>
      <c r="O42" s="355"/>
      <c r="P42" s="237">
        <v>2277.6</v>
      </c>
      <c r="Q42" s="235" t="s">
        <v>359</v>
      </c>
      <c r="R42" s="236"/>
      <c r="S42" s="237"/>
      <c r="T42" s="237"/>
      <c r="U42" s="358"/>
      <c r="V42" s="455"/>
      <c r="W42" s="333"/>
      <c r="X42" s="97">
        <v>160</v>
      </c>
    </row>
    <row r="43" spans="1:24" s="97" customFormat="1" x14ac:dyDescent="0.25">
      <c r="A43" s="352"/>
      <c r="B43" s="361"/>
      <c r="C43" s="361"/>
      <c r="D43" s="361"/>
      <c r="E43" s="361"/>
      <c r="F43" s="355"/>
      <c r="G43" s="367"/>
      <c r="H43" s="358"/>
      <c r="I43" s="370"/>
      <c r="J43" s="424"/>
      <c r="K43" s="427"/>
      <c r="L43" s="361"/>
      <c r="M43" s="361"/>
      <c r="N43" s="248" t="s">
        <v>367</v>
      </c>
      <c r="O43" s="355"/>
      <c r="P43" s="237">
        <v>2277.6</v>
      </c>
      <c r="Q43" s="235" t="s">
        <v>404</v>
      </c>
      <c r="R43" s="236"/>
      <c r="S43" s="237"/>
      <c r="T43" s="237"/>
      <c r="U43" s="358"/>
      <c r="V43" s="455"/>
      <c r="W43" s="333"/>
      <c r="X43" s="97">
        <v>160</v>
      </c>
    </row>
    <row r="44" spans="1:24" s="97" customFormat="1" x14ac:dyDescent="0.25">
      <c r="A44" s="353"/>
      <c r="B44" s="362"/>
      <c r="C44" s="362"/>
      <c r="D44" s="362"/>
      <c r="E44" s="362"/>
      <c r="F44" s="356"/>
      <c r="G44" s="368"/>
      <c r="H44" s="359"/>
      <c r="I44" s="371"/>
      <c r="J44" s="425"/>
      <c r="K44" s="428"/>
      <c r="L44" s="362"/>
      <c r="M44" s="362"/>
      <c r="N44" s="249" t="s">
        <v>462</v>
      </c>
      <c r="O44" s="356"/>
      <c r="P44" s="243">
        <v>2277.6</v>
      </c>
      <c r="Q44" s="244" t="s">
        <v>465</v>
      </c>
      <c r="R44" s="245"/>
      <c r="S44" s="243"/>
      <c r="T44" s="243"/>
      <c r="U44" s="359"/>
      <c r="V44" s="456"/>
      <c r="W44" s="334"/>
      <c r="X44" s="97">
        <v>160</v>
      </c>
    </row>
    <row r="45" spans="1:24" s="85" customFormat="1" ht="36" customHeight="1" x14ac:dyDescent="0.25">
      <c r="A45" s="351">
        <v>6</v>
      </c>
      <c r="B45" s="360" t="s">
        <v>56</v>
      </c>
      <c r="C45" s="360"/>
      <c r="D45" s="360"/>
      <c r="E45" s="360" t="s">
        <v>160</v>
      </c>
      <c r="F45" s="354" t="s">
        <v>181</v>
      </c>
      <c r="G45" s="366" t="s">
        <v>182</v>
      </c>
      <c r="H45" s="357">
        <v>90689</v>
      </c>
      <c r="I45" s="369">
        <f>IF(X45 = 161, H45 + SUM(S45:S50) - SUM(T45:T50) - SUM(P45:P50) - V45,0)</f>
        <v>56844.75</v>
      </c>
      <c r="J45" s="423">
        <v>2369002347</v>
      </c>
      <c r="K45" s="426" t="s">
        <v>150</v>
      </c>
      <c r="L45" s="360"/>
      <c r="M45" s="360" t="s">
        <v>171</v>
      </c>
      <c r="N45" s="247" t="s">
        <v>222</v>
      </c>
      <c r="O45" s="354" t="s">
        <v>183</v>
      </c>
      <c r="P45" s="233">
        <v>6201.14</v>
      </c>
      <c r="Q45" s="231" t="s">
        <v>237</v>
      </c>
      <c r="R45" s="232"/>
      <c r="S45" s="233"/>
      <c r="T45" s="233"/>
      <c r="U45" s="357"/>
      <c r="V45" s="454"/>
      <c r="W45" s="332"/>
      <c r="X45" s="85">
        <v>161</v>
      </c>
    </row>
    <row r="46" spans="1:24" s="97" customFormat="1" x14ac:dyDescent="0.25">
      <c r="A46" s="352"/>
      <c r="B46" s="361"/>
      <c r="C46" s="361"/>
      <c r="D46" s="361"/>
      <c r="E46" s="361"/>
      <c r="F46" s="355"/>
      <c r="G46" s="367"/>
      <c r="H46" s="358"/>
      <c r="I46" s="370"/>
      <c r="J46" s="424"/>
      <c r="K46" s="427"/>
      <c r="L46" s="361"/>
      <c r="M46" s="361"/>
      <c r="N46" s="248" t="s">
        <v>261</v>
      </c>
      <c r="O46" s="355"/>
      <c r="P46" s="237">
        <v>6201.14</v>
      </c>
      <c r="Q46" s="235" t="s">
        <v>262</v>
      </c>
      <c r="R46" s="236"/>
      <c r="S46" s="237"/>
      <c r="T46" s="237"/>
      <c r="U46" s="358"/>
      <c r="V46" s="455"/>
      <c r="W46" s="333"/>
      <c r="X46" s="97">
        <v>161</v>
      </c>
    </row>
    <row r="47" spans="1:24" s="97" customFormat="1" x14ac:dyDescent="0.25">
      <c r="A47" s="352"/>
      <c r="B47" s="361"/>
      <c r="C47" s="361"/>
      <c r="D47" s="361"/>
      <c r="E47" s="361"/>
      <c r="F47" s="355"/>
      <c r="G47" s="367"/>
      <c r="H47" s="358"/>
      <c r="I47" s="370"/>
      <c r="J47" s="424"/>
      <c r="K47" s="427"/>
      <c r="L47" s="361"/>
      <c r="M47" s="361"/>
      <c r="N47" s="248" t="s">
        <v>290</v>
      </c>
      <c r="O47" s="355"/>
      <c r="P47" s="237">
        <v>5458.75</v>
      </c>
      <c r="Q47" s="235" t="s">
        <v>298</v>
      </c>
      <c r="R47" s="236"/>
      <c r="S47" s="237"/>
      <c r="T47" s="237"/>
      <c r="U47" s="358"/>
      <c r="V47" s="455"/>
      <c r="W47" s="333"/>
      <c r="X47" s="97">
        <v>161</v>
      </c>
    </row>
    <row r="48" spans="1:24" s="97" customFormat="1" x14ac:dyDescent="0.25">
      <c r="A48" s="352"/>
      <c r="B48" s="361"/>
      <c r="C48" s="361"/>
      <c r="D48" s="361"/>
      <c r="E48" s="361"/>
      <c r="F48" s="355"/>
      <c r="G48" s="367"/>
      <c r="H48" s="358"/>
      <c r="I48" s="370"/>
      <c r="J48" s="424"/>
      <c r="K48" s="427"/>
      <c r="L48" s="361"/>
      <c r="M48" s="361"/>
      <c r="N48" s="248" t="s">
        <v>356</v>
      </c>
      <c r="O48" s="355"/>
      <c r="P48" s="237">
        <v>6943.53</v>
      </c>
      <c r="Q48" s="235" t="s">
        <v>359</v>
      </c>
      <c r="R48" s="236"/>
      <c r="S48" s="237"/>
      <c r="T48" s="237"/>
      <c r="U48" s="358"/>
      <c r="V48" s="455"/>
      <c r="W48" s="333"/>
      <c r="X48" s="97">
        <v>161</v>
      </c>
    </row>
    <row r="49" spans="1:24" s="97" customFormat="1" x14ac:dyDescent="0.25">
      <c r="A49" s="352"/>
      <c r="B49" s="361"/>
      <c r="C49" s="361"/>
      <c r="D49" s="361"/>
      <c r="E49" s="361"/>
      <c r="F49" s="355"/>
      <c r="G49" s="367"/>
      <c r="H49" s="358"/>
      <c r="I49" s="370"/>
      <c r="J49" s="424"/>
      <c r="K49" s="427"/>
      <c r="L49" s="361"/>
      <c r="M49" s="361"/>
      <c r="N49" s="248" t="s">
        <v>367</v>
      </c>
      <c r="O49" s="355"/>
      <c r="P49" s="237">
        <v>6026.46</v>
      </c>
      <c r="Q49" s="235" t="s">
        <v>406</v>
      </c>
      <c r="R49" s="236"/>
      <c r="S49" s="237"/>
      <c r="T49" s="237"/>
      <c r="U49" s="358"/>
      <c r="V49" s="455"/>
      <c r="W49" s="333"/>
      <c r="X49" s="97">
        <v>161</v>
      </c>
    </row>
    <row r="50" spans="1:24" s="97" customFormat="1" x14ac:dyDescent="0.25">
      <c r="A50" s="353"/>
      <c r="B50" s="362"/>
      <c r="C50" s="362"/>
      <c r="D50" s="362"/>
      <c r="E50" s="362"/>
      <c r="F50" s="356"/>
      <c r="G50" s="368"/>
      <c r="H50" s="359"/>
      <c r="I50" s="371"/>
      <c r="J50" s="425"/>
      <c r="K50" s="428"/>
      <c r="L50" s="362"/>
      <c r="M50" s="362"/>
      <c r="N50" s="249" t="s">
        <v>462</v>
      </c>
      <c r="O50" s="356"/>
      <c r="P50" s="243">
        <v>3013.23</v>
      </c>
      <c r="Q50" s="244" t="s">
        <v>468</v>
      </c>
      <c r="R50" s="245"/>
      <c r="S50" s="243"/>
      <c r="T50" s="243"/>
      <c r="U50" s="359"/>
      <c r="V50" s="456"/>
      <c r="W50" s="334"/>
      <c r="X50" s="97">
        <v>161</v>
      </c>
    </row>
    <row r="51" spans="1:24" s="85" customFormat="1" ht="54" customHeight="1" x14ac:dyDescent="0.25">
      <c r="A51" s="351">
        <v>7</v>
      </c>
      <c r="B51" s="360" t="s">
        <v>56</v>
      </c>
      <c r="C51" s="360"/>
      <c r="D51" s="360"/>
      <c r="E51" s="360" t="s">
        <v>184</v>
      </c>
      <c r="F51" s="354" t="s">
        <v>163</v>
      </c>
      <c r="G51" s="366" t="s">
        <v>185</v>
      </c>
      <c r="H51" s="357">
        <v>17400</v>
      </c>
      <c r="I51" s="369">
        <f>IF(X51 = 162, H51 + SUM(S51:S56) - SUM(T51:T56) - SUM(P51:P56) - V51,0)</f>
        <v>8700</v>
      </c>
      <c r="J51" s="423">
        <v>231107998282</v>
      </c>
      <c r="K51" s="426" t="s">
        <v>162</v>
      </c>
      <c r="L51" s="360"/>
      <c r="M51" s="360" t="s">
        <v>171</v>
      </c>
      <c r="N51" s="247">
        <v>45688</v>
      </c>
      <c r="O51" s="354" t="s">
        <v>186</v>
      </c>
      <c r="P51" s="233">
        <v>1450</v>
      </c>
      <c r="Q51" s="231" t="s">
        <v>227</v>
      </c>
      <c r="R51" s="232"/>
      <c r="S51" s="233"/>
      <c r="T51" s="233"/>
      <c r="U51" s="357"/>
      <c r="V51" s="454"/>
      <c r="W51" s="332"/>
      <c r="X51" s="85">
        <v>162</v>
      </c>
    </row>
    <row r="52" spans="1:24" s="97" customFormat="1" x14ac:dyDescent="0.25">
      <c r="A52" s="352"/>
      <c r="B52" s="361"/>
      <c r="C52" s="361"/>
      <c r="D52" s="361"/>
      <c r="E52" s="361"/>
      <c r="F52" s="355"/>
      <c r="G52" s="367"/>
      <c r="H52" s="358"/>
      <c r="I52" s="370"/>
      <c r="J52" s="424"/>
      <c r="K52" s="427"/>
      <c r="L52" s="361"/>
      <c r="M52" s="361"/>
      <c r="N52" s="248" t="s">
        <v>261</v>
      </c>
      <c r="O52" s="355"/>
      <c r="P52" s="237">
        <v>1450</v>
      </c>
      <c r="Q52" s="235" t="s">
        <v>263</v>
      </c>
      <c r="R52" s="236"/>
      <c r="S52" s="237"/>
      <c r="T52" s="237"/>
      <c r="U52" s="358"/>
      <c r="V52" s="455"/>
      <c r="W52" s="333"/>
      <c r="X52" s="97">
        <v>162</v>
      </c>
    </row>
    <row r="53" spans="1:24" s="97" customFormat="1" x14ac:dyDescent="0.25">
      <c r="A53" s="352"/>
      <c r="B53" s="361"/>
      <c r="C53" s="361"/>
      <c r="D53" s="361"/>
      <c r="E53" s="361"/>
      <c r="F53" s="355"/>
      <c r="G53" s="367"/>
      <c r="H53" s="358"/>
      <c r="I53" s="370"/>
      <c r="J53" s="424"/>
      <c r="K53" s="427"/>
      <c r="L53" s="361"/>
      <c r="M53" s="361"/>
      <c r="N53" s="248" t="s">
        <v>290</v>
      </c>
      <c r="O53" s="355"/>
      <c r="P53" s="237">
        <v>1450</v>
      </c>
      <c r="Q53" s="235" t="s">
        <v>297</v>
      </c>
      <c r="R53" s="236"/>
      <c r="S53" s="237"/>
      <c r="T53" s="237"/>
      <c r="U53" s="358"/>
      <c r="V53" s="455"/>
      <c r="W53" s="333"/>
      <c r="X53" s="97">
        <v>162</v>
      </c>
    </row>
    <row r="54" spans="1:24" s="97" customFormat="1" x14ac:dyDescent="0.25">
      <c r="A54" s="352"/>
      <c r="B54" s="361"/>
      <c r="C54" s="361"/>
      <c r="D54" s="361"/>
      <c r="E54" s="361"/>
      <c r="F54" s="355"/>
      <c r="G54" s="367"/>
      <c r="H54" s="358"/>
      <c r="I54" s="370"/>
      <c r="J54" s="424"/>
      <c r="K54" s="427"/>
      <c r="L54" s="361"/>
      <c r="M54" s="361"/>
      <c r="N54" s="248" t="s">
        <v>356</v>
      </c>
      <c r="O54" s="355"/>
      <c r="P54" s="237">
        <v>1450</v>
      </c>
      <c r="Q54" s="235" t="s">
        <v>353</v>
      </c>
      <c r="R54" s="236"/>
      <c r="S54" s="237"/>
      <c r="T54" s="237"/>
      <c r="U54" s="358"/>
      <c r="V54" s="455"/>
      <c r="W54" s="333"/>
      <c r="X54" s="97">
        <v>162</v>
      </c>
    </row>
    <row r="55" spans="1:24" s="97" customFormat="1" x14ac:dyDescent="0.25">
      <c r="A55" s="352"/>
      <c r="B55" s="361"/>
      <c r="C55" s="361"/>
      <c r="D55" s="361"/>
      <c r="E55" s="361"/>
      <c r="F55" s="355"/>
      <c r="G55" s="367"/>
      <c r="H55" s="358"/>
      <c r="I55" s="370"/>
      <c r="J55" s="424"/>
      <c r="K55" s="427"/>
      <c r="L55" s="361"/>
      <c r="M55" s="361"/>
      <c r="N55" s="248" t="s">
        <v>367</v>
      </c>
      <c r="O55" s="355"/>
      <c r="P55" s="237">
        <v>1450</v>
      </c>
      <c r="Q55" s="235" t="s">
        <v>404</v>
      </c>
      <c r="R55" s="236"/>
      <c r="S55" s="237"/>
      <c r="T55" s="237"/>
      <c r="U55" s="358"/>
      <c r="V55" s="455"/>
      <c r="W55" s="333"/>
      <c r="X55" s="97">
        <v>162</v>
      </c>
    </row>
    <row r="56" spans="1:24" s="97" customFormat="1" x14ac:dyDescent="0.25">
      <c r="A56" s="353"/>
      <c r="B56" s="362"/>
      <c r="C56" s="362"/>
      <c r="D56" s="362"/>
      <c r="E56" s="362"/>
      <c r="F56" s="356"/>
      <c r="G56" s="368"/>
      <c r="H56" s="359"/>
      <c r="I56" s="371"/>
      <c r="J56" s="425"/>
      <c r="K56" s="428"/>
      <c r="L56" s="362"/>
      <c r="M56" s="362"/>
      <c r="N56" s="249" t="s">
        <v>462</v>
      </c>
      <c r="O56" s="356"/>
      <c r="P56" s="243">
        <v>1450</v>
      </c>
      <c r="Q56" s="244" t="s">
        <v>465</v>
      </c>
      <c r="R56" s="245"/>
      <c r="S56" s="243"/>
      <c r="T56" s="243"/>
      <c r="U56" s="359"/>
      <c r="V56" s="456"/>
      <c r="W56" s="334"/>
      <c r="X56" s="97">
        <v>162</v>
      </c>
    </row>
    <row r="57" spans="1:24" s="85" customFormat="1" ht="90" customHeight="1" x14ac:dyDescent="0.25">
      <c r="A57" s="351">
        <v>8</v>
      </c>
      <c r="B57" s="360" t="s">
        <v>56</v>
      </c>
      <c r="C57" s="360"/>
      <c r="D57" s="360"/>
      <c r="E57" s="360" t="s">
        <v>187</v>
      </c>
      <c r="F57" s="354" t="s">
        <v>163</v>
      </c>
      <c r="G57" s="366" t="s">
        <v>188</v>
      </c>
      <c r="H57" s="357">
        <v>30000</v>
      </c>
      <c r="I57" s="369">
        <f>IF(X57 = 163, H57 + SUM(S57:S62) - SUM(T57:T62) - SUM(P57:P62) - V57,0)</f>
        <v>15000</v>
      </c>
      <c r="J57" s="423">
        <v>231107998282</v>
      </c>
      <c r="K57" s="426" t="s">
        <v>162</v>
      </c>
      <c r="L57" s="360"/>
      <c r="M57" s="360" t="s">
        <v>171</v>
      </c>
      <c r="N57" s="247" t="s">
        <v>222</v>
      </c>
      <c r="O57" s="354" t="s">
        <v>186</v>
      </c>
      <c r="P57" s="233">
        <v>2500</v>
      </c>
      <c r="Q57" s="231" t="s">
        <v>227</v>
      </c>
      <c r="R57" s="232"/>
      <c r="S57" s="233"/>
      <c r="T57" s="233"/>
      <c r="U57" s="357"/>
      <c r="V57" s="454"/>
      <c r="W57" s="332"/>
      <c r="X57" s="85">
        <v>163</v>
      </c>
    </row>
    <row r="58" spans="1:24" s="97" customFormat="1" x14ac:dyDescent="0.25">
      <c r="A58" s="352"/>
      <c r="B58" s="361"/>
      <c r="C58" s="361"/>
      <c r="D58" s="361"/>
      <c r="E58" s="361"/>
      <c r="F58" s="355"/>
      <c r="G58" s="367"/>
      <c r="H58" s="358"/>
      <c r="I58" s="370"/>
      <c r="J58" s="424"/>
      <c r="K58" s="427"/>
      <c r="L58" s="361"/>
      <c r="M58" s="361"/>
      <c r="N58" s="248" t="s">
        <v>261</v>
      </c>
      <c r="O58" s="355"/>
      <c r="P58" s="237">
        <v>2500</v>
      </c>
      <c r="Q58" s="235" t="s">
        <v>263</v>
      </c>
      <c r="R58" s="236"/>
      <c r="S58" s="237"/>
      <c r="T58" s="237"/>
      <c r="U58" s="358"/>
      <c r="V58" s="455"/>
      <c r="W58" s="333"/>
      <c r="X58" s="97">
        <v>163</v>
      </c>
    </row>
    <row r="59" spans="1:24" s="97" customFormat="1" x14ac:dyDescent="0.25">
      <c r="A59" s="352"/>
      <c r="B59" s="361"/>
      <c r="C59" s="361"/>
      <c r="D59" s="361"/>
      <c r="E59" s="361"/>
      <c r="F59" s="355"/>
      <c r="G59" s="367"/>
      <c r="H59" s="358"/>
      <c r="I59" s="370"/>
      <c r="J59" s="424"/>
      <c r="K59" s="427"/>
      <c r="L59" s="361"/>
      <c r="M59" s="361"/>
      <c r="N59" s="248" t="s">
        <v>290</v>
      </c>
      <c r="O59" s="355"/>
      <c r="P59" s="237">
        <v>2500</v>
      </c>
      <c r="Q59" s="235" t="s">
        <v>297</v>
      </c>
      <c r="R59" s="236"/>
      <c r="S59" s="237"/>
      <c r="T59" s="237"/>
      <c r="U59" s="358"/>
      <c r="V59" s="455"/>
      <c r="W59" s="333"/>
      <c r="X59" s="97">
        <v>163</v>
      </c>
    </row>
    <row r="60" spans="1:24" s="97" customFormat="1" x14ac:dyDescent="0.25">
      <c r="A60" s="352"/>
      <c r="B60" s="361"/>
      <c r="C60" s="361"/>
      <c r="D60" s="361"/>
      <c r="E60" s="361"/>
      <c r="F60" s="355"/>
      <c r="G60" s="367"/>
      <c r="H60" s="358"/>
      <c r="I60" s="370"/>
      <c r="J60" s="424"/>
      <c r="K60" s="427"/>
      <c r="L60" s="361"/>
      <c r="M60" s="361"/>
      <c r="N60" s="248" t="s">
        <v>356</v>
      </c>
      <c r="O60" s="355"/>
      <c r="P60" s="237">
        <v>2500</v>
      </c>
      <c r="Q60" s="235" t="s">
        <v>353</v>
      </c>
      <c r="R60" s="236"/>
      <c r="S60" s="237"/>
      <c r="T60" s="237"/>
      <c r="U60" s="358"/>
      <c r="V60" s="455"/>
      <c r="W60" s="333"/>
      <c r="X60" s="97">
        <v>163</v>
      </c>
    </row>
    <row r="61" spans="1:24" s="97" customFormat="1" x14ac:dyDescent="0.25">
      <c r="A61" s="352"/>
      <c r="B61" s="361"/>
      <c r="C61" s="361"/>
      <c r="D61" s="361"/>
      <c r="E61" s="361"/>
      <c r="F61" s="355"/>
      <c r="G61" s="367"/>
      <c r="H61" s="358"/>
      <c r="I61" s="370"/>
      <c r="J61" s="424"/>
      <c r="K61" s="427"/>
      <c r="L61" s="361"/>
      <c r="M61" s="361"/>
      <c r="N61" s="248" t="s">
        <v>367</v>
      </c>
      <c r="O61" s="355"/>
      <c r="P61" s="237">
        <v>2500</v>
      </c>
      <c r="Q61" s="235" t="s">
        <v>404</v>
      </c>
      <c r="R61" s="236"/>
      <c r="S61" s="237"/>
      <c r="T61" s="237"/>
      <c r="U61" s="358"/>
      <c r="V61" s="455"/>
      <c r="W61" s="333"/>
      <c r="X61" s="97">
        <v>163</v>
      </c>
    </row>
    <row r="62" spans="1:24" s="97" customFormat="1" x14ac:dyDescent="0.25">
      <c r="A62" s="353"/>
      <c r="B62" s="362"/>
      <c r="C62" s="362"/>
      <c r="D62" s="362"/>
      <c r="E62" s="362"/>
      <c r="F62" s="356"/>
      <c r="G62" s="368"/>
      <c r="H62" s="359"/>
      <c r="I62" s="371"/>
      <c r="J62" s="425"/>
      <c r="K62" s="428"/>
      <c r="L62" s="362"/>
      <c r="M62" s="362"/>
      <c r="N62" s="249" t="s">
        <v>462</v>
      </c>
      <c r="O62" s="356"/>
      <c r="P62" s="243">
        <v>2500</v>
      </c>
      <c r="Q62" s="244" t="s">
        <v>465</v>
      </c>
      <c r="R62" s="245"/>
      <c r="S62" s="243"/>
      <c r="T62" s="243"/>
      <c r="U62" s="359"/>
      <c r="V62" s="456"/>
      <c r="W62" s="334"/>
      <c r="X62" s="97">
        <v>163</v>
      </c>
    </row>
    <row r="63" spans="1:24" s="85" customFormat="1" ht="54" customHeight="1" x14ac:dyDescent="0.25">
      <c r="A63" s="351">
        <v>9</v>
      </c>
      <c r="B63" s="360" t="s">
        <v>56</v>
      </c>
      <c r="C63" s="360"/>
      <c r="D63" s="360"/>
      <c r="E63" s="360" t="s">
        <v>189</v>
      </c>
      <c r="F63" s="354" t="s">
        <v>163</v>
      </c>
      <c r="G63" s="366" t="s">
        <v>190</v>
      </c>
      <c r="H63" s="357">
        <v>18000</v>
      </c>
      <c r="I63" s="369">
        <f>IF(X63 = 164, H63 + SUM(S63:S68) - SUM(T63:T68) - SUM(P63:P68) - V63,0)</f>
        <v>9000</v>
      </c>
      <c r="J63" s="423">
        <v>231107998282</v>
      </c>
      <c r="K63" s="426" t="s">
        <v>162</v>
      </c>
      <c r="L63" s="360"/>
      <c r="M63" s="360" t="s">
        <v>171</v>
      </c>
      <c r="N63" s="247">
        <v>45688</v>
      </c>
      <c r="O63" s="354" t="s">
        <v>186</v>
      </c>
      <c r="P63" s="233">
        <v>1500</v>
      </c>
      <c r="Q63" s="231" t="s">
        <v>227</v>
      </c>
      <c r="R63" s="232"/>
      <c r="S63" s="233"/>
      <c r="T63" s="233"/>
      <c r="U63" s="357"/>
      <c r="V63" s="454"/>
      <c r="W63" s="332"/>
      <c r="X63" s="85">
        <v>164</v>
      </c>
    </row>
    <row r="64" spans="1:24" s="97" customFormat="1" x14ac:dyDescent="0.25">
      <c r="A64" s="352"/>
      <c r="B64" s="361"/>
      <c r="C64" s="361"/>
      <c r="D64" s="361"/>
      <c r="E64" s="361"/>
      <c r="F64" s="355"/>
      <c r="G64" s="367"/>
      <c r="H64" s="358"/>
      <c r="I64" s="370"/>
      <c r="J64" s="424"/>
      <c r="K64" s="427"/>
      <c r="L64" s="361"/>
      <c r="M64" s="361"/>
      <c r="N64" s="248" t="s">
        <v>261</v>
      </c>
      <c r="O64" s="355"/>
      <c r="P64" s="237">
        <v>1500</v>
      </c>
      <c r="Q64" s="235" t="s">
        <v>263</v>
      </c>
      <c r="R64" s="236"/>
      <c r="S64" s="237"/>
      <c r="T64" s="237"/>
      <c r="U64" s="358"/>
      <c r="V64" s="455"/>
      <c r="W64" s="333"/>
      <c r="X64" s="97">
        <v>164</v>
      </c>
    </row>
    <row r="65" spans="1:24" s="97" customFormat="1" x14ac:dyDescent="0.25">
      <c r="A65" s="352"/>
      <c r="B65" s="361"/>
      <c r="C65" s="361"/>
      <c r="D65" s="361"/>
      <c r="E65" s="361"/>
      <c r="F65" s="355"/>
      <c r="G65" s="367"/>
      <c r="H65" s="358"/>
      <c r="I65" s="370"/>
      <c r="J65" s="424"/>
      <c r="K65" s="427"/>
      <c r="L65" s="361"/>
      <c r="M65" s="361"/>
      <c r="N65" s="248" t="s">
        <v>290</v>
      </c>
      <c r="O65" s="355"/>
      <c r="P65" s="237">
        <v>1500</v>
      </c>
      <c r="Q65" s="235" t="s">
        <v>297</v>
      </c>
      <c r="R65" s="236"/>
      <c r="S65" s="237"/>
      <c r="T65" s="237"/>
      <c r="U65" s="358"/>
      <c r="V65" s="455"/>
      <c r="W65" s="333"/>
      <c r="X65" s="97">
        <v>164</v>
      </c>
    </row>
    <row r="66" spans="1:24" s="97" customFormat="1" x14ac:dyDescent="0.25">
      <c r="A66" s="352"/>
      <c r="B66" s="361"/>
      <c r="C66" s="361"/>
      <c r="D66" s="361"/>
      <c r="E66" s="361"/>
      <c r="F66" s="355"/>
      <c r="G66" s="367"/>
      <c r="H66" s="358"/>
      <c r="I66" s="370"/>
      <c r="J66" s="424"/>
      <c r="K66" s="427"/>
      <c r="L66" s="361"/>
      <c r="M66" s="361"/>
      <c r="N66" s="248" t="s">
        <v>356</v>
      </c>
      <c r="O66" s="355"/>
      <c r="P66" s="237">
        <v>1500</v>
      </c>
      <c r="Q66" s="235" t="s">
        <v>353</v>
      </c>
      <c r="R66" s="236"/>
      <c r="S66" s="237"/>
      <c r="T66" s="237"/>
      <c r="U66" s="358"/>
      <c r="V66" s="455"/>
      <c r="W66" s="333"/>
      <c r="X66" s="97">
        <v>164</v>
      </c>
    </row>
    <row r="67" spans="1:24" s="97" customFormat="1" x14ac:dyDescent="0.25">
      <c r="A67" s="352"/>
      <c r="B67" s="361"/>
      <c r="C67" s="361"/>
      <c r="D67" s="361"/>
      <c r="E67" s="361"/>
      <c r="F67" s="355"/>
      <c r="G67" s="367"/>
      <c r="H67" s="358"/>
      <c r="I67" s="370"/>
      <c r="J67" s="424"/>
      <c r="K67" s="427"/>
      <c r="L67" s="361"/>
      <c r="M67" s="361"/>
      <c r="N67" s="248" t="s">
        <v>367</v>
      </c>
      <c r="O67" s="355"/>
      <c r="P67" s="237">
        <v>1500</v>
      </c>
      <c r="Q67" s="235" t="s">
        <v>407</v>
      </c>
      <c r="R67" s="236"/>
      <c r="S67" s="237"/>
      <c r="T67" s="237"/>
      <c r="U67" s="358"/>
      <c r="V67" s="455"/>
      <c r="W67" s="333"/>
      <c r="X67" s="97">
        <v>164</v>
      </c>
    </row>
    <row r="68" spans="1:24" s="97" customFormat="1" x14ac:dyDescent="0.25">
      <c r="A68" s="353"/>
      <c r="B68" s="362"/>
      <c r="C68" s="362"/>
      <c r="D68" s="362"/>
      <c r="E68" s="362"/>
      <c r="F68" s="356"/>
      <c r="G68" s="368"/>
      <c r="H68" s="359"/>
      <c r="I68" s="371"/>
      <c r="J68" s="425"/>
      <c r="K68" s="428"/>
      <c r="L68" s="362"/>
      <c r="M68" s="362"/>
      <c r="N68" s="249" t="s">
        <v>467</v>
      </c>
      <c r="O68" s="356"/>
      <c r="P68" s="243">
        <v>1500</v>
      </c>
      <c r="Q68" s="244" t="s">
        <v>465</v>
      </c>
      <c r="R68" s="245"/>
      <c r="S68" s="243"/>
      <c r="T68" s="243"/>
      <c r="U68" s="359"/>
      <c r="V68" s="456"/>
      <c r="W68" s="334"/>
      <c r="X68" s="97">
        <v>164</v>
      </c>
    </row>
    <row r="69" spans="1:24" s="85" customFormat="1" ht="54" customHeight="1" x14ac:dyDescent="0.25">
      <c r="A69" s="411">
        <v>10</v>
      </c>
      <c r="B69" s="375" t="s">
        <v>56</v>
      </c>
      <c r="C69" s="375"/>
      <c r="D69" s="375"/>
      <c r="E69" s="375" t="s">
        <v>159</v>
      </c>
      <c r="F69" s="378" t="s">
        <v>181</v>
      </c>
      <c r="G69" s="381" t="s">
        <v>191</v>
      </c>
      <c r="H69" s="384">
        <v>10951.2</v>
      </c>
      <c r="I69" s="387">
        <f>IF(X69 = 165, H69 + SUM(S69:S71) - SUM(T69:T71) - SUM(P69:P71) - V69,0)</f>
        <v>9.0949470177292824E-13</v>
      </c>
      <c r="J69" s="390">
        <v>2353020735</v>
      </c>
      <c r="K69" s="393" t="s">
        <v>192</v>
      </c>
      <c r="L69" s="375"/>
      <c r="M69" s="375" t="s">
        <v>193</v>
      </c>
      <c r="N69" s="138" t="s">
        <v>261</v>
      </c>
      <c r="O69" s="378" t="s">
        <v>186</v>
      </c>
      <c r="P69" s="132">
        <v>2601</v>
      </c>
      <c r="Q69" s="133" t="s">
        <v>265</v>
      </c>
      <c r="R69" s="134"/>
      <c r="S69" s="132"/>
      <c r="T69" s="132"/>
      <c r="U69" s="384" t="s">
        <v>296</v>
      </c>
      <c r="V69" s="396">
        <v>2842.2</v>
      </c>
      <c r="W69" s="372"/>
      <c r="X69" s="85">
        <v>165</v>
      </c>
    </row>
    <row r="70" spans="1:24" s="97" customFormat="1" x14ac:dyDescent="0.25">
      <c r="A70" s="412"/>
      <c r="B70" s="376"/>
      <c r="C70" s="376"/>
      <c r="D70" s="376"/>
      <c r="E70" s="376"/>
      <c r="F70" s="379"/>
      <c r="G70" s="382"/>
      <c r="H70" s="385"/>
      <c r="I70" s="388"/>
      <c r="J70" s="391"/>
      <c r="K70" s="394"/>
      <c r="L70" s="376"/>
      <c r="M70" s="376"/>
      <c r="N70" s="140" t="s">
        <v>222</v>
      </c>
      <c r="O70" s="379"/>
      <c r="P70" s="141">
        <v>3015</v>
      </c>
      <c r="Q70" s="142" t="s">
        <v>237</v>
      </c>
      <c r="R70" s="143"/>
      <c r="S70" s="141"/>
      <c r="T70" s="141"/>
      <c r="U70" s="385"/>
      <c r="V70" s="397"/>
      <c r="W70" s="373"/>
      <c r="X70" s="97">
        <v>165</v>
      </c>
    </row>
    <row r="71" spans="1:24" s="97" customFormat="1" x14ac:dyDescent="0.25">
      <c r="A71" s="413"/>
      <c r="B71" s="377"/>
      <c r="C71" s="377"/>
      <c r="D71" s="377"/>
      <c r="E71" s="377"/>
      <c r="F71" s="380"/>
      <c r="G71" s="383"/>
      <c r="H71" s="386"/>
      <c r="I71" s="389"/>
      <c r="J71" s="392"/>
      <c r="K71" s="395"/>
      <c r="L71" s="377"/>
      <c r="M71" s="377"/>
      <c r="N71" s="139" t="s">
        <v>290</v>
      </c>
      <c r="O71" s="380"/>
      <c r="P71" s="135">
        <v>2493</v>
      </c>
      <c r="Q71" s="136" t="s">
        <v>293</v>
      </c>
      <c r="R71" s="137"/>
      <c r="S71" s="135"/>
      <c r="T71" s="135"/>
      <c r="U71" s="386"/>
      <c r="V71" s="398"/>
      <c r="W71" s="374"/>
      <c r="X71" s="97">
        <v>165</v>
      </c>
    </row>
    <row r="72" spans="1:24" s="85" customFormat="1" ht="90" customHeight="1" x14ac:dyDescent="0.25">
      <c r="A72" s="411">
        <v>11</v>
      </c>
      <c r="B72" s="375" t="s">
        <v>56</v>
      </c>
      <c r="C72" s="375"/>
      <c r="D72" s="375"/>
      <c r="E72" s="375" t="s">
        <v>160</v>
      </c>
      <c r="F72" s="378" t="s">
        <v>181</v>
      </c>
      <c r="G72" s="381" t="s">
        <v>194</v>
      </c>
      <c r="H72" s="384">
        <v>353508.48</v>
      </c>
      <c r="I72" s="387">
        <f>IF(X72 = 166, H72 + SUM(S72:S95) - SUM(T72:T95) - SUM(P72:P95) - V72,0)</f>
        <v>-2.9103830456733704E-11</v>
      </c>
      <c r="J72" s="390">
        <v>2353020735</v>
      </c>
      <c r="K72" s="393" t="s">
        <v>192</v>
      </c>
      <c r="L72" s="375"/>
      <c r="M72" s="375" t="s">
        <v>193</v>
      </c>
      <c r="N72" s="138" t="s">
        <v>261</v>
      </c>
      <c r="O72" s="378" t="s">
        <v>186</v>
      </c>
      <c r="P72" s="144">
        <v>65758</v>
      </c>
      <c r="Q72" s="133" t="s">
        <v>265</v>
      </c>
      <c r="R72" s="134"/>
      <c r="S72" s="132"/>
      <c r="T72" s="132"/>
      <c r="U72" s="384" t="s">
        <v>296</v>
      </c>
      <c r="V72" s="396">
        <v>40482.28</v>
      </c>
      <c r="W72" s="372"/>
      <c r="X72" s="85">
        <v>166</v>
      </c>
    </row>
    <row r="73" spans="1:24" s="97" customFormat="1" x14ac:dyDescent="0.25">
      <c r="A73" s="412"/>
      <c r="B73" s="376"/>
      <c r="C73" s="376"/>
      <c r="D73" s="376"/>
      <c r="E73" s="376"/>
      <c r="F73" s="379"/>
      <c r="G73" s="382"/>
      <c r="H73" s="385"/>
      <c r="I73" s="388"/>
      <c r="J73" s="391"/>
      <c r="K73" s="394"/>
      <c r="L73" s="376"/>
      <c r="M73" s="376"/>
      <c r="N73" s="140" t="s">
        <v>261</v>
      </c>
      <c r="O73" s="379"/>
      <c r="P73" s="145">
        <v>6283.2</v>
      </c>
      <c r="Q73" s="142" t="s">
        <v>265</v>
      </c>
      <c r="R73" s="143"/>
      <c r="S73" s="141"/>
      <c r="T73" s="141"/>
      <c r="U73" s="385"/>
      <c r="V73" s="397"/>
      <c r="W73" s="373"/>
      <c r="X73" s="97">
        <v>166</v>
      </c>
    </row>
    <row r="74" spans="1:24" s="97" customFormat="1" x14ac:dyDescent="0.25">
      <c r="A74" s="412"/>
      <c r="B74" s="376"/>
      <c r="C74" s="376"/>
      <c r="D74" s="376"/>
      <c r="E74" s="376"/>
      <c r="F74" s="379"/>
      <c r="G74" s="382"/>
      <c r="H74" s="385"/>
      <c r="I74" s="388"/>
      <c r="J74" s="391"/>
      <c r="K74" s="394"/>
      <c r="L74" s="376"/>
      <c r="M74" s="376"/>
      <c r="N74" s="140" t="s">
        <v>261</v>
      </c>
      <c r="O74" s="379"/>
      <c r="P74" s="145">
        <v>1570.8</v>
      </c>
      <c r="Q74" s="142" t="s">
        <v>265</v>
      </c>
      <c r="R74" s="143"/>
      <c r="S74" s="141"/>
      <c r="T74" s="141"/>
      <c r="U74" s="385"/>
      <c r="V74" s="397"/>
      <c r="W74" s="373"/>
      <c r="X74" s="97">
        <v>166</v>
      </c>
    </row>
    <row r="75" spans="1:24" s="97" customFormat="1" x14ac:dyDescent="0.25">
      <c r="A75" s="412"/>
      <c r="B75" s="376"/>
      <c r="C75" s="376"/>
      <c r="D75" s="376"/>
      <c r="E75" s="376"/>
      <c r="F75" s="379"/>
      <c r="G75" s="382"/>
      <c r="H75" s="385"/>
      <c r="I75" s="388"/>
      <c r="J75" s="391"/>
      <c r="K75" s="394"/>
      <c r="L75" s="376"/>
      <c r="M75" s="376"/>
      <c r="N75" s="140" t="s">
        <v>261</v>
      </c>
      <c r="O75" s="379"/>
      <c r="P75" s="145">
        <v>10998.25</v>
      </c>
      <c r="Q75" s="142" t="s">
        <v>265</v>
      </c>
      <c r="R75" s="143"/>
      <c r="S75" s="141"/>
      <c r="T75" s="141"/>
      <c r="U75" s="385"/>
      <c r="V75" s="397"/>
      <c r="W75" s="373"/>
      <c r="X75" s="97">
        <v>166</v>
      </c>
    </row>
    <row r="76" spans="1:24" s="97" customFormat="1" x14ac:dyDescent="0.25">
      <c r="A76" s="412"/>
      <c r="B76" s="376"/>
      <c r="C76" s="376"/>
      <c r="D76" s="376"/>
      <c r="E76" s="376"/>
      <c r="F76" s="379"/>
      <c r="G76" s="382"/>
      <c r="H76" s="385"/>
      <c r="I76" s="388"/>
      <c r="J76" s="391"/>
      <c r="K76" s="394"/>
      <c r="L76" s="376"/>
      <c r="M76" s="376"/>
      <c r="N76" s="140" t="s">
        <v>261</v>
      </c>
      <c r="O76" s="379"/>
      <c r="P76" s="145">
        <v>13442.15</v>
      </c>
      <c r="Q76" s="142" t="s">
        <v>265</v>
      </c>
      <c r="R76" s="143"/>
      <c r="S76" s="141"/>
      <c r="T76" s="141"/>
      <c r="U76" s="385"/>
      <c r="V76" s="397"/>
      <c r="W76" s="373"/>
      <c r="X76" s="97">
        <v>166</v>
      </c>
    </row>
    <row r="77" spans="1:24" s="97" customFormat="1" x14ac:dyDescent="0.25">
      <c r="A77" s="412"/>
      <c r="B77" s="376"/>
      <c r="C77" s="376"/>
      <c r="D77" s="376"/>
      <c r="E77" s="376"/>
      <c r="F77" s="379"/>
      <c r="G77" s="382"/>
      <c r="H77" s="385"/>
      <c r="I77" s="388"/>
      <c r="J77" s="391"/>
      <c r="K77" s="394"/>
      <c r="L77" s="376"/>
      <c r="M77" s="376"/>
      <c r="N77" s="140" t="s">
        <v>261</v>
      </c>
      <c r="O77" s="379"/>
      <c r="P77" s="145">
        <v>8225</v>
      </c>
      <c r="Q77" s="142" t="s">
        <v>265</v>
      </c>
      <c r="R77" s="143"/>
      <c r="S77" s="141"/>
      <c r="T77" s="141"/>
      <c r="U77" s="385"/>
      <c r="V77" s="397"/>
      <c r="W77" s="373"/>
      <c r="X77" s="97">
        <v>166</v>
      </c>
    </row>
    <row r="78" spans="1:24" s="97" customFormat="1" x14ac:dyDescent="0.25">
      <c r="A78" s="412"/>
      <c r="B78" s="376"/>
      <c r="C78" s="376"/>
      <c r="D78" s="376"/>
      <c r="E78" s="376"/>
      <c r="F78" s="379"/>
      <c r="G78" s="382"/>
      <c r="H78" s="385"/>
      <c r="I78" s="388"/>
      <c r="J78" s="391"/>
      <c r="K78" s="394"/>
      <c r="L78" s="376"/>
      <c r="M78" s="376"/>
      <c r="N78" s="140" t="s">
        <v>261</v>
      </c>
      <c r="O78" s="379"/>
      <c r="P78" s="145">
        <v>8304</v>
      </c>
      <c r="Q78" s="142" t="s">
        <v>265</v>
      </c>
      <c r="R78" s="143"/>
      <c r="S78" s="141"/>
      <c r="T78" s="141"/>
      <c r="U78" s="385"/>
      <c r="V78" s="397"/>
      <c r="W78" s="373"/>
      <c r="X78" s="97">
        <v>166</v>
      </c>
    </row>
    <row r="79" spans="1:24" s="97" customFormat="1" x14ac:dyDescent="0.25">
      <c r="A79" s="412"/>
      <c r="B79" s="376"/>
      <c r="C79" s="376"/>
      <c r="D79" s="376"/>
      <c r="E79" s="376"/>
      <c r="F79" s="379"/>
      <c r="G79" s="382"/>
      <c r="H79" s="385"/>
      <c r="I79" s="388"/>
      <c r="J79" s="391"/>
      <c r="K79" s="394"/>
      <c r="L79" s="376"/>
      <c r="M79" s="376"/>
      <c r="N79" s="140" t="s">
        <v>261</v>
      </c>
      <c r="O79" s="379"/>
      <c r="P79" s="145">
        <v>2800</v>
      </c>
      <c r="Q79" s="142" t="s">
        <v>265</v>
      </c>
      <c r="R79" s="143"/>
      <c r="S79" s="141"/>
      <c r="T79" s="141"/>
      <c r="U79" s="385"/>
      <c r="V79" s="397"/>
      <c r="W79" s="373"/>
      <c r="X79" s="97">
        <v>166</v>
      </c>
    </row>
    <row r="80" spans="1:24" s="97" customFormat="1" x14ac:dyDescent="0.25">
      <c r="A80" s="412"/>
      <c r="B80" s="376"/>
      <c r="C80" s="376"/>
      <c r="D80" s="376"/>
      <c r="E80" s="376"/>
      <c r="F80" s="379"/>
      <c r="G80" s="382"/>
      <c r="H80" s="385"/>
      <c r="I80" s="388"/>
      <c r="J80" s="391"/>
      <c r="K80" s="394"/>
      <c r="L80" s="376"/>
      <c r="M80" s="376"/>
      <c r="N80" s="140" t="s">
        <v>222</v>
      </c>
      <c r="O80" s="379"/>
      <c r="P80" s="145">
        <v>60522</v>
      </c>
      <c r="Q80" s="142" t="s">
        <v>237</v>
      </c>
      <c r="R80" s="143"/>
      <c r="S80" s="141"/>
      <c r="T80" s="141"/>
      <c r="U80" s="385"/>
      <c r="V80" s="397"/>
      <c r="W80" s="373"/>
      <c r="X80" s="97">
        <v>166</v>
      </c>
    </row>
    <row r="81" spans="1:24" s="97" customFormat="1" x14ac:dyDescent="0.25">
      <c r="A81" s="412"/>
      <c r="B81" s="376"/>
      <c r="C81" s="376"/>
      <c r="D81" s="376"/>
      <c r="E81" s="376"/>
      <c r="F81" s="379"/>
      <c r="G81" s="382"/>
      <c r="H81" s="385"/>
      <c r="I81" s="388"/>
      <c r="J81" s="391"/>
      <c r="K81" s="394"/>
      <c r="L81" s="376"/>
      <c r="M81" s="376"/>
      <c r="N81" s="140" t="s">
        <v>222</v>
      </c>
      <c r="O81" s="379"/>
      <c r="P81" s="145">
        <v>3326.4</v>
      </c>
      <c r="Q81" s="142" t="s">
        <v>237</v>
      </c>
      <c r="R81" s="143"/>
      <c r="S81" s="141"/>
      <c r="T81" s="141"/>
      <c r="U81" s="385"/>
      <c r="V81" s="397"/>
      <c r="W81" s="373"/>
      <c r="X81" s="97">
        <v>166</v>
      </c>
    </row>
    <row r="82" spans="1:24" s="97" customFormat="1" x14ac:dyDescent="0.25">
      <c r="A82" s="412"/>
      <c r="B82" s="376"/>
      <c r="C82" s="376"/>
      <c r="D82" s="376"/>
      <c r="E82" s="376"/>
      <c r="F82" s="379"/>
      <c r="G82" s="382"/>
      <c r="H82" s="385"/>
      <c r="I82" s="388"/>
      <c r="J82" s="391"/>
      <c r="K82" s="394"/>
      <c r="L82" s="376"/>
      <c r="M82" s="376"/>
      <c r="N82" s="140" t="s">
        <v>222</v>
      </c>
      <c r="O82" s="379"/>
      <c r="P82" s="145">
        <v>831.6</v>
      </c>
      <c r="Q82" s="142" t="s">
        <v>237</v>
      </c>
      <c r="R82" s="143"/>
      <c r="S82" s="141"/>
      <c r="T82" s="141"/>
      <c r="U82" s="385"/>
      <c r="V82" s="397"/>
      <c r="W82" s="373"/>
      <c r="X82" s="97">
        <v>166</v>
      </c>
    </row>
    <row r="83" spans="1:24" s="97" customFormat="1" x14ac:dyDescent="0.25">
      <c r="A83" s="412"/>
      <c r="B83" s="376"/>
      <c r="C83" s="376"/>
      <c r="D83" s="376"/>
      <c r="E83" s="376"/>
      <c r="F83" s="379"/>
      <c r="G83" s="382"/>
      <c r="H83" s="385"/>
      <c r="I83" s="388"/>
      <c r="J83" s="391"/>
      <c r="K83" s="394"/>
      <c r="L83" s="376"/>
      <c r="M83" s="376"/>
      <c r="N83" s="140" t="s">
        <v>222</v>
      </c>
      <c r="O83" s="379"/>
      <c r="P83" s="145">
        <v>6643.2</v>
      </c>
      <c r="Q83" s="142" t="s">
        <v>237</v>
      </c>
      <c r="R83" s="143"/>
      <c r="S83" s="141"/>
      <c r="T83" s="141"/>
      <c r="U83" s="385"/>
      <c r="V83" s="397"/>
      <c r="W83" s="373"/>
      <c r="X83" s="97">
        <v>166</v>
      </c>
    </row>
    <row r="84" spans="1:24" s="97" customFormat="1" x14ac:dyDescent="0.25">
      <c r="A84" s="412"/>
      <c r="B84" s="376"/>
      <c r="C84" s="376"/>
      <c r="D84" s="376"/>
      <c r="E84" s="376"/>
      <c r="F84" s="379"/>
      <c r="G84" s="382"/>
      <c r="H84" s="385"/>
      <c r="I84" s="388"/>
      <c r="J84" s="391"/>
      <c r="K84" s="394"/>
      <c r="L84" s="376"/>
      <c r="M84" s="376"/>
      <c r="N84" s="140" t="s">
        <v>222</v>
      </c>
      <c r="O84" s="379"/>
      <c r="P84" s="145">
        <v>2240</v>
      </c>
      <c r="Q84" s="142" t="s">
        <v>237</v>
      </c>
      <c r="R84" s="143"/>
      <c r="S84" s="141"/>
      <c r="T84" s="141"/>
      <c r="U84" s="385"/>
      <c r="V84" s="397"/>
      <c r="W84" s="373"/>
      <c r="X84" s="97">
        <v>166</v>
      </c>
    </row>
    <row r="85" spans="1:24" s="97" customFormat="1" x14ac:dyDescent="0.25">
      <c r="A85" s="412"/>
      <c r="B85" s="376"/>
      <c r="C85" s="376"/>
      <c r="D85" s="376"/>
      <c r="E85" s="376"/>
      <c r="F85" s="379"/>
      <c r="G85" s="382"/>
      <c r="H85" s="385"/>
      <c r="I85" s="388"/>
      <c r="J85" s="391"/>
      <c r="K85" s="394"/>
      <c r="L85" s="376"/>
      <c r="M85" s="376"/>
      <c r="N85" s="140" t="s">
        <v>222</v>
      </c>
      <c r="O85" s="379"/>
      <c r="P85" s="145">
        <v>11901.72</v>
      </c>
      <c r="Q85" s="142" t="s">
        <v>237</v>
      </c>
      <c r="R85" s="143"/>
      <c r="S85" s="141"/>
      <c r="T85" s="141"/>
      <c r="U85" s="385"/>
      <c r="V85" s="397"/>
      <c r="W85" s="373"/>
      <c r="X85" s="97">
        <v>166</v>
      </c>
    </row>
    <row r="86" spans="1:24" s="97" customFormat="1" x14ac:dyDescent="0.25">
      <c r="A86" s="412"/>
      <c r="B86" s="376"/>
      <c r="C86" s="376"/>
      <c r="D86" s="376"/>
      <c r="E86" s="376"/>
      <c r="F86" s="379"/>
      <c r="G86" s="382"/>
      <c r="H86" s="385"/>
      <c r="I86" s="388"/>
      <c r="J86" s="391"/>
      <c r="K86" s="394"/>
      <c r="L86" s="376"/>
      <c r="M86" s="376"/>
      <c r="N86" s="140" t="s">
        <v>222</v>
      </c>
      <c r="O86" s="379"/>
      <c r="P86" s="145">
        <v>9737.8799999999992</v>
      </c>
      <c r="Q86" s="142" t="s">
        <v>237</v>
      </c>
      <c r="R86" s="143"/>
      <c r="S86" s="141"/>
      <c r="T86" s="141"/>
      <c r="U86" s="385"/>
      <c r="V86" s="397"/>
      <c r="W86" s="373"/>
      <c r="X86" s="97">
        <v>166</v>
      </c>
    </row>
    <row r="87" spans="1:24" s="97" customFormat="1" x14ac:dyDescent="0.25">
      <c r="A87" s="412"/>
      <c r="B87" s="376"/>
      <c r="C87" s="376"/>
      <c r="D87" s="376"/>
      <c r="E87" s="376"/>
      <c r="F87" s="379"/>
      <c r="G87" s="382"/>
      <c r="H87" s="385"/>
      <c r="I87" s="388"/>
      <c r="J87" s="391"/>
      <c r="K87" s="394"/>
      <c r="L87" s="376"/>
      <c r="M87" s="376"/>
      <c r="N87" s="140" t="s">
        <v>222</v>
      </c>
      <c r="O87" s="379"/>
      <c r="P87" s="145">
        <v>7280</v>
      </c>
      <c r="Q87" s="142" t="s">
        <v>237</v>
      </c>
      <c r="R87" s="143"/>
      <c r="S87" s="141"/>
      <c r="T87" s="141"/>
      <c r="U87" s="385"/>
      <c r="V87" s="397"/>
      <c r="W87" s="373"/>
      <c r="X87" s="97">
        <v>166</v>
      </c>
    </row>
    <row r="88" spans="1:24" s="97" customFormat="1" x14ac:dyDescent="0.25">
      <c r="A88" s="412"/>
      <c r="B88" s="376"/>
      <c r="C88" s="376"/>
      <c r="D88" s="376"/>
      <c r="E88" s="376"/>
      <c r="F88" s="379"/>
      <c r="G88" s="382"/>
      <c r="H88" s="385"/>
      <c r="I88" s="388"/>
      <c r="J88" s="391"/>
      <c r="K88" s="394"/>
      <c r="L88" s="376"/>
      <c r="M88" s="376"/>
      <c r="N88" s="140" t="s">
        <v>290</v>
      </c>
      <c r="O88" s="379"/>
      <c r="P88" s="141">
        <v>54516</v>
      </c>
      <c r="Q88" s="142" t="s">
        <v>294</v>
      </c>
      <c r="R88" s="143"/>
      <c r="S88" s="141"/>
      <c r="T88" s="141"/>
      <c r="U88" s="385"/>
      <c r="V88" s="397"/>
      <c r="W88" s="373"/>
      <c r="X88" s="97">
        <v>166</v>
      </c>
    </row>
    <row r="89" spans="1:24" s="97" customFormat="1" x14ac:dyDescent="0.25">
      <c r="A89" s="412"/>
      <c r="B89" s="376"/>
      <c r="C89" s="376"/>
      <c r="D89" s="376"/>
      <c r="E89" s="376"/>
      <c r="F89" s="379"/>
      <c r="G89" s="382"/>
      <c r="H89" s="385"/>
      <c r="I89" s="388"/>
      <c r="J89" s="391"/>
      <c r="K89" s="394"/>
      <c r="L89" s="376"/>
      <c r="M89" s="376"/>
      <c r="N89" s="140" t="s">
        <v>290</v>
      </c>
      <c r="O89" s="379"/>
      <c r="P89" s="141">
        <v>10296.61</v>
      </c>
      <c r="Q89" s="142" t="s">
        <v>294</v>
      </c>
      <c r="R89" s="143"/>
      <c r="S89" s="141"/>
      <c r="T89" s="141"/>
      <c r="U89" s="385"/>
      <c r="V89" s="397"/>
      <c r="W89" s="373"/>
      <c r="X89" s="97">
        <v>166</v>
      </c>
    </row>
    <row r="90" spans="1:24" s="97" customFormat="1" x14ac:dyDescent="0.25">
      <c r="A90" s="412"/>
      <c r="B90" s="376"/>
      <c r="C90" s="376"/>
      <c r="D90" s="376"/>
      <c r="E90" s="376"/>
      <c r="F90" s="379"/>
      <c r="G90" s="382"/>
      <c r="H90" s="385"/>
      <c r="I90" s="388"/>
      <c r="J90" s="391"/>
      <c r="K90" s="394"/>
      <c r="L90" s="376"/>
      <c r="M90" s="376"/>
      <c r="N90" s="140" t="s">
        <v>290</v>
      </c>
      <c r="O90" s="379"/>
      <c r="P90" s="141">
        <v>8424.59</v>
      </c>
      <c r="Q90" s="142" t="s">
        <v>294</v>
      </c>
      <c r="R90" s="143"/>
      <c r="S90" s="141"/>
      <c r="T90" s="141"/>
      <c r="U90" s="385"/>
      <c r="V90" s="397"/>
      <c r="W90" s="373"/>
      <c r="X90" s="97">
        <v>166</v>
      </c>
    </row>
    <row r="91" spans="1:24" s="97" customFormat="1" x14ac:dyDescent="0.25">
      <c r="A91" s="412"/>
      <c r="B91" s="376"/>
      <c r="C91" s="376"/>
      <c r="D91" s="376"/>
      <c r="E91" s="376"/>
      <c r="F91" s="379"/>
      <c r="G91" s="382"/>
      <c r="H91" s="385"/>
      <c r="I91" s="388"/>
      <c r="J91" s="391"/>
      <c r="K91" s="394"/>
      <c r="L91" s="376"/>
      <c r="M91" s="376"/>
      <c r="N91" s="140" t="s">
        <v>290</v>
      </c>
      <c r="O91" s="379"/>
      <c r="P91" s="141">
        <v>6300</v>
      </c>
      <c r="Q91" s="142" t="s">
        <v>294</v>
      </c>
      <c r="R91" s="143"/>
      <c r="S91" s="141"/>
      <c r="T91" s="141"/>
      <c r="U91" s="385"/>
      <c r="V91" s="397"/>
      <c r="W91" s="373"/>
      <c r="X91" s="97">
        <v>166</v>
      </c>
    </row>
    <row r="92" spans="1:24" s="97" customFormat="1" x14ac:dyDescent="0.25">
      <c r="A92" s="412"/>
      <c r="B92" s="376"/>
      <c r="C92" s="376"/>
      <c r="D92" s="376"/>
      <c r="E92" s="376"/>
      <c r="F92" s="379"/>
      <c r="G92" s="382"/>
      <c r="H92" s="385"/>
      <c r="I92" s="388"/>
      <c r="J92" s="391"/>
      <c r="K92" s="394"/>
      <c r="L92" s="376"/>
      <c r="M92" s="376"/>
      <c r="N92" s="140" t="s">
        <v>290</v>
      </c>
      <c r="O92" s="379"/>
      <c r="P92" s="141">
        <v>5812.8</v>
      </c>
      <c r="Q92" s="142" t="s">
        <v>294</v>
      </c>
      <c r="R92" s="143"/>
      <c r="S92" s="141"/>
      <c r="T92" s="141"/>
      <c r="U92" s="385"/>
      <c r="V92" s="397"/>
      <c r="W92" s="373"/>
      <c r="X92" s="97">
        <v>166</v>
      </c>
    </row>
    <row r="93" spans="1:24" s="97" customFormat="1" x14ac:dyDescent="0.25">
      <c r="A93" s="412"/>
      <c r="B93" s="376"/>
      <c r="C93" s="376"/>
      <c r="D93" s="376"/>
      <c r="E93" s="376"/>
      <c r="F93" s="379"/>
      <c r="G93" s="382"/>
      <c r="H93" s="385"/>
      <c r="I93" s="388"/>
      <c r="J93" s="391"/>
      <c r="K93" s="394"/>
      <c r="L93" s="376"/>
      <c r="M93" s="376"/>
      <c r="N93" s="140" t="s">
        <v>290</v>
      </c>
      <c r="O93" s="379"/>
      <c r="P93" s="141">
        <v>1960</v>
      </c>
      <c r="Q93" s="142" t="s">
        <v>294</v>
      </c>
      <c r="R93" s="143"/>
      <c r="S93" s="141"/>
      <c r="T93" s="141"/>
      <c r="U93" s="385"/>
      <c r="V93" s="397"/>
      <c r="W93" s="373"/>
      <c r="X93" s="97">
        <v>166</v>
      </c>
    </row>
    <row r="94" spans="1:24" s="97" customFormat="1" x14ac:dyDescent="0.25">
      <c r="A94" s="412"/>
      <c r="B94" s="376"/>
      <c r="C94" s="376"/>
      <c r="D94" s="376"/>
      <c r="E94" s="376"/>
      <c r="F94" s="379"/>
      <c r="G94" s="382"/>
      <c r="H94" s="385"/>
      <c r="I94" s="388"/>
      <c r="J94" s="391"/>
      <c r="K94" s="394"/>
      <c r="L94" s="376"/>
      <c r="M94" s="376"/>
      <c r="N94" s="140" t="s">
        <v>290</v>
      </c>
      <c r="O94" s="379"/>
      <c r="P94" s="141">
        <v>1170.4000000000001</v>
      </c>
      <c r="Q94" s="142" t="s">
        <v>295</v>
      </c>
      <c r="R94" s="143"/>
      <c r="S94" s="141"/>
      <c r="T94" s="141"/>
      <c r="U94" s="385"/>
      <c r="V94" s="397"/>
      <c r="W94" s="373"/>
      <c r="X94" s="97">
        <v>166</v>
      </c>
    </row>
    <row r="95" spans="1:24" s="97" customFormat="1" x14ac:dyDescent="0.25">
      <c r="A95" s="413"/>
      <c r="B95" s="377"/>
      <c r="C95" s="377"/>
      <c r="D95" s="377"/>
      <c r="E95" s="377"/>
      <c r="F95" s="380"/>
      <c r="G95" s="383"/>
      <c r="H95" s="386"/>
      <c r="I95" s="389"/>
      <c r="J95" s="392"/>
      <c r="K95" s="395"/>
      <c r="L95" s="377"/>
      <c r="M95" s="377"/>
      <c r="N95" s="139" t="s">
        <v>290</v>
      </c>
      <c r="O95" s="380"/>
      <c r="P95" s="135">
        <v>4681.6000000000004</v>
      </c>
      <c r="Q95" s="136" t="s">
        <v>295</v>
      </c>
      <c r="R95" s="137"/>
      <c r="S95" s="135"/>
      <c r="T95" s="135"/>
      <c r="U95" s="386"/>
      <c r="V95" s="398"/>
      <c r="W95" s="374"/>
      <c r="X95" s="97">
        <v>166</v>
      </c>
    </row>
    <row r="96" spans="1:24" s="85" customFormat="1" ht="54" customHeight="1" x14ac:dyDescent="0.25">
      <c r="A96" s="351">
        <v>12</v>
      </c>
      <c r="B96" s="360" t="s">
        <v>56</v>
      </c>
      <c r="C96" s="360"/>
      <c r="D96" s="360"/>
      <c r="E96" s="360" t="s">
        <v>161</v>
      </c>
      <c r="F96" s="354" t="s">
        <v>181</v>
      </c>
      <c r="G96" s="366" t="s">
        <v>228</v>
      </c>
      <c r="H96" s="357">
        <v>84968</v>
      </c>
      <c r="I96" s="369">
        <f>IF(X96 = 168, H96 + SUM(S96:S101) - SUM(T96:T101) - SUM(P96:P101) - V96,0)</f>
        <v>52804</v>
      </c>
      <c r="J96" s="423">
        <v>2353017179</v>
      </c>
      <c r="K96" s="426" t="s">
        <v>229</v>
      </c>
      <c r="L96" s="360"/>
      <c r="M96" s="360" t="s">
        <v>230</v>
      </c>
      <c r="N96" s="247" t="s">
        <v>222</v>
      </c>
      <c r="O96" s="354" t="s">
        <v>231</v>
      </c>
      <c r="P96" s="233">
        <v>2924</v>
      </c>
      <c r="Q96" s="231" t="s">
        <v>232</v>
      </c>
      <c r="R96" s="232"/>
      <c r="S96" s="233"/>
      <c r="T96" s="233"/>
      <c r="U96" s="357"/>
      <c r="V96" s="454"/>
      <c r="W96" s="332"/>
      <c r="X96" s="85">
        <v>168</v>
      </c>
    </row>
    <row r="97" spans="1:24" s="97" customFormat="1" x14ac:dyDescent="0.25">
      <c r="A97" s="352"/>
      <c r="B97" s="361"/>
      <c r="C97" s="361"/>
      <c r="D97" s="361"/>
      <c r="E97" s="361"/>
      <c r="F97" s="355"/>
      <c r="G97" s="367"/>
      <c r="H97" s="358"/>
      <c r="I97" s="370"/>
      <c r="J97" s="424"/>
      <c r="K97" s="427"/>
      <c r="L97" s="361"/>
      <c r="M97" s="361"/>
      <c r="N97" s="248" t="s">
        <v>261</v>
      </c>
      <c r="O97" s="355"/>
      <c r="P97" s="237">
        <v>5332</v>
      </c>
      <c r="Q97" s="235" t="s">
        <v>264</v>
      </c>
      <c r="R97" s="236"/>
      <c r="S97" s="237"/>
      <c r="T97" s="237"/>
      <c r="U97" s="358"/>
      <c r="V97" s="455"/>
      <c r="W97" s="333"/>
      <c r="X97" s="97">
        <v>168</v>
      </c>
    </row>
    <row r="98" spans="1:24" s="97" customFormat="1" x14ac:dyDescent="0.25">
      <c r="A98" s="352"/>
      <c r="B98" s="361"/>
      <c r="C98" s="361"/>
      <c r="D98" s="361"/>
      <c r="E98" s="361"/>
      <c r="F98" s="355"/>
      <c r="G98" s="367"/>
      <c r="H98" s="358"/>
      <c r="I98" s="370"/>
      <c r="J98" s="424"/>
      <c r="K98" s="427"/>
      <c r="L98" s="361"/>
      <c r="M98" s="361"/>
      <c r="N98" s="248" t="s">
        <v>290</v>
      </c>
      <c r="O98" s="355"/>
      <c r="P98" s="237">
        <v>7224</v>
      </c>
      <c r="Q98" s="235" t="s">
        <v>299</v>
      </c>
      <c r="R98" s="236"/>
      <c r="S98" s="237"/>
      <c r="T98" s="237"/>
      <c r="U98" s="358"/>
      <c r="V98" s="455"/>
      <c r="W98" s="333"/>
      <c r="X98" s="97">
        <v>168</v>
      </c>
    </row>
    <row r="99" spans="1:24" s="97" customFormat="1" x14ac:dyDescent="0.25">
      <c r="A99" s="352"/>
      <c r="B99" s="361"/>
      <c r="C99" s="361"/>
      <c r="D99" s="361"/>
      <c r="E99" s="361"/>
      <c r="F99" s="355"/>
      <c r="G99" s="367"/>
      <c r="H99" s="358"/>
      <c r="I99" s="370"/>
      <c r="J99" s="424"/>
      <c r="K99" s="427"/>
      <c r="L99" s="361"/>
      <c r="M99" s="361"/>
      <c r="N99" s="248" t="s">
        <v>367</v>
      </c>
      <c r="O99" s="355"/>
      <c r="P99" s="237">
        <v>6536</v>
      </c>
      <c r="Q99" s="235" t="s">
        <v>408</v>
      </c>
      <c r="R99" s="236"/>
      <c r="S99" s="237"/>
      <c r="T99" s="237"/>
      <c r="U99" s="358"/>
      <c r="V99" s="455"/>
      <c r="W99" s="333"/>
      <c r="X99" s="97">
        <v>168</v>
      </c>
    </row>
    <row r="100" spans="1:24" s="97" customFormat="1" x14ac:dyDescent="0.25">
      <c r="A100" s="352"/>
      <c r="B100" s="361"/>
      <c r="C100" s="361"/>
      <c r="D100" s="361"/>
      <c r="E100" s="361"/>
      <c r="F100" s="355"/>
      <c r="G100" s="367"/>
      <c r="H100" s="358"/>
      <c r="I100" s="370"/>
      <c r="J100" s="424"/>
      <c r="K100" s="427"/>
      <c r="L100" s="361"/>
      <c r="M100" s="361"/>
      <c r="N100" s="248" t="s">
        <v>356</v>
      </c>
      <c r="O100" s="355"/>
      <c r="P100" s="237">
        <v>7052</v>
      </c>
      <c r="Q100" s="235" t="s">
        <v>353</v>
      </c>
      <c r="R100" s="236"/>
      <c r="S100" s="237"/>
      <c r="T100" s="237"/>
      <c r="U100" s="358"/>
      <c r="V100" s="455"/>
      <c r="W100" s="333"/>
      <c r="X100" s="97">
        <v>168</v>
      </c>
    </row>
    <row r="101" spans="1:24" s="97" customFormat="1" x14ac:dyDescent="0.25">
      <c r="A101" s="353"/>
      <c r="B101" s="362"/>
      <c r="C101" s="362"/>
      <c r="D101" s="362"/>
      <c r="E101" s="362"/>
      <c r="F101" s="356"/>
      <c r="G101" s="368"/>
      <c r="H101" s="359"/>
      <c r="I101" s="371"/>
      <c r="J101" s="425"/>
      <c r="K101" s="428"/>
      <c r="L101" s="362"/>
      <c r="M101" s="362"/>
      <c r="N101" s="249" t="s">
        <v>462</v>
      </c>
      <c r="O101" s="356"/>
      <c r="P101" s="243">
        <v>3096</v>
      </c>
      <c r="Q101" s="244" t="s">
        <v>463</v>
      </c>
      <c r="R101" s="245"/>
      <c r="S101" s="243"/>
      <c r="T101" s="243"/>
      <c r="U101" s="359"/>
      <c r="V101" s="456"/>
      <c r="W101" s="334"/>
      <c r="X101" s="97">
        <v>168</v>
      </c>
    </row>
    <row r="102" spans="1:24" s="85" customFormat="1" ht="36" customHeight="1" x14ac:dyDescent="0.25">
      <c r="A102" s="330">
        <v>13</v>
      </c>
      <c r="B102" s="311" t="s">
        <v>56</v>
      </c>
      <c r="C102" s="311"/>
      <c r="D102" s="311"/>
      <c r="E102" s="311" t="s">
        <v>233</v>
      </c>
      <c r="F102" s="313" t="s">
        <v>232</v>
      </c>
      <c r="G102" s="321" t="s">
        <v>234</v>
      </c>
      <c r="H102" s="315">
        <v>16305</v>
      </c>
      <c r="I102" s="317">
        <f>IF(X102 = 169, H102 + SUM(S102:S103) - SUM(T102:T103) - SUM(P102:P103) - V102,0)</f>
        <v>0</v>
      </c>
      <c r="J102" s="407">
        <v>235000239811</v>
      </c>
      <c r="K102" s="409" t="s">
        <v>235</v>
      </c>
      <c r="L102" s="311"/>
      <c r="M102" s="311" t="s">
        <v>236</v>
      </c>
      <c r="N102" s="98" t="s">
        <v>232</v>
      </c>
      <c r="O102" s="313" t="s">
        <v>231</v>
      </c>
      <c r="P102" s="99">
        <v>12880</v>
      </c>
      <c r="Q102" s="100" t="s">
        <v>237</v>
      </c>
      <c r="R102" s="101"/>
      <c r="S102" s="99"/>
      <c r="T102" s="99"/>
      <c r="U102" s="315"/>
      <c r="V102" s="405"/>
      <c r="W102" s="319"/>
      <c r="X102" s="85">
        <v>169</v>
      </c>
    </row>
    <row r="103" spans="1:24" s="97" customFormat="1" x14ac:dyDescent="0.25">
      <c r="A103" s="331"/>
      <c r="B103" s="312"/>
      <c r="C103" s="312"/>
      <c r="D103" s="312"/>
      <c r="E103" s="312"/>
      <c r="F103" s="314"/>
      <c r="G103" s="322"/>
      <c r="H103" s="316"/>
      <c r="I103" s="318"/>
      <c r="J103" s="408"/>
      <c r="K103" s="410"/>
      <c r="L103" s="312"/>
      <c r="M103" s="312"/>
      <c r="N103" s="102" t="s">
        <v>232</v>
      </c>
      <c r="O103" s="314"/>
      <c r="P103" s="103">
        <v>3425</v>
      </c>
      <c r="Q103" s="104" t="s">
        <v>237</v>
      </c>
      <c r="R103" s="105"/>
      <c r="S103" s="103"/>
      <c r="T103" s="103"/>
      <c r="U103" s="316"/>
      <c r="V103" s="406"/>
      <c r="W103" s="320"/>
      <c r="X103" s="97">
        <v>169</v>
      </c>
    </row>
    <row r="104" spans="1:24" s="85" customFormat="1" ht="56.25" x14ac:dyDescent="0.25">
      <c r="A104" s="86">
        <v>14</v>
      </c>
      <c r="B104" s="88" t="s">
        <v>56</v>
      </c>
      <c r="C104" s="88"/>
      <c r="D104" s="88"/>
      <c r="E104" s="88" t="s">
        <v>238</v>
      </c>
      <c r="F104" s="96" t="s">
        <v>239</v>
      </c>
      <c r="G104" s="91" t="s">
        <v>240</v>
      </c>
      <c r="H104" s="87">
        <v>53310</v>
      </c>
      <c r="I104" s="92">
        <f>IF(X104 = 170, H104 + SUM(S104:S104) - SUM(T104:T104) - SUM(P104:P104) - V104,0)</f>
        <v>0</v>
      </c>
      <c r="J104" s="93">
        <v>235303483777</v>
      </c>
      <c r="K104" s="94" t="s">
        <v>241</v>
      </c>
      <c r="L104" s="88"/>
      <c r="M104" s="88" t="s">
        <v>268</v>
      </c>
      <c r="N104" s="96" t="s">
        <v>224</v>
      </c>
      <c r="O104" s="96" t="s">
        <v>179</v>
      </c>
      <c r="P104" s="87">
        <v>53310</v>
      </c>
      <c r="Q104" s="91" t="s">
        <v>242</v>
      </c>
      <c r="R104" s="88"/>
      <c r="S104" s="87"/>
      <c r="T104" s="87"/>
      <c r="U104" s="87"/>
      <c r="V104" s="89"/>
      <c r="W104" s="90"/>
      <c r="X104" s="85">
        <v>170</v>
      </c>
    </row>
    <row r="105" spans="1:24" s="85" customFormat="1" ht="36" customHeight="1" x14ac:dyDescent="0.25">
      <c r="A105" s="497">
        <v>15</v>
      </c>
      <c r="B105" s="401" t="s">
        <v>56</v>
      </c>
      <c r="C105" s="401"/>
      <c r="D105" s="401"/>
      <c r="E105" s="401" t="s">
        <v>160</v>
      </c>
      <c r="F105" s="462" t="s">
        <v>266</v>
      </c>
      <c r="G105" s="464" t="s">
        <v>234</v>
      </c>
      <c r="H105" s="466">
        <v>73830</v>
      </c>
      <c r="I105" s="417">
        <f>IF(X105 = 171, H105 + SUM(S105:S106) - SUM(T105:T106) - SUM(P105:P106) - V105,0)</f>
        <v>0</v>
      </c>
      <c r="J105" s="419">
        <v>235305540660</v>
      </c>
      <c r="K105" s="421" t="s">
        <v>267</v>
      </c>
      <c r="L105" s="401"/>
      <c r="M105" s="401" t="s">
        <v>269</v>
      </c>
      <c r="N105" s="127" t="s">
        <v>263</v>
      </c>
      <c r="O105" s="462" t="s">
        <v>231</v>
      </c>
      <c r="P105" s="123">
        <v>50900</v>
      </c>
      <c r="Q105" s="124" t="s">
        <v>264</v>
      </c>
      <c r="R105" s="130"/>
      <c r="S105" s="123"/>
      <c r="T105" s="123"/>
      <c r="U105" s="466"/>
      <c r="V105" s="399"/>
      <c r="W105" s="460"/>
      <c r="X105" s="85">
        <v>171</v>
      </c>
    </row>
    <row r="106" spans="1:24" s="97" customFormat="1" x14ac:dyDescent="0.25">
      <c r="A106" s="498"/>
      <c r="B106" s="402"/>
      <c r="C106" s="402"/>
      <c r="D106" s="402"/>
      <c r="E106" s="402"/>
      <c r="F106" s="463"/>
      <c r="G106" s="465"/>
      <c r="H106" s="467"/>
      <c r="I106" s="418"/>
      <c r="J106" s="420"/>
      <c r="K106" s="422"/>
      <c r="L106" s="402"/>
      <c r="M106" s="402"/>
      <c r="N106" s="128" t="s">
        <v>263</v>
      </c>
      <c r="O106" s="463"/>
      <c r="P106" s="125">
        <v>22930</v>
      </c>
      <c r="Q106" s="126" t="s">
        <v>264</v>
      </c>
      <c r="R106" s="131"/>
      <c r="S106" s="125"/>
      <c r="T106" s="125"/>
      <c r="U106" s="467"/>
      <c r="V106" s="400"/>
      <c r="W106" s="461"/>
      <c r="X106" s="97">
        <v>171</v>
      </c>
    </row>
    <row r="107" spans="1:24" s="85" customFormat="1" ht="56.25" x14ac:dyDescent="0.25">
      <c r="A107" s="106">
        <v>16</v>
      </c>
      <c r="B107" s="107" t="s">
        <v>56</v>
      </c>
      <c r="C107" s="107"/>
      <c r="D107" s="107"/>
      <c r="E107" s="107" t="s">
        <v>238</v>
      </c>
      <c r="F107" s="129" t="s">
        <v>261</v>
      </c>
      <c r="G107" s="108" t="s">
        <v>270</v>
      </c>
      <c r="H107" s="109">
        <v>12630</v>
      </c>
      <c r="I107" s="110">
        <f>IF(X107 = 172, H107 + SUM(S107:S107) - SUM(T107:T107) - SUM(P107:P107) - V107,0)</f>
        <v>0</v>
      </c>
      <c r="J107" s="93">
        <v>235303483777</v>
      </c>
      <c r="K107" s="94" t="s">
        <v>241</v>
      </c>
      <c r="L107" s="107"/>
      <c r="M107" s="107" t="s">
        <v>271</v>
      </c>
      <c r="N107" s="129" t="s">
        <v>261</v>
      </c>
      <c r="O107" s="96" t="s">
        <v>179</v>
      </c>
      <c r="P107" s="109">
        <v>12630</v>
      </c>
      <c r="Q107" s="108" t="s">
        <v>272</v>
      </c>
      <c r="R107" s="107"/>
      <c r="S107" s="109"/>
      <c r="T107" s="109"/>
      <c r="U107" s="109"/>
      <c r="V107" s="113"/>
      <c r="W107" s="114"/>
      <c r="X107" s="85">
        <v>172</v>
      </c>
    </row>
    <row r="108" spans="1:24" s="85" customFormat="1" ht="75" x14ac:dyDescent="0.25">
      <c r="A108" s="106">
        <v>17</v>
      </c>
      <c r="B108" s="107" t="s">
        <v>56</v>
      </c>
      <c r="C108" s="107"/>
      <c r="D108" s="107"/>
      <c r="E108" s="107" t="s">
        <v>273</v>
      </c>
      <c r="F108" s="129" t="s">
        <v>247</v>
      </c>
      <c r="G108" s="108" t="s">
        <v>274</v>
      </c>
      <c r="H108" s="109">
        <v>10000</v>
      </c>
      <c r="I108" s="110">
        <f>IF(X108 = 173, H108 + SUM(S108:S108) - SUM(T108:T108) - SUM(P108:P108) - V108,0)</f>
        <v>0</v>
      </c>
      <c r="J108" s="111">
        <v>235301015365</v>
      </c>
      <c r="K108" s="112" t="s">
        <v>275</v>
      </c>
      <c r="L108" s="107"/>
      <c r="M108" s="107"/>
      <c r="N108" s="129" t="s">
        <v>254</v>
      </c>
      <c r="O108" s="129" t="s">
        <v>179</v>
      </c>
      <c r="P108" s="109">
        <v>10000</v>
      </c>
      <c r="Q108" s="108" t="s">
        <v>272</v>
      </c>
      <c r="R108" s="107"/>
      <c r="S108" s="109"/>
      <c r="T108" s="109"/>
      <c r="U108" s="109"/>
      <c r="V108" s="113"/>
      <c r="W108" s="114"/>
      <c r="X108" s="85">
        <v>173</v>
      </c>
    </row>
    <row r="109" spans="1:24" s="85" customFormat="1" ht="56.25" x14ac:dyDescent="0.25">
      <c r="A109" s="106">
        <v>18</v>
      </c>
      <c r="B109" s="107" t="s">
        <v>56</v>
      </c>
      <c r="C109" s="107"/>
      <c r="D109" s="107"/>
      <c r="E109" s="107" t="s">
        <v>276</v>
      </c>
      <c r="F109" s="129" t="s">
        <v>264</v>
      </c>
      <c r="G109" s="108" t="s">
        <v>270</v>
      </c>
      <c r="H109" s="109">
        <v>9760</v>
      </c>
      <c r="I109" s="110">
        <f>IF(X109 = 174, H109 + SUM(S109:S109) - SUM(T109:T109) - SUM(P109:P109) - V109,0)</f>
        <v>0</v>
      </c>
      <c r="J109" s="93">
        <v>235303483777</v>
      </c>
      <c r="K109" s="94" t="s">
        <v>241</v>
      </c>
      <c r="L109" s="107"/>
      <c r="M109" s="107" t="s">
        <v>277</v>
      </c>
      <c r="N109" s="129" t="s">
        <v>264</v>
      </c>
      <c r="O109" s="96" t="s">
        <v>179</v>
      </c>
      <c r="P109" s="109">
        <v>9760</v>
      </c>
      <c r="Q109" s="108" t="s">
        <v>278</v>
      </c>
      <c r="R109" s="107"/>
      <c r="S109" s="109"/>
      <c r="T109" s="109"/>
      <c r="U109" s="109"/>
      <c r="V109" s="113"/>
      <c r="W109" s="114"/>
      <c r="X109" s="85">
        <v>174</v>
      </c>
    </row>
    <row r="110" spans="1:24" s="85" customFormat="1" ht="37.5" x14ac:dyDescent="0.25">
      <c r="A110" s="106">
        <v>19</v>
      </c>
      <c r="B110" s="107" t="s">
        <v>56</v>
      </c>
      <c r="C110" s="107"/>
      <c r="D110" s="107"/>
      <c r="E110" s="107" t="s">
        <v>279</v>
      </c>
      <c r="F110" s="129" t="s">
        <v>247</v>
      </c>
      <c r="G110" s="108" t="s">
        <v>280</v>
      </c>
      <c r="H110" s="109">
        <v>20685.099999999999</v>
      </c>
      <c r="I110" s="110">
        <f>IF(X110 = 175, H110 + SUM(S110:S110) - SUM(T110:T110) - SUM(P110:P110) - V110,0)</f>
        <v>0</v>
      </c>
      <c r="J110" s="111">
        <v>7706526550</v>
      </c>
      <c r="K110" s="112" t="s">
        <v>281</v>
      </c>
      <c r="L110" s="107"/>
      <c r="M110" s="107" t="s">
        <v>282</v>
      </c>
      <c r="N110" s="129" t="s">
        <v>263</v>
      </c>
      <c r="O110" s="129" t="s">
        <v>283</v>
      </c>
      <c r="P110" s="109">
        <v>20685.099999999999</v>
      </c>
      <c r="Q110" s="108" t="s">
        <v>284</v>
      </c>
      <c r="R110" s="107"/>
      <c r="S110" s="109"/>
      <c r="T110" s="109"/>
      <c r="U110" s="109"/>
      <c r="V110" s="113"/>
      <c r="W110" s="114"/>
      <c r="X110" s="85">
        <v>175</v>
      </c>
    </row>
    <row r="111" spans="1:24" s="85" customFormat="1" ht="37.5" x14ac:dyDescent="0.25">
      <c r="A111" s="106">
        <v>20</v>
      </c>
      <c r="B111" s="107" t="s">
        <v>56</v>
      </c>
      <c r="C111" s="107"/>
      <c r="D111" s="107"/>
      <c r="E111" s="107" t="s">
        <v>285</v>
      </c>
      <c r="F111" s="129" t="s">
        <v>247</v>
      </c>
      <c r="G111" s="108" t="s">
        <v>286</v>
      </c>
      <c r="H111" s="109">
        <v>2625</v>
      </c>
      <c r="I111" s="110">
        <f>IF(X111 = 176, H111 + SUM(S111:S111) - SUM(T111:T111) - SUM(P111:P111) - V111,0)</f>
        <v>0</v>
      </c>
      <c r="J111" s="111">
        <v>7728499444</v>
      </c>
      <c r="K111" s="112" t="s">
        <v>287</v>
      </c>
      <c r="L111" s="107"/>
      <c r="M111" s="107" t="s">
        <v>282</v>
      </c>
      <c r="N111" s="129" t="s">
        <v>247</v>
      </c>
      <c r="O111" s="129" t="s">
        <v>283</v>
      </c>
      <c r="P111" s="109">
        <v>2625</v>
      </c>
      <c r="Q111" s="108" t="s">
        <v>284</v>
      </c>
      <c r="R111" s="107"/>
      <c r="S111" s="109"/>
      <c r="T111" s="109"/>
      <c r="U111" s="109"/>
      <c r="V111" s="113"/>
      <c r="W111" s="114"/>
      <c r="X111" s="85">
        <v>176</v>
      </c>
    </row>
    <row r="112" spans="1:24" s="85" customFormat="1" ht="54" customHeight="1" x14ac:dyDescent="0.25">
      <c r="A112" s="351">
        <v>21</v>
      </c>
      <c r="B112" s="360" t="s">
        <v>56</v>
      </c>
      <c r="C112" s="360"/>
      <c r="D112" s="360"/>
      <c r="E112" s="360" t="s">
        <v>249</v>
      </c>
      <c r="F112" s="354" t="s">
        <v>261</v>
      </c>
      <c r="G112" s="366" t="s">
        <v>302</v>
      </c>
      <c r="H112" s="357">
        <v>511700</v>
      </c>
      <c r="I112" s="369">
        <f>IF(X112 = 177, H112 + SUM(S112:S115) - SUM(T112:T115) - SUM(P112:P115) - V112,0)</f>
        <v>158946.5</v>
      </c>
      <c r="J112" s="423">
        <v>235300578903</v>
      </c>
      <c r="K112" s="426" t="s">
        <v>220</v>
      </c>
      <c r="L112" s="360"/>
      <c r="M112" s="360" t="s">
        <v>303</v>
      </c>
      <c r="N112" s="247" t="s">
        <v>290</v>
      </c>
      <c r="O112" s="354" t="s">
        <v>304</v>
      </c>
      <c r="P112" s="233">
        <v>78114</v>
      </c>
      <c r="Q112" s="231" t="s">
        <v>299</v>
      </c>
      <c r="R112" s="232"/>
      <c r="S112" s="233"/>
      <c r="T112" s="233"/>
      <c r="U112" s="357"/>
      <c r="V112" s="454"/>
      <c r="W112" s="332"/>
      <c r="X112" s="85">
        <v>177</v>
      </c>
    </row>
    <row r="113" spans="1:24" s="97" customFormat="1" x14ac:dyDescent="0.25">
      <c r="A113" s="352"/>
      <c r="B113" s="361"/>
      <c r="C113" s="361"/>
      <c r="D113" s="361"/>
      <c r="E113" s="361"/>
      <c r="F113" s="355"/>
      <c r="G113" s="367"/>
      <c r="H113" s="358"/>
      <c r="I113" s="370"/>
      <c r="J113" s="424"/>
      <c r="K113" s="427"/>
      <c r="L113" s="361"/>
      <c r="M113" s="361"/>
      <c r="N113" s="248" t="s">
        <v>356</v>
      </c>
      <c r="O113" s="355"/>
      <c r="P113" s="237">
        <v>112860</v>
      </c>
      <c r="Q113" s="235" t="s">
        <v>359</v>
      </c>
      <c r="R113" s="236"/>
      <c r="S113" s="237"/>
      <c r="T113" s="237"/>
      <c r="U113" s="358"/>
      <c r="V113" s="455"/>
      <c r="W113" s="333"/>
      <c r="X113" s="97">
        <v>177</v>
      </c>
    </row>
    <row r="114" spans="1:24" s="97" customFormat="1" x14ac:dyDescent="0.25">
      <c r="A114" s="352"/>
      <c r="B114" s="361"/>
      <c r="C114" s="361"/>
      <c r="D114" s="361"/>
      <c r="E114" s="361"/>
      <c r="F114" s="355"/>
      <c r="G114" s="367"/>
      <c r="H114" s="358"/>
      <c r="I114" s="370"/>
      <c r="J114" s="424"/>
      <c r="K114" s="427"/>
      <c r="L114" s="361"/>
      <c r="M114" s="361"/>
      <c r="N114" s="248" t="s">
        <v>405</v>
      </c>
      <c r="O114" s="355"/>
      <c r="P114" s="237">
        <v>94905</v>
      </c>
      <c r="Q114" s="235" t="s">
        <v>407</v>
      </c>
      <c r="R114" s="236"/>
      <c r="S114" s="237"/>
      <c r="T114" s="237"/>
      <c r="U114" s="358"/>
      <c r="V114" s="455"/>
      <c r="W114" s="333"/>
      <c r="X114" s="97">
        <v>177</v>
      </c>
    </row>
    <row r="115" spans="1:24" s="97" customFormat="1" x14ac:dyDescent="0.25">
      <c r="A115" s="353"/>
      <c r="B115" s="362"/>
      <c r="C115" s="362"/>
      <c r="D115" s="362"/>
      <c r="E115" s="362"/>
      <c r="F115" s="356"/>
      <c r="G115" s="368"/>
      <c r="H115" s="359"/>
      <c r="I115" s="371"/>
      <c r="J115" s="425"/>
      <c r="K115" s="428"/>
      <c r="L115" s="362"/>
      <c r="M115" s="362"/>
      <c r="N115" s="249" t="s">
        <v>464</v>
      </c>
      <c r="O115" s="356"/>
      <c r="P115" s="243">
        <v>66874.5</v>
      </c>
      <c r="Q115" s="244" t="s">
        <v>463</v>
      </c>
      <c r="R115" s="245"/>
      <c r="S115" s="243"/>
      <c r="T115" s="243"/>
      <c r="U115" s="359"/>
      <c r="V115" s="456"/>
      <c r="W115" s="334"/>
      <c r="X115" s="97">
        <v>177</v>
      </c>
    </row>
    <row r="116" spans="1:24" s="85" customFormat="1" ht="54" customHeight="1" x14ac:dyDescent="0.25">
      <c r="A116" s="351">
        <v>22</v>
      </c>
      <c r="B116" s="360" t="s">
        <v>56</v>
      </c>
      <c r="C116" s="360"/>
      <c r="D116" s="360"/>
      <c r="E116" s="360" t="s">
        <v>334</v>
      </c>
      <c r="F116" s="354" t="s">
        <v>181</v>
      </c>
      <c r="G116" s="366" t="s">
        <v>335</v>
      </c>
      <c r="H116" s="357">
        <v>34646.080000000002</v>
      </c>
      <c r="I116" s="369">
        <f>IF(X116 = 178, H116 + SUM(S116:S117) - SUM(T116:T117) - SUM(P116:P117) - V116,0)</f>
        <v>17323.04</v>
      </c>
      <c r="J116" s="423">
        <v>2353018870</v>
      </c>
      <c r="K116" s="426" t="s">
        <v>336</v>
      </c>
      <c r="L116" s="360"/>
      <c r="M116" s="360" t="s">
        <v>171</v>
      </c>
      <c r="N116" s="247" t="s">
        <v>337</v>
      </c>
      <c r="O116" s="354" t="s">
        <v>304</v>
      </c>
      <c r="P116" s="233">
        <v>8661.52</v>
      </c>
      <c r="Q116" s="231" t="s">
        <v>297</v>
      </c>
      <c r="R116" s="232"/>
      <c r="S116" s="233"/>
      <c r="T116" s="233"/>
      <c r="U116" s="357"/>
      <c r="V116" s="454"/>
      <c r="W116" s="332"/>
      <c r="X116" s="85">
        <v>178</v>
      </c>
    </row>
    <row r="117" spans="1:24" s="97" customFormat="1" x14ac:dyDescent="0.25">
      <c r="A117" s="353"/>
      <c r="B117" s="362"/>
      <c r="C117" s="362"/>
      <c r="D117" s="362"/>
      <c r="E117" s="362"/>
      <c r="F117" s="356"/>
      <c r="G117" s="368"/>
      <c r="H117" s="359"/>
      <c r="I117" s="371"/>
      <c r="J117" s="425"/>
      <c r="K117" s="428"/>
      <c r="L117" s="362"/>
      <c r="M117" s="362"/>
      <c r="N117" s="249" t="s">
        <v>466</v>
      </c>
      <c r="O117" s="356"/>
      <c r="P117" s="243">
        <v>8661.52</v>
      </c>
      <c r="Q117" s="244" t="s">
        <v>465</v>
      </c>
      <c r="R117" s="245"/>
      <c r="S117" s="243"/>
      <c r="T117" s="243"/>
      <c r="U117" s="359"/>
      <c r="V117" s="456"/>
      <c r="W117" s="334"/>
      <c r="X117" s="97">
        <v>178</v>
      </c>
    </row>
    <row r="118" spans="1:24" s="85" customFormat="1" ht="72" customHeight="1" x14ac:dyDescent="0.25">
      <c r="A118" s="429">
        <v>23</v>
      </c>
      <c r="B118" s="414" t="s">
        <v>56</v>
      </c>
      <c r="C118" s="414"/>
      <c r="D118" s="414"/>
      <c r="E118" s="414" t="s">
        <v>159</v>
      </c>
      <c r="F118" s="432" t="s">
        <v>298</v>
      </c>
      <c r="G118" s="435" t="s">
        <v>362</v>
      </c>
      <c r="H118" s="438">
        <v>13104</v>
      </c>
      <c r="I118" s="441">
        <f>IF(X118 = 179, H118 + SUM(S118:S119) - SUM(T118:T119) - SUM(P118:P119) - V118,0)</f>
        <v>0</v>
      </c>
      <c r="J118" s="444">
        <v>2353020735</v>
      </c>
      <c r="K118" s="447" t="s">
        <v>363</v>
      </c>
      <c r="L118" s="414"/>
      <c r="M118" s="414" t="s">
        <v>364</v>
      </c>
      <c r="N118" s="178" t="s">
        <v>356</v>
      </c>
      <c r="O118" s="432" t="s">
        <v>186</v>
      </c>
      <c r="P118" s="169">
        <v>5740</v>
      </c>
      <c r="Q118" s="170" t="s">
        <v>365</v>
      </c>
      <c r="R118" s="171"/>
      <c r="S118" s="169"/>
      <c r="T118" s="169"/>
      <c r="U118" s="438" t="s">
        <v>441</v>
      </c>
      <c r="V118" s="450">
        <v>4172</v>
      </c>
      <c r="W118" s="452"/>
      <c r="X118" s="85">
        <v>179</v>
      </c>
    </row>
    <row r="119" spans="1:24" s="97" customFormat="1" x14ac:dyDescent="0.25">
      <c r="A119" s="430"/>
      <c r="B119" s="416"/>
      <c r="C119" s="416"/>
      <c r="D119" s="416"/>
      <c r="E119" s="416"/>
      <c r="F119" s="434"/>
      <c r="G119" s="437"/>
      <c r="H119" s="440"/>
      <c r="I119" s="443"/>
      <c r="J119" s="446"/>
      <c r="K119" s="449"/>
      <c r="L119" s="416"/>
      <c r="M119" s="416"/>
      <c r="N119" s="180" t="s">
        <v>366</v>
      </c>
      <c r="O119" s="434"/>
      <c r="P119" s="175">
        <v>3192</v>
      </c>
      <c r="Q119" s="176" t="s">
        <v>367</v>
      </c>
      <c r="R119" s="177"/>
      <c r="S119" s="175"/>
      <c r="T119" s="175"/>
      <c r="U119" s="440"/>
      <c r="V119" s="451"/>
      <c r="W119" s="453"/>
      <c r="X119" s="97">
        <v>179</v>
      </c>
    </row>
    <row r="120" spans="1:24" s="85" customFormat="1" ht="90" customHeight="1" x14ac:dyDescent="0.25">
      <c r="A120" s="429">
        <v>24</v>
      </c>
      <c r="B120" s="414" t="s">
        <v>56</v>
      </c>
      <c r="C120" s="414"/>
      <c r="D120" s="414"/>
      <c r="E120" s="414" t="s">
        <v>160</v>
      </c>
      <c r="F120" s="432" t="s">
        <v>298</v>
      </c>
      <c r="G120" s="435" t="s">
        <v>194</v>
      </c>
      <c r="H120" s="438">
        <v>322992</v>
      </c>
      <c r="I120" s="441">
        <f>IF(X120 = 180, H120 + SUM(S120:S135) - SUM(T120:T135) - SUM(P120:P135) - V120,0)</f>
        <v>1.4551915228366852E-11</v>
      </c>
      <c r="J120" s="444">
        <v>2353020735</v>
      </c>
      <c r="K120" s="447" t="s">
        <v>363</v>
      </c>
      <c r="L120" s="414"/>
      <c r="M120" s="414" t="s">
        <v>364</v>
      </c>
      <c r="N120" s="178" t="s">
        <v>356</v>
      </c>
      <c r="O120" s="432" t="s">
        <v>186</v>
      </c>
      <c r="P120" s="169">
        <v>79618</v>
      </c>
      <c r="Q120" s="170" t="s">
        <v>365</v>
      </c>
      <c r="R120" s="171"/>
      <c r="S120" s="169"/>
      <c r="T120" s="169"/>
      <c r="U120" s="438" t="s">
        <v>441</v>
      </c>
      <c r="V120" s="450">
        <v>105418.2</v>
      </c>
      <c r="W120" s="452"/>
      <c r="X120" s="85">
        <v>180</v>
      </c>
    </row>
    <row r="121" spans="1:24" s="97" customFormat="1" x14ac:dyDescent="0.25">
      <c r="A121" s="431"/>
      <c r="B121" s="415"/>
      <c r="C121" s="415"/>
      <c r="D121" s="415"/>
      <c r="E121" s="415"/>
      <c r="F121" s="433"/>
      <c r="G121" s="436"/>
      <c r="H121" s="439"/>
      <c r="I121" s="442"/>
      <c r="J121" s="445"/>
      <c r="K121" s="448"/>
      <c r="L121" s="415"/>
      <c r="M121" s="415"/>
      <c r="N121" s="179" t="s">
        <v>356</v>
      </c>
      <c r="O121" s="433"/>
      <c r="P121" s="172">
        <v>8719.2000000000007</v>
      </c>
      <c r="Q121" s="173" t="s">
        <v>365</v>
      </c>
      <c r="R121" s="174"/>
      <c r="S121" s="172"/>
      <c r="T121" s="172"/>
      <c r="U121" s="439"/>
      <c r="V121" s="468"/>
      <c r="W121" s="469"/>
      <c r="X121" s="97">
        <v>180</v>
      </c>
    </row>
    <row r="122" spans="1:24" s="97" customFormat="1" x14ac:dyDescent="0.25">
      <c r="A122" s="431"/>
      <c r="B122" s="415"/>
      <c r="C122" s="415"/>
      <c r="D122" s="415"/>
      <c r="E122" s="415"/>
      <c r="F122" s="433"/>
      <c r="G122" s="436"/>
      <c r="H122" s="439"/>
      <c r="I122" s="442"/>
      <c r="J122" s="445"/>
      <c r="K122" s="448"/>
      <c r="L122" s="415"/>
      <c r="M122" s="415"/>
      <c r="N122" s="179" t="s">
        <v>356</v>
      </c>
      <c r="O122" s="433"/>
      <c r="P122" s="172">
        <v>2940</v>
      </c>
      <c r="Q122" s="173" t="s">
        <v>365</v>
      </c>
      <c r="R122" s="174"/>
      <c r="S122" s="172"/>
      <c r="T122" s="172"/>
      <c r="U122" s="439"/>
      <c r="V122" s="468"/>
      <c r="W122" s="469"/>
      <c r="X122" s="97">
        <v>180</v>
      </c>
    </row>
    <row r="123" spans="1:24" s="97" customFormat="1" x14ac:dyDescent="0.25">
      <c r="A123" s="431"/>
      <c r="B123" s="415"/>
      <c r="C123" s="415"/>
      <c r="D123" s="415"/>
      <c r="E123" s="415"/>
      <c r="F123" s="433"/>
      <c r="G123" s="436"/>
      <c r="H123" s="439"/>
      <c r="I123" s="442"/>
      <c r="J123" s="445"/>
      <c r="K123" s="448"/>
      <c r="L123" s="415"/>
      <c r="M123" s="415"/>
      <c r="N123" s="179" t="s">
        <v>356</v>
      </c>
      <c r="O123" s="433"/>
      <c r="P123" s="172">
        <v>6529.6</v>
      </c>
      <c r="Q123" s="173" t="s">
        <v>365</v>
      </c>
      <c r="R123" s="174"/>
      <c r="S123" s="172"/>
      <c r="T123" s="172"/>
      <c r="U123" s="439"/>
      <c r="V123" s="468"/>
      <c r="W123" s="469"/>
      <c r="X123" s="97">
        <v>180</v>
      </c>
    </row>
    <row r="124" spans="1:24" s="97" customFormat="1" x14ac:dyDescent="0.25">
      <c r="A124" s="431"/>
      <c r="B124" s="415"/>
      <c r="C124" s="415"/>
      <c r="D124" s="415"/>
      <c r="E124" s="415"/>
      <c r="F124" s="433"/>
      <c r="G124" s="436"/>
      <c r="H124" s="439"/>
      <c r="I124" s="442"/>
      <c r="J124" s="445"/>
      <c r="K124" s="448"/>
      <c r="L124" s="415"/>
      <c r="M124" s="415"/>
      <c r="N124" s="179" t="s">
        <v>356</v>
      </c>
      <c r="O124" s="433"/>
      <c r="P124" s="172">
        <v>1632.4</v>
      </c>
      <c r="Q124" s="173" t="s">
        <v>365</v>
      </c>
      <c r="R124" s="174"/>
      <c r="S124" s="172"/>
      <c r="T124" s="172"/>
      <c r="U124" s="439"/>
      <c r="V124" s="468"/>
      <c r="W124" s="469"/>
      <c r="X124" s="97">
        <v>180</v>
      </c>
    </row>
    <row r="125" spans="1:24" s="97" customFormat="1" x14ac:dyDescent="0.25">
      <c r="A125" s="431"/>
      <c r="B125" s="415"/>
      <c r="C125" s="415"/>
      <c r="D125" s="415"/>
      <c r="E125" s="415"/>
      <c r="F125" s="433"/>
      <c r="G125" s="436"/>
      <c r="H125" s="439"/>
      <c r="I125" s="442"/>
      <c r="J125" s="445"/>
      <c r="K125" s="448"/>
      <c r="L125" s="415"/>
      <c r="M125" s="415"/>
      <c r="N125" s="179" t="s">
        <v>356</v>
      </c>
      <c r="O125" s="433"/>
      <c r="P125" s="172">
        <v>13731.89</v>
      </c>
      <c r="Q125" s="173" t="s">
        <v>365</v>
      </c>
      <c r="R125" s="174"/>
      <c r="S125" s="172"/>
      <c r="T125" s="172"/>
      <c r="U125" s="439"/>
      <c r="V125" s="468"/>
      <c r="W125" s="469"/>
      <c r="X125" s="97">
        <v>180</v>
      </c>
    </row>
    <row r="126" spans="1:24" s="97" customFormat="1" x14ac:dyDescent="0.25">
      <c r="A126" s="431"/>
      <c r="B126" s="415"/>
      <c r="C126" s="415"/>
      <c r="D126" s="415"/>
      <c r="E126" s="415"/>
      <c r="F126" s="433"/>
      <c r="G126" s="436"/>
      <c r="H126" s="439"/>
      <c r="I126" s="442"/>
      <c r="J126" s="445"/>
      <c r="K126" s="448"/>
      <c r="L126" s="415"/>
      <c r="M126" s="415"/>
      <c r="N126" s="179" t="s">
        <v>356</v>
      </c>
      <c r="O126" s="433"/>
      <c r="P126" s="172">
        <v>11235.31</v>
      </c>
      <c r="Q126" s="173" t="s">
        <v>365</v>
      </c>
      <c r="R126" s="174"/>
      <c r="S126" s="172"/>
      <c r="T126" s="172"/>
      <c r="U126" s="439"/>
      <c r="V126" s="468"/>
      <c r="W126" s="469"/>
      <c r="X126" s="97">
        <v>180</v>
      </c>
    </row>
    <row r="127" spans="1:24" s="97" customFormat="1" x14ac:dyDescent="0.25">
      <c r="A127" s="431"/>
      <c r="B127" s="415"/>
      <c r="C127" s="415"/>
      <c r="D127" s="415"/>
      <c r="E127" s="415"/>
      <c r="F127" s="433"/>
      <c r="G127" s="436"/>
      <c r="H127" s="439"/>
      <c r="I127" s="442"/>
      <c r="J127" s="445"/>
      <c r="K127" s="448"/>
      <c r="L127" s="415"/>
      <c r="M127" s="415"/>
      <c r="N127" s="179" t="s">
        <v>356</v>
      </c>
      <c r="O127" s="433"/>
      <c r="P127" s="172">
        <v>8400</v>
      </c>
      <c r="Q127" s="173" t="s">
        <v>365</v>
      </c>
      <c r="R127" s="174"/>
      <c r="S127" s="172"/>
      <c r="T127" s="172"/>
      <c r="U127" s="439"/>
      <c r="V127" s="468"/>
      <c r="W127" s="469"/>
      <c r="X127" s="97">
        <v>180</v>
      </c>
    </row>
    <row r="128" spans="1:24" s="97" customFormat="1" x14ac:dyDescent="0.25">
      <c r="A128" s="431"/>
      <c r="B128" s="415"/>
      <c r="C128" s="415"/>
      <c r="D128" s="415"/>
      <c r="E128" s="415"/>
      <c r="F128" s="433"/>
      <c r="G128" s="436"/>
      <c r="H128" s="439"/>
      <c r="I128" s="442"/>
      <c r="J128" s="445"/>
      <c r="K128" s="448"/>
      <c r="L128" s="415"/>
      <c r="M128" s="415"/>
      <c r="N128" s="179" t="s">
        <v>366</v>
      </c>
      <c r="O128" s="433"/>
      <c r="P128" s="172">
        <v>6335</v>
      </c>
      <c r="Q128" s="173" t="s">
        <v>367</v>
      </c>
      <c r="R128" s="174"/>
      <c r="S128" s="172"/>
      <c r="T128" s="172"/>
      <c r="U128" s="439"/>
      <c r="V128" s="468"/>
      <c r="W128" s="469"/>
      <c r="X128" s="97">
        <v>180</v>
      </c>
    </row>
    <row r="129" spans="1:24" s="97" customFormat="1" x14ac:dyDescent="0.25">
      <c r="A129" s="431"/>
      <c r="B129" s="415"/>
      <c r="C129" s="415"/>
      <c r="D129" s="415"/>
      <c r="E129" s="415"/>
      <c r="F129" s="433"/>
      <c r="G129" s="436"/>
      <c r="H129" s="439"/>
      <c r="I129" s="442"/>
      <c r="J129" s="445"/>
      <c r="K129" s="448"/>
      <c r="L129" s="415"/>
      <c r="M129" s="415"/>
      <c r="N129" s="179" t="s">
        <v>366</v>
      </c>
      <c r="O129" s="433"/>
      <c r="P129" s="172">
        <v>47586</v>
      </c>
      <c r="Q129" s="173" t="s">
        <v>367</v>
      </c>
      <c r="R129" s="174"/>
      <c r="S129" s="172"/>
      <c r="T129" s="172"/>
      <c r="U129" s="439"/>
      <c r="V129" s="468"/>
      <c r="W129" s="469"/>
      <c r="X129" s="97">
        <v>180</v>
      </c>
    </row>
    <row r="130" spans="1:24" s="97" customFormat="1" x14ac:dyDescent="0.25">
      <c r="A130" s="431"/>
      <c r="B130" s="415"/>
      <c r="C130" s="415"/>
      <c r="D130" s="415"/>
      <c r="E130" s="415"/>
      <c r="F130" s="433"/>
      <c r="G130" s="436"/>
      <c r="H130" s="439"/>
      <c r="I130" s="442"/>
      <c r="J130" s="445"/>
      <c r="K130" s="448"/>
      <c r="L130" s="415"/>
      <c r="M130" s="415"/>
      <c r="N130" s="179" t="s">
        <v>366</v>
      </c>
      <c r="O130" s="433"/>
      <c r="P130" s="172">
        <v>5190</v>
      </c>
      <c r="Q130" s="173" t="s">
        <v>367</v>
      </c>
      <c r="R130" s="174"/>
      <c r="S130" s="172"/>
      <c r="T130" s="172"/>
      <c r="U130" s="439"/>
      <c r="V130" s="468"/>
      <c r="W130" s="469"/>
      <c r="X130" s="97">
        <v>180</v>
      </c>
    </row>
    <row r="131" spans="1:24" s="97" customFormat="1" x14ac:dyDescent="0.25">
      <c r="A131" s="431"/>
      <c r="B131" s="415"/>
      <c r="C131" s="415"/>
      <c r="D131" s="415"/>
      <c r="E131" s="415"/>
      <c r="F131" s="433"/>
      <c r="G131" s="436"/>
      <c r="H131" s="439"/>
      <c r="I131" s="442"/>
      <c r="J131" s="445"/>
      <c r="K131" s="448"/>
      <c r="L131" s="415"/>
      <c r="M131" s="415"/>
      <c r="N131" s="179" t="s">
        <v>366</v>
      </c>
      <c r="O131" s="433"/>
      <c r="P131" s="172">
        <v>1750</v>
      </c>
      <c r="Q131" s="173" t="s">
        <v>367</v>
      </c>
      <c r="R131" s="174"/>
      <c r="S131" s="172"/>
      <c r="T131" s="172"/>
      <c r="U131" s="439"/>
      <c r="V131" s="468"/>
      <c r="W131" s="469"/>
      <c r="X131" s="97">
        <v>180</v>
      </c>
    </row>
    <row r="132" spans="1:24" s="97" customFormat="1" x14ac:dyDescent="0.25">
      <c r="A132" s="431"/>
      <c r="B132" s="415"/>
      <c r="C132" s="415"/>
      <c r="D132" s="415"/>
      <c r="E132" s="415"/>
      <c r="F132" s="433"/>
      <c r="G132" s="436"/>
      <c r="H132" s="439"/>
      <c r="I132" s="442"/>
      <c r="J132" s="445"/>
      <c r="K132" s="448"/>
      <c r="L132" s="415"/>
      <c r="M132" s="415"/>
      <c r="N132" s="179" t="s">
        <v>366</v>
      </c>
      <c r="O132" s="433"/>
      <c r="P132" s="172">
        <v>4065.6</v>
      </c>
      <c r="Q132" s="173" t="s">
        <v>367</v>
      </c>
      <c r="R132" s="174"/>
      <c r="S132" s="172"/>
      <c r="T132" s="172"/>
      <c r="U132" s="439"/>
      <c r="V132" s="468"/>
      <c r="W132" s="469"/>
      <c r="X132" s="97">
        <v>180</v>
      </c>
    </row>
    <row r="133" spans="1:24" s="97" customFormat="1" x14ac:dyDescent="0.25">
      <c r="A133" s="431"/>
      <c r="B133" s="415"/>
      <c r="C133" s="415"/>
      <c r="D133" s="415"/>
      <c r="E133" s="415"/>
      <c r="F133" s="433"/>
      <c r="G133" s="436"/>
      <c r="H133" s="439"/>
      <c r="I133" s="442"/>
      <c r="J133" s="445"/>
      <c r="K133" s="448"/>
      <c r="L133" s="415"/>
      <c r="M133" s="415"/>
      <c r="N133" s="179" t="s">
        <v>366</v>
      </c>
      <c r="O133" s="433"/>
      <c r="P133" s="172">
        <v>1016.4</v>
      </c>
      <c r="Q133" s="173" t="s">
        <v>367</v>
      </c>
      <c r="R133" s="174"/>
      <c r="S133" s="172"/>
      <c r="T133" s="172"/>
      <c r="U133" s="439"/>
      <c r="V133" s="468"/>
      <c r="W133" s="469"/>
      <c r="X133" s="97">
        <v>180</v>
      </c>
    </row>
    <row r="134" spans="1:24" s="97" customFormat="1" x14ac:dyDescent="0.25">
      <c r="A134" s="431"/>
      <c r="B134" s="415"/>
      <c r="C134" s="415"/>
      <c r="D134" s="415"/>
      <c r="E134" s="415"/>
      <c r="F134" s="433"/>
      <c r="G134" s="436"/>
      <c r="H134" s="439"/>
      <c r="I134" s="442"/>
      <c r="J134" s="445"/>
      <c r="K134" s="448"/>
      <c r="L134" s="415"/>
      <c r="M134" s="415"/>
      <c r="N134" s="179" t="s">
        <v>366</v>
      </c>
      <c r="O134" s="433"/>
      <c r="P134" s="172">
        <v>8471.0300000000007</v>
      </c>
      <c r="Q134" s="173" t="s">
        <v>367</v>
      </c>
      <c r="R134" s="174"/>
      <c r="S134" s="172"/>
      <c r="T134" s="172"/>
      <c r="U134" s="439"/>
      <c r="V134" s="468"/>
      <c r="W134" s="469"/>
      <c r="X134" s="97">
        <v>180</v>
      </c>
    </row>
    <row r="135" spans="1:24" s="97" customFormat="1" x14ac:dyDescent="0.25">
      <c r="A135" s="430"/>
      <c r="B135" s="416"/>
      <c r="C135" s="416"/>
      <c r="D135" s="416"/>
      <c r="E135" s="416"/>
      <c r="F135" s="434"/>
      <c r="G135" s="437"/>
      <c r="H135" s="440"/>
      <c r="I135" s="443"/>
      <c r="J135" s="446"/>
      <c r="K135" s="449"/>
      <c r="L135" s="416"/>
      <c r="M135" s="416"/>
      <c r="N135" s="180" t="s">
        <v>366</v>
      </c>
      <c r="O135" s="434"/>
      <c r="P135" s="175">
        <v>10353.370000000001</v>
      </c>
      <c r="Q135" s="176" t="s">
        <v>367</v>
      </c>
      <c r="R135" s="177"/>
      <c r="S135" s="175"/>
      <c r="T135" s="175"/>
      <c r="U135" s="440"/>
      <c r="V135" s="451"/>
      <c r="W135" s="453"/>
      <c r="X135" s="97">
        <v>180</v>
      </c>
    </row>
    <row r="136" spans="1:24" s="85" customFormat="1" ht="56.25" x14ac:dyDescent="0.25">
      <c r="A136" s="193">
        <v>25</v>
      </c>
      <c r="B136" s="194" t="s">
        <v>56</v>
      </c>
      <c r="C136" s="194"/>
      <c r="D136" s="194"/>
      <c r="E136" s="194" t="s">
        <v>409</v>
      </c>
      <c r="F136" s="201" t="s">
        <v>359</v>
      </c>
      <c r="G136" s="195" t="s">
        <v>410</v>
      </c>
      <c r="H136" s="196">
        <v>8000</v>
      </c>
      <c r="I136" s="197">
        <f>IF(X136 = 182, H136 + SUM(S136:S136) - SUM(T136:T136) - SUM(P136:P136) - V136,0)</f>
        <v>0</v>
      </c>
      <c r="J136" s="198">
        <v>2353018870</v>
      </c>
      <c r="K136" s="199" t="s">
        <v>336</v>
      </c>
      <c r="L136" s="194"/>
      <c r="M136" s="194" t="s">
        <v>411</v>
      </c>
      <c r="N136" s="201" t="s">
        <v>368</v>
      </c>
      <c r="O136" s="201" t="s">
        <v>186</v>
      </c>
      <c r="P136" s="196">
        <v>8000</v>
      </c>
      <c r="Q136" s="195" t="s">
        <v>404</v>
      </c>
      <c r="R136" s="194"/>
      <c r="S136" s="196"/>
      <c r="T136" s="196"/>
      <c r="U136" s="196"/>
      <c r="V136" s="200"/>
      <c r="W136" s="189"/>
      <c r="X136" s="85">
        <v>182</v>
      </c>
    </row>
    <row r="137" spans="1:24" s="85" customFormat="1" ht="54" customHeight="1" x14ac:dyDescent="0.25">
      <c r="A137" s="487">
        <v>26</v>
      </c>
      <c r="B137" s="470" t="s">
        <v>56</v>
      </c>
      <c r="C137" s="470"/>
      <c r="D137" s="470"/>
      <c r="E137" s="470" t="s">
        <v>422</v>
      </c>
      <c r="F137" s="472" t="s">
        <v>345</v>
      </c>
      <c r="G137" s="474" t="s">
        <v>286</v>
      </c>
      <c r="H137" s="476">
        <v>133033.34</v>
      </c>
      <c r="I137" s="478">
        <f>IF(X137 = 183, H137 + SUM(S137:S138) - SUM(T137:T138) - SUM(P137:P138) - V137,0)</f>
        <v>0</v>
      </c>
      <c r="J137" s="480">
        <v>7715995942</v>
      </c>
      <c r="K137" s="482" t="s">
        <v>423</v>
      </c>
      <c r="L137" s="470"/>
      <c r="M137" s="470" t="s">
        <v>425</v>
      </c>
      <c r="N137" s="203" t="s">
        <v>365</v>
      </c>
      <c r="O137" s="472" t="s">
        <v>426</v>
      </c>
      <c r="P137" s="204">
        <v>3330.36</v>
      </c>
      <c r="Q137" s="205" t="s">
        <v>424</v>
      </c>
      <c r="R137" s="206"/>
      <c r="S137" s="204"/>
      <c r="T137" s="204"/>
      <c r="U137" s="476"/>
      <c r="V137" s="489"/>
      <c r="W137" s="457"/>
      <c r="X137" s="85">
        <v>183</v>
      </c>
    </row>
    <row r="138" spans="1:24" s="97" customFormat="1" x14ac:dyDescent="0.25">
      <c r="A138" s="488"/>
      <c r="B138" s="471"/>
      <c r="C138" s="471"/>
      <c r="D138" s="471"/>
      <c r="E138" s="471"/>
      <c r="F138" s="473"/>
      <c r="G138" s="475"/>
      <c r="H138" s="477"/>
      <c r="I138" s="479"/>
      <c r="J138" s="481"/>
      <c r="K138" s="483"/>
      <c r="L138" s="471"/>
      <c r="M138" s="471"/>
      <c r="N138" s="207" t="s">
        <v>352</v>
      </c>
      <c r="O138" s="473"/>
      <c r="P138" s="208">
        <v>129702.98</v>
      </c>
      <c r="Q138" s="209" t="s">
        <v>402</v>
      </c>
      <c r="R138" s="210"/>
      <c r="S138" s="208"/>
      <c r="T138" s="208"/>
      <c r="U138" s="477"/>
      <c r="V138" s="490"/>
      <c r="W138" s="459"/>
      <c r="X138" s="97">
        <v>183</v>
      </c>
    </row>
    <row r="139" spans="1:24" s="85" customFormat="1" ht="72" customHeight="1" x14ac:dyDescent="0.25">
      <c r="A139" s="487">
        <v>27</v>
      </c>
      <c r="B139" s="470" t="s">
        <v>56</v>
      </c>
      <c r="C139" s="470"/>
      <c r="D139" s="470"/>
      <c r="E139" s="470" t="s">
        <v>435</v>
      </c>
      <c r="F139" s="472" t="s">
        <v>368</v>
      </c>
      <c r="G139" s="474" t="s">
        <v>436</v>
      </c>
      <c r="H139" s="476">
        <v>168339</v>
      </c>
      <c r="I139" s="478">
        <f>IF(X139 = 184, H139 + SUM(S139:S141) - SUM(T139:T141) - SUM(P139:P141) - V139,0)</f>
        <v>-3.4674485505092889E-12</v>
      </c>
      <c r="J139" s="480">
        <v>2353020735</v>
      </c>
      <c r="K139" s="482" t="s">
        <v>363</v>
      </c>
      <c r="L139" s="470"/>
      <c r="M139" s="470" t="s">
        <v>437</v>
      </c>
      <c r="N139" s="203" t="s">
        <v>439</v>
      </c>
      <c r="O139" s="472" t="s">
        <v>186</v>
      </c>
      <c r="P139" s="204">
        <v>14843.91</v>
      </c>
      <c r="Q139" s="205" t="s">
        <v>438</v>
      </c>
      <c r="R139" s="206"/>
      <c r="S139" s="204"/>
      <c r="T139" s="204"/>
      <c r="U139" s="476" t="s">
        <v>440</v>
      </c>
      <c r="V139" s="489">
        <v>459.09</v>
      </c>
      <c r="W139" s="457"/>
      <c r="X139" s="85">
        <v>184</v>
      </c>
    </row>
    <row r="140" spans="1:24" s="97" customFormat="1" x14ac:dyDescent="0.25">
      <c r="A140" s="491"/>
      <c r="B140" s="486"/>
      <c r="C140" s="486"/>
      <c r="D140" s="486"/>
      <c r="E140" s="486"/>
      <c r="F140" s="492"/>
      <c r="G140" s="495"/>
      <c r="H140" s="493"/>
      <c r="I140" s="496"/>
      <c r="J140" s="484"/>
      <c r="K140" s="485"/>
      <c r="L140" s="486"/>
      <c r="M140" s="486"/>
      <c r="N140" s="211" t="s">
        <v>439</v>
      </c>
      <c r="O140" s="492"/>
      <c r="P140" s="212">
        <v>121278</v>
      </c>
      <c r="Q140" s="213" t="s">
        <v>438</v>
      </c>
      <c r="R140" s="214"/>
      <c r="S140" s="212"/>
      <c r="T140" s="212"/>
      <c r="U140" s="493"/>
      <c r="V140" s="494"/>
      <c r="W140" s="458"/>
      <c r="X140" s="97">
        <v>184</v>
      </c>
    </row>
    <row r="141" spans="1:24" s="97" customFormat="1" x14ac:dyDescent="0.25">
      <c r="A141" s="488"/>
      <c r="B141" s="471"/>
      <c r="C141" s="471"/>
      <c r="D141" s="471"/>
      <c r="E141" s="471"/>
      <c r="F141" s="473"/>
      <c r="G141" s="475"/>
      <c r="H141" s="477"/>
      <c r="I141" s="479"/>
      <c r="J141" s="481"/>
      <c r="K141" s="483"/>
      <c r="L141" s="471"/>
      <c r="M141" s="471"/>
      <c r="N141" s="207" t="s">
        <v>439</v>
      </c>
      <c r="O141" s="473"/>
      <c r="P141" s="208">
        <v>31758</v>
      </c>
      <c r="Q141" s="209" t="s">
        <v>438</v>
      </c>
      <c r="R141" s="210"/>
      <c r="S141" s="208"/>
      <c r="T141" s="208"/>
      <c r="U141" s="477"/>
      <c r="V141" s="490"/>
      <c r="W141" s="459"/>
      <c r="X141" s="97">
        <v>184</v>
      </c>
    </row>
    <row r="142" spans="1:24" s="85" customFormat="1" ht="56.25" x14ac:dyDescent="0.25">
      <c r="A142" s="222">
        <v>28</v>
      </c>
      <c r="B142" s="223" t="s">
        <v>56</v>
      </c>
      <c r="C142" s="223"/>
      <c r="D142" s="223"/>
      <c r="E142" s="223" t="s">
        <v>472</v>
      </c>
      <c r="F142" s="252" t="s">
        <v>470</v>
      </c>
      <c r="G142" s="224" t="s">
        <v>473</v>
      </c>
      <c r="H142" s="225">
        <v>100000</v>
      </c>
      <c r="I142" s="226">
        <f>IF(X142 = 185, H142 + SUM(S142:S142) - SUM(T142:T142) - SUM(P142:P142) - V142,0)</f>
        <v>0</v>
      </c>
      <c r="J142" s="227">
        <v>235000239811</v>
      </c>
      <c r="K142" s="228" t="s">
        <v>235</v>
      </c>
      <c r="L142" s="223"/>
      <c r="M142" s="223" t="s">
        <v>475</v>
      </c>
      <c r="N142" s="252" t="s">
        <v>474</v>
      </c>
      <c r="O142" s="252" t="s">
        <v>426</v>
      </c>
      <c r="P142" s="225">
        <v>100000</v>
      </c>
      <c r="Q142" s="224">
        <v>45847</v>
      </c>
      <c r="R142" s="223"/>
      <c r="S142" s="225"/>
      <c r="T142" s="225"/>
      <c r="U142" s="225"/>
      <c r="V142" s="229"/>
      <c r="W142" s="219"/>
      <c r="X142" s="85">
        <v>185</v>
      </c>
    </row>
    <row r="143" spans="1:24" x14ac:dyDescent="0.25">
      <c r="X143" s="2">
        <v>186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343">
    <mergeCell ref="I45:I50"/>
    <mergeCell ref="M9:M24"/>
    <mergeCell ref="D9:D24"/>
    <mergeCell ref="E9:E24"/>
    <mergeCell ref="F9:F24"/>
    <mergeCell ref="G9:G24"/>
    <mergeCell ref="H9:H24"/>
    <mergeCell ref="I9:I24"/>
    <mergeCell ref="J9:J24"/>
    <mergeCell ref="K9:K24"/>
    <mergeCell ref="L9:L24"/>
    <mergeCell ref="A25:A30"/>
    <mergeCell ref="O25:O30"/>
    <mergeCell ref="U25:U30"/>
    <mergeCell ref="B25:B30"/>
    <mergeCell ref="V25:V30"/>
    <mergeCell ref="C25:C30"/>
    <mergeCell ref="W25:W30"/>
    <mergeCell ref="D25:D30"/>
    <mergeCell ref="E25:E30"/>
    <mergeCell ref="F25:F30"/>
    <mergeCell ref="G25:G30"/>
    <mergeCell ref="H25:H30"/>
    <mergeCell ref="I25:I30"/>
    <mergeCell ref="J25:J30"/>
    <mergeCell ref="K25:K30"/>
    <mergeCell ref="L25:L30"/>
    <mergeCell ref="M25:M30"/>
    <mergeCell ref="J45:J50"/>
    <mergeCell ref="K45:K50"/>
    <mergeCell ref="L45:L50"/>
    <mergeCell ref="V57:V62"/>
    <mergeCell ref="C57:C62"/>
    <mergeCell ref="W57:W62"/>
    <mergeCell ref="D57:D62"/>
    <mergeCell ref="E57:E62"/>
    <mergeCell ref="F57:F62"/>
    <mergeCell ref="G57:G62"/>
    <mergeCell ref="H57:H62"/>
    <mergeCell ref="I57:I62"/>
    <mergeCell ref="J57:J62"/>
    <mergeCell ref="K57:K62"/>
    <mergeCell ref="L57:L62"/>
    <mergeCell ref="M57:M62"/>
    <mergeCell ref="I51:I56"/>
    <mergeCell ref="J51:J56"/>
    <mergeCell ref="K51:K56"/>
    <mergeCell ref="L51:L56"/>
    <mergeCell ref="M51:M56"/>
    <mergeCell ref="M45:M50"/>
    <mergeCell ref="D45:D50"/>
    <mergeCell ref="E45:E50"/>
    <mergeCell ref="V63:V68"/>
    <mergeCell ref="C63:C68"/>
    <mergeCell ref="W63:W68"/>
    <mergeCell ref="D63:D68"/>
    <mergeCell ref="E63:E68"/>
    <mergeCell ref="F63:F68"/>
    <mergeCell ref="G63:G68"/>
    <mergeCell ref="H63:H68"/>
    <mergeCell ref="I63:I68"/>
    <mergeCell ref="J63:J68"/>
    <mergeCell ref="K63:K68"/>
    <mergeCell ref="L63:L68"/>
    <mergeCell ref="M63:M68"/>
    <mergeCell ref="O63:O68"/>
    <mergeCell ref="U63:U68"/>
    <mergeCell ref="B63:B68"/>
    <mergeCell ref="A57:A62"/>
    <mergeCell ref="O57:O62"/>
    <mergeCell ref="U57:U62"/>
    <mergeCell ref="B57:B62"/>
    <mergeCell ref="O116:O117"/>
    <mergeCell ref="U116:U117"/>
    <mergeCell ref="B116:B117"/>
    <mergeCell ref="A112:A115"/>
    <mergeCell ref="O112:O115"/>
    <mergeCell ref="U112:U115"/>
    <mergeCell ref="B112:B115"/>
    <mergeCell ref="A105:A106"/>
    <mergeCell ref="O105:O106"/>
    <mergeCell ref="U105:U106"/>
    <mergeCell ref="B105:B106"/>
    <mergeCell ref="A69:A71"/>
    <mergeCell ref="V116:V117"/>
    <mergeCell ref="C116:C117"/>
    <mergeCell ref="W116:W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A116:A117"/>
    <mergeCell ref="A39:A44"/>
    <mergeCell ref="B39:B44"/>
    <mergeCell ref="C39:C44"/>
    <mergeCell ref="D39:D44"/>
    <mergeCell ref="E39:E44"/>
    <mergeCell ref="F39:F44"/>
    <mergeCell ref="G39:G44"/>
    <mergeCell ref="H39:H44"/>
    <mergeCell ref="A51:A56"/>
    <mergeCell ref="B51:B56"/>
    <mergeCell ref="A63:A68"/>
    <mergeCell ref="F45:F50"/>
    <mergeCell ref="G45:G50"/>
    <mergeCell ref="H45:H50"/>
    <mergeCell ref="V112:V115"/>
    <mergeCell ref="C112:C115"/>
    <mergeCell ref="W112:W115"/>
    <mergeCell ref="D112:D115"/>
    <mergeCell ref="E112:E115"/>
    <mergeCell ref="F112:F115"/>
    <mergeCell ref="G112:G115"/>
    <mergeCell ref="H112:H115"/>
    <mergeCell ref="I112:I115"/>
    <mergeCell ref="J112:J115"/>
    <mergeCell ref="K112:K115"/>
    <mergeCell ref="L112:L115"/>
    <mergeCell ref="M112:M115"/>
    <mergeCell ref="A37:A38"/>
    <mergeCell ref="O37:O38"/>
    <mergeCell ref="U37:U38"/>
    <mergeCell ref="B37:B38"/>
    <mergeCell ref="V37:V38"/>
    <mergeCell ref="C37:C38"/>
    <mergeCell ref="W37:W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A9:A24"/>
    <mergeCell ref="O9:O24"/>
    <mergeCell ref="U9:U24"/>
    <mergeCell ref="B9:B24"/>
    <mergeCell ref="V9:V24"/>
    <mergeCell ref="C9:C24"/>
    <mergeCell ref="W9:W24"/>
    <mergeCell ref="A96:A101"/>
    <mergeCell ref="O96:O101"/>
    <mergeCell ref="U96:U101"/>
    <mergeCell ref="B96:B101"/>
    <mergeCell ref="V96:V101"/>
    <mergeCell ref="C96:C101"/>
    <mergeCell ref="W96:W101"/>
    <mergeCell ref="O39:O44"/>
    <mergeCell ref="U39:U44"/>
    <mergeCell ref="V39:V44"/>
    <mergeCell ref="W39:W44"/>
    <mergeCell ref="A31:A36"/>
    <mergeCell ref="O31:O36"/>
    <mergeCell ref="U31:U36"/>
    <mergeCell ref="B31:B36"/>
    <mergeCell ref="V31:V36"/>
    <mergeCell ref="C31:C36"/>
    <mergeCell ref="J139:J141"/>
    <mergeCell ref="K139:K141"/>
    <mergeCell ref="L139:L141"/>
    <mergeCell ref="A137:A138"/>
    <mergeCell ref="O137:O138"/>
    <mergeCell ref="U137:U138"/>
    <mergeCell ref="B137:B138"/>
    <mergeCell ref="V137:V138"/>
    <mergeCell ref="C137:C138"/>
    <mergeCell ref="A139:A141"/>
    <mergeCell ref="O139:O141"/>
    <mergeCell ref="U139:U141"/>
    <mergeCell ref="B139:B141"/>
    <mergeCell ref="V139:V141"/>
    <mergeCell ref="C139:C141"/>
    <mergeCell ref="M139:M141"/>
    <mergeCell ref="D139:D141"/>
    <mergeCell ref="E139:E141"/>
    <mergeCell ref="F139:F141"/>
    <mergeCell ref="G139:G141"/>
    <mergeCell ref="H139:H141"/>
    <mergeCell ref="I139:I141"/>
    <mergeCell ref="W137:W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W139:W141"/>
    <mergeCell ref="W105:W106"/>
    <mergeCell ref="D105:D106"/>
    <mergeCell ref="E105:E106"/>
    <mergeCell ref="F105:F106"/>
    <mergeCell ref="G105:G106"/>
    <mergeCell ref="H105:H106"/>
    <mergeCell ref="A45:A50"/>
    <mergeCell ref="O45:O50"/>
    <mergeCell ref="U45:U50"/>
    <mergeCell ref="B45:B50"/>
    <mergeCell ref="V45:V50"/>
    <mergeCell ref="C45:C50"/>
    <mergeCell ref="W45:W50"/>
    <mergeCell ref="O120:O135"/>
    <mergeCell ref="U120:U135"/>
    <mergeCell ref="B120:B135"/>
    <mergeCell ref="V120:V135"/>
    <mergeCell ref="C120:C135"/>
    <mergeCell ref="W120:W135"/>
    <mergeCell ref="D120:D135"/>
    <mergeCell ref="E120:E135"/>
    <mergeCell ref="O118:O119"/>
    <mergeCell ref="U118:U119"/>
    <mergeCell ref="W31:W36"/>
    <mergeCell ref="O51:O56"/>
    <mergeCell ref="U51:U56"/>
    <mergeCell ref="V51:V56"/>
    <mergeCell ref="C51:C56"/>
    <mergeCell ref="W51:W56"/>
    <mergeCell ref="D51:D56"/>
    <mergeCell ref="E51:E56"/>
    <mergeCell ref="F51:F56"/>
    <mergeCell ref="G51:G56"/>
    <mergeCell ref="H51:H56"/>
    <mergeCell ref="F31:F36"/>
    <mergeCell ref="G31:G36"/>
    <mergeCell ref="H31:H36"/>
    <mergeCell ref="I31:I36"/>
    <mergeCell ref="J31:J36"/>
    <mergeCell ref="K31:K36"/>
    <mergeCell ref="L31:L36"/>
    <mergeCell ref="M31:M36"/>
    <mergeCell ref="I39:I44"/>
    <mergeCell ref="J39:J44"/>
    <mergeCell ref="K39:K44"/>
    <mergeCell ref="L39:L44"/>
    <mergeCell ref="M39:M44"/>
    <mergeCell ref="V118:V119"/>
    <mergeCell ref="C118:C119"/>
    <mergeCell ref="W118:W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A118:A119"/>
    <mergeCell ref="A120:A135"/>
    <mergeCell ref="F120:F135"/>
    <mergeCell ref="G120:G135"/>
    <mergeCell ref="H120:H135"/>
    <mergeCell ref="I120:I135"/>
    <mergeCell ref="J120:J135"/>
    <mergeCell ref="K120:K135"/>
    <mergeCell ref="L120:L135"/>
    <mergeCell ref="B118:B119"/>
    <mergeCell ref="M120:M135"/>
    <mergeCell ref="D31:D36"/>
    <mergeCell ref="E31:E36"/>
    <mergeCell ref="I105:I106"/>
    <mergeCell ref="J105:J106"/>
    <mergeCell ref="K105:K106"/>
    <mergeCell ref="L105:L106"/>
    <mergeCell ref="M105:M106"/>
    <mergeCell ref="W102:W103"/>
    <mergeCell ref="W72:W95"/>
    <mergeCell ref="M72:M95"/>
    <mergeCell ref="D72:D95"/>
    <mergeCell ref="E72:E95"/>
    <mergeCell ref="L102:L103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V105:V106"/>
    <mergeCell ref="C105:C106"/>
    <mergeCell ref="M102:M103"/>
    <mergeCell ref="S2:U2"/>
    <mergeCell ref="F2:G2"/>
    <mergeCell ref="N2:O2"/>
    <mergeCell ref="A102:A103"/>
    <mergeCell ref="O102:O103"/>
    <mergeCell ref="U102:U103"/>
    <mergeCell ref="B102:B103"/>
    <mergeCell ref="V102:V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A72:A95"/>
    <mergeCell ref="O72:O95"/>
    <mergeCell ref="U72:U95"/>
    <mergeCell ref="B72:B95"/>
    <mergeCell ref="V72:V95"/>
    <mergeCell ref="C72:C95"/>
    <mergeCell ref="U69:U71"/>
    <mergeCell ref="B69:B71"/>
    <mergeCell ref="V69:V71"/>
    <mergeCell ref="C69:C71"/>
    <mergeCell ref="F72:F95"/>
    <mergeCell ref="G72:G95"/>
    <mergeCell ref="H72:H95"/>
    <mergeCell ref="I72:I95"/>
    <mergeCell ref="J72:J95"/>
    <mergeCell ref="K72:K95"/>
    <mergeCell ref="L72:L95"/>
    <mergeCell ref="W69:W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O69:O71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5"/>
  <sheetViews>
    <sheetView showGridLines="0" view="pageBreakPreview" topLeftCell="F1" zoomScale="60" zoomScaleNormal="50" workbookViewId="0">
      <pane ySplit="8" topLeftCell="A9" activePane="bottomLeft" state="frozen"/>
      <selection pane="bottomLeft" activeCell="M13" sqref="M13:M14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403" t="s">
        <v>24</v>
      </c>
      <c r="F2" s="404"/>
      <c r="G2" s="80">
        <f>SUM(G9:G9999)</f>
        <v>2338410.3200000003</v>
      </c>
      <c r="L2" s="515" t="s">
        <v>137</v>
      </c>
      <c r="M2" s="516"/>
      <c r="N2" s="69">
        <f>SUM(N9:N9999)</f>
        <v>2054062.1800000002</v>
      </c>
      <c r="P2" s="68"/>
      <c r="Q2" s="325" t="s">
        <v>45</v>
      </c>
      <c r="R2" s="326"/>
      <c r="S2" s="327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517">
        <v>1</v>
      </c>
      <c r="B9" s="520"/>
      <c r="C9" s="520"/>
      <c r="D9" s="520" t="s">
        <v>148</v>
      </c>
      <c r="E9" s="532" t="s">
        <v>163</v>
      </c>
      <c r="F9" s="523" t="s">
        <v>149</v>
      </c>
      <c r="G9" s="526">
        <v>1434561.11</v>
      </c>
      <c r="H9" s="535">
        <f>IF(V9 = 6, G9 + SUM(Q9:Q12) - SUM(R9:R12) - SUM(N9:N12) - T9,0)</f>
        <v>284348.1399999999</v>
      </c>
      <c r="I9" s="538">
        <v>2312054894</v>
      </c>
      <c r="J9" s="520" t="s">
        <v>146</v>
      </c>
      <c r="K9" s="520" t="s">
        <v>195</v>
      </c>
      <c r="L9" s="160" t="s">
        <v>222</v>
      </c>
      <c r="M9" s="520" t="s">
        <v>151</v>
      </c>
      <c r="N9" s="154">
        <v>368073.78</v>
      </c>
      <c r="O9" s="160" t="s">
        <v>259</v>
      </c>
      <c r="P9" s="155"/>
      <c r="Q9" s="154"/>
      <c r="R9" s="154"/>
      <c r="S9" s="523"/>
      <c r="T9" s="526"/>
      <c r="U9" s="529"/>
      <c r="V9" s="85">
        <v>6</v>
      </c>
    </row>
    <row r="10" spans="1:22" s="97" customFormat="1" x14ac:dyDescent="0.25">
      <c r="A10" s="518"/>
      <c r="B10" s="521"/>
      <c r="C10" s="521"/>
      <c r="D10" s="521"/>
      <c r="E10" s="533"/>
      <c r="F10" s="524"/>
      <c r="G10" s="527"/>
      <c r="H10" s="536"/>
      <c r="I10" s="539"/>
      <c r="J10" s="521"/>
      <c r="K10" s="521"/>
      <c r="L10" s="161" t="s">
        <v>261</v>
      </c>
      <c r="M10" s="521"/>
      <c r="N10" s="156">
        <v>366192.79</v>
      </c>
      <c r="O10" s="161" t="s">
        <v>262</v>
      </c>
      <c r="P10" s="157"/>
      <c r="Q10" s="156"/>
      <c r="R10" s="156"/>
      <c r="S10" s="524"/>
      <c r="T10" s="527"/>
      <c r="U10" s="530"/>
      <c r="V10" s="97">
        <v>6</v>
      </c>
    </row>
    <row r="11" spans="1:22" s="97" customFormat="1" x14ac:dyDescent="0.25">
      <c r="A11" s="518"/>
      <c r="B11" s="521"/>
      <c r="C11" s="521"/>
      <c r="D11" s="521"/>
      <c r="E11" s="533"/>
      <c r="F11" s="524"/>
      <c r="G11" s="527"/>
      <c r="H11" s="536"/>
      <c r="I11" s="539"/>
      <c r="J11" s="521"/>
      <c r="K11" s="521"/>
      <c r="L11" s="161" t="s">
        <v>290</v>
      </c>
      <c r="M11" s="521"/>
      <c r="N11" s="156">
        <v>278282.53000000003</v>
      </c>
      <c r="O11" s="161" t="s">
        <v>306</v>
      </c>
      <c r="P11" s="157"/>
      <c r="Q11" s="156"/>
      <c r="R11" s="156"/>
      <c r="S11" s="524"/>
      <c r="T11" s="527"/>
      <c r="U11" s="530"/>
      <c r="V11" s="97">
        <v>6</v>
      </c>
    </row>
    <row r="12" spans="1:22" s="97" customFormat="1" x14ac:dyDescent="0.25">
      <c r="A12" s="519"/>
      <c r="B12" s="522"/>
      <c r="C12" s="522"/>
      <c r="D12" s="522"/>
      <c r="E12" s="534"/>
      <c r="F12" s="525"/>
      <c r="G12" s="528"/>
      <c r="H12" s="537"/>
      <c r="I12" s="540"/>
      <c r="J12" s="522"/>
      <c r="K12" s="522"/>
      <c r="L12" s="162" t="s">
        <v>356</v>
      </c>
      <c r="M12" s="522"/>
      <c r="N12" s="158">
        <v>137663.87</v>
      </c>
      <c r="O12" s="162" t="s">
        <v>361</v>
      </c>
      <c r="P12" s="159"/>
      <c r="Q12" s="158"/>
      <c r="R12" s="158"/>
      <c r="S12" s="525"/>
      <c r="T12" s="528"/>
      <c r="U12" s="531"/>
      <c r="V12" s="97">
        <v>6</v>
      </c>
    </row>
    <row r="13" spans="1:22" s="85" customFormat="1" ht="54" customHeight="1" x14ac:dyDescent="0.25">
      <c r="A13" s="513">
        <v>2</v>
      </c>
      <c r="B13" s="501"/>
      <c r="C13" s="501"/>
      <c r="D13" s="501" t="s">
        <v>344</v>
      </c>
      <c r="E13" s="503" t="s">
        <v>345</v>
      </c>
      <c r="F13" s="505" t="s">
        <v>346</v>
      </c>
      <c r="G13" s="507">
        <v>903849.21</v>
      </c>
      <c r="H13" s="509">
        <f>IF(V13 = 10, G13 + SUM(Q13:Q14) - SUM(R13:R14) - SUM(N13:N14) - T13,0)</f>
        <v>-1.1641532182693481E-10</v>
      </c>
      <c r="I13" s="511">
        <v>7715995942</v>
      </c>
      <c r="J13" s="501" t="s">
        <v>347</v>
      </c>
      <c r="K13" s="501" t="s">
        <v>348</v>
      </c>
      <c r="L13" s="220" t="s">
        <v>311</v>
      </c>
      <c r="M13" s="501" t="s">
        <v>350</v>
      </c>
      <c r="N13" s="215">
        <v>698021.06</v>
      </c>
      <c r="O13" s="220" t="s">
        <v>349</v>
      </c>
      <c r="P13" s="216"/>
      <c r="Q13" s="215"/>
      <c r="R13" s="215"/>
      <c r="S13" s="505"/>
      <c r="T13" s="507"/>
      <c r="U13" s="499"/>
      <c r="V13" s="85">
        <v>10</v>
      </c>
    </row>
    <row r="14" spans="1:22" s="97" customFormat="1" x14ac:dyDescent="0.25">
      <c r="A14" s="514"/>
      <c r="B14" s="502"/>
      <c r="C14" s="502"/>
      <c r="D14" s="502"/>
      <c r="E14" s="504"/>
      <c r="F14" s="506"/>
      <c r="G14" s="508"/>
      <c r="H14" s="510"/>
      <c r="I14" s="512"/>
      <c r="J14" s="502"/>
      <c r="K14" s="502"/>
      <c r="L14" s="221">
        <v>45800</v>
      </c>
      <c r="M14" s="502"/>
      <c r="N14" s="217">
        <v>205828.15</v>
      </c>
      <c r="O14" s="221" t="s">
        <v>367</v>
      </c>
      <c r="P14" s="218"/>
      <c r="Q14" s="217"/>
      <c r="R14" s="217"/>
      <c r="S14" s="506"/>
      <c r="T14" s="508"/>
      <c r="U14" s="500"/>
      <c r="V14" s="97">
        <v>10</v>
      </c>
    </row>
    <row r="15" spans="1:22" x14ac:dyDescent="0.25">
      <c r="V15" s="2">
        <v>11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Q2:S2"/>
    <mergeCell ref="E2:F2"/>
    <mergeCell ref="L2:M2"/>
    <mergeCell ref="A9:A12"/>
    <mergeCell ref="M9:M12"/>
    <mergeCell ref="S9:S12"/>
    <mergeCell ref="B9:B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topLeftCell="J1" zoomScale="50" zoomScaleNormal="50" workbookViewId="0">
      <pane ySplit="8" topLeftCell="A9" activePane="bottomLeft" state="frozen"/>
      <selection pane="bottomLeft" activeCell="W16" sqref="W16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03" t="s">
        <v>139</v>
      </c>
      <c r="F2" s="404"/>
      <c r="G2" s="82">
        <f>SUM(G9:G10002)</f>
        <v>2938320</v>
      </c>
      <c r="O2" s="403" t="s">
        <v>24</v>
      </c>
      <c r="P2" s="404"/>
      <c r="Q2" s="80">
        <f>SUM(Q9:Q10002)</f>
        <v>1500200.8</v>
      </c>
      <c r="T2" s="325" t="s">
        <v>137</v>
      </c>
      <c r="U2" s="327"/>
      <c r="V2" s="69">
        <f>SUM(V9:V10002)</f>
        <v>803026.48</v>
      </c>
      <c r="X2" s="68"/>
      <c r="Y2" s="325" t="s">
        <v>45</v>
      </c>
      <c r="Z2" s="326"/>
      <c r="AA2" s="327"/>
      <c r="AB2" s="70">
        <f>SUM(AB9:AB10002)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customHeight="1" x14ac:dyDescent="0.25">
      <c r="A9" s="351">
        <v>1</v>
      </c>
      <c r="B9" s="360"/>
      <c r="C9" s="360" t="s">
        <v>201</v>
      </c>
      <c r="D9" s="360" t="s">
        <v>205</v>
      </c>
      <c r="E9" s="360" t="s">
        <v>197</v>
      </c>
      <c r="F9" s="360" t="s">
        <v>198</v>
      </c>
      <c r="G9" s="357">
        <v>740880</v>
      </c>
      <c r="H9" s="369">
        <f>IF(AD9 = 1, G9 - Q9,0)</f>
        <v>66679.199999999953</v>
      </c>
      <c r="I9" s="357">
        <v>2</v>
      </c>
      <c r="J9" s="357">
        <v>0</v>
      </c>
      <c r="K9" s="360" t="s">
        <v>200</v>
      </c>
      <c r="L9" s="360" t="s">
        <v>204</v>
      </c>
      <c r="M9" s="360" t="s">
        <v>199</v>
      </c>
      <c r="N9" s="354">
        <v>45649</v>
      </c>
      <c r="O9" s="360" t="s">
        <v>156</v>
      </c>
      <c r="P9" s="360" t="s">
        <v>157</v>
      </c>
      <c r="Q9" s="357">
        <v>674200.8</v>
      </c>
      <c r="R9" s="369">
        <f>IF(AD9 = 1, Q9 + SUM(Y9:Y14) - SUM(Z9:Z14) - SUM(V9:V14) - AB9,0)</f>
        <v>0</v>
      </c>
      <c r="S9" s="360" t="s">
        <v>196</v>
      </c>
      <c r="T9" s="247" t="s">
        <v>210</v>
      </c>
      <c r="U9" s="366" t="s">
        <v>158</v>
      </c>
      <c r="V9" s="233">
        <v>142178.4</v>
      </c>
      <c r="W9" s="247" t="s">
        <v>292</v>
      </c>
      <c r="X9" s="232"/>
      <c r="Y9" s="233"/>
      <c r="Z9" s="233"/>
      <c r="AA9" s="366"/>
      <c r="AB9" s="357"/>
      <c r="AC9" s="360"/>
      <c r="AD9" s="85">
        <v>1</v>
      </c>
    </row>
    <row r="10" spans="1:30" s="97" customFormat="1" x14ac:dyDescent="0.25">
      <c r="A10" s="352"/>
      <c r="B10" s="361"/>
      <c r="C10" s="361"/>
      <c r="D10" s="361"/>
      <c r="E10" s="361"/>
      <c r="F10" s="361"/>
      <c r="G10" s="358"/>
      <c r="H10" s="370"/>
      <c r="I10" s="358"/>
      <c r="J10" s="358"/>
      <c r="K10" s="361"/>
      <c r="L10" s="361"/>
      <c r="M10" s="361"/>
      <c r="N10" s="355"/>
      <c r="O10" s="361"/>
      <c r="P10" s="361"/>
      <c r="Q10" s="358"/>
      <c r="R10" s="370"/>
      <c r="S10" s="361"/>
      <c r="T10" s="248" t="s">
        <v>291</v>
      </c>
      <c r="U10" s="367"/>
      <c r="V10" s="237">
        <v>128419.2</v>
      </c>
      <c r="W10" s="248" t="s">
        <v>262</v>
      </c>
      <c r="X10" s="236"/>
      <c r="Y10" s="237"/>
      <c r="Z10" s="237"/>
      <c r="AA10" s="367"/>
      <c r="AB10" s="358"/>
      <c r="AC10" s="361"/>
      <c r="AD10" s="97">
        <v>1</v>
      </c>
    </row>
    <row r="11" spans="1:30" s="97" customFormat="1" x14ac:dyDescent="0.25">
      <c r="A11" s="352"/>
      <c r="B11" s="361"/>
      <c r="C11" s="361"/>
      <c r="D11" s="361"/>
      <c r="E11" s="361"/>
      <c r="F11" s="361"/>
      <c r="G11" s="358"/>
      <c r="H11" s="370"/>
      <c r="I11" s="358"/>
      <c r="J11" s="358"/>
      <c r="K11" s="361"/>
      <c r="L11" s="361"/>
      <c r="M11" s="361"/>
      <c r="N11" s="355"/>
      <c r="O11" s="361"/>
      <c r="P11" s="361"/>
      <c r="Q11" s="358"/>
      <c r="R11" s="370"/>
      <c r="S11" s="361"/>
      <c r="T11" s="248" t="s">
        <v>351</v>
      </c>
      <c r="U11" s="367"/>
      <c r="V11" s="237">
        <v>142178.4</v>
      </c>
      <c r="W11" s="248" t="s">
        <v>311</v>
      </c>
      <c r="X11" s="236"/>
      <c r="Y11" s="237"/>
      <c r="Z11" s="237"/>
      <c r="AA11" s="367"/>
      <c r="AB11" s="358"/>
      <c r="AC11" s="361"/>
      <c r="AD11" s="97">
        <v>1</v>
      </c>
    </row>
    <row r="12" spans="1:30" s="97" customFormat="1" x14ac:dyDescent="0.25">
      <c r="A12" s="352"/>
      <c r="B12" s="361"/>
      <c r="C12" s="361"/>
      <c r="D12" s="361"/>
      <c r="E12" s="361"/>
      <c r="F12" s="361"/>
      <c r="G12" s="358"/>
      <c r="H12" s="370"/>
      <c r="I12" s="358"/>
      <c r="J12" s="358"/>
      <c r="K12" s="361"/>
      <c r="L12" s="361"/>
      <c r="M12" s="361"/>
      <c r="N12" s="355"/>
      <c r="O12" s="361"/>
      <c r="P12" s="361"/>
      <c r="Q12" s="358"/>
      <c r="R12" s="370"/>
      <c r="S12" s="361"/>
      <c r="T12" s="248" t="s">
        <v>352</v>
      </c>
      <c r="U12" s="367"/>
      <c r="V12" s="237">
        <v>137592</v>
      </c>
      <c r="W12" s="248" t="s">
        <v>353</v>
      </c>
      <c r="X12" s="236"/>
      <c r="Y12" s="237"/>
      <c r="Z12" s="237"/>
      <c r="AA12" s="367"/>
      <c r="AB12" s="358"/>
      <c r="AC12" s="361"/>
      <c r="AD12" s="97">
        <v>1</v>
      </c>
    </row>
    <row r="13" spans="1:30" s="97" customFormat="1" x14ac:dyDescent="0.25">
      <c r="A13" s="352"/>
      <c r="B13" s="361"/>
      <c r="C13" s="361"/>
      <c r="D13" s="361"/>
      <c r="E13" s="361"/>
      <c r="F13" s="361"/>
      <c r="G13" s="358"/>
      <c r="H13" s="370"/>
      <c r="I13" s="358"/>
      <c r="J13" s="358"/>
      <c r="K13" s="361"/>
      <c r="L13" s="361"/>
      <c r="M13" s="361"/>
      <c r="N13" s="355"/>
      <c r="O13" s="361"/>
      <c r="P13" s="361"/>
      <c r="Q13" s="358"/>
      <c r="R13" s="370"/>
      <c r="S13" s="361"/>
      <c r="T13" s="248" t="s">
        <v>402</v>
      </c>
      <c r="U13" s="367"/>
      <c r="V13" s="237">
        <v>123832.8</v>
      </c>
      <c r="W13" s="248" t="s">
        <v>407</v>
      </c>
      <c r="X13" s="236"/>
      <c r="Y13" s="237"/>
      <c r="Z13" s="237"/>
      <c r="AA13" s="367"/>
      <c r="AB13" s="358"/>
      <c r="AC13" s="361"/>
      <c r="AD13" s="97">
        <v>1</v>
      </c>
    </row>
    <row r="14" spans="1:30" s="97" customFormat="1" x14ac:dyDescent="0.25">
      <c r="A14" s="353"/>
      <c r="B14" s="362"/>
      <c r="C14" s="362"/>
      <c r="D14" s="362"/>
      <c r="E14" s="362"/>
      <c r="F14" s="362"/>
      <c r="G14" s="359"/>
      <c r="H14" s="371"/>
      <c r="I14" s="359"/>
      <c r="J14" s="359"/>
      <c r="K14" s="362"/>
      <c r="L14" s="362"/>
      <c r="M14" s="362"/>
      <c r="N14" s="356"/>
      <c r="O14" s="362"/>
      <c r="P14" s="362"/>
      <c r="Q14" s="359"/>
      <c r="R14" s="371"/>
      <c r="S14" s="362"/>
      <c r="T14" s="249"/>
      <c r="U14" s="368"/>
      <c r="V14" s="243"/>
      <c r="W14" s="249"/>
      <c r="X14" s="245"/>
      <c r="Y14" s="243"/>
      <c r="Z14" s="243"/>
      <c r="AA14" s="368"/>
      <c r="AB14" s="359"/>
      <c r="AC14" s="362"/>
      <c r="AD14" s="97">
        <v>1</v>
      </c>
    </row>
    <row r="15" spans="1:30" s="85" customFormat="1" ht="36" customHeight="1" x14ac:dyDescent="0.25">
      <c r="A15" s="351">
        <v>2</v>
      </c>
      <c r="B15" s="360"/>
      <c r="C15" s="360" t="s">
        <v>459</v>
      </c>
      <c r="D15" s="360" t="s">
        <v>205</v>
      </c>
      <c r="E15" s="360" t="s">
        <v>460</v>
      </c>
      <c r="F15" s="360" t="s">
        <v>198</v>
      </c>
      <c r="G15" s="357">
        <v>1098720</v>
      </c>
      <c r="H15" s="369">
        <f>IF(AD15 = 4, G15 - Q15,0)</f>
        <v>272720</v>
      </c>
      <c r="I15" s="357">
        <v>2</v>
      </c>
      <c r="J15" s="357">
        <v>0</v>
      </c>
      <c r="K15" s="360" t="s">
        <v>200</v>
      </c>
      <c r="L15" s="541" t="s">
        <v>456</v>
      </c>
      <c r="M15" s="360" t="s">
        <v>455</v>
      </c>
      <c r="N15" s="354">
        <v>45800</v>
      </c>
      <c r="O15" s="360" t="s">
        <v>457</v>
      </c>
      <c r="P15" s="360" t="s">
        <v>458</v>
      </c>
      <c r="Q15" s="357">
        <v>826000</v>
      </c>
      <c r="R15" s="369">
        <f>IF(AD15 = 4, Q15 + SUM(Y15:Y16) - SUM(Z15:Z16) - SUM(V15:V16) - AB15,0)</f>
        <v>697174.32000000007</v>
      </c>
      <c r="S15" s="360" t="s">
        <v>461</v>
      </c>
      <c r="T15" s="247" t="s">
        <v>404</v>
      </c>
      <c r="U15" s="366"/>
      <c r="V15" s="233">
        <v>15155.96</v>
      </c>
      <c r="W15" s="247" t="s">
        <v>439</v>
      </c>
      <c r="X15" s="232"/>
      <c r="Y15" s="233"/>
      <c r="Z15" s="233"/>
      <c r="AA15" s="366"/>
      <c r="AB15" s="357"/>
      <c r="AC15" s="360"/>
      <c r="AD15" s="85">
        <v>4</v>
      </c>
    </row>
    <row r="16" spans="1:30" s="97" customFormat="1" x14ac:dyDescent="0.25">
      <c r="A16" s="352"/>
      <c r="B16" s="361"/>
      <c r="C16" s="361"/>
      <c r="D16" s="361"/>
      <c r="E16" s="361"/>
      <c r="F16" s="361"/>
      <c r="G16" s="358"/>
      <c r="H16" s="370"/>
      <c r="I16" s="358"/>
      <c r="J16" s="358"/>
      <c r="K16" s="361"/>
      <c r="L16" s="542"/>
      <c r="M16" s="361"/>
      <c r="N16" s="355"/>
      <c r="O16" s="361"/>
      <c r="P16" s="361"/>
      <c r="Q16" s="358"/>
      <c r="R16" s="370"/>
      <c r="S16" s="361"/>
      <c r="T16" s="248" t="s">
        <v>366</v>
      </c>
      <c r="U16" s="367"/>
      <c r="V16" s="237">
        <v>113669.72</v>
      </c>
      <c r="W16" s="248" t="s">
        <v>471</v>
      </c>
      <c r="X16" s="236"/>
      <c r="Y16" s="237"/>
      <c r="Z16" s="237"/>
      <c r="AA16" s="367"/>
      <c r="AB16" s="358"/>
      <c r="AC16" s="361"/>
      <c r="AD16" s="97">
        <v>4</v>
      </c>
    </row>
    <row r="17" spans="1:30" x14ac:dyDescent="0.25">
      <c r="A17" s="254"/>
      <c r="B17" s="255"/>
      <c r="C17" s="255"/>
      <c r="D17" s="255"/>
      <c r="E17" s="255"/>
      <c r="F17" s="255"/>
      <c r="G17" s="256">
        <v>1098720</v>
      </c>
      <c r="H17" s="257">
        <f>IF(AD17 = 3, G17 - Q17,0)</f>
        <v>0</v>
      </c>
      <c r="I17" s="256">
        <v>2</v>
      </c>
      <c r="J17" s="256"/>
      <c r="K17" s="255" t="s">
        <v>200</v>
      </c>
      <c r="L17" s="253"/>
      <c r="M17" s="255"/>
      <c r="N17" s="258"/>
      <c r="O17" s="255"/>
      <c r="P17" s="255"/>
      <c r="Q17" s="256"/>
      <c r="R17" s="257">
        <f>IF(AD17 = 3, Q17 + SUM(Y17:Y17) - SUM(Z17:Z17) - SUM(V17:V17) - AB17,0)</f>
        <v>0</v>
      </c>
      <c r="S17" s="255"/>
      <c r="T17" s="258"/>
      <c r="U17" s="259"/>
      <c r="V17" s="256"/>
      <c r="W17" s="258"/>
      <c r="X17" s="255"/>
      <c r="Y17" s="256"/>
      <c r="Z17" s="256"/>
      <c r="AA17" s="259"/>
      <c r="AB17" s="256"/>
      <c r="AC17" s="255"/>
      <c r="AD17" s="2">
        <v>5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50">
    <mergeCell ref="AC15:A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A15:A16"/>
    <mergeCell ref="U15:U16"/>
    <mergeCell ref="AA15:AA16"/>
    <mergeCell ref="B15:B16"/>
    <mergeCell ref="AB15:AB16"/>
    <mergeCell ref="C15:C16"/>
    <mergeCell ref="S15:S16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42"/>
  <sheetViews>
    <sheetView showGridLines="0" topLeftCell="J1" zoomScale="50" zoomScaleNormal="50" workbookViewId="0">
      <pane ySplit="8" topLeftCell="A15" activePane="bottomLeft" state="frozen"/>
      <selection pane="bottomLeft" activeCell="V41" sqref="V9:V41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03" t="s">
        <v>139</v>
      </c>
      <c r="F2" s="404"/>
      <c r="G2" s="82">
        <f>SUM(G9:G9999)</f>
        <v>1539365.26</v>
      </c>
      <c r="H2" s="10"/>
      <c r="O2" s="403" t="s">
        <v>24</v>
      </c>
      <c r="P2" s="404"/>
      <c r="Q2" s="80">
        <f>SUM(Q9:Q9999)</f>
        <v>1539365.26</v>
      </c>
      <c r="T2" s="325" t="s">
        <v>137</v>
      </c>
      <c r="U2" s="327"/>
      <c r="V2" s="69">
        <f>SUM(V9:V9999)</f>
        <v>1350756.5499999998</v>
      </c>
      <c r="X2" s="68"/>
      <c r="Y2" s="325" t="s">
        <v>45</v>
      </c>
      <c r="Z2" s="326"/>
      <c r="AA2" s="327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0" customHeight="1" x14ac:dyDescent="0.25">
      <c r="A9" s="558">
        <v>1</v>
      </c>
      <c r="B9" s="546"/>
      <c r="C9" s="546" t="s">
        <v>201</v>
      </c>
      <c r="D9" s="546" t="s">
        <v>205</v>
      </c>
      <c r="E9" s="546" t="s">
        <v>203</v>
      </c>
      <c r="F9" s="546" t="s">
        <v>202</v>
      </c>
      <c r="G9" s="543">
        <v>1539365.26</v>
      </c>
      <c r="H9" s="552">
        <f>IF(AD9 = 1, G9 - Q9,0)</f>
        <v>0</v>
      </c>
      <c r="I9" s="543">
        <v>1</v>
      </c>
      <c r="J9" s="543"/>
      <c r="K9" s="546" t="s">
        <v>200</v>
      </c>
      <c r="L9" s="546" t="s">
        <v>204</v>
      </c>
      <c r="M9" s="546" t="s">
        <v>206</v>
      </c>
      <c r="N9" s="555">
        <v>45642</v>
      </c>
      <c r="O9" s="546" t="s">
        <v>207</v>
      </c>
      <c r="P9" s="546" t="s">
        <v>208</v>
      </c>
      <c r="Q9" s="543">
        <v>1539365.26</v>
      </c>
      <c r="R9" s="552">
        <f>IF(AD9 = 1, Q9 + SUM(Y9:Y41) - SUM(Z9:Z41) - SUM(V9:V41) - AB9,0)</f>
        <v>188608.7100000002</v>
      </c>
      <c r="S9" s="546"/>
      <c r="T9" s="190" t="s">
        <v>255</v>
      </c>
      <c r="U9" s="546" t="s">
        <v>209</v>
      </c>
      <c r="V9" s="183">
        <v>28490</v>
      </c>
      <c r="W9" s="190" t="s">
        <v>237</v>
      </c>
      <c r="X9" s="184"/>
      <c r="Y9" s="183"/>
      <c r="Z9" s="183"/>
      <c r="AA9" s="546"/>
      <c r="AB9" s="543"/>
      <c r="AC9" s="549"/>
      <c r="AD9" s="85">
        <v>1</v>
      </c>
    </row>
    <row r="10" spans="1:30" s="97" customFormat="1" x14ac:dyDescent="0.25">
      <c r="A10" s="559"/>
      <c r="B10" s="547"/>
      <c r="C10" s="547"/>
      <c r="D10" s="547"/>
      <c r="E10" s="547"/>
      <c r="F10" s="547"/>
      <c r="G10" s="544"/>
      <c r="H10" s="553"/>
      <c r="I10" s="544"/>
      <c r="J10" s="544"/>
      <c r="K10" s="547"/>
      <c r="L10" s="547"/>
      <c r="M10" s="547"/>
      <c r="N10" s="556"/>
      <c r="O10" s="547"/>
      <c r="P10" s="547"/>
      <c r="Q10" s="544"/>
      <c r="R10" s="553"/>
      <c r="S10" s="547"/>
      <c r="T10" s="191" t="s">
        <v>256</v>
      </c>
      <c r="U10" s="547"/>
      <c r="V10" s="185">
        <v>39375</v>
      </c>
      <c r="W10" s="191" t="s">
        <v>237</v>
      </c>
      <c r="X10" s="186"/>
      <c r="Y10" s="185"/>
      <c r="Z10" s="185"/>
      <c r="AA10" s="547"/>
      <c r="AB10" s="544"/>
      <c r="AC10" s="550"/>
      <c r="AD10" s="97">
        <v>1</v>
      </c>
    </row>
    <row r="11" spans="1:30" s="97" customFormat="1" x14ac:dyDescent="0.25">
      <c r="A11" s="559"/>
      <c r="B11" s="547"/>
      <c r="C11" s="547"/>
      <c r="D11" s="547"/>
      <c r="E11" s="547"/>
      <c r="F11" s="547"/>
      <c r="G11" s="544"/>
      <c r="H11" s="553"/>
      <c r="I11" s="544"/>
      <c r="J11" s="544"/>
      <c r="K11" s="547"/>
      <c r="L11" s="547"/>
      <c r="M11" s="547"/>
      <c r="N11" s="556"/>
      <c r="O11" s="547"/>
      <c r="P11" s="547"/>
      <c r="Q11" s="544"/>
      <c r="R11" s="553"/>
      <c r="S11" s="547"/>
      <c r="T11" s="191" t="s">
        <v>256</v>
      </c>
      <c r="U11" s="547"/>
      <c r="V11" s="185">
        <v>122320.95</v>
      </c>
      <c r="W11" s="191" t="s">
        <v>250</v>
      </c>
      <c r="X11" s="186"/>
      <c r="Y11" s="185"/>
      <c r="Z11" s="185"/>
      <c r="AA11" s="547"/>
      <c r="AB11" s="544"/>
      <c r="AC11" s="550"/>
      <c r="AD11" s="97">
        <v>1</v>
      </c>
    </row>
    <row r="12" spans="1:30" s="97" customFormat="1" x14ac:dyDescent="0.25">
      <c r="A12" s="559"/>
      <c r="B12" s="547"/>
      <c r="C12" s="547"/>
      <c r="D12" s="547"/>
      <c r="E12" s="547"/>
      <c r="F12" s="547"/>
      <c r="G12" s="544"/>
      <c r="H12" s="553"/>
      <c r="I12" s="544"/>
      <c r="J12" s="544"/>
      <c r="K12" s="547"/>
      <c r="L12" s="547"/>
      <c r="M12" s="547"/>
      <c r="N12" s="556"/>
      <c r="O12" s="547"/>
      <c r="P12" s="547"/>
      <c r="Q12" s="544"/>
      <c r="R12" s="553"/>
      <c r="S12" s="547"/>
      <c r="T12" s="191" t="s">
        <v>256</v>
      </c>
      <c r="U12" s="547"/>
      <c r="V12" s="185">
        <v>7807.8</v>
      </c>
      <c r="W12" s="191" t="s">
        <v>250</v>
      </c>
      <c r="X12" s="186"/>
      <c r="Y12" s="185"/>
      <c r="Z12" s="185"/>
      <c r="AA12" s="547"/>
      <c r="AB12" s="544"/>
      <c r="AC12" s="550"/>
      <c r="AD12" s="97">
        <v>1</v>
      </c>
    </row>
    <row r="13" spans="1:30" s="97" customFormat="1" x14ac:dyDescent="0.25">
      <c r="A13" s="559"/>
      <c r="B13" s="547"/>
      <c r="C13" s="547"/>
      <c r="D13" s="547"/>
      <c r="E13" s="547"/>
      <c r="F13" s="547"/>
      <c r="G13" s="544"/>
      <c r="H13" s="553"/>
      <c r="I13" s="544"/>
      <c r="J13" s="544"/>
      <c r="K13" s="547"/>
      <c r="L13" s="547"/>
      <c r="M13" s="547"/>
      <c r="N13" s="556"/>
      <c r="O13" s="547"/>
      <c r="P13" s="547"/>
      <c r="Q13" s="544"/>
      <c r="R13" s="553"/>
      <c r="S13" s="547"/>
      <c r="T13" s="191" t="s">
        <v>255</v>
      </c>
      <c r="U13" s="547"/>
      <c r="V13" s="185">
        <v>88506</v>
      </c>
      <c r="W13" s="191" t="s">
        <v>250</v>
      </c>
      <c r="X13" s="186"/>
      <c r="Y13" s="185"/>
      <c r="Z13" s="185"/>
      <c r="AA13" s="547"/>
      <c r="AB13" s="544"/>
      <c r="AC13" s="550"/>
      <c r="AD13" s="97">
        <v>1</v>
      </c>
    </row>
    <row r="14" spans="1:30" s="97" customFormat="1" x14ac:dyDescent="0.25">
      <c r="A14" s="559"/>
      <c r="B14" s="547"/>
      <c r="C14" s="547"/>
      <c r="D14" s="547"/>
      <c r="E14" s="547"/>
      <c r="F14" s="547"/>
      <c r="G14" s="544"/>
      <c r="H14" s="553"/>
      <c r="I14" s="544"/>
      <c r="J14" s="544"/>
      <c r="K14" s="547"/>
      <c r="L14" s="547"/>
      <c r="M14" s="547"/>
      <c r="N14" s="556"/>
      <c r="O14" s="547"/>
      <c r="P14" s="547"/>
      <c r="Q14" s="544"/>
      <c r="R14" s="553"/>
      <c r="S14" s="547"/>
      <c r="T14" s="191" t="s">
        <v>255</v>
      </c>
      <c r="U14" s="547"/>
      <c r="V14" s="185">
        <v>5649.38</v>
      </c>
      <c r="W14" s="191" t="s">
        <v>250</v>
      </c>
      <c r="X14" s="186"/>
      <c r="Y14" s="185"/>
      <c r="Z14" s="185"/>
      <c r="AA14" s="547"/>
      <c r="AB14" s="544"/>
      <c r="AC14" s="550"/>
      <c r="AD14" s="97">
        <v>1</v>
      </c>
    </row>
    <row r="15" spans="1:30" s="97" customFormat="1" x14ac:dyDescent="0.25">
      <c r="A15" s="559"/>
      <c r="B15" s="547"/>
      <c r="C15" s="547"/>
      <c r="D15" s="547"/>
      <c r="E15" s="547"/>
      <c r="F15" s="547"/>
      <c r="G15" s="544"/>
      <c r="H15" s="553"/>
      <c r="I15" s="544"/>
      <c r="J15" s="544"/>
      <c r="K15" s="547"/>
      <c r="L15" s="547"/>
      <c r="M15" s="547"/>
      <c r="N15" s="556"/>
      <c r="O15" s="547"/>
      <c r="P15" s="547"/>
      <c r="Q15" s="544"/>
      <c r="R15" s="553"/>
      <c r="S15" s="547"/>
      <c r="T15" s="191" t="s">
        <v>257</v>
      </c>
      <c r="U15" s="547"/>
      <c r="V15" s="185">
        <v>7065.19</v>
      </c>
      <c r="W15" s="191" t="s">
        <v>247</v>
      </c>
      <c r="X15" s="186"/>
      <c r="Y15" s="185"/>
      <c r="Z15" s="185"/>
      <c r="AA15" s="547"/>
      <c r="AB15" s="544"/>
      <c r="AC15" s="550"/>
      <c r="AD15" s="97">
        <v>1</v>
      </c>
    </row>
    <row r="16" spans="1:30" s="97" customFormat="1" x14ac:dyDescent="0.25">
      <c r="A16" s="559"/>
      <c r="B16" s="547"/>
      <c r="C16" s="547"/>
      <c r="D16" s="547"/>
      <c r="E16" s="547"/>
      <c r="F16" s="547"/>
      <c r="G16" s="544"/>
      <c r="H16" s="553"/>
      <c r="I16" s="544"/>
      <c r="J16" s="544"/>
      <c r="K16" s="547"/>
      <c r="L16" s="547"/>
      <c r="M16" s="547"/>
      <c r="N16" s="556"/>
      <c r="O16" s="547"/>
      <c r="P16" s="547"/>
      <c r="Q16" s="544"/>
      <c r="R16" s="553"/>
      <c r="S16" s="547"/>
      <c r="T16" s="191" t="s">
        <v>257</v>
      </c>
      <c r="U16" s="547"/>
      <c r="V16" s="185">
        <v>110686.87</v>
      </c>
      <c r="W16" s="191" t="s">
        <v>247</v>
      </c>
      <c r="X16" s="186"/>
      <c r="Y16" s="185"/>
      <c r="Z16" s="185"/>
      <c r="AA16" s="547"/>
      <c r="AB16" s="544"/>
      <c r="AC16" s="550"/>
      <c r="AD16" s="97">
        <v>1</v>
      </c>
    </row>
    <row r="17" spans="1:30" s="97" customFormat="1" x14ac:dyDescent="0.25">
      <c r="A17" s="559"/>
      <c r="B17" s="547"/>
      <c r="C17" s="547"/>
      <c r="D17" s="547"/>
      <c r="E17" s="547"/>
      <c r="F17" s="547"/>
      <c r="G17" s="544"/>
      <c r="H17" s="553"/>
      <c r="I17" s="544"/>
      <c r="J17" s="544"/>
      <c r="K17" s="547"/>
      <c r="L17" s="547"/>
      <c r="M17" s="547"/>
      <c r="N17" s="556"/>
      <c r="O17" s="547"/>
      <c r="P17" s="547"/>
      <c r="Q17" s="544"/>
      <c r="R17" s="553"/>
      <c r="S17" s="547"/>
      <c r="T17" s="191" t="s">
        <v>257</v>
      </c>
      <c r="U17" s="547"/>
      <c r="V17" s="185">
        <v>35630</v>
      </c>
      <c r="W17" s="191" t="s">
        <v>247</v>
      </c>
      <c r="X17" s="186"/>
      <c r="Y17" s="185"/>
      <c r="Z17" s="185"/>
      <c r="AA17" s="547"/>
      <c r="AB17" s="544"/>
      <c r="AC17" s="550"/>
      <c r="AD17" s="97">
        <v>1</v>
      </c>
    </row>
    <row r="18" spans="1:30" s="97" customFormat="1" x14ac:dyDescent="0.25">
      <c r="A18" s="559"/>
      <c r="B18" s="547"/>
      <c r="C18" s="547"/>
      <c r="D18" s="547"/>
      <c r="E18" s="547"/>
      <c r="F18" s="547"/>
      <c r="G18" s="544"/>
      <c r="H18" s="553"/>
      <c r="I18" s="544"/>
      <c r="J18" s="544"/>
      <c r="K18" s="547"/>
      <c r="L18" s="547"/>
      <c r="M18" s="547"/>
      <c r="N18" s="556"/>
      <c r="O18" s="547"/>
      <c r="P18" s="547"/>
      <c r="Q18" s="544"/>
      <c r="R18" s="553"/>
      <c r="S18" s="547"/>
      <c r="T18" s="191" t="s">
        <v>288</v>
      </c>
      <c r="U18" s="547"/>
      <c r="V18" s="185">
        <v>4608.34</v>
      </c>
      <c r="W18" s="191" t="s">
        <v>263</v>
      </c>
      <c r="X18" s="186"/>
      <c r="Y18" s="185"/>
      <c r="Z18" s="185"/>
      <c r="AA18" s="547"/>
      <c r="AB18" s="544"/>
      <c r="AC18" s="550"/>
      <c r="AD18" s="97">
        <v>1</v>
      </c>
    </row>
    <row r="19" spans="1:30" s="97" customFormat="1" x14ac:dyDescent="0.25">
      <c r="A19" s="559"/>
      <c r="B19" s="547"/>
      <c r="C19" s="547"/>
      <c r="D19" s="547"/>
      <c r="E19" s="547"/>
      <c r="F19" s="547"/>
      <c r="G19" s="544"/>
      <c r="H19" s="553"/>
      <c r="I19" s="544"/>
      <c r="J19" s="544"/>
      <c r="K19" s="547"/>
      <c r="L19" s="547"/>
      <c r="M19" s="547"/>
      <c r="N19" s="556"/>
      <c r="O19" s="547"/>
      <c r="P19" s="547"/>
      <c r="Q19" s="544"/>
      <c r="R19" s="553"/>
      <c r="S19" s="547"/>
      <c r="T19" s="191" t="s">
        <v>288</v>
      </c>
      <c r="U19" s="547"/>
      <c r="V19" s="185">
        <v>72196.539999999994</v>
      </c>
      <c r="W19" s="191" t="s">
        <v>263</v>
      </c>
      <c r="X19" s="186"/>
      <c r="Y19" s="185"/>
      <c r="Z19" s="185"/>
      <c r="AA19" s="547"/>
      <c r="AB19" s="544"/>
      <c r="AC19" s="550"/>
      <c r="AD19" s="97">
        <v>1</v>
      </c>
    </row>
    <row r="20" spans="1:30" s="97" customFormat="1" x14ac:dyDescent="0.25">
      <c r="A20" s="559"/>
      <c r="B20" s="547"/>
      <c r="C20" s="547"/>
      <c r="D20" s="547"/>
      <c r="E20" s="547"/>
      <c r="F20" s="547"/>
      <c r="G20" s="544"/>
      <c r="H20" s="553"/>
      <c r="I20" s="544"/>
      <c r="J20" s="544"/>
      <c r="K20" s="547"/>
      <c r="L20" s="547"/>
      <c r="M20" s="547"/>
      <c r="N20" s="556"/>
      <c r="O20" s="547"/>
      <c r="P20" s="547"/>
      <c r="Q20" s="544"/>
      <c r="R20" s="553"/>
      <c r="S20" s="547"/>
      <c r="T20" s="191" t="s">
        <v>288</v>
      </c>
      <c r="U20" s="547"/>
      <c r="V20" s="185">
        <v>23240</v>
      </c>
      <c r="W20" s="191" t="s">
        <v>263</v>
      </c>
      <c r="X20" s="186"/>
      <c r="Y20" s="185"/>
      <c r="Z20" s="185"/>
      <c r="AA20" s="547"/>
      <c r="AB20" s="544"/>
      <c r="AC20" s="550"/>
      <c r="AD20" s="97">
        <v>1</v>
      </c>
    </row>
    <row r="21" spans="1:30" s="97" customFormat="1" x14ac:dyDescent="0.25">
      <c r="A21" s="559"/>
      <c r="B21" s="547"/>
      <c r="C21" s="547"/>
      <c r="D21" s="547"/>
      <c r="E21" s="547"/>
      <c r="F21" s="547"/>
      <c r="G21" s="544"/>
      <c r="H21" s="553"/>
      <c r="I21" s="544"/>
      <c r="J21" s="544"/>
      <c r="K21" s="547"/>
      <c r="L21" s="547"/>
      <c r="M21" s="547"/>
      <c r="N21" s="556"/>
      <c r="O21" s="547"/>
      <c r="P21" s="547"/>
      <c r="Q21" s="544"/>
      <c r="R21" s="553"/>
      <c r="S21" s="547"/>
      <c r="T21" s="191" t="s">
        <v>289</v>
      </c>
      <c r="U21" s="547"/>
      <c r="V21" s="185">
        <v>26530</v>
      </c>
      <c r="W21" s="191" t="s">
        <v>290</v>
      </c>
      <c r="X21" s="186"/>
      <c r="Y21" s="185"/>
      <c r="Z21" s="185"/>
      <c r="AA21" s="547"/>
      <c r="AB21" s="544"/>
      <c r="AC21" s="550"/>
      <c r="AD21" s="97">
        <v>1</v>
      </c>
    </row>
    <row r="22" spans="1:30" s="97" customFormat="1" x14ac:dyDescent="0.25">
      <c r="A22" s="559"/>
      <c r="B22" s="547"/>
      <c r="C22" s="547"/>
      <c r="D22" s="547"/>
      <c r="E22" s="547"/>
      <c r="F22" s="547"/>
      <c r="G22" s="544"/>
      <c r="H22" s="553"/>
      <c r="I22" s="544"/>
      <c r="J22" s="544"/>
      <c r="K22" s="547"/>
      <c r="L22" s="547"/>
      <c r="M22" s="547"/>
      <c r="N22" s="556"/>
      <c r="O22" s="547"/>
      <c r="P22" s="547"/>
      <c r="Q22" s="544"/>
      <c r="R22" s="553"/>
      <c r="S22" s="547"/>
      <c r="T22" s="191" t="s">
        <v>289</v>
      </c>
      <c r="U22" s="547"/>
      <c r="V22" s="185">
        <v>82417.14</v>
      </c>
      <c r="W22" s="191" t="s">
        <v>290</v>
      </c>
      <c r="X22" s="186"/>
      <c r="Y22" s="185"/>
      <c r="Z22" s="185"/>
      <c r="AA22" s="547"/>
      <c r="AB22" s="544"/>
      <c r="AC22" s="550"/>
      <c r="AD22" s="97">
        <v>1</v>
      </c>
    </row>
    <row r="23" spans="1:30" s="97" customFormat="1" x14ac:dyDescent="0.25">
      <c r="A23" s="559"/>
      <c r="B23" s="547"/>
      <c r="C23" s="547"/>
      <c r="D23" s="547"/>
      <c r="E23" s="547"/>
      <c r="F23" s="547"/>
      <c r="G23" s="544"/>
      <c r="H23" s="553"/>
      <c r="I23" s="544"/>
      <c r="J23" s="544"/>
      <c r="K23" s="547"/>
      <c r="L23" s="547"/>
      <c r="M23" s="547"/>
      <c r="N23" s="556"/>
      <c r="O23" s="547"/>
      <c r="P23" s="547"/>
      <c r="Q23" s="544"/>
      <c r="R23" s="553"/>
      <c r="S23" s="547"/>
      <c r="T23" s="191" t="s">
        <v>289</v>
      </c>
      <c r="U23" s="547"/>
      <c r="V23" s="185">
        <v>5260.72</v>
      </c>
      <c r="W23" s="191" t="s">
        <v>290</v>
      </c>
      <c r="X23" s="186"/>
      <c r="Y23" s="185"/>
      <c r="Z23" s="185"/>
      <c r="AA23" s="547"/>
      <c r="AB23" s="544"/>
      <c r="AC23" s="550"/>
      <c r="AD23" s="97">
        <v>1</v>
      </c>
    </row>
    <row r="24" spans="1:30" s="97" customFormat="1" x14ac:dyDescent="0.25">
      <c r="A24" s="559"/>
      <c r="B24" s="547"/>
      <c r="C24" s="547"/>
      <c r="D24" s="547"/>
      <c r="E24" s="547"/>
      <c r="F24" s="547"/>
      <c r="G24" s="544"/>
      <c r="H24" s="553"/>
      <c r="I24" s="544"/>
      <c r="J24" s="544"/>
      <c r="K24" s="547"/>
      <c r="L24" s="547"/>
      <c r="M24" s="547"/>
      <c r="N24" s="556"/>
      <c r="O24" s="547"/>
      <c r="P24" s="547"/>
      <c r="Q24" s="544"/>
      <c r="R24" s="553"/>
      <c r="S24" s="547"/>
      <c r="T24" s="191" t="s">
        <v>354</v>
      </c>
      <c r="U24" s="547"/>
      <c r="V24" s="185">
        <v>20895</v>
      </c>
      <c r="W24" s="191" t="s">
        <v>301</v>
      </c>
      <c r="X24" s="186"/>
      <c r="Y24" s="185"/>
      <c r="Z24" s="185"/>
      <c r="AA24" s="547"/>
      <c r="AB24" s="544"/>
      <c r="AC24" s="550"/>
      <c r="AD24" s="97">
        <v>1</v>
      </c>
    </row>
    <row r="25" spans="1:30" s="97" customFormat="1" x14ac:dyDescent="0.25">
      <c r="A25" s="559"/>
      <c r="B25" s="547"/>
      <c r="C25" s="547"/>
      <c r="D25" s="547"/>
      <c r="E25" s="547"/>
      <c r="F25" s="547"/>
      <c r="G25" s="544"/>
      <c r="H25" s="553"/>
      <c r="I25" s="544"/>
      <c r="J25" s="544"/>
      <c r="K25" s="547"/>
      <c r="L25" s="547"/>
      <c r="M25" s="547"/>
      <c r="N25" s="556"/>
      <c r="O25" s="547"/>
      <c r="P25" s="547"/>
      <c r="Q25" s="544"/>
      <c r="R25" s="553"/>
      <c r="S25" s="547"/>
      <c r="T25" s="191" t="s">
        <v>354</v>
      </c>
      <c r="U25" s="547"/>
      <c r="V25" s="185">
        <v>64911.65</v>
      </c>
      <c r="W25" s="191" t="s">
        <v>301</v>
      </c>
      <c r="X25" s="186"/>
      <c r="Y25" s="185"/>
      <c r="Z25" s="185"/>
      <c r="AA25" s="547"/>
      <c r="AB25" s="544"/>
      <c r="AC25" s="550"/>
      <c r="AD25" s="97">
        <v>1</v>
      </c>
    </row>
    <row r="26" spans="1:30" s="97" customFormat="1" x14ac:dyDescent="0.25">
      <c r="A26" s="559"/>
      <c r="B26" s="547"/>
      <c r="C26" s="547"/>
      <c r="D26" s="547"/>
      <c r="E26" s="547"/>
      <c r="F26" s="547"/>
      <c r="G26" s="544"/>
      <c r="H26" s="553"/>
      <c r="I26" s="544"/>
      <c r="J26" s="544"/>
      <c r="K26" s="547"/>
      <c r="L26" s="547"/>
      <c r="M26" s="547"/>
      <c r="N26" s="556"/>
      <c r="O26" s="547"/>
      <c r="P26" s="547"/>
      <c r="Q26" s="544"/>
      <c r="R26" s="553"/>
      <c r="S26" s="547"/>
      <c r="T26" s="191" t="s">
        <v>354</v>
      </c>
      <c r="U26" s="547"/>
      <c r="V26" s="185">
        <v>4143.34</v>
      </c>
      <c r="W26" s="191" t="s">
        <v>301</v>
      </c>
      <c r="X26" s="186"/>
      <c r="Y26" s="185"/>
      <c r="Z26" s="185"/>
      <c r="AA26" s="547"/>
      <c r="AB26" s="544"/>
      <c r="AC26" s="550"/>
      <c r="AD26" s="97">
        <v>1</v>
      </c>
    </row>
    <row r="27" spans="1:30" s="97" customFormat="1" x14ac:dyDescent="0.25">
      <c r="A27" s="559"/>
      <c r="B27" s="547"/>
      <c r="C27" s="547"/>
      <c r="D27" s="547"/>
      <c r="E27" s="547"/>
      <c r="F27" s="547"/>
      <c r="G27" s="544"/>
      <c r="H27" s="553"/>
      <c r="I27" s="544"/>
      <c r="J27" s="544"/>
      <c r="K27" s="547"/>
      <c r="L27" s="547"/>
      <c r="M27" s="547"/>
      <c r="N27" s="556"/>
      <c r="O27" s="547"/>
      <c r="P27" s="547"/>
      <c r="Q27" s="544"/>
      <c r="R27" s="553"/>
      <c r="S27" s="547"/>
      <c r="T27" s="191" t="s">
        <v>293</v>
      </c>
      <c r="U27" s="547"/>
      <c r="V27" s="185">
        <v>4275.2</v>
      </c>
      <c r="W27" s="191" t="s">
        <v>306</v>
      </c>
      <c r="X27" s="186"/>
      <c r="Y27" s="185"/>
      <c r="Z27" s="185"/>
      <c r="AA27" s="547"/>
      <c r="AB27" s="544"/>
      <c r="AC27" s="550"/>
      <c r="AD27" s="97">
        <v>1</v>
      </c>
    </row>
    <row r="28" spans="1:30" s="97" customFormat="1" x14ac:dyDescent="0.25">
      <c r="A28" s="559"/>
      <c r="B28" s="547"/>
      <c r="C28" s="547"/>
      <c r="D28" s="547"/>
      <c r="E28" s="547"/>
      <c r="F28" s="547"/>
      <c r="G28" s="544"/>
      <c r="H28" s="553"/>
      <c r="I28" s="544"/>
      <c r="J28" s="544"/>
      <c r="K28" s="547"/>
      <c r="L28" s="547"/>
      <c r="M28" s="547"/>
      <c r="N28" s="556"/>
      <c r="O28" s="547"/>
      <c r="P28" s="547"/>
      <c r="Q28" s="544"/>
      <c r="R28" s="553"/>
      <c r="S28" s="547"/>
      <c r="T28" s="191" t="s">
        <v>293</v>
      </c>
      <c r="U28" s="547"/>
      <c r="V28" s="185">
        <v>21560</v>
      </c>
      <c r="W28" s="191" t="s">
        <v>306</v>
      </c>
      <c r="X28" s="186"/>
      <c r="Y28" s="185"/>
      <c r="Z28" s="185"/>
      <c r="AA28" s="547"/>
      <c r="AB28" s="544"/>
      <c r="AC28" s="550"/>
      <c r="AD28" s="97">
        <v>1</v>
      </c>
    </row>
    <row r="29" spans="1:30" s="97" customFormat="1" x14ac:dyDescent="0.25">
      <c r="A29" s="559"/>
      <c r="B29" s="547"/>
      <c r="C29" s="547"/>
      <c r="D29" s="547"/>
      <c r="E29" s="547"/>
      <c r="F29" s="547"/>
      <c r="G29" s="544"/>
      <c r="H29" s="553"/>
      <c r="I29" s="544"/>
      <c r="J29" s="544"/>
      <c r="K29" s="547"/>
      <c r="L29" s="547"/>
      <c r="M29" s="547"/>
      <c r="N29" s="556"/>
      <c r="O29" s="547"/>
      <c r="P29" s="547"/>
      <c r="Q29" s="544"/>
      <c r="R29" s="553"/>
      <c r="S29" s="547"/>
      <c r="T29" s="191" t="s">
        <v>293</v>
      </c>
      <c r="U29" s="547"/>
      <c r="V29" s="185">
        <v>66977.52</v>
      </c>
      <c r="W29" s="191" t="s">
        <v>306</v>
      </c>
      <c r="X29" s="186"/>
      <c r="Y29" s="185"/>
      <c r="Z29" s="185"/>
      <c r="AA29" s="547"/>
      <c r="AB29" s="544"/>
      <c r="AC29" s="550"/>
      <c r="AD29" s="97">
        <v>1</v>
      </c>
    </row>
    <row r="30" spans="1:30" s="97" customFormat="1" x14ac:dyDescent="0.25">
      <c r="A30" s="559"/>
      <c r="B30" s="547"/>
      <c r="C30" s="547"/>
      <c r="D30" s="547"/>
      <c r="E30" s="547"/>
      <c r="F30" s="547"/>
      <c r="G30" s="544"/>
      <c r="H30" s="553"/>
      <c r="I30" s="544"/>
      <c r="J30" s="544"/>
      <c r="K30" s="547"/>
      <c r="L30" s="547"/>
      <c r="M30" s="547"/>
      <c r="N30" s="556"/>
      <c r="O30" s="547"/>
      <c r="P30" s="547"/>
      <c r="Q30" s="544"/>
      <c r="R30" s="553"/>
      <c r="S30" s="547"/>
      <c r="T30" s="191" t="s">
        <v>355</v>
      </c>
      <c r="U30" s="547"/>
      <c r="V30" s="185">
        <v>7689.81</v>
      </c>
      <c r="W30" s="191" t="s">
        <v>353</v>
      </c>
      <c r="X30" s="186"/>
      <c r="Y30" s="185"/>
      <c r="Z30" s="185"/>
      <c r="AA30" s="547"/>
      <c r="AB30" s="544"/>
      <c r="AC30" s="550"/>
      <c r="AD30" s="97">
        <v>1</v>
      </c>
    </row>
    <row r="31" spans="1:30" s="97" customFormat="1" x14ac:dyDescent="0.25">
      <c r="A31" s="559"/>
      <c r="B31" s="547"/>
      <c r="C31" s="547"/>
      <c r="D31" s="547"/>
      <c r="E31" s="547"/>
      <c r="F31" s="547"/>
      <c r="G31" s="544"/>
      <c r="H31" s="553"/>
      <c r="I31" s="544"/>
      <c r="J31" s="544"/>
      <c r="K31" s="547"/>
      <c r="L31" s="547"/>
      <c r="M31" s="547"/>
      <c r="N31" s="556"/>
      <c r="O31" s="547"/>
      <c r="P31" s="547"/>
      <c r="Q31" s="544"/>
      <c r="R31" s="553"/>
      <c r="S31" s="547"/>
      <c r="T31" s="191" t="s">
        <v>355</v>
      </c>
      <c r="U31" s="547"/>
      <c r="V31" s="185">
        <v>38780</v>
      </c>
      <c r="W31" s="191" t="s">
        <v>353</v>
      </c>
      <c r="X31" s="186"/>
      <c r="Y31" s="185"/>
      <c r="Z31" s="185"/>
      <c r="AA31" s="547"/>
      <c r="AB31" s="544"/>
      <c r="AC31" s="550"/>
      <c r="AD31" s="97">
        <v>1</v>
      </c>
    </row>
    <row r="32" spans="1:30" s="97" customFormat="1" x14ac:dyDescent="0.25">
      <c r="A32" s="559"/>
      <c r="B32" s="547"/>
      <c r="C32" s="547"/>
      <c r="D32" s="547"/>
      <c r="E32" s="547"/>
      <c r="F32" s="547"/>
      <c r="G32" s="544"/>
      <c r="H32" s="553"/>
      <c r="I32" s="544"/>
      <c r="J32" s="544"/>
      <c r="K32" s="547"/>
      <c r="L32" s="547"/>
      <c r="M32" s="547"/>
      <c r="N32" s="556"/>
      <c r="O32" s="547"/>
      <c r="P32" s="547"/>
      <c r="Q32" s="544"/>
      <c r="R32" s="553"/>
      <c r="S32" s="547"/>
      <c r="T32" s="191" t="s">
        <v>355</v>
      </c>
      <c r="U32" s="547"/>
      <c r="V32" s="185">
        <v>120472.55</v>
      </c>
      <c r="W32" s="191" t="s">
        <v>353</v>
      </c>
      <c r="X32" s="186"/>
      <c r="Y32" s="185"/>
      <c r="Z32" s="185"/>
      <c r="AA32" s="547"/>
      <c r="AB32" s="544"/>
      <c r="AC32" s="550"/>
      <c r="AD32" s="97">
        <v>1</v>
      </c>
    </row>
    <row r="33" spans="1:30" s="97" customFormat="1" x14ac:dyDescent="0.25">
      <c r="A33" s="559"/>
      <c r="B33" s="547"/>
      <c r="C33" s="547"/>
      <c r="D33" s="547"/>
      <c r="E33" s="547"/>
      <c r="F33" s="547"/>
      <c r="G33" s="544"/>
      <c r="H33" s="553"/>
      <c r="I33" s="544"/>
      <c r="J33" s="544"/>
      <c r="K33" s="547"/>
      <c r="L33" s="547"/>
      <c r="M33" s="547"/>
      <c r="N33" s="556"/>
      <c r="O33" s="547"/>
      <c r="P33" s="547"/>
      <c r="Q33" s="544"/>
      <c r="R33" s="553"/>
      <c r="S33" s="547"/>
      <c r="T33" s="191" t="s">
        <v>359</v>
      </c>
      <c r="U33" s="547"/>
      <c r="V33" s="185">
        <v>28455</v>
      </c>
      <c r="W33" s="191" t="s">
        <v>358</v>
      </c>
      <c r="X33" s="186"/>
      <c r="Y33" s="185"/>
      <c r="Z33" s="185"/>
      <c r="AA33" s="547"/>
      <c r="AB33" s="544"/>
      <c r="AC33" s="550"/>
      <c r="AD33" s="97">
        <v>1</v>
      </c>
    </row>
    <row r="34" spans="1:30" s="97" customFormat="1" x14ac:dyDescent="0.25">
      <c r="A34" s="559"/>
      <c r="B34" s="547"/>
      <c r="C34" s="547"/>
      <c r="D34" s="547"/>
      <c r="E34" s="547"/>
      <c r="F34" s="547"/>
      <c r="G34" s="544"/>
      <c r="H34" s="553"/>
      <c r="I34" s="544"/>
      <c r="J34" s="544"/>
      <c r="K34" s="547"/>
      <c r="L34" s="547"/>
      <c r="M34" s="547"/>
      <c r="N34" s="556"/>
      <c r="O34" s="547"/>
      <c r="P34" s="547"/>
      <c r="Q34" s="544"/>
      <c r="R34" s="553"/>
      <c r="S34" s="547"/>
      <c r="T34" s="191" t="s">
        <v>359</v>
      </c>
      <c r="U34" s="547"/>
      <c r="V34" s="185">
        <v>88397.27</v>
      </c>
      <c r="W34" s="191" t="s">
        <v>358</v>
      </c>
      <c r="X34" s="186"/>
      <c r="Y34" s="185"/>
      <c r="Z34" s="185"/>
      <c r="AA34" s="547"/>
      <c r="AB34" s="544"/>
      <c r="AC34" s="550"/>
      <c r="AD34" s="97">
        <v>1</v>
      </c>
    </row>
    <row r="35" spans="1:30" s="97" customFormat="1" x14ac:dyDescent="0.25">
      <c r="A35" s="559"/>
      <c r="B35" s="547"/>
      <c r="C35" s="547"/>
      <c r="D35" s="547"/>
      <c r="E35" s="547"/>
      <c r="F35" s="547"/>
      <c r="G35" s="544"/>
      <c r="H35" s="553"/>
      <c r="I35" s="544"/>
      <c r="J35" s="544"/>
      <c r="K35" s="547"/>
      <c r="L35" s="547"/>
      <c r="M35" s="547"/>
      <c r="N35" s="556"/>
      <c r="O35" s="547"/>
      <c r="P35" s="547"/>
      <c r="Q35" s="544"/>
      <c r="R35" s="553"/>
      <c r="S35" s="547"/>
      <c r="T35" s="191" t="s">
        <v>359</v>
      </c>
      <c r="U35" s="547"/>
      <c r="V35" s="185">
        <v>5642.44</v>
      </c>
      <c r="W35" s="191" t="s">
        <v>358</v>
      </c>
      <c r="X35" s="186"/>
      <c r="Y35" s="185"/>
      <c r="Z35" s="185"/>
      <c r="AA35" s="547"/>
      <c r="AB35" s="544"/>
      <c r="AC35" s="550"/>
      <c r="AD35" s="97">
        <v>1</v>
      </c>
    </row>
    <row r="36" spans="1:30" s="97" customFormat="1" x14ac:dyDescent="0.25">
      <c r="A36" s="559"/>
      <c r="B36" s="547"/>
      <c r="C36" s="547"/>
      <c r="D36" s="547"/>
      <c r="E36" s="547"/>
      <c r="F36" s="547"/>
      <c r="G36" s="544"/>
      <c r="H36" s="553"/>
      <c r="I36" s="544"/>
      <c r="J36" s="544"/>
      <c r="K36" s="547"/>
      <c r="L36" s="547"/>
      <c r="M36" s="547"/>
      <c r="N36" s="556"/>
      <c r="O36" s="547"/>
      <c r="P36" s="547"/>
      <c r="Q36" s="544"/>
      <c r="R36" s="553"/>
      <c r="S36" s="547"/>
      <c r="T36" s="191" t="s">
        <v>401</v>
      </c>
      <c r="U36" s="547"/>
      <c r="V36" s="185">
        <v>31745</v>
      </c>
      <c r="W36" s="191" t="s">
        <v>372</v>
      </c>
      <c r="X36" s="186"/>
      <c r="Y36" s="185"/>
      <c r="Z36" s="185"/>
      <c r="AA36" s="547"/>
      <c r="AB36" s="544"/>
      <c r="AC36" s="550"/>
      <c r="AD36" s="97">
        <v>1</v>
      </c>
    </row>
    <row r="37" spans="1:30" s="97" customFormat="1" x14ac:dyDescent="0.25">
      <c r="A37" s="559"/>
      <c r="B37" s="547"/>
      <c r="C37" s="547"/>
      <c r="D37" s="547"/>
      <c r="E37" s="547"/>
      <c r="F37" s="547"/>
      <c r="G37" s="544"/>
      <c r="H37" s="553"/>
      <c r="I37" s="544"/>
      <c r="J37" s="544"/>
      <c r="K37" s="547"/>
      <c r="L37" s="547"/>
      <c r="M37" s="547"/>
      <c r="N37" s="556"/>
      <c r="O37" s="547"/>
      <c r="P37" s="547"/>
      <c r="Q37" s="544"/>
      <c r="R37" s="553"/>
      <c r="S37" s="547"/>
      <c r="T37" s="191" t="s">
        <v>401</v>
      </c>
      <c r="U37" s="547"/>
      <c r="V37" s="185">
        <v>6294.82</v>
      </c>
      <c r="W37" s="191" t="s">
        <v>372</v>
      </c>
      <c r="X37" s="186"/>
      <c r="Y37" s="185"/>
      <c r="Z37" s="185"/>
      <c r="AA37" s="547"/>
      <c r="AB37" s="544"/>
      <c r="AC37" s="550"/>
      <c r="AD37" s="97">
        <v>1</v>
      </c>
    </row>
    <row r="38" spans="1:30" s="97" customFormat="1" x14ac:dyDescent="0.25">
      <c r="A38" s="559"/>
      <c r="B38" s="547"/>
      <c r="C38" s="547"/>
      <c r="D38" s="547"/>
      <c r="E38" s="547"/>
      <c r="F38" s="547"/>
      <c r="G38" s="544"/>
      <c r="H38" s="553"/>
      <c r="I38" s="544"/>
      <c r="J38" s="544"/>
      <c r="K38" s="547"/>
      <c r="L38" s="547"/>
      <c r="M38" s="547"/>
      <c r="N38" s="556"/>
      <c r="O38" s="547"/>
      <c r="P38" s="547"/>
      <c r="Q38" s="544"/>
      <c r="R38" s="553"/>
      <c r="S38" s="547"/>
      <c r="T38" s="191" t="s">
        <v>401</v>
      </c>
      <c r="U38" s="547"/>
      <c r="V38" s="185">
        <v>98617.87</v>
      </c>
      <c r="W38" s="191" t="s">
        <v>372</v>
      </c>
      <c r="X38" s="186"/>
      <c r="Y38" s="185"/>
      <c r="Z38" s="185"/>
      <c r="AA38" s="547"/>
      <c r="AB38" s="544"/>
      <c r="AC38" s="550"/>
      <c r="AD38" s="97">
        <v>1</v>
      </c>
    </row>
    <row r="39" spans="1:30" s="97" customFormat="1" x14ac:dyDescent="0.25">
      <c r="A39" s="559"/>
      <c r="B39" s="547"/>
      <c r="C39" s="547"/>
      <c r="D39" s="547"/>
      <c r="E39" s="547"/>
      <c r="F39" s="547"/>
      <c r="G39" s="544"/>
      <c r="H39" s="553"/>
      <c r="I39" s="544"/>
      <c r="J39" s="544"/>
      <c r="K39" s="547"/>
      <c r="L39" s="547"/>
      <c r="M39" s="547"/>
      <c r="N39" s="556"/>
      <c r="O39" s="547"/>
      <c r="P39" s="547"/>
      <c r="Q39" s="544"/>
      <c r="R39" s="553"/>
      <c r="S39" s="547"/>
      <c r="T39" s="191" t="s">
        <v>402</v>
      </c>
      <c r="U39" s="547"/>
      <c r="V39" s="185">
        <v>3782.44</v>
      </c>
      <c r="W39" s="191" t="s">
        <v>403</v>
      </c>
      <c r="X39" s="186"/>
      <c r="Y39" s="185"/>
      <c r="Z39" s="185"/>
      <c r="AA39" s="547"/>
      <c r="AB39" s="544"/>
      <c r="AC39" s="550"/>
      <c r="AD39" s="97">
        <v>1</v>
      </c>
    </row>
    <row r="40" spans="1:30" s="97" customFormat="1" x14ac:dyDescent="0.25">
      <c r="A40" s="559"/>
      <c r="B40" s="547"/>
      <c r="C40" s="547"/>
      <c r="D40" s="547"/>
      <c r="E40" s="547"/>
      <c r="F40" s="547"/>
      <c r="G40" s="544"/>
      <c r="H40" s="553"/>
      <c r="I40" s="544"/>
      <c r="J40" s="544"/>
      <c r="K40" s="547"/>
      <c r="L40" s="547"/>
      <c r="M40" s="547"/>
      <c r="N40" s="556"/>
      <c r="O40" s="547"/>
      <c r="P40" s="547"/>
      <c r="Q40" s="544"/>
      <c r="R40" s="553"/>
      <c r="S40" s="547"/>
      <c r="T40" s="191" t="s">
        <v>402</v>
      </c>
      <c r="U40" s="547"/>
      <c r="V40" s="185">
        <v>59257.71</v>
      </c>
      <c r="W40" s="191" t="s">
        <v>403</v>
      </c>
      <c r="X40" s="186"/>
      <c r="Y40" s="185"/>
      <c r="Z40" s="185"/>
      <c r="AA40" s="547"/>
      <c r="AB40" s="544"/>
      <c r="AC40" s="550"/>
      <c r="AD40" s="97">
        <v>1</v>
      </c>
    </row>
    <row r="41" spans="1:30" s="97" customFormat="1" x14ac:dyDescent="0.25">
      <c r="A41" s="560"/>
      <c r="B41" s="548"/>
      <c r="C41" s="548"/>
      <c r="D41" s="548"/>
      <c r="E41" s="548"/>
      <c r="F41" s="548"/>
      <c r="G41" s="545"/>
      <c r="H41" s="554"/>
      <c r="I41" s="545"/>
      <c r="J41" s="545"/>
      <c r="K41" s="548"/>
      <c r="L41" s="548"/>
      <c r="M41" s="548"/>
      <c r="N41" s="557"/>
      <c r="O41" s="548"/>
      <c r="P41" s="548"/>
      <c r="Q41" s="545"/>
      <c r="R41" s="554"/>
      <c r="S41" s="548"/>
      <c r="T41" s="191" t="s">
        <v>402</v>
      </c>
      <c r="U41" s="548"/>
      <c r="V41" s="187">
        <v>19075</v>
      </c>
      <c r="W41" s="192" t="s">
        <v>403</v>
      </c>
      <c r="X41" s="188"/>
      <c r="Y41" s="187"/>
      <c r="Z41" s="187"/>
      <c r="AA41" s="548"/>
      <c r="AB41" s="545"/>
      <c r="AC41" s="551"/>
      <c r="AD41" s="97">
        <v>1</v>
      </c>
    </row>
    <row r="42" spans="1:30" x14ac:dyDescent="0.25">
      <c r="AD42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27"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403" t="s">
        <v>139</v>
      </c>
      <c r="F2" s="404"/>
      <c r="G2" s="82">
        <f>SUM(G9:G9999)</f>
        <v>0</v>
      </c>
      <c r="H2" s="10"/>
      <c r="O2" s="403" t="s">
        <v>24</v>
      </c>
      <c r="P2" s="404"/>
      <c r="Q2" s="80">
        <f>SUM(Q9:Q9999)</f>
        <v>0</v>
      </c>
      <c r="T2" s="325" t="s">
        <v>137</v>
      </c>
      <c r="U2" s="327"/>
      <c r="V2" s="69">
        <f>SUM(V9:V9999)</f>
        <v>0</v>
      </c>
      <c r="X2" s="68"/>
      <c r="Y2" s="325" t="s">
        <v>45</v>
      </c>
      <c r="Z2" s="326"/>
      <c r="AA2" s="327"/>
      <c r="AB2" s="70">
        <f>SUM(AB9:AB9999)</f>
        <v>0</v>
      </c>
    </row>
    <row r="4" spans="1:30" ht="39.950000000000003" customHeight="1" x14ac:dyDescent="0.25">
      <c r="P4" s="329"/>
      <c r="Q4" s="329"/>
      <c r="R4" s="329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25">
      <c r="M9" s="3"/>
      <c r="AD9" s="2">
        <v>10</v>
      </c>
    </row>
    <row r="10" spans="1:30" x14ac:dyDescent="0.25">
      <c r="M10" s="3"/>
    </row>
    <row r="11" spans="1:30" x14ac:dyDescent="0.25">
      <c r="M11" s="3"/>
    </row>
    <row r="12" spans="1:30" x14ac:dyDescent="0.25">
      <c r="M12" s="3"/>
    </row>
    <row r="13" spans="1:30" x14ac:dyDescent="0.25">
      <c r="M13" s="3"/>
    </row>
    <row r="14" spans="1:30" x14ac:dyDescent="0.25">
      <c r="M14" s="3"/>
    </row>
    <row r="15" spans="1:30" x14ac:dyDescent="0.25">
      <c r="M15" s="3"/>
    </row>
    <row r="16" spans="1:30" x14ac:dyDescent="0.25">
      <c r="M16" s="3"/>
    </row>
    <row r="17" spans="13:13" x14ac:dyDescent="0.25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41</v>
      </c>
      <c r="B1" s="47">
        <v>25</v>
      </c>
      <c r="C1" s="47">
        <v>9</v>
      </c>
      <c r="D1" s="563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64"/>
      <c r="E2" s="32"/>
      <c r="F2" s="62">
        <v>169</v>
      </c>
      <c r="G2" s="66">
        <v>185</v>
      </c>
      <c r="H2" s="65">
        <v>10</v>
      </c>
      <c r="I2" s="64">
        <v>4</v>
      </c>
      <c r="J2" s="63">
        <v>1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142</v>
      </c>
      <c r="B4" s="44">
        <v>28</v>
      </c>
      <c r="C4" s="44">
        <v>9</v>
      </c>
      <c r="D4" s="565" t="s">
        <v>102</v>
      </c>
      <c r="E4" s="32"/>
      <c r="F4" s="62">
        <v>170</v>
      </c>
      <c r="G4" s="66">
        <v>186</v>
      </c>
      <c r="H4" s="65">
        <v>11</v>
      </c>
      <c r="I4" s="64">
        <v>5</v>
      </c>
      <c r="J4" s="63">
        <v>2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566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14</v>
      </c>
      <c r="B7" s="46">
        <v>2</v>
      </c>
      <c r="C7" s="46">
        <v>9</v>
      </c>
      <c r="D7" s="567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68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16</v>
      </c>
      <c r="B10" s="42">
        <v>2</v>
      </c>
      <c r="C10" s="42">
        <v>9</v>
      </c>
      <c r="D10" s="569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570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41</v>
      </c>
      <c r="B13" s="40">
        <v>1</v>
      </c>
      <c r="C13" s="40">
        <v>9</v>
      </c>
      <c r="D13" s="571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572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</v>
      </c>
      <c r="B16" s="38">
        <v>0</v>
      </c>
      <c r="C16" s="38">
        <v>9</v>
      </c>
      <c r="D16" s="561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62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2025-08-20T05:41:19Z</dcterms:modified>
</cp:coreProperties>
</file>