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EB132B1-2FF6-4D7D-B065-6D840A383F9A}" xr6:coauthVersionLast="36" xr6:coauthVersionMax="36" xr10:uidLastSave="{00000000-0000-0000-0000-000000000000}"/>
  <workbookProtection workbookPassword="EB34" lockStructure="1"/>
  <bookViews>
    <workbookView xWindow="-108" yWindow="-108" windowWidth="23256" windowHeight="12576" firstSheet="4" activeTab="6" xr2:uid="{00000000-000D-0000-FFFF-FFFF00000000}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91029"/>
</workbook>
</file>

<file path=xl/calcChain.xml><?xml version="1.0" encoding="utf-8"?>
<calcChain xmlns="http://schemas.openxmlformats.org/spreadsheetml/2006/main">
  <c r="H38" i="20" l="1"/>
  <c r="R38" i="20"/>
  <c r="G2" i="20"/>
  <c r="Q2" i="20"/>
  <c r="V2" i="20"/>
  <c r="AB2" i="20"/>
  <c r="I77" i="27"/>
  <c r="H2" i="27"/>
  <c r="P2" i="27"/>
  <c r="V2" i="27"/>
  <c r="I86" i="31"/>
  <c r="H2" i="31"/>
  <c r="P2" i="31"/>
  <c r="V2" i="31"/>
  <c r="I38" i="27"/>
  <c r="I177" i="31"/>
  <c r="I9" i="31"/>
  <c r="I52" i="27"/>
  <c r="I38" i="31"/>
  <c r="I20" i="27"/>
  <c r="I28" i="27"/>
  <c r="I9" i="27"/>
  <c r="I101" i="31"/>
  <c r="H36" i="20"/>
  <c r="R36" i="20"/>
  <c r="G2" i="17"/>
  <c r="Q2" i="17"/>
  <c r="V2" i="17"/>
  <c r="AB2" i="17"/>
  <c r="I31" i="31"/>
  <c r="G2" i="19"/>
  <c r="N2" i="19"/>
  <c r="T2" i="19"/>
  <c r="H30" i="20"/>
  <c r="R30" i="20"/>
  <c r="G2" i="22"/>
  <c r="Q2" i="22"/>
  <c r="V2" i="22"/>
  <c r="AB2" i="22"/>
  <c r="H10" i="17"/>
  <c r="R10" i="17"/>
  <c r="H9" i="17"/>
  <c r="R9" i="17"/>
  <c r="H15" i="19"/>
  <c r="H13" i="19"/>
  <c r="I117" i="31"/>
  <c r="I36" i="27"/>
  <c r="I82" i="27"/>
  <c r="I81" i="27"/>
  <c r="I80" i="27"/>
  <c r="I156" i="31"/>
  <c r="I140" i="31"/>
  <c r="I164" i="31"/>
  <c r="I134" i="31"/>
  <c r="I122" i="31"/>
  <c r="I144" i="31"/>
  <c r="I79" i="27"/>
  <c r="I176" i="31"/>
  <c r="I76" i="27"/>
  <c r="I75" i="27"/>
  <c r="I175" i="31"/>
  <c r="I174" i="31"/>
  <c r="I74" i="27"/>
  <c r="I70" i="27"/>
  <c r="H9" i="19"/>
  <c r="I73" i="27"/>
  <c r="I173" i="31"/>
  <c r="I172" i="31"/>
  <c r="I171" i="31"/>
  <c r="I170" i="31"/>
  <c r="I72" i="27"/>
  <c r="H9" i="20"/>
  <c r="R9" i="20"/>
  <c r="I50" i="31"/>
  <c r="I80" i="31"/>
  <c r="I68" i="31"/>
  <c r="I109" i="31"/>
  <c r="I61" i="27" l="1"/>
  <c r="I69" i="27"/>
  <c r="I169" i="31"/>
  <c r="I68" i="27"/>
  <c r="I67" i="27"/>
  <c r="I66" i="27"/>
  <c r="I65" i="27"/>
  <c r="I64" i="27"/>
  <c r="I168" i="31"/>
  <c r="I63" i="27"/>
  <c r="I60" i="27"/>
  <c r="I59" i="27" l="1"/>
  <c r="H16" i="19"/>
  <c r="I46" i="31"/>
  <c r="I58" i="27"/>
  <c r="I121" i="31"/>
  <c r="I51" i="27"/>
  <c r="I50" i="27"/>
  <c r="I116" i="31"/>
  <c r="I115" i="31"/>
  <c r="I49" i="27" l="1"/>
  <c r="I48" i="27"/>
  <c r="I47" i="27" l="1"/>
  <c r="I46" i="27"/>
  <c r="I49" i="31"/>
  <c r="I48" i="31"/>
  <c r="D13" i="21" l="1"/>
  <c r="G13" i="21" s="1"/>
  <c r="R8" i="20" l="1"/>
  <c r="H8" i="20"/>
  <c r="R8" i="22"/>
  <c r="H8" i="22"/>
  <c r="I8" i="27" l="1"/>
  <c r="J9" i="21" l="1"/>
  <c r="J13" i="21"/>
  <c r="M5" i="21" l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<sst xmlns="http://schemas.openxmlformats.org/spreadsheetml/2006/main" count="1434" uniqueCount="553">
  <si>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</si>
  <si>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</si>
  <si>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</si>
  <si>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</si>
  <si>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</si>
  <si>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</si>
  <si>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</si>
  <si>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</si>
  <si>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</si>
  <si>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</si>
  <si>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</si>
  <si>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</si>
  <si>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</si>
  <si>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</si>
  <si>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</si>
  <si>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</si>
  <si>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</si>
  <si>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</si>
  <si>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</si>
  <si>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</si>
  <si>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</si>
  <si>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</si>
  <si>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</si>
  <si>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</si>
  <si>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</si>
  <si>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</si>
  <si>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</si>
  <si>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</si>
  <si>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</si>
  <si>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</si>
  <si>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</si>
  <si>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</si>
  <si>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</si>
  <si>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</si>
  <si>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</si>
  <si>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</si>
  <si>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</si>
  <si>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</si>
  <si>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</si>
  <si>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</si>
  <si>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</si>
  <si>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</si>
  <si>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</si>
  <si>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</si>
  <si>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</si>
  <si>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</si>
  <si>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</si>
  <si>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</si>
  <si>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</si>
  <si>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</si>
  <si>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</si>
  <si>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</si>
  <si>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</si>
  <si>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</si>
  <si>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</si>
  <si>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</si>
  <si>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</si>
  <si>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</si>
  <si>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</si>
  <si>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</si>
  <si>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</si>
  <si>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</si>
  <si>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</si>
  <si>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</si>
  <si>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</si>
  <si>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</si>
  <si>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</si>
  <si>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</si>
  <si>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</si>
  <si>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</si>
  <si>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</si>
  <si>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</si>
  <si>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</si>
  <si>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</si>
  <si>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</si>
  <si>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</si>
  <si>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</si>
  <si>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</si>
  <si>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</si>
  <si>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</si>
  <si>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</si>
  <si>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</si>
  <si>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</si>
  <si>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</si>
  <si>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</si>
  <si>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</si>
  <si>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</si>
  <si>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</si>
  <si>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</si>
  <si>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</si>
  <si>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</si>
  <si>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</si>
  <si>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</si>
  <si>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</si>
  <si>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</si>
  <si>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</si>
  <si>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</si>
  <si>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</si>
  <si>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</si>
  <si>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</si>
  <si>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</si>
  <si>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</si>
  <si>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</si>
  <si>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</si>
  <si>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</si>
  <si>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</si>
  <si>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</si>
  <si>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</si>
  <si>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</si>
  <si>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</si>
  <si>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</si>
  <si>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</si>
  <si>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</si>
  <si>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</si>
  <si>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</si>
  <si>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</si>
  <si>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</si>
  <si>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</si>
  <si>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</si>
  <si>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</si>
  <si>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</si>
  <si>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</si>
  <si>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</si>
  <si>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</si>
  <si>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</si>
  <si>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</si>
  <si>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</si>
  <si>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</si>
  <si>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</si>
  <si>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</si>
  <si>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</si>
  <si>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</si>
  <si>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</si>
  <si>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</si>
  <si>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</si>
  <si>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</si>
  <si>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</si>
  <si>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</si>
  <si>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</si>
  <si>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</si>
  <si>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</si>
  <si>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</si>
  <si>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</si>
  <si>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</si>
  <si>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</si>
  <si>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</si>
  <si>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ПАО "ТНС энерго Кубань"</t>
  </si>
  <si>
    <t>ИП Калайчев Ш.С.</t>
  </si>
  <si>
    <t>АО "АТЭК"</t>
  </si>
  <si>
    <t>ФГКУ "УВО ВНГ России по Краснодарскому краю"</t>
  </si>
  <si>
    <t>ООО "Сигнал"</t>
  </si>
  <si>
    <t>ПАО "Ростелеком"</t>
  </si>
  <si>
    <t>ООО "Дезинфекция"</t>
  </si>
  <si>
    <t>№ 1770</t>
  </si>
  <si>
    <t>Поставка тепловой энергии</t>
  </si>
  <si>
    <t>ООО ЧОО "ЛЕГИОН"</t>
  </si>
  <si>
    <t>В течение не более, чем 7 рабочих дней с даты подписания заказчиком документа о приемке</t>
  </si>
  <si>
    <t>Услуги связи</t>
  </si>
  <si>
    <t>7707049388</t>
  </si>
  <si>
    <t>№ 19576/ТМ</t>
  </si>
  <si>
    <t>Услуги по обращению с твердыми  коммунальными отходами</t>
  </si>
  <si>
    <t>Услуги по холодному водоснабжению</t>
  </si>
  <si>
    <t>МУП ЖКХ "Поселковое"</t>
  </si>
  <si>
    <t>До 10 числа месяца, следующего за месяцем, в котором была оказана услуга</t>
  </si>
  <si>
    <t xml:space="preserve">До 18 числа текущего месяца 30%, за фактически потребленную до 25 числа месяца,следующего за расчетным </t>
  </si>
  <si>
    <t>Услуги по дератизации,  дезинсекции</t>
  </si>
  <si>
    <t>30% до 10 числа месяца, 40% до 25 числа месяца, остальное-до 18 числа месяца</t>
  </si>
  <si>
    <t>№ 23070500354</t>
  </si>
  <si>
    <t>2353002302</t>
  </si>
  <si>
    <t>2369000660</t>
  </si>
  <si>
    <t>ООО "КАНкорт"</t>
  </si>
  <si>
    <t>Услуги по выполнению  предрейсового и послерейсового медосмотра водителей и техосмотра автобусов</t>
  </si>
  <si>
    <t>в течение 10 рабочих дней с момента выставления счета и акта выполненных работ</t>
  </si>
  <si>
    <t>№ 14</t>
  </si>
  <si>
    <t>234602203000</t>
  </si>
  <si>
    <t>ИП Архангельский А.А.</t>
  </si>
  <si>
    <t>№ 14-И</t>
  </si>
  <si>
    <t>ООО "Тимашевское ПРТ райпо"</t>
  </si>
  <si>
    <t>в течение 10 рабочих дней с момента подписания Заказчиком акта оказанных услуг</t>
  </si>
  <si>
    <t>№ 14 ОВЗ</t>
  </si>
  <si>
    <t>в течение 10 рабочих дней с даты получения от  Поставщика документов о поставке товара и счета на оплату</t>
  </si>
  <si>
    <t>№ 14/2</t>
  </si>
  <si>
    <t>№ 4</t>
  </si>
  <si>
    <t>МБОУ СОШ № 14</t>
  </si>
  <si>
    <t xml:space="preserve">Оказание услуг по организации питания </t>
  </si>
  <si>
    <t>01.12.2023г.</t>
  </si>
  <si>
    <t>№ 423012478358</t>
  </si>
  <si>
    <t>25.12.2023г.</t>
  </si>
  <si>
    <t>с 01.01.2024г. по 31.12.2024г.</t>
  </si>
  <si>
    <t>в течение 10 рабочих дней с даты подписания Заказчиком документа о приемке оказанных услуг</t>
  </si>
  <si>
    <t>26.12.2023г.</t>
  </si>
  <si>
    <t>Услуги по поставке электроэнергии</t>
  </si>
  <si>
    <t>№ А-204</t>
  </si>
  <si>
    <t>Услуги по ТО станции системы пожарного мониторинга ПАК "Стрелец-мониторинг"</t>
  </si>
  <si>
    <t>в течение 10 банковских дней с даты подписания Сторонами акта сдачи-приемки выполненных работ</t>
  </si>
  <si>
    <t>№ А-203</t>
  </si>
  <si>
    <t>Услуги по ТО автоматических установок пожарной сигнализации</t>
  </si>
  <si>
    <t>08183000199230003700001</t>
  </si>
  <si>
    <t>233235301532623530100100120015629244</t>
  </si>
  <si>
    <t>0818300019923000370</t>
  </si>
  <si>
    <t>26 декабря 2023г.</t>
  </si>
  <si>
    <t>с 09.01.2024г. по 22.03.2024г.</t>
  </si>
  <si>
    <t>233235301532623530100100140018010244</t>
  </si>
  <si>
    <t>08183000199230003740001</t>
  </si>
  <si>
    <t>0818300019923000374</t>
  </si>
  <si>
    <t>Услуги частной охраны</t>
  </si>
  <si>
    <t>с 01.01.2024г. по 26.06.2024г.</t>
  </si>
  <si>
    <t>В течение не более 7 (семи) рабочих дней с даты подписания Заказчиком документа о приемке</t>
  </si>
  <si>
    <t>АО "Мусороуборочная компания"</t>
  </si>
  <si>
    <t>с 01.01.2024г. по 30.06.2024г.</t>
  </si>
  <si>
    <t>До 10 числа месяца, следующего за расчетным месяцем, на основании счетов к оплате</t>
  </si>
  <si>
    <t>№ 25</t>
  </si>
  <si>
    <t>27.12.2023г.</t>
  </si>
  <si>
    <t>Услуги по поставке нефтепродуктов</t>
  </si>
  <si>
    <t>с 01.01.2024г. по 29.02.2024г.</t>
  </si>
  <si>
    <t>№ 14/24</t>
  </si>
  <si>
    <t>Услуги по техническому сопровождению бортового оборудования спутниковой навигации</t>
  </si>
  <si>
    <t>№ ДГ-24/62</t>
  </si>
  <si>
    <t>в течение 10 рабочих дней с момента подписания Заказчиком акта выполненных работ</t>
  </si>
  <si>
    <t>№ РУ-00_УС-496</t>
  </si>
  <si>
    <t>28.12.2023г.</t>
  </si>
  <si>
    <t>Услуги по стоянке транспортных средств</t>
  </si>
  <si>
    <t>2353016552</t>
  </si>
  <si>
    <t>ОАО САФ "Русь"</t>
  </si>
  <si>
    <t>№ РУ-00_МТО-497</t>
  </si>
  <si>
    <t>муниципальная программа "Развитие образования"</t>
  </si>
  <si>
    <t>Услуги по организации горячего питания уч-ся 5-11 кл.</t>
  </si>
  <si>
    <t>Услуги по организации горячего питания уч-ся с ОВЗ</t>
  </si>
  <si>
    <t>Услуги по организации горячего питания уч-ся инвалидов</t>
  </si>
  <si>
    <t>№ 14 СВО</t>
  </si>
  <si>
    <t>Услуги по организации горячего питания уч-ся детей СВО</t>
  </si>
  <si>
    <t>№ 34000976</t>
  </si>
  <si>
    <t>Услуги по охране объекта</t>
  </si>
  <si>
    <t>в течение 10 рабочих дней с даты подписания Заказчиком документов о приемке оказанных услуг</t>
  </si>
  <si>
    <t>№ 1982</t>
  </si>
  <si>
    <t>Услуги по неисключительному праву использования программы для ЭВМ</t>
  </si>
  <si>
    <t>с 09.01.2024г. по 31.12.2024г.</t>
  </si>
  <si>
    <t>№ 22-01/2024</t>
  </si>
  <si>
    <t>22.01.2024г.</t>
  </si>
  <si>
    <t>Услуги по ремонту автобуса</t>
  </si>
  <si>
    <t>235303782209</t>
  </si>
  <si>
    <t>ИП Пастухов Б.П.</t>
  </si>
  <si>
    <t>с 22.01.2024г. по 31.12.2024г.</t>
  </si>
  <si>
    <t>не более 10 рабочих дней со дня подписания Заказчиком документа о приемке оказанных услуг и предоставления Исполнителем документа на оплату</t>
  </si>
  <si>
    <t>№ 37</t>
  </si>
  <si>
    <t>31.01.2024г.</t>
  </si>
  <si>
    <t>Услуги по перезарядке и ремонту огнетушителей</t>
  </si>
  <si>
    <t>с 31.01.2024г. по 15.12.2024г.</t>
  </si>
  <si>
    <t xml:space="preserve">с 01.01.2024г. по         31.12.2024г. </t>
  </si>
  <si>
    <t>16 января 2024г.</t>
  </si>
  <si>
    <t>18 января 2024г.</t>
  </si>
  <si>
    <t>01 января 2024г.</t>
  </si>
  <si>
    <t>09.01.2024г.</t>
  </si>
  <si>
    <t>05.02.2024г.</t>
  </si>
  <si>
    <t>№ 05-02/2024</t>
  </si>
  <si>
    <t>с 05.02.2024г. по 31.12.2024г.</t>
  </si>
  <si>
    <t>12 февраля 2024г.</t>
  </si>
  <si>
    <t>31 января 2024г.</t>
  </si>
  <si>
    <t>13 февраля 2024г.</t>
  </si>
  <si>
    <t>14 февраля 2024г.</t>
  </si>
  <si>
    <t>26 января 2024г.</t>
  </si>
  <si>
    <t>02 февраля 2024г.</t>
  </si>
  <si>
    <t>06 февраля 2024г.</t>
  </si>
  <si>
    <t>16 февраля 2024г.</t>
  </si>
  <si>
    <t>27 февраля 2024г.</t>
  </si>
  <si>
    <t>21 февраля 2024г.</t>
  </si>
  <si>
    <t>01 февраля 2024г.</t>
  </si>
  <si>
    <t>23 января 2024г.</t>
  </si>
  <si>
    <t>05 февраля 2024г.</t>
  </si>
  <si>
    <t>07 февраля 2024г.</t>
  </si>
  <si>
    <t>08 февраля 2024г.</t>
  </si>
  <si>
    <t>09 февраля 2024г.</t>
  </si>
  <si>
    <t>15 февраля 2024г.</t>
  </si>
  <si>
    <t>с 01.12.2023г. по 31.12.2023г.</t>
  </si>
  <si>
    <t>29 декабря 2024г.</t>
  </si>
  <si>
    <t>№ 15-02/2024</t>
  </si>
  <si>
    <t>15.02.2024г.</t>
  </si>
  <si>
    <t>№ 03-04/2024</t>
  </si>
  <si>
    <t>16.02.2024г.</t>
  </si>
  <si>
    <t>Услуги по оценке рыночной стоимости права аренды муниципального имущества</t>
  </si>
  <si>
    <t xml:space="preserve">Союз "Тимашевская межрайонная торгово-промышленная палата" </t>
  </si>
  <si>
    <t>с 16.02.2024г. по 31.12.2024г.</t>
  </si>
  <si>
    <t>с 15.02.2024г. по 31.12.2024г.</t>
  </si>
  <si>
    <t>№ 130</t>
  </si>
  <si>
    <t>Образовательные услуги</t>
  </si>
  <si>
    <t>2310980339</t>
  </si>
  <si>
    <t>НЧОУ ДПО "Учебный центр "Персонал-Ресурс"</t>
  </si>
  <si>
    <t>не более 10 (десяти) рабочих дней, с даты подписания Заказчиком документа о приемке оказанных услуг и предоставления Исполнителем документа на оплату</t>
  </si>
  <si>
    <t>А0114044</t>
  </si>
  <si>
    <t>Поставка учебной литературы</t>
  </si>
  <si>
    <t>АО "Издательство"Просвещение"</t>
  </si>
  <si>
    <t xml:space="preserve">в течение 10 рабочих дней со дня подписания Заказчиком УПД (товарной накладной), сформированного Поставщиком в системе электронного документооборота (ЭДО). </t>
  </si>
  <si>
    <t>№ 26</t>
  </si>
  <si>
    <t>01.03.2024г.</t>
  </si>
  <si>
    <t>с 01.03.2024г. по 30.06.2024г.</t>
  </si>
  <si>
    <t xml:space="preserve"> </t>
  </si>
  <si>
    <t>04.03.2024г.</t>
  </si>
  <si>
    <t>Услуги по поставке шин</t>
  </si>
  <si>
    <t>ООО "Навигатор Плюс"</t>
  </si>
  <si>
    <t>с 04.03.2024г. по 31.12.2024г.</t>
  </si>
  <si>
    <t>не более 10 рабочих дней с момента подписания Заказчиком документа о приемке товара и представления Поставщиком документа на оплату</t>
  </si>
  <si>
    <t>№ 210012508345</t>
  </si>
  <si>
    <t>АО "ГЛОНАСС"</t>
  </si>
  <si>
    <t>Услуги по идентификации АСН в ГАИС "ЭРА-ГЛОНАСС"</t>
  </si>
  <si>
    <t>7703383783</t>
  </si>
  <si>
    <t>в течение 10 рабочих дней со дня подписания акта оказанных услуг</t>
  </si>
  <si>
    <t>№ 04-03/2024</t>
  </si>
  <si>
    <t>в течение 7 (семи) рабочих дней с даты подписания Абонентом Акта или УПД за истекший Расчетный период</t>
  </si>
  <si>
    <t>в течение 10 (десяти) рабочих дней со дня подписания Акта сдачи-приемки оказанных услуг и выставления Исполнителем счета на оплату</t>
  </si>
  <si>
    <t>04 марта 2024г.</t>
  </si>
  <si>
    <t>01 марта 2024г.</t>
  </si>
  <si>
    <t>18 марта 2024г.</t>
  </si>
  <si>
    <t>29 февраля 2024г.</t>
  </si>
  <si>
    <t>06 марта 2024г.</t>
  </si>
  <si>
    <t>07 марта 2024г.</t>
  </si>
  <si>
    <t>05 марта 2024г.</t>
  </si>
  <si>
    <t>11 марта 2024г.</t>
  </si>
  <si>
    <t>13 марта 2024г.</t>
  </si>
  <si>
    <t>14 марта 2024г.</t>
  </si>
  <si>
    <t>28 февраля 2024г.</t>
  </si>
  <si>
    <t>20 февраля 2024г.</t>
  </si>
  <si>
    <t>19 марта 2024г.</t>
  </si>
  <si>
    <t>А0119137</t>
  </si>
  <si>
    <t>21.03.2024г.</t>
  </si>
  <si>
    <t>с 21.03.2024г. по 27.08.2024г.</t>
  </si>
  <si>
    <t>с 15.03.2024г. по 27.08.2024г.</t>
  </si>
  <si>
    <t>А0119138</t>
  </si>
  <si>
    <t>12 марта 2024г.</t>
  </si>
  <si>
    <t>20 марта 2024г.</t>
  </si>
  <si>
    <t>25 марта 2024г.</t>
  </si>
  <si>
    <t>26 марта 2024г.</t>
  </si>
  <si>
    <t>Соглашение о расторжении б/н от 11.03.2024г.</t>
  </si>
  <si>
    <t>№ 23-11406</t>
  </si>
  <si>
    <t>20.03.2024г.</t>
  </si>
  <si>
    <t>Услуги по изготовлению и поставке полиграфической продукции</t>
  </si>
  <si>
    <t>7706526550</t>
  </si>
  <si>
    <t>ООО "СпецБланк-Москва"</t>
  </si>
  <si>
    <t>с 20.03.2024г. по 29.04.2024г.</t>
  </si>
  <si>
    <t>в течение 7-ми (семи) рабочих дней с момента получения Продукции, счета-фактуры, накладной и акта сдачи-приемки</t>
  </si>
  <si>
    <t>№ 01-04/2024</t>
  </si>
  <si>
    <t>01.04.2024г.</t>
  </si>
  <si>
    <t>с 01.04.2024г. по 31.12.2024г.</t>
  </si>
  <si>
    <t>№ 328</t>
  </si>
  <si>
    <t>08.04.2024г.</t>
  </si>
  <si>
    <t>Приобретение тахографа и услуги по активации и настройке тахографа</t>
  </si>
  <si>
    <t>с 08.04.2024г. по 31.12.2024г.</t>
  </si>
  <si>
    <t>в течение 10 (десяти) рабочих дней с момента подписания "Покупателем" ("Заказчиком") Акта выполненных работ и товарной накладной, а так же предоставления "Поставщиком" ("Исполнителем") счета на оплату.</t>
  </si>
  <si>
    <t>№ К048108/24</t>
  </si>
  <si>
    <t>09.04.2024г.</t>
  </si>
  <si>
    <t>Услуги по неисключительному праву использования программы Контур.Диадок</t>
  </si>
  <si>
    <t>6663003127</t>
  </si>
  <si>
    <t>АО "ПФ "СКБ Контур"</t>
  </si>
  <si>
    <t>с 09.04.2024г. по 09.04.2025г.</t>
  </si>
  <si>
    <t>в течение 10 (десяти) рабочих дней с даты подписания Сторонами акта сдачи-приемки оказанных услуг и предоставления Исполнителем документа на оплату.</t>
  </si>
  <si>
    <t>№  14</t>
  </si>
  <si>
    <t>04.04.2024г.</t>
  </si>
  <si>
    <t>Услуги по ремонту мясорубки</t>
  </si>
  <si>
    <t>ИП Рысин А.В.</t>
  </si>
  <si>
    <t>с 04.04.2024г. по 31.12.2024г.</t>
  </si>
  <si>
    <t>в течении 10 рабочих дней с даты подписания Заказчиком акта о выполненных работах (оказанных услугах) и представления Исполнителем документа на оплату.</t>
  </si>
  <si>
    <t>Дополнительное соглашение № 1 от 21.03.2024г.</t>
  </si>
  <si>
    <t>№ 14 И</t>
  </si>
  <si>
    <t>с 01.04.2024г. по 24.05.2024г.</t>
  </si>
  <si>
    <t>Услуги по организации горячего питания (5-11 кл.)</t>
  </si>
  <si>
    <t>№ 94</t>
  </si>
  <si>
    <t>15.04.2024г.</t>
  </si>
  <si>
    <t>Услуги по проверке и очистке вентиляции</t>
  </si>
  <si>
    <t>с 15.04.2024г. по 22.04.2024г.</t>
  </si>
  <si>
    <t>в течение 10 рабочих дней с момента выставления счета и подписания Акта о приемке выполненных работ</t>
  </si>
  <si>
    <t>№ 14-Л</t>
  </si>
  <si>
    <t>10.04.2024г.</t>
  </si>
  <si>
    <t>с 27.05.2024г. по 16.06.2024г.</t>
  </si>
  <si>
    <t>Услуги по организации горячего питания 1-4 кл.(стоимость питания)</t>
  </si>
  <si>
    <t>Услуги по организации горячего питания 1-4 кл.(стоимость услуги)</t>
  </si>
  <si>
    <t>№ 17-04/2024</t>
  </si>
  <si>
    <t>17.04.2024г.</t>
  </si>
  <si>
    <t>№ 1027</t>
  </si>
  <si>
    <t>18.04.2024г.</t>
  </si>
  <si>
    <t>с 17.04.2024г. по 27.04.2024г.</t>
  </si>
  <si>
    <t>Услуги по подготовке журнала движения отходов</t>
  </si>
  <si>
    <t>2353023292</t>
  </si>
  <si>
    <t>ООО "Экопроект"</t>
  </si>
  <si>
    <t>с 18.04.2024г. по 31.12.2024г.</t>
  </si>
  <si>
    <t>в течение 7 дней с момента подписания Заказчиком документа и оказания услуг Исполнителем</t>
  </si>
  <si>
    <t xml:space="preserve">№ 20 </t>
  </si>
  <si>
    <t>Услуги по поставке учебно-педагогической документации</t>
  </si>
  <si>
    <t>ООО "Краснодарский учколлектор"</t>
  </si>
  <si>
    <t>с 10.04.2024г. по 12.08.2024г.</t>
  </si>
  <si>
    <t>в течение 10 (десяти) рабочих дней с момента подписания Сторонами документов</t>
  </si>
  <si>
    <t>25.04.2024г.</t>
  </si>
  <si>
    <t>№ 25-04/2024-1</t>
  </si>
  <si>
    <t>с 25.04.2024г. по 05.05.2024г.</t>
  </si>
  <si>
    <t>№ 73/24</t>
  </si>
  <si>
    <t>№ 73-1/24</t>
  </si>
  <si>
    <t>Услуги по проведению медосмотров работников</t>
  </si>
  <si>
    <t>2353006498</t>
  </si>
  <si>
    <t>ГБУЗ "Тимашевская ЦРБ" МЗ КК</t>
  </si>
  <si>
    <t>с 04.04.2024г. по 28.12.2024г.</t>
  </si>
  <si>
    <t>в течение 7 рабочих дней с даты подписания обеими сторонами Акта об оказании услуг</t>
  </si>
  <si>
    <t>01 апреля 2024г.</t>
  </si>
  <si>
    <t>16 апреля 2024г.</t>
  </si>
  <si>
    <t>02 апреля 2024г.</t>
  </si>
  <si>
    <t>31 марта 2024г.</t>
  </si>
  <si>
    <t>29 марта 2024г.</t>
  </si>
  <si>
    <t>05 апреля 2024г.</t>
  </si>
  <si>
    <t>10 апреля 2024г.</t>
  </si>
  <si>
    <t>08 апреля 2024г.</t>
  </si>
  <si>
    <t>11 апреля 2024г.</t>
  </si>
  <si>
    <t>12 апреля 2024г.</t>
  </si>
  <si>
    <t>18 апреля 2024г.</t>
  </si>
  <si>
    <t>23 апреля 2024г.</t>
  </si>
  <si>
    <t>17 апреля 2024г.</t>
  </si>
  <si>
    <t>27 апреля 2024г.</t>
  </si>
  <si>
    <t>25 апреля 2024г.</t>
  </si>
  <si>
    <t>Дополнительное соглашение № 2 от 15.04.2024г.</t>
  </si>
  <si>
    <t>№ 20/24</t>
  </si>
  <si>
    <t>Услуги по ассенизации</t>
  </si>
  <si>
    <t>2333011443</t>
  </si>
  <si>
    <t>ООО "Водоканал"</t>
  </si>
  <si>
    <t>с 25.04.2024г. по 31.12.2024г.</t>
  </si>
  <si>
    <t>в течение 10 рабочих дней с момента принятия услуг от Исполнителя</t>
  </si>
  <si>
    <t>22 марта 2024г.</t>
  </si>
  <si>
    <t>28 марта 2024г.</t>
  </si>
  <si>
    <t>24 апреля 2024г.</t>
  </si>
  <si>
    <t>19 апреля 2024г.</t>
  </si>
  <si>
    <t>26 апреля 2024г.</t>
  </si>
  <si>
    <t>№ 143</t>
  </si>
  <si>
    <t>13.05.2024г.</t>
  </si>
  <si>
    <t>2335015884</t>
  </si>
  <si>
    <t>ЧОУ ДПО Учебный центр "Кореновский"</t>
  </si>
  <si>
    <t xml:space="preserve">с 13.05.2024г. по 17.05.2024г. </t>
  </si>
  <si>
    <t>в течение 10 рабочих дней с момента подписания акта оказанных услуг</t>
  </si>
  <si>
    <t>№ АТ00-14</t>
  </si>
  <si>
    <t>15.05.2024г.</t>
  </si>
  <si>
    <t>Услуги по выдаче сартификатов ключей проверки электронных подписей</t>
  </si>
  <si>
    <t>ООО "АйТи Мониторинг"</t>
  </si>
  <si>
    <t>в течение 10 (десяти) рабочих дней с даты подписания акта выполненных работ Заказчиком и получения документов на оплату от Исполнителя</t>
  </si>
  <si>
    <t>с 15.05.2024г. по 15.05.2025г.</t>
  </si>
  <si>
    <t>№ 19</t>
  </si>
  <si>
    <t>20.05.2024г.</t>
  </si>
  <si>
    <t>Услуги по техническому обслуживанию и ремонту  транспортных средств</t>
  </si>
  <si>
    <t>ИП Аполонов А.А.</t>
  </si>
  <si>
    <t>с 20.05.2024г. по 31.12.2024г.</t>
  </si>
  <si>
    <t>в течение 10 (десяти) рабочих дней с момента подписания акта выполненных работ Заказчиком и получения документов на оплату от Исполнителя</t>
  </si>
  <si>
    <t>№ 14/23/К</t>
  </si>
  <si>
    <t>22.05.2024г.</t>
  </si>
  <si>
    <t>Услуги по профилактической дезинсекции открытой территории школы</t>
  </si>
  <si>
    <t>с 22.05.2024г. по 31.08.2024г.</t>
  </si>
  <si>
    <t>с 01.07.2024г. по 31.12.2024г.</t>
  </si>
  <si>
    <t>Дополнительное соглашение № 1 от 24.05.2024г.</t>
  </si>
  <si>
    <t>№ 28-05/2024</t>
  </si>
  <si>
    <t>28.05.2024г.</t>
  </si>
  <si>
    <t>с 28.05.2024г. по 07.06.2024г.</t>
  </si>
  <si>
    <t>Соглашение о расторжении б/н от 03.05.2024г.</t>
  </si>
  <si>
    <t>30 апреля 2024г.</t>
  </si>
  <si>
    <t>03 мая 2024г.</t>
  </si>
  <si>
    <t>02 мая 2024г.</t>
  </si>
  <si>
    <t>01 мая 2024г.</t>
  </si>
  <si>
    <t>16 мая 2024г.</t>
  </si>
  <si>
    <t>08 мая 2024г.</t>
  </si>
  <si>
    <t>13 мая 2024г.</t>
  </si>
  <si>
    <t>15 мая 2024г.</t>
  </si>
  <si>
    <t>15 апреля 2024г.</t>
  </si>
  <si>
    <t>17 мая 2024г.</t>
  </si>
  <si>
    <t>20 мая 2024г.</t>
  </si>
  <si>
    <t>24 мая 2024г.</t>
  </si>
  <si>
    <t>28 мая 2024г.</t>
  </si>
  <si>
    <t>25 мая 2024г.</t>
  </si>
  <si>
    <t>31 мая 2024г.</t>
  </si>
  <si>
    <t>23 мая 2024г.</t>
  </si>
  <si>
    <t>5348/220</t>
  </si>
  <si>
    <t>03.06.2024г.</t>
  </si>
  <si>
    <t>Услуги по поставке периодических печатных изданий</t>
  </si>
  <si>
    <t>7724490000</t>
  </si>
  <si>
    <t>АО "Почта России"</t>
  </si>
  <si>
    <t>с 01.07.2024г. по 30.12.2024г.</t>
  </si>
  <si>
    <t>авансовый платеж в размере 100% перечисляется на расчетный счет Поставщика в течение 7 рабочих дней с даты заключения настоящего Контракта</t>
  </si>
  <si>
    <t>№ 14/1-Л</t>
  </si>
  <si>
    <t>21.05.2024г.</t>
  </si>
  <si>
    <t>31.05.2024г.</t>
  </si>
  <si>
    <t>24.05.2024г.</t>
  </si>
  <si>
    <t>Услуги по организации питания в летнем лагере</t>
  </si>
  <si>
    <t>Услуги по приготовлению питания в летнем лагере</t>
  </si>
  <si>
    <t>Дополнительное соглашение № 3 от 15.05.2024г.</t>
  </si>
  <si>
    <t>102/24</t>
  </si>
  <si>
    <t>102-1/24</t>
  </si>
  <si>
    <t>с 03.06.2024г. по 28.12.2024г.</t>
  </si>
  <si>
    <t>№ 20</t>
  </si>
  <si>
    <t>18.06.2024г.</t>
  </si>
  <si>
    <t>с 18.06.2024г. по 31.12.2024г.</t>
  </si>
  <si>
    <t>25.06.2024г.</t>
  </si>
  <si>
    <t>Экскурсионные услуги</t>
  </si>
  <si>
    <t>2353016418</t>
  </si>
  <si>
    <t>МРО Православный  Приход храма Вознесения Господня г.Тимашевска КК Ейской Епархии Русской Православной Церкви (Московский Патриархат)</t>
  </si>
  <si>
    <t>с 25.06.2024г. по 31.12.2024г.</t>
  </si>
  <si>
    <t>не позднее 10 календарных дней с момента подписания Заказчиком документа о приемке услуг и предоставления Исполнителем документов на оплату</t>
  </si>
  <si>
    <t>№ 1/2024/16</t>
  </si>
  <si>
    <t>21.06.2024г.</t>
  </si>
  <si>
    <t>Услуги по показу музейных коллекций с экскурсионным обслживанием</t>
  </si>
  <si>
    <t>2310052884</t>
  </si>
  <si>
    <t>ГБУК КК "КГИАМЗ им.Е.Д.Фелицына"</t>
  </si>
  <si>
    <t>с 21.06.2024г. по 30.09.2024г.</t>
  </si>
  <si>
    <t>30% предоплаты в течение 5 (пяти) рабочих дней со дня получения счета а оплату.Окончательный расчет в течение 5 (пяти) рабочих дней с момента подписания Заказчиком акта оказанных услуг.</t>
  </si>
  <si>
    <t>05 июня 2024г.</t>
  </si>
  <si>
    <t xml:space="preserve">ООО "Тимашевское ПРТ райпо" </t>
  </si>
  <si>
    <t>03 июня 2024г.</t>
  </si>
  <si>
    <t>04 июня 2024г.</t>
  </si>
  <si>
    <t>10 июня 2024г.</t>
  </si>
  <si>
    <t>18 июня 2024г.</t>
  </si>
  <si>
    <t>01 июня 2024г.</t>
  </si>
  <si>
    <t>19 июня 2024г.</t>
  </si>
  <si>
    <t>21 июня 2024г.</t>
  </si>
  <si>
    <t>17 июня 2024г.</t>
  </si>
  <si>
    <t>13 июня2024г.</t>
  </si>
  <si>
    <t>02 июня 2024г.</t>
  </si>
  <si>
    <t>243235301532623530100100150008010244</t>
  </si>
  <si>
    <t>27 июня 2024г.</t>
  </si>
  <si>
    <t>08183000199240001890001</t>
  </si>
  <si>
    <t>с 27.06.2024г. по 25.09.2024г.</t>
  </si>
  <si>
    <t>30 июня 2024г.</t>
  </si>
  <si>
    <t>Дополнительное соглашение № 4 от 14.06.2024г.</t>
  </si>
  <si>
    <t>0818300019924000189</t>
  </si>
  <si>
    <t>243235301532623530100100160015629244</t>
  </si>
  <si>
    <t>0818300019924000193</t>
  </si>
  <si>
    <t>08183000199240001930001</t>
  </si>
  <si>
    <t>с 02.09.2024г. по 24.12.2024г.</t>
  </si>
  <si>
    <t>№ 27</t>
  </si>
  <si>
    <t>01.07.2024г.</t>
  </si>
  <si>
    <t>235300578903</t>
  </si>
  <si>
    <t>с 01.07.2024г. по 30.11.2024г.</t>
  </si>
  <si>
    <t>в течение 10 рабочих дней с даты получения от Поставщика документов о поставке товара и счета на оплату</t>
  </si>
  <si>
    <t>№СП013784/24</t>
  </si>
  <si>
    <t>Сертификат-электронный документ</t>
  </si>
  <si>
    <t>6673240328</t>
  </si>
  <si>
    <t>ООО "Сертум -Про"</t>
  </si>
  <si>
    <t>10.072024г. по 31.12.2024г.</t>
  </si>
  <si>
    <t>в течение 10 рабочих дней после подписания акта сдачи или УПД и получения документов на оплату</t>
  </si>
  <si>
    <t>№К211985/24</t>
  </si>
  <si>
    <t>Неисключительное право использования системы и услуги технической поддержки</t>
  </si>
  <si>
    <t>"СКБ "Контур"</t>
  </si>
  <si>
    <t>18.07.2024г. по 31.12.2024г.</t>
  </si>
  <si>
    <t xml:space="preserve">в течение 10 рабочих дней после подписания акта сдачи </t>
  </si>
  <si>
    <t>01 июля 2024 г.</t>
  </si>
  <si>
    <t>2304067057</t>
  </si>
  <si>
    <t>ООО ЧОО "Легион"</t>
  </si>
  <si>
    <t>в срок не более 7 рабочих дней с даты подписания заказчиком документа о приемке</t>
  </si>
  <si>
    <t>с 27.06.2024 г. по 25.09.2024 г.</t>
  </si>
  <si>
    <t>c 01.01.2024 г. по 26.06.2024 г.</t>
  </si>
  <si>
    <t>91.07.2024</t>
  </si>
  <si>
    <t>№24</t>
  </si>
  <si>
    <t>Ремонрт наружного водопровода</t>
  </si>
  <si>
    <t>ИП Каракай С.В.</t>
  </si>
  <si>
    <t>с 21.08.2024г. по 10.09.2024г.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</si>
</sst>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6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0" fontId="1" fillId="18" borderId="20" xfId="0" applyFont="1" applyFill="1" applyBorder="1" applyAlignment="1" applyProtection="1">
      <alignment horizontal="center" vertical="center" wrapText="1"/>
      <protection locked="0"/>
    </xf>
    <xf numFmtId="49" fontId="1" fillId="18" borderId="20" xfId="0" applyNumberFormat="1" applyFont="1" applyFill="1" applyBorder="1" applyAlignment="1">
      <alignment horizontal="center" vertical="center" wrapText="1"/>
    </xf>
    <xf numFmtId="49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>
      <alignment horizontal="center" vertical="center" wrapText="1"/>
    </xf>
    <xf numFmtId="16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>
      <alignment horizontal="center" vertical="center" wrapText="1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>
      <alignment horizontal="center" vertical="center" wrapText="1"/>
    </xf>
    <xf numFmtId="0" fontId="1" fillId="18" borderId="21" xfId="0" applyFont="1" applyFill="1" applyBorder="1" applyAlignment="1" applyProtection="1">
      <alignment horizontal="center" vertical="center" wrapText="1"/>
      <protection locked="0"/>
    </xf>
    <xf numFmtId="168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>
      <alignment horizontal="center" vertical="center" wrapText="1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>
      <alignment horizontal="center" vertical="center" wrapText="1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>
      <alignment horizontal="center" vertical="center" wrapText="1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>
      <alignment horizontal="center" vertical="center" wrapText="1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>
      <alignment horizontal="center" vertical="center" wrapText="1"/>
    </xf>
    <xf numFmtId="1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4" xfId="0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6" xfId="0" applyNumberFormat="1" applyFont="1" applyBorder="1" applyAlignment="1" applyProtection="1">
      <alignment horizontal="center" vertical="center" wrapText="1"/>
      <protection locked="0"/>
    </xf>
    <xf numFmtId="165" fontId="1" fillId="0" borderId="26" xfId="0" applyNumberFormat="1" applyFont="1" applyBorder="1" applyAlignment="1" applyProtection="1">
      <alignment horizontal="center" vertical="center" wrapText="1"/>
      <protection locked="0"/>
    </xf>
    <xf numFmtId="49" fontId="1" fillId="0" borderId="26" xfId="0" applyNumberFormat="1" applyFont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6" xfId="0" applyNumberFormat="1" applyFont="1" applyBorder="1" applyAlignment="1" applyProtection="1">
      <alignment horizontal="center" vertical="center" wrapText="1"/>
      <protection locked="0"/>
    </xf>
    <xf numFmtId="0" fontId="1" fillId="18" borderId="27" xfId="0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>
      <alignment horizontal="center" vertical="center" wrapText="1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>
      <alignment horizontal="center" vertical="center" wrapText="1"/>
    </xf>
    <xf numFmtId="168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9" xfId="0" applyNumberFormat="1" applyFont="1" applyBorder="1" applyAlignment="1" applyProtection="1">
      <alignment horizontal="center" vertical="center" wrapText="1"/>
      <protection locked="0"/>
    </xf>
    <xf numFmtId="165" fontId="1" fillId="0" borderId="29" xfId="0" applyNumberFormat="1" applyFont="1" applyBorder="1" applyAlignment="1" applyProtection="1">
      <alignment horizontal="center" vertical="center" wrapText="1"/>
      <protection locked="0"/>
    </xf>
    <xf numFmtId="49" fontId="1" fillId="0" borderId="29" xfId="0" applyNumberFormat="1" applyFont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9" xfId="0" applyNumberFormat="1" applyFont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1" xfId="0" applyNumberFormat="1" applyFont="1" applyBorder="1" applyAlignment="1" applyProtection="1">
      <alignment horizontal="center" vertical="center" wrapText="1"/>
      <protection locked="0"/>
    </xf>
    <xf numFmtId="165" fontId="1" fillId="0" borderId="31" xfId="0" applyNumberFormat="1" applyFont="1" applyBorder="1" applyAlignment="1" applyProtection="1">
      <alignment horizontal="center" vertical="center" wrapText="1"/>
      <protection locked="0"/>
    </xf>
    <xf numFmtId="49" fontId="1" fillId="0" borderId="31" xfId="0" applyNumberFormat="1" applyFont="1" applyBorder="1" applyAlignment="1" applyProtection="1">
      <alignment horizontal="center" vertical="center" wrapText="1"/>
      <protection locked="0"/>
    </xf>
    <xf numFmtId="4" fontId="1" fillId="0" borderId="32" xfId="0" applyNumberFormat="1" applyFont="1" applyBorder="1" applyAlignment="1" applyProtection="1">
      <alignment horizontal="center" vertical="center" wrapText="1"/>
      <protection locked="0"/>
    </xf>
    <xf numFmtId="165" fontId="1" fillId="0" borderId="32" xfId="0" applyNumberFormat="1" applyFont="1" applyBorder="1" applyAlignment="1" applyProtection="1">
      <alignment horizontal="center" vertical="center" wrapText="1"/>
      <protection locked="0"/>
    </xf>
    <xf numFmtId="49" fontId="1" fillId="0" borderId="32" xfId="0" applyNumberFormat="1" applyFont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1" xfId="0" applyNumberFormat="1" applyFont="1" applyBorder="1" applyAlignment="1" applyProtection="1">
      <alignment horizontal="center" vertical="center" wrapText="1"/>
      <protection locked="0"/>
    </xf>
    <xf numFmtId="14" fontId="1" fillId="0" borderId="32" xfId="0" applyNumberFormat="1" applyFont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>
      <alignment horizontal="center" vertical="center" wrapText="1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>
      <alignment horizontal="center" vertical="center" wrapText="1"/>
    </xf>
    <xf numFmtId="16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4" xfId="0" applyNumberFormat="1" applyFont="1" applyBorder="1" applyAlignment="1" applyProtection="1">
      <alignment horizontal="center" vertical="center" wrapText="1"/>
      <protection locked="0"/>
    </xf>
    <xf numFmtId="165" fontId="1" fillId="0" borderId="34" xfId="0" applyNumberFormat="1" applyFont="1" applyBorder="1" applyAlignment="1" applyProtection="1">
      <alignment horizontal="center" vertical="center" wrapText="1"/>
      <protection locked="0"/>
    </xf>
    <xf numFmtId="4" fontId="1" fillId="0" borderId="35" xfId="0" applyNumberFormat="1" applyFont="1" applyBorder="1" applyAlignment="1" applyProtection="1">
      <alignment horizontal="center" vertical="center" wrapText="1"/>
      <protection locked="0"/>
    </xf>
    <xf numFmtId="165" fontId="1" fillId="0" borderId="35" xfId="0" applyNumberFormat="1" applyFont="1" applyBorder="1" applyAlignment="1" applyProtection="1">
      <alignment horizontal="center" vertical="center" wrapText="1"/>
      <protection locked="0"/>
    </xf>
    <xf numFmtId="49" fontId="1" fillId="0" borderId="35" xfId="0" applyNumberFormat="1" applyFont="1" applyBorder="1" applyAlignment="1" applyProtection="1">
      <alignment horizontal="center" vertical="center" wrapText="1"/>
      <protection locked="0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4" xfId="0" applyNumberFormat="1" applyFont="1" applyBorder="1" applyAlignment="1" applyProtection="1">
      <alignment horizontal="center" vertical="center" wrapText="1"/>
      <protection locked="0"/>
    </xf>
    <xf numFmtId="14" fontId="1" fillId="0" borderId="35" xfId="0" applyNumberFormat="1" applyFont="1" applyBorder="1" applyAlignment="1" applyProtection="1">
      <alignment horizontal="center" vertical="center" wrapText="1"/>
      <protection locked="0"/>
    </xf>
    <xf numFmtId="0" fontId="1" fillId="18" borderId="36" xfId="0" applyFont="1" applyFill="1" applyBorder="1" applyAlignment="1" applyProtection="1">
      <alignment horizontal="center" vertical="center" wrapText="1"/>
      <protection locked="0"/>
    </xf>
    <xf numFmtId="49" fontId="1" fillId="18" borderId="36" xfId="0" applyNumberFormat="1" applyFont="1" applyFill="1" applyBorder="1" applyAlignment="1">
      <alignment horizontal="center" vertical="center" wrapText="1"/>
    </xf>
    <xf numFmtId="49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>
      <alignment horizontal="center" vertical="center" wrapText="1"/>
    </xf>
    <xf numFmtId="168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8" xfId="0" applyNumberFormat="1" applyFont="1" applyBorder="1" applyAlignment="1" applyProtection="1">
      <alignment horizontal="center" vertical="center" wrapText="1"/>
      <protection locked="0"/>
    </xf>
    <xf numFmtId="165" fontId="1" fillId="0" borderId="38" xfId="0" applyNumberFormat="1" applyFont="1" applyBorder="1" applyAlignment="1" applyProtection="1">
      <alignment horizontal="center" vertical="center" wrapText="1"/>
      <protection locked="0"/>
    </xf>
    <xf numFmtId="49" fontId="1" fillId="0" borderId="38" xfId="0" applyNumberFormat="1" applyFont="1" applyBorder="1" applyAlignment="1" applyProtection="1">
      <alignment horizontal="center" vertical="center" wrapText="1"/>
      <protection locked="0"/>
    </xf>
    <xf numFmtId="4" fontId="1" fillId="0" borderId="39" xfId="0" applyNumberFormat="1" applyFont="1" applyBorder="1" applyAlignment="1" applyProtection="1">
      <alignment horizontal="center" vertical="center" wrapText="1"/>
      <protection locked="0"/>
    </xf>
    <xf numFmtId="165" fontId="1" fillId="0" borderId="39" xfId="0" applyNumberFormat="1" applyFont="1" applyBorder="1" applyAlignment="1" applyProtection="1">
      <alignment horizontal="center" vertical="center" wrapText="1"/>
      <protection locked="0"/>
    </xf>
    <xf numFmtId="49" fontId="1" fillId="0" borderId="39" xfId="0" applyNumberFormat="1" applyFont="1" applyBorder="1" applyAlignment="1" applyProtection="1">
      <alignment horizontal="center" vertical="center" wrapText="1"/>
      <protection locked="0"/>
    </xf>
    <xf numFmtId="1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8" xfId="0" applyNumberFormat="1" applyFont="1" applyBorder="1" applyAlignment="1" applyProtection="1">
      <alignment horizontal="center" vertical="center" wrapText="1"/>
      <protection locked="0"/>
    </xf>
    <xf numFmtId="14" fontId="1" fillId="0" borderId="39" xfId="0" applyNumberFormat="1" applyFont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>
      <alignment horizontal="center" vertical="center" wrapText="1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>
      <alignment horizontal="center" vertical="center" wrapText="1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>
      <alignment horizontal="center" vertical="center" wrapText="1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>
      <alignment horizontal="center" vertical="center" wrapText="1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4" fontId="1" fillId="0" borderId="41" xfId="0" applyNumberFormat="1" applyFont="1" applyBorder="1" applyAlignment="1" applyProtection="1">
      <alignment horizontal="center" vertical="center" wrapText="1"/>
      <protection locked="0"/>
    </xf>
    <xf numFmtId="165" fontId="1" fillId="0" borderId="41" xfId="0" applyNumberFormat="1" applyFont="1" applyBorder="1" applyAlignment="1" applyProtection="1">
      <alignment horizontal="center" vertical="center" wrapText="1"/>
      <protection locked="0"/>
    </xf>
    <xf numFmtId="49" fontId="1" fillId="0" borderId="41" xfId="0" applyNumberFormat="1" applyFont="1" applyBorder="1" applyAlignment="1" applyProtection="1">
      <alignment horizontal="center" vertical="center" wrapText="1"/>
      <protection locked="0"/>
    </xf>
    <xf numFmtId="4" fontId="1" fillId="0" borderId="42" xfId="0" applyNumberFormat="1" applyFont="1" applyBorder="1" applyAlignment="1" applyProtection="1">
      <alignment horizontal="center" vertical="center" wrapText="1"/>
      <protection locked="0"/>
    </xf>
    <xf numFmtId="165" fontId="1" fillId="0" borderId="42" xfId="0" applyNumberFormat="1" applyFont="1" applyBorder="1" applyAlignment="1" applyProtection="1">
      <alignment horizontal="center" vertical="center" wrapText="1"/>
      <protection locked="0"/>
    </xf>
    <xf numFmtId="49" fontId="1" fillId="0" borderId="42" xfId="0" applyNumberFormat="1" applyFont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1" xfId="0" applyNumberFormat="1" applyFont="1" applyBorder="1" applyAlignment="1" applyProtection="1">
      <alignment horizontal="center" vertical="center" wrapText="1"/>
      <protection locked="0"/>
    </xf>
    <xf numFmtId="14" fontId="1" fillId="0" borderId="42" xfId="0" applyNumberFormat="1" applyFont="1" applyBorder="1" applyAlignment="1" applyProtection="1">
      <alignment horizontal="center" vertical="center" wrapText="1"/>
      <protection locked="0"/>
    </xf>
    <xf numFmtId="1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4" xfId="0" applyNumberFormat="1" applyFont="1" applyBorder="1" applyAlignment="1" applyProtection="1">
      <alignment horizontal="center" vertical="center" wrapText="1"/>
      <protection locked="0"/>
    </xf>
    <xf numFmtId="49" fontId="1" fillId="0" borderId="44" xfId="0" applyNumberFormat="1" applyFont="1" applyBorder="1" applyAlignment="1" applyProtection="1">
      <alignment horizontal="center" vertical="center" wrapText="1"/>
      <protection locked="0"/>
    </xf>
    <xf numFmtId="4" fontId="1" fillId="0" borderId="45" xfId="0" applyNumberFormat="1" applyFont="1" applyBorder="1" applyAlignment="1" applyProtection="1">
      <alignment horizontal="center" vertical="center" wrapText="1"/>
      <protection locked="0"/>
    </xf>
    <xf numFmtId="49" fontId="1" fillId="0" borderId="45" xfId="0" applyNumberFormat="1" applyFont="1" applyBorder="1" applyAlignment="1" applyProtection="1">
      <alignment horizontal="center" vertical="center" wrapText="1"/>
      <protection locked="0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4" xfId="0" applyNumberFormat="1" applyFont="1" applyBorder="1" applyAlignment="1" applyProtection="1">
      <alignment horizontal="center" vertical="center" wrapText="1"/>
      <protection locked="0"/>
    </xf>
    <xf numFmtId="165" fontId="1" fillId="0" borderId="45" xfId="0" applyNumberFormat="1" applyFont="1" applyBorder="1" applyAlignment="1" applyProtection="1">
      <alignment horizontal="center" vertical="center" wrapText="1"/>
      <protection locked="0"/>
    </xf>
    <xf numFmtId="49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7" xfId="0" applyNumberFormat="1" applyFont="1" applyBorder="1" applyAlignment="1" applyProtection="1">
      <alignment horizontal="center" vertical="center" wrapText="1"/>
      <protection locked="0"/>
    </xf>
    <xf numFmtId="165" fontId="1" fillId="0" borderId="47" xfId="0" applyNumberFormat="1" applyFont="1" applyBorder="1" applyAlignment="1" applyProtection="1">
      <alignment horizontal="center" vertical="center" wrapText="1"/>
      <protection locked="0"/>
    </xf>
    <xf numFmtId="49" fontId="1" fillId="0" borderId="47" xfId="0" applyNumberFormat="1" applyFont="1" applyBorder="1" applyAlignment="1" applyProtection="1">
      <alignment horizontal="center" vertical="center" wrapText="1"/>
      <protection locked="0"/>
    </xf>
    <xf numFmtId="165" fontId="1" fillId="0" borderId="48" xfId="0" applyNumberFormat="1" applyFont="1" applyBorder="1" applyAlignment="1" applyProtection="1">
      <alignment horizontal="center" vertical="center" wrapText="1"/>
      <protection locked="0"/>
    </xf>
    <xf numFmtId="4" fontId="1" fillId="0" borderId="48" xfId="0" applyNumberFormat="1" applyFont="1" applyBorder="1" applyAlignment="1" applyProtection="1">
      <alignment horizontal="center" vertical="center" wrapText="1"/>
      <protection locked="0"/>
    </xf>
    <xf numFmtId="49" fontId="1" fillId="0" borderId="48" xfId="0" applyNumberFormat="1" applyFont="1" applyBorder="1" applyAlignment="1" applyProtection="1">
      <alignment horizontal="center" vertical="center" wrapText="1"/>
      <protection locked="0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7" xfId="0" applyNumberFormat="1" applyFont="1" applyBorder="1" applyAlignment="1" applyProtection="1">
      <alignment horizontal="center" vertical="center" wrapText="1"/>
      <protection locked="0"/>
    </xf>
    <xf numFmtId="14" fontId="1" fillId="0" borderId="48" xfId="0" applyNumberFormat="1" applyFont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>
      <alignment horizontal="center" vertical="center" wrapText="1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8" xfId="0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>
      <alignment horizontal="center" vertical="center" wrapText="1"/>
    </xf>
    <xf numFmtId="16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0" xfId="0" applyNumberFormat="1" applyFont="1" applyBorder="1" applyAlignment="1" applyProtection="1">
      <alignment horizontal="center" vertical="center" wrapText="1"/>
      <protection locked="0"/>
    </xf>
    <xf numFmtId="165" fontId="1" fillId="0" borderId="50" xfId="0" applyNumberFormat="1" applyFont="1" applyBorder="1" applyAlignment="1" applyProtection="1">
      <alignment horizontal="center" vertical="center" wrapText="1"/>
      <protection locked="0"/>
    </xf>
    <xf numFmtId="49" fontId="1" fillId="0" borderId="50" xfId="0" applyNumberFormat="1" applyFont="1" applyBorder="1" applyAlignment="1" applyProtection="1">
      <alignment horizontal="center" vertical="center" wrapText="1"/>
      <protection locked="0"/>
    </xf>
    <xf numFmtId="4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0" xfId="0" applyNumberFormat="1" applyFont="1" applyBorder="1" applyAlignment="1" applyProtection="1">
      <alignment horizontal="center" vertical="center" wrapText="1"/>
      <protection locked="0"/>
    </xf>
    <xf numFmtId="14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9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49" fontId="1" fillId="18" borderId="49" xfId="0" applyNumberFormat="1" applyFont="1" applyFill="1" applyBorder="1" applyAlignment="1">
      <alignment horizontal="center" vertical="center" wrapText="1"/>
    </xf>
    <xf numFmtId="49" fontId="1" fillId="18" borderId="51" xfId="0" applyNumberFormat="1" applyFont="1" applyFill="1" applyBorder="1" applyAlignment="1">
      <alignment horizontal="center" vertical="center" wrapText="1"/>
    </xf>
    <xf numFmtId="1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9" xfId="0" applyFont="1" applyFill="1" applyBorder="1" applyAlignment="1" applyProtection="1">
      <alignment horizontal="center" vertical="center" wrapText="1"/>
      <protection locked="0"/>
    </xf>
    <xf numFmtId="0" fontId="1" fillId="18" borderId="51" xfId="0" applyFont="1" applyFill="1" applyBorder="1" applyAlignment="1" applyProtection="1">
      <alignment horizontal="center" vertical="center" wrapText="1"/>
      <protection locked="0"/>
    </xf>
    <xf numFmtId="165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9" xfId="0" applyNumberFormat="1" applyFont="1" applyFill="1" applyBorder="1" applyAlignment="1">
      <alignment horizontal="center" vertical="center" wrapText="1"/>
    </xf>
    <xf numFmtId="4" fontId="1" fillId="18" borderId="51" xfId="0" applyNumberFormat="1" applyFont="1" applyFill="1" applyBorder="1" applyAlignment="1">
      <alignment horizontal="center" vertical="center" wrapText="1"/>
    </xf>
    <xf numFmtId="49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0" xfId="0" applyFont="1" applyFill="1" applyBorder="1" applyAlignment="1" applyProtection="1">
      <alignment horizontal="center" vertical="center" wrapText="1"/>
      <protection locked="0"/>
    </xf>
    <xf numFmtId="165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0" xfId="0" applyNumberFormat="1" applyFont="1" applyFill="1" applyBorder="1" applyAlignment="1">
      <alignment horizontal="center" vertical="center" wrapText="1"/>
    </xf>
    <xf numFmtId="49" fontId="1" fillId="18" borderId="50" xfId="0" applyNumberFormat="1" applyFont="1" applyFill="1" applyBorder="1" applyAlignment="1">
      <alignment horizontal="center" vertical="center" wrapText="1"/>
    </xf>
    <xf numFmtId="168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>
      <alignment horizontal="center" vertical="center" wrapText="1"/>
    </xf>
    <xf numFmtId="49" fontId="1" fillId="18" borderId="42" xfId="0" applyNumberFormat="1" applyFont="1" applyFill="1" applyBorder="1" applyAlignment="1">
      <alignment horizontal="center" vertical="center" wrapText="1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0" fontId="1" fillId="18" borderId="42" xfId="0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>
      <alignment horizontal="center" vertical="center" wrapText="1"/>
    </xf>
    <xf numFmtId="4" fontId="1" fillId="18" borderId="29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18" borderId="28" xfId="0" applyNumberFormat="1" applyFont="1" applyFill="1" applyBorder="1" applyAlignment="1">
      <alignment horizontal="center" vertical="center" wrapText="1"/>
    </xf>
    <xf numFmtId="49" fontId="1" fillId="18" borderId="29" xfId="0" applyNumberFormat="1" applyFont="1" applyFill="1" applyBorder="1" applyAlignment="1">
      <alignment horizontal="center" vertical="center" wrapText="1"/>
    </xf>
    <xf numFmtId="4" fontId="1" fillId="18" borderId="40" xfId="0" applyNumberFormat="1" applyFont="1" applyFill="1" applyBorder="1" applyAlignment="1">
      <alignment horizontal="center" vertical="center" wrapText="1"/>
    </xf>
    <xf numFmtId="4" fontId="1" fillId="18" borderId="42" xfId="0" applyNumberFormat="1" applyFont="1" applyFill="1" applyBorder="1" applyAlignment="1">
      <alignment horizontal="center" vertical="center" wrapText="1"/>
    </xf>
    <xf numFmtId="49" fontId="1" fillId="18" borderId="33" xfId="0" applyNumberFormat="1" applyFont="1" applyFill="1" applyBorder="1" applyAlignment="1">
      <alignment horizontal="center" vertical="center" wrapText="1"/>
    </xf>
    <xf numFmtId="49" fontId="1" fillId="18" borderId="35" xfId="0" applyNumberFormat="1" applyFont="1" applyFill="1" applyBorder="1" applyAlignment="1">
      <alignment horizontal="center" vertical="center" wrapText="1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3" xfId="0" applyFont="1" applyFill="1" applyBorder="1" applyAlignment="1" applyProtection="1">
      <alignment horizontal="center" vertical="center" wrapText="1"/>
      <protection locked="0"/>
    </xf>
    <xf numFmtId="0" fontId="1" fillId="18" borderId="35" xfId="0" applyFont="1" applyFill="1" applyBorder="1" applyAlignment="1" applyProtection="1">
      <alignment horizontal="center" vertical="center" wrapText="1"/>
      <protection locked="0"/>
    </xf>
    <xf numFmtId="165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>
      <alignment horizontal="center" vertical="center" wrapText="1"/>
    </xf>
    <xf numFmtId="4" fontId="1" fillId="18" borderId="35" xfId="0" applyNumberFormat="1" applyFont="1" applyFill="1" applyBorder="1" applyAlignment="1">
      <alignment horizontal="center" vertical="center" wrapText="1"/>
    </xf>
    <xf numFmtId="167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6" xfId="0" applyNumberFormat="1" applyFont="1" applyFill="1" applyBorder="1" applyAlignment="1">
      <alignment horizontal="center" vertical="center" wrapText="1"/>
    </xf>
    <xf numFmtId="49" fontId="1" fillId="18" borderId="47" xfId="0" applyNumberFormat="1" applyFont="1" applyFill="1" applyBorder="1" applyAlignment="1">
      <alignment horizontal="center" vertical="center" wrapText="1"/>
    </xf>
    <xf numFmtId="49" fontId="1" fillId="18" borderId="48" xfId="0" applyNumberFormat="1" applyFont="1" applyFill="1" applyBorder="1" applyAlignment="1">
      <alignment horizontal="center" vertical="center" wrapText="1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6" xfId="0" applyFont="1" applyFill="1" applyBorder="1" applyAlignment="1" applyProtection="1">
      <alignment horizontal="center" vertical="center" wrapText="1"/>
      <protection locked="0"/>
    </xf>
    <xf numFmtId="0" fontId="1" fillId="18" borderId="47" xfId="0" applyFont="1" applyFill="1" applyBorder="1" applyAlignment="1" applyProtection="1">
      <alignment horizontal="center" vertical="center" wrapText="1"/>
      <protection locked="0"/>
    </xf>
    <xf numFmtId="0" fontId="1" fillId="18" borderId="48" xfId="0" applyFont="1" applyFill="1" applyBorder="1" applyAlignment="1" applyProtection="1">
      <alignment horizontal="center" vertical="center" wrapText="1"/>
      <protection locked="0"/>
    </xf>
    <xf numFmtId="165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>
      <alignment horizontal="center" vertical="center" wrapText="1"/>
    </xf>
    <xf numFmtId="4" fontId="1" fillId="18" borderId="47" xfId="0" applyNumberFormat="1" applyFont="1" applyFill="1" applyBorder="1" applyAlignment="1">
      <alignment horizontal="center" vertical="center" wrapText="1"/>
    </xf>
    <xf numFmtId="4" fontId="1" fillId="18" borderId="48" xfId="0" applyNumberFormat="1" applyFont="1" applyFill="1" applyBorder="1" applyAlignment="1">
      <alignment horizontal="center" vertical="center" wrapText="1"/>
    </xf>
    <xf numFmtId="167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0" fontId="1" fillId="18" borderId="31" xfId="0" applyFont="1" applyFill="1" applyBorder="1" applyAlignment="1" applyProtection="1">
      <alignment horizontal="center" vertical="center" wrapText="1"/>
      <protection locked="0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>
      <alignment horizontal="center" vertical="center" wrapText="1"/>
    </xf>
    <xf numFmtId="4" fontId="1" fillId="18" borderId="31" xfId="0" applyNumberFormat="1" applyFont="1" applyFill="1" applyBorder="1" applyAlignment="1">
      <alignment horizontal="center" vertical="center" wrapText="1"/>
    </xf>
    <xf numFmtId="4" fontId="1" fillId="18" borderId="32" xfId="0" applyNumberFormat="1" applyFont="1" applyFill="1" applyBorder="1" applyAlignment="1">
      <alignment horizontal="center" vertical="center" wrapText="1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7" xfId="0" applyFont="1" applyFill="1" applyBorder="1" applyAlignment="1" applyProtection="1">
      <alignment horizontal="center" vertical="center" wrapText="1"/>
      <protection locked="0"/>
    </xf>
    <xf numFmtId="0" fontId="1" fillId="18" borderId="38" xfId="0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>
      <alignment horizontal="center" vertical="center" wrapText="1"/>
    </xf>
    <xf numFmtId="4" fontId="1" fillId="18" borderId="38" xfId="0" applyNumberFormat="1" applyFont="1" applyFill="1" applyBorder="1" applyAlignment="1">
      <alignment horizontal="center" vertical="center" wrapText="1"/>
    </xf>
    <xf numFmtId="4" fontId="1" fillId="18" borderId="39" xfId="0" applyNumberFormat="1" applyFont="1" applyFill="1" applyBorder="1" applyAlignment="1">
      <alignment horizontal="center" vertical="center" wrapText="1"/>
    </xf>
    <xf numFmtId="167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>
      <alignment horizontal="center" vertical="center" wrapText="1"/>
    </xf>
    <xf numFmtId="49" fontId="1" fillId="18" borderId="38" xfId="0" applyNumberFormat="1" applyFont="1" applyFill="1" applyBorder="1" applyAlignment="1">
      <alignment horizontal="center" vertical="center" wrapText="1"/>
    </xf>
    <xf numFmtId="49" fontId="1" fillId="18" borderId="39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49" fontId="1" fillId="18" borderId="41" xfId="0" applyNumberFormat="1" applyFont="1" applyFill="1" applyBorder="1" applyAlignment="1">
      <alignment horizontal="center" vertical="center" wrapText="1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>
      <alignment horizontal="center" vertical="center" wrapText="1"/>
    </xf>
    <xf numFmtId="4" fontId="1" fillId="18" borderId="26" xfId="0" applyNumberFormat="1" applyFont="1" applyFill="1" applyBorder="1" applyAlignment="1">
      <alignment horizontal="center" vertical="center" wrapText="1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>
      <alignment horizontal="center" vertical="center" wrapText="1"/>
    </xf>
    <xf numFmtId="49" fontId="1" fillId="18" borderId="31" xfId="0" applyNumberFormat="1" applyFont="1" applyFill="1" applyBorder="1" applyAlignment="1">
      <alignment horizontal="center" vertical="center" wrapText="1"/>
    </xf>
    <xf numFmtId="49" fontId="1" fillId="18" borderId="32" xfId="0" applyNumberFormat="1" applyFont="1" applyFill="1" applyBorder="1" applyAlignment="1">
      <alignment horizontal="center" vertical="center" wrapText="1"/>
    </xf>
    <xf numFmtId="49" fontId="1" fillId="18" borderId="25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>
      <alignment horizontal="center" vertical="center" wrapText="1"/>
    </xf>
    <xf numFmtId="16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16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4" xfId="0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>
      <alignment horizontal="center" vertical="center" wrapText="1"/>
    </xf>
    <xf numFmtId="1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>
      <alignment horizontal="center" vertical="center" wrapText="1"/>
    </xf>
    <xf numFmtId="1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4" xfId="0" applyFont="1" applyFill="1" applyBorder="1" applyAlignment="1" applyProtection="1">
      <alignment horizontal="center" vertical="center" wrapText="1"/>
      <protection locked="0"/>
    </xf>
    <xf numFmtId="0" fontId="1" fillId="18" borderId="60" xfId="0" applyFont="1" applyFill="1" applyBorder="1" applyAlignment="1" applyProtection="1">
      <alignment horizontal="center" vertical="center" wrapText="1"/>
      <protection locked="0"/>
    </xf>
    <xf numFmtId="0" fontId="1" fillId="18" borderId="57" xfId="0" applyFont="1" applyFill="1" applyBorder="1" applyAlignment="1" applyProtection="1">
      <alignment horizontal="center" vertical="center" wrapText="1"/>
      <protection locked="0"/>
    </xf>
    <xf numFmtId="49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>
      <alignment horizontal="center" vertical="center" wrapText="1"/>
    </xf>
    <xf numFmtId="4" fontId="1" fillId="18" borderId="59" xfId="0" applyNumberFormat="1" applyFont="1" applyFill="1" applyBorder="1" applyAlignment="1">
      <alignment horizontal="center" vertical="center" wrapText="1"/>
    </xf>
    <xf numFmtId="4" fontId="1" fillId="18" borderId="56" xfId="0" applyNumberFormat="1" applyFont="1" applyFill="1" applyBorder="1" applyAlignment="1">
      <alignment horizontal="center" vertical="center" wrapText="1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2" xfId="0" applyNumberFormat="1" applyFont="1" applyFill="1" applyBorder="1" applyAlignment="1">
      <alignment horizontal="center" vertical="center" wrapText="1"/>
    </xf>
    <xf numFmtId="49" fontId="1" fillId="18" borderId="58" xfId="0" applyNumberFormat="1" applyFont="1" applyFill="1" applyBorder="1" applyAlignment="1">
      <alignment horizontal="center" vertical="center" wrapText="1"/>
    </xf>
    <xf numFmtId="49" fontId="1" fillId="18" borderId="55" xfId="0" applyNumberFormat="1" applyFont="1" applyFill="1" applyBorder="1" applyAlignment="1">
      <alignment horizontal="center" vertical="center" wrapText="1"/>
    </xf>
    <xf numFmtId="0" fontId="1" fillId="18" borderId="43" xfId="0" applyFont="1" applyFill="1" applyBorder="1" applyAlignment="1" applyProtection="1">
      <alignment horizontal="center" vertical="center" wrapText="1"/>
      <protection locked="0"/>
    </xf>
    <xf numFmtId="0" fontId="1" fillId="18" borderId="44" xfId="0" applyFont="1" applyFill="1" applyBorder="1" applyAlignment="1" applyProtection="1">
      <alignment horizontal="center" vertical="center" wrapText="1"/>
      <protection locked="0"/>
    </xf>
    <xf numFmtId="0" fontId="1" fillId="18" borderId="45" xfId="0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>
      <alignment horizontal="center" vertical="center" wrapText="1"/>
    </xf>
    <xf numFmtId="4" fontId="1" fillId="18" borderId="44" xfId="0" applyNumberFormat="1" applyFont="1" applyFill="1" applyBorder="1" applyAlignment="1">
      <alignment horizontal="center" vertical="center" wrapText="1"/>
    </xf>
    <xf numFmtId="4" fontId="1" fillId="18" borderId="45" xfId="0" applyNumberFormat="1" applyFont="1" applyFill="1" applyBorder="1" applyAlignment="1">
      <alignment horizontal="center" vertical="center" wrapText="1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>
      <alignment horizontal="center" vertical="center" wrapText="1"/>
    </xf>
    <xf numFmtId="49" fontId="1" fillId="18" borderId="44" xfId="0" applyNumberFormat="1" applyFont="1" applyFill="1" applyBorder="1" applyAlignment="1">
      <alignment horizontal="center" vertical="center" wrapText="1"/>
    </xf>
    <xf numFmtId="49" fontId="1" fillId="18" borderId="45" xfId="0" applyNumberFormat="1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 xr:uid="{00000000-0005-0000-0000-000002000000}"/>
    <cellStyle name="Обычный 2 2" xfId="5" xr:uid="{00000000-0005-0000-0000-000003000000}"/>
    <cellStyle name="Обычный 2 3" xfId="3" xr:uid="{00000000-0005-0000-0000-000004000000}"/>
    <cellStyle name="Обычный 3" xfId="1" xr:uid="{00000000-0005-0000-0000-000005000000}"/>
    <cellStyle name="Обычный 4" xfId="4" xr:uid="{00000000-0005-0000-0000-000006000000}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1440532</xdr:colOff>
      <xdr:row>3</xdr:row>
      <xdr:rowOff>6924</xdr:rowOff>
    </xdr:from>
    <xdr:to>
      <xdr:col>13</xdr:col>
      <xdr:colOff>303685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3</xdr:row>
      <xdr:rowOff>0</xdr:rowOff>
    </xdr:from>
    <xdr:to>
      <xdr:col>8</xdr:col>
      <xdr:colOff>643987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1569670</xdr:colOff>
      <xdr:row>3</xdr:row>
      <xdr:rowOff>0</xdr:rowOff>
    </xdr:from>
    <xdr:to>
      <xdr:col>17</xdr:col>
      <xdr:colOff>1456668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3</xdr:row>
      <xdr:rowOff>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3</xdr:row>
      <xdr:rowOff>504000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3</xdr:row>
      <xdr:rowOff>504000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15</xdr:col>
      <xdr:colOff>1877610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785580</xdr:colOff>
      <xdr:row>3</xdr:row>
      <xdr:rowOff>10350</xdr:rowOff>
    </xdr:from>
    <xdr:to>
      <xdr:col>22</xdr:col>
      <xdr:colOff>868680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6">
    <tabColor rgb="FFFFFF00"/>
  </sheetPr>
  <dimension ref="A1:W20"/>
  <sheetViews>
    <sheetView showGridLines="0" topLeftCell="A10" zoomScale="70" zoomScaleNormal="70" workbookViewId="0">
      <selection activeCell="M4" sqref="M4:N4"/>
    </sheetView>
  </sheetViews>
  <sheetFormatPr defaultColWidth="0" defaultRowHeight="14.4" x14ac:dyDescent="0.3"/>
  <cols>
    <col min="1" max="2" width="9.109375" style="8" customWidth="1"/>
    <col min="3" max="3" width="25.33203125" style="8" customWidth="1"/>
    <col min="4" max="5" width="9.109375" style="8" customWidth="1"/>
    <col min="6" max="6" width="11.6640625" style="8" customWidth="1"/>
    <col min="7" max="7" width="19" style="8" customWidth="1"/>
    <col min="8" max="8" width="6.5546875" style="8" customWidth="1"/>
    <col min="9" max="9" width="5.5546875" style="8" customWidth="1"/>
    <col min="10" max="10" width="15" style="8" customWidth="1"/>
    <col min="11" max="11" width="14.88671875" style="8" customWidth="1"/>
    <col min="12" max="12" width="21.33203125" style="8" customWidth="1"/>
    <col min="13" max="13" width="10.109375" style="8" customWidth="1"/>
    <col min="14" max="14" width="17.109375" style="8" bestFit="1" customWidth="1"/>
    <col min="15" max="22" width="9.109375" style="8" hidden="1" customWidth="1"/>
    <col min="23" max="23" width="30.6640625" style="8" hidden="1" customWidth="1"/>
    <col min="24" max="16384" width="9.109375" style="8" hidden="1"/>
  </cols>
  <sheetData>
    <row r="1" spans="1:14" ht="27" customHeight="1" thickBot="1" x14ac:dyDescent="0.35">
      <c r="A1" s="328" t="s">
        <v>141</v>
      </c>
      <c r="B1" s="329"/>
      <c r="C1" s="329"/>
      <c r="D1" s="329"/>
      <c r="E1" s="328" t="s">
        <v>183</v>
      </c>
      <c r="F1" s="329"/>
      <c r="G1" s="329"/>
      <c r="H1" s="329"/>
      <c r="I1" s="329"/>
      <c r="J1" s="329"/>
      <c r="K1" s="329"/>
      <c r="L1" s="329"/>
      <c r="M1" s="329"/>
      <c r="N1" s="330"/>
    </row>
    <row r="3" spans="1:14" ht="15" thickBot="1" x14ac:dyDescent="0.35">
      <c r="I3" s="16"/>
      <c r="J3" s="16"/>
      <c r="K3" s="16"/>
      <c r="L3" s="16"/>
      <c r="M3" s="16"/>
      <c r="N3" s="16"/>
    </row>
    <row r="4" spans="1:14" ht="32.25" customHeight="1" thickBot="1" x14ac:dyDescent="0.35">
      <c r="A4" s="304" t="s">
        <v>25</v>
      </c>
      <c r="B4" s="305"/>
      <c r="C4" s="4">
        <v>11564658.630000001</v>
      </c>
      <c r="D4" s="5"/>
      <c r="E4" s="306" t="s">
        <v>140</v>
      </c>
      <c r="F4" s="307"/>
      <c r="G4" s="308"/>
      <c r="H4" s="309">
        <v>2000000</v>
      </c>
      <c r="I4" s="310"/>
      <c r="J4" s="311"/>
      <c r="K4" s="17"/>
      <c r="L4" s="81" t="s">
        <v>55</v>
      </c>
      <c r="M4" s="306">
        <v>4962082.2699999996</v>
      </c>
      <c r="N4" s="308"/>
    </row>
    <row r="5" spans="1:14" ht="30.75" customHeight="1" thickBot="1" x14ac:dyDescent="0.35">
      <c r="A5" s="304" t="s">
        <v>26</v>
      </c>
      <c r="B5" s="305"/>
      <c r="C5" s="6">
        <f>C4-G15+J15</f>
        <v>2484968.0100000007</v>
      </c>
      <c r="D5" s="5"/>
      <c r="E5" s="306" t="s">
        <v>53</v>
      </c>
      <c r="F5" s="307"/>
      <c r="G5" s="308"/>
      <c r="H5" s="296">
        <f>H4-G12</f>
        <v>821009.69</v>
      </c>
      <c r="I5" s="297"/>
      <c r="J5" s="298"/>
      <c r="K5" s="17"/>
      <c r="L5" s="81" t="s">
        <v>54</v>
      </c>
      <c r="M5" s="299">
        <f>M4-G13</f>
        <v>1482490.5899999994</v>
      </c>
      <c r="N5" s="300"/>
    </row>
    <row r="6" spans="1:14" x14ac:dyDescent="0.3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ht="15" thickBot="1" x14ac:dyDescent="0.35"/>
    <row r="8" spans="1:14" ht="72" customHeight="1" thickBot="1" x14ac:dyDescent="0.35">
      <c r="A8" s="312" t="s">
        <v>27</v>
      </c>
      <c r="B8" s="313"/>
      <c r="C8" s="314"/>
      <c r="D8" s="312" t="s">
        <v>28</v>
      </c>
      <c r="E8" s="313"/>
      <c r="F8" s="314"/>
      <c r="G8" s="315" t="s">
        <v>29</v>
      </c>
      <c r="H8" s="316"/>
      <c r="I8" s="317"/>
      <c r="J8" s="315" t="s">
        <v>142</v>
      </c>
      <c r="K8" s="316"/>
      <c r="L8" s="317"/>
      <c r="M8" s="312" t="s">
        <v>30</v>
      </c>
      <c r="N8" s="314"/>
    </row>
    <row r="9" spans="1:14" ht="41.25" customHeight="1" thickBot="1" x14ac:dyDescent="0.35">
      <c r="A9" s="318" t="s">
        <v>31</v>
      </c>
      <c r="B9" s="319"/>
      <c r="C9" s="320"/>
      <c r="D9" s="321">
        <f>'Состоявшиеся аукционы'!G2</f>
        <v>0</v>
      </c>
      <c r="E9" s="321"/>
      <c r="F9" s="321"/>
      <c r="G9" s="321">
        <f>'Состоявшиеся аукционы'!Q2</f>
        <v>0</v>
      </c>
      <c r="H9" s="321"/>
      <c r="I9" s="321"/>
      <c r="J9" s="301">
        <f>'Состоявшиеся аукционы'!AB2</f>
        <v>0</v>
      </c>
      <c r="K9" s="303"/>
      <c r="L9" s="302"/>
      <c r="M9" s="321">
        <f t="shared" ref="M9:M15" si="0">D9-G9</f>
        <v>0</v>
      </c>
      <c r="N9" s="321"/>
    </row>
    <row r="10" spans="1:14" ht="78.75" customHeight="1" thickBot="1" x14ac:dyDescent="0.35">
      <c r="A10" s="318" t="s">
        <v>49</v>
      </c>
      <c r="B10" s="319"/>
      <c r="C10" s="320"/>
      <c r="D10" s="321">
        <f>'Несостоявшиеся аукционы'!G2</f>
        <v>0</v>
      </c>
      <c r="E10" s="321"/>
      <c r="F10" s="321"/>
      <c r="G10" s="321">
        <f>'Несостоявшиеся аукционы'!Q2</f>
        <v>0</v>
      </c>
      <c r="H10" s="321"/>
      <c r="I10" s="321"/>
      <c r="J10" s="301">
        <f>'Несостоявшиеся аукционы'!AB2</f>
        <v>0</v>
      </c>
      <c r="K10" s="303"/>
      <c r="L10" s="302"/>
      <c r="M10" s="321">
        <f t="shared" si="0"/>
        <v>0</v>
      </c>
      <c r="N10" s="321"/>
    </row>
    <row r="11" spans="1:14" ht="40.5" customHeight="1" thickBot="1" x14ac:dyDescent="0.35">
      <c r="A11" s="318" t="s">
        <v>83</v>
      </c>
      <c r="B11" s="319"/>
      <c r="C11" s="320"/>
      <c r="D11" s="301">
        <f>'Иные конкурентные закупки'!G2</f>
        <v>3760827</v>
      </c>
      <c r="E11" s="303"/>
      <c r="F11" s="302"/>
      <c r="G11" s="301">
        <f>'Иные конкурентные закупки'!Q2</f>
        <v>2379074.91</v>
      </c>
      <c r="H11" s="303"/>
      <c r="I11" s="302"/>
      <c r="J11" s="301">
        <f>'Иные конкурентные закупки'!AB2</f>
        <v>73610.350000000006</v>
      </c>
      <c r="K11" s="303"/>
      <c r="L11" s="302"/>
      <c r="M11" s="301">
        <f t="shared" si="0"/>
        <v>1381752.0899999999</v>
      </c>
      <c r="N11" s="302"/>
    </row>
    <row r="12" spans="1:14" ht="54.75" customHeight="1" thickBot="1" x14ac:dyDescent="0.35">
      <c r="A12" s="325" t="s">
        <v>50</v>
      </c>
      <c r="B12" s="326"/>
      <c r="C12" s="327"/>
      <c r="D12" s="321">
        <f>'Ед. поставщик п.4 ч.1'!H2</f>
        <v>1178990.31</v>
      </c>
      <c r="E12" s="321"/>
      <c r="F12" s="321"/>
      <c r="G12" s="321">
        <f>D12</f>
        <v>1178990.31</v>
      </c>
      <c r="H12" s="321"/>
      <c r="I12" s="321"/>
      <c r="J12" s="301">
        <f>'Ед. поставщик п.4 ч.1'!V2</f>
        <v>0</v>
      </c>
      <c r="K12" s="303"/>
      <c r="L12" s="302"/>
      <c r="M12" s="321">
        <f t="shared" si="0"/>
        <v>0</v>
      </c>
      <c r="N12" s="321"/>
    </row>
    <row r="13" spans="1:14" ht="45.75" customHeight="1" thickBot="1" x14ac:dyDescent="0.35">
      <c r="A13" s="325" t="s">
        <v>51</v>
      </c>
      <c r="B13" s="326"/>
      <c r="C13" s="327"/>
      <c r="D13" s="321">
        <f>'Ед. поставщик п.5 ч.1'!H2</f>
        <v>3479591.68</v>
      </c>
      <c r="E13" s="321"/>
      <c r="F13" s="321"/>
      <c r="G13" s="321">
        <f>D13</f>
        <v>3479591.68</v>
      </c>
      <c r="H13" s="321"/>
      <c r="I13" s="321"/>
      <c r="J13" s="301">
        <f>'Ед. поставщик п.5 ч.1'!V2</f>
        <v>260267.68999999997</v>
      </c>
      <c r="K13" s="303"/>
      <c r="L13" s="302"/>
      <c r="M13" s="321">
        <f t="shared" si="0"/>
        <v>0</v>
      </c>
      <c r="N13" s="321"/>
    </row>
    <row r="14" spans="1:14" ht="45.75" customHeight="1" thickBot="1" x14ac:dyDescent="0.35">
      <c r="A14" s="343" t="s">
        <v>52</v>
      </c>
      <c r="B14" s="344"/>
      <c r="C14" s="345"/>
      <c r="D14" s="301">
        <f>'Ед.поставщик за искл. п.4,5 ч.1'!G2</f>
        <v>2375911.7600000002</v>
      </c>
      <c r="E14" s="303"/>
      <c r="F14" s="302"/>
      <c r="G14" s="301">
        <f>D14</f>
        <v>2375911.7600000002</v>
      </c>
      <c r="H14" s="303"/>
      <c r="I14" s="302"/>
      <c r="J14" s="301">
        <f>'Ед.поставщик за искл. п.4,5 ч.1'!T2</f>
        <v>0</v>
      </c>
      <c r="K14" s="303"/>
      <c r="L14" s="302"/>
      <c r="M14" s="321">
        <f t="shared" si="0"/>
        <v>0</v>
      </c>
      <c r="N14" s="321"/>
    </row>
    <row r="15" spans="1:14" ht="21.6" thickBot="1" x14ac:dyDescent="0.35">
      <c r="A15" s="322" t="s">
        <v>143</v>
      </c>
      <c r="B15" s="323"/>
      <c r="C15" s="324"/>
      <c r="D15" s="321">
        <f>SUM(D9:D14)</f>
        <v>10795320.75</v>
      </c>
      <c r="E15" s="321"/>
      <c r="F15" s="321"/>
      <c r="G15" s="301">
        <f>SUM(G9:G14)</f>
        <v>9413568.6600000001</v>
      </c>
      <c r="H15" s="303"/>
      <c r="I15" s="302"/>
      <c r="J15" s="301">
        <f>SUM(J9:J14)</f>
        <v>333878.03999999998</v>
      </c>
      <c r="K15" s="303"/>
      <c r="L15" s="302"/>
      <c r="M15" s="321">
        <f t="shared" si="0"/>
        <v>1381752.0899999999</v>
      </c>
      <c r="N15" s="321"/>
    </row>
    <row r="18" spans="1:12" ht="15" thickBot="1" x14ac:dyDescent="0.35"/>
    <row r="19" spans="1:12" ht="23.25" customHeight="1" x14ac:dyDescent="0.3">
      <c r="A19" s="331" t="s">
        <v>35</v>
      </c>
      <c r="B19" s="332"/>
      <c r="C19" s="333"/>
      <c r="D19" s="337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6592870.8599999994</v>
      </c>
      <c r="E19" s="338"/>
      <c r="F19" s="338"/>
      <c r="G19" s="339"/>
      <c r="I19" s="15"/>
      <c r="J19" s="15"/>
      <c r="K19" s="15"/>
      <c r="L19" s="15"/>
    </row>
    <row r="20" spans="1:12" ht="24" customHeight="1" thickBot="1" x14ac:dyDescent="0.35">
      <c r="A20" s="334"/>
      <c r="B20" s="335"/>
      <c r="C20" s="336"/>
      <c r="D20" s="340"/>
      <c r="E20" s="341"/>
      <c r="F20" s="341"/>
      <c r="G20" s="342"/>
      <c r="I20" s="15"/>
      <c r="J20" s="15"/>
      <c r="K20" s="15"/>
      <c r="L20" s="15"/>
    </row>
  </sheetData>
  <mergeCells count="52"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4">
    <tabColor rgb="FFFF0000"/>
    <pageSetUpPr fitToPage="1"/>
  </sheetPr>
  <dimension ref="A1:X83"/>
  <sheetViews>
    <sheetView showGridLines="0" topLeftCell="I1" zoomScale="60" zoomScaleNormal="60" workbookViewId="0">
      <pane ySplit="8" topLeftCell="A82" activePane="bottomLeft" state="frozen"/>
      <selection activeCell="I1" sqref="I1"/>
      <selection pane="bottomLeft" activeCell="N78" sqref="N78"/>
    </sheetView>
  </sheetViews>
  <sheetFormatPr defaultColWidth="0" defaultRowHeight="18" x14ac:dyDescent="0.3"/>
  <cols>
    <col min="1" max="1" width="9.109375" style="3" customWidth="1"/>
    <col min="2" max="3" width="35" style="3" customWidth="1"/>
    <col min="4" max="4" width="32.88671875" style="3" customWidth="1"/>
    <col min="5" max="5" width="24.6640625" style="11" customWidth="1"/>
    <col min="6" max="6" width="27.5546875" style="3" customWidth="1"/>
    <col min="7" max="7" width="49.109375" style="3" customWidth="1"/>
    <col min="8" max="8" width="26.88671875" style="10" customWidth="1"/>
    <col min="9" max="9" width="21.88671875" style="10" customWidth="1"/>
    <col min="10" max="10" width="33.5546875" style="3" customWidth="1"/>
    <col min="11" max="12" width="28.33203125" style="3" customWidth="1"/>
    <col min="13" max="13" width="34.88671875" style="3" customWidth="1"/>
    <col min="14" max="14" width="26.88671875" style="11" customWidth="1"/>
    <col min="15" max="15" width="28.88671875" style="3" customWidth="1"/>
    <col min="16" max="16" width="24" style="26" customWidth="1"/>
    <col min="17" max="17" width="24" style="11" bestFit="1" customWidth="1"/>
    <col min="18" max="18" width="23.44140625" style="2" customWidth="1"/>
    <col min="19" max="20" width="23.6640625" style="2" customWidth="1"/>
    <col min="21" max="21" width="24.5546875" style="11" customWidth="1"/>
    <col min="22" max="22" width="25.5546875" style="26" customWidth="1"/>
    <col min="23" max="23" width="17.6640625" style="2" customWidth="1"/>
    <col min="24" max="16384" width="9.109375" style="2" hidden="1"/>
  </cols>
  <sheetData>
    <row r="1" spans="1:24" ht="18.600000000000001" thickBot="1" x14ac:dyDescent="0.35"/>
    <row r="2" spans="1:24" ht="39.9" customHeight="1" thickBot="1" x14ac:dyDescent="0.35">
      <c r="A2" s="68"/>
      <c r="B2" s="68"/>
      <c r="C2" s="68"/>
      <c r="D2" s="68"/>
      <c r="E2" s="68"/>
      <c r="F2" s="10"/>
      <c r="G2" s="83" t="s">
        <v>24</v>
      </c>
      <c r="H2" s="80">
        <f>SUM(H9:H10000)</f>
        <v>1178990.31</v>
      </c>
      <c r="K2" s="398"/>
      <c r="L2" s="398"/>
      <c r="M2" s="398"/>
      <c r="N2" s="399" t="s">
        <v>137</v>
      </c>
      <c r="O2" s="401"/>
      <c r="P2" s="69">
        <f>SUM(P9:P10000)</f>
        <v>533960.14</v>
      </c>
      <c r="R2" s="68"/>
      <c r="S2" s="399" t="s">
        <v>45</v>
      </c>
      <c r="T2" s="400"/>
      <c r="U2" s="401"/>
      <c r="V2" s="70">
        <f>SUM(V9:V10000)</f>
        <v>0</v>
      </c>
    </row>
    <row r="3" spans="1:24" x14ac:dyDescent="0.3">
      <c r="A3" s="398"/>
      <c r="B3" s="398"/>
      <c r="C3" s="398"/>
      <c r="D3" s="398"/>
      <c r="E3" s="398"/>
      <c r="N3" s="68"/>
    </row>
    <row r="4" spans="1:24" ht="39.9" customHeight="1" x14ac:dyDescent="0.3">
      <c r="J4" s="402"/>
      <c r="K4" s="402"/>
      <c r="M4" s="402"/>
      <c r="N4" s="402"/>
      <c r="O4" s="402"/>
      <c r="P4" s="402"/>
    </row>
    <row r="6" spans="1:24" ht="159" customHeight="1" x14ac:dyDescent="0.3">
      <c r="A6" s="51" t="s">
        <v>8</v>
      </c>
      <c r="B6" s="51" t="s">
        <v>47</v>
      </c>
      <c r="C6" s="51" t="s">
        <v>145</v>
      </c>
      <c r="D6" s="51" t="s">
        <v>10</v>
      </c>
      <c r="E6" s="50" t="s">
        <v>1</v>
      </c>
      <c r="F6" s="51" t="s">
        <v>2</v>
      </c>
      <c r="G6" s="51" t="s">
        <v>3</v>
      </c>
      <c r="H6" s="53" t="s">
        <v>4</v>
      </c>
      <c r="I6" s="53" t="s">
        <v>22</v>
      </c>
      <c r="J6" s="51" t="s">
        <v>46</v>
      </c>
      <c r="K6" s="51" t="s">
        <v>5</v>
      </c>
      <c r="L6" s="51" t="s">
        <v>82</v>
      </c>
      <c r="M6" s="51" t="s">
        <v>44</v>
      </c>
      <c r="N6" s="50" t="s">
        <v>7</v>
      </c>
      <c r="O6" s="51" t="s">
        <v>6</v>
      </c>
      <c r="P6" s="52" t="s">
        <v>23</v>
      </c>
      <c r="Q6" s="50" t="s">
        <v>9</v>
      </c>
      <c r="R6" s="49" t="s">
        <v>40</v>
      </c>
      <c r="S6" s="49" t="s">
        <v>103</v>
      </c>
      <c r="T6" s="49" t="s">
        <v>104</v>
      </c>
      <c r="U6" s="50" t="s">
        <v>41</v>
      </c>
      <c r="V6" s="52" t="s">
        <v>105</v>
      </c>
      <c r="W6" s="49" t="s">
        <v>42</v>
      </c>
    </row>
    <row r="7" spans="1:24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17.6" customHeight="1" x14ac:dyDescent="0.3">
      <c r="A8" s="54">
        <v>1</v>
      </c>
      <c r="B8" s="54" t="s">
        <v>56</v>
      </c>
      <c r="C8" s="54"/>
      <c r="D8" s="54" t="s">
        <v>58</v>
      </c>
      <c r="E8" s="55" t="s">
        <v>57</v>
      </c>
      <c r="F8" s="55" t="s">
        <v>107</v>
      </c>
      <c r="G8" s="54" t="s">
        <v>59</v>
      </c>
      <c r="H8" s="61">
        <v>20000</v>
      </c>
      <c r="I8" s="61">
        <f>H8-P8</f>
        <v>0</v>
      </c>
      <c r="J8" s="54" t="s">
        <v>60</v>
      </c>
      <c r="K8" s="54" t="s">
        <v>61</v>
      </c>
      <c r="L8" s="54"/>
      <c r="M8" s="54" t="s">
        <v>62</v>
      </c>
      <c r="N8" s="55">
        <v>43840</v>
      </c>
      <c r="O8" s="54" t="s">
        <v>144</v>
      </c>
      <c r="P8" s="84">
        <v>20000</v>
      </c>
      <c r="Q8" s="55">
        <v>43840</v>
      </c>
      <c r="R8" s="54"/>
      <c r="S8" s="61"/>
      <c r="T8" s="61"/>
      <c r="U8" s="55"/>
      <c r="V8" s="61"/>
      <c r="W8" s="57" t="s">
        <v>64</v>
      </c>
    </row>
    <row r="9" spans="1:24" s="85" customFormat="1" ht="90" customHeight="1" x14ac:dyDescent="0.3">
      <c r="A9" s="346">
        <v>1</v>
      </c>
      <c r="B9" s="352" t="s">
        <v>56</v>
      </c>
      <c r="C9" s="352"/>
      <c r="D9" s="352"/>
      <c r="E9" s="358" t="s">
        <v>186</v>
      </c>
      <c r="F9" s="348" t="s">
        <v>187</v>
      </c>
      <c r="G9" s="352" t="s">
        <v>157</v>
      </c>
      <c r="H9" s="350">
        <v>11865.51</v>
      </c>
      <c r="I9" s="360">
        <f>IF(X9 = 101, H9 + SUM(S9:S19) - SUM(T9:T19) - SUM(P9:P19) - V9,0)</f>
        <v>4482.170000000001</v>
      </c>
      <c r="J9" s="352" t="s">
        <v>158</v>
      </c>
      <c r="K9" s="352" t="s">
        <v>151</v>
      </c>
      <c r="L9" s="352"/>
      <c r="M9" s="352" t="s">
        <v>188</v>
      </c>
      <c r="N9" s="279" t="s">
        <v>257</v>
      </c>
      <c r="O9" s="348" t="s">
        <v>189</v>
      </c>
      <c r="P9" s="270">
        <v>792.59</v>
      </c>
      <c r="Q9" s="271" t="s">
        <v>270</v>
      </c>
      <c r="R9" s="272"/>
      <c r="S9" s="270"/>
      <c r="T9" s="270"/>
      <c r="U9" s="350"/>
      <c r="V9" s="354"/>
      <c r="W9" s="356"/>
      <c r="X9" s="85">
        <v>101</v>
      </c>
    </row>
    <row r="10" spans="1:24" x14ac:dyDescent="0.3">
      <c r="A10" s="368"/>
      <c r="B10" s="362"/>
      <c r="C10" s="362"/>
      <c r="D10" s="362"/>
      <c r="E10" s="364"/>
      <c r="F10" s="365"/>
      <c r="G10" s="362"/>
      <c r="H10" s="366"/>
      <c r="I10" s="367"/>
      <c r="J10" s="362"/>
      <c r="K10" s="362"/>
      <c r="L10" s="362"/>
      <c r="M10" s="362"/>
      <c r="N10" s="280" t="s">
        <v>312</v>
      </c>
      <c r="O10" s="365"/>
      <c r="P10" s="273">
        <v>828.84</v>
      </c>
      <c r="Q10" s="274" t="s">
        <v>316</v>
      </c>
      <c r="R10" s="275"/>
      <c r="S10" s="273"/>
      <c r="T10" s="273"/>
      <c r="U10" s="366"/>
      <c r="V10" s="369"/>
      <c r="W10" s="363"/>
      <c r="X10" s="2">
        <v>101</v>
      </c>
    </row>
    <row r="11" spans="1:24" x14ac:dyDescent="0.3">
      <c r="A11" s="368"/>
      <c r="B11" s="362"/>
      <c r="C11" s="362"/>
      <c r="D11" s="362"/>
      <c r="E11" s="364"/>
      <c r="F11" s="365"/>
      <c r="G11" s="362"/>
      <c r="H11" s="366"/>
      <c r="I11" s="367"/>
      <c r="J11" s="362"/>
      <c r="K11" s="362"/>
      <c r="L11" s="362"/>
      <c r="M11" s="362"/>
      <c r="N11" s="280" t="s">
        <v>402</v>
      </c>
      <c r="O11" s="365"/>
      <c r="P11" s="273">
        <v>933.02</v>
      </c>
      <c r="Q11" s="274" t="s">
        <v>404</v>
      </c>
      <c r="R11" s="275"/>
      <c r="S11" s="273"/>
      <c r="T11" s="273"/>
      <c r="U11" s="366"/>
      <c r="V11" s="369"/>
      <c r="W11" s="363"/>
      <c r="X11" s="2">
        <v>101</v>
      </c>
    </row>
    <row r="12" spans="1:24" x14ac:dyDescent="0.3">
      <c r="A12" s="368"/>
      <c r="B12" s="362"/>
      <c r="C12" s="362"/>
      <c r="D12" s="362"/>
      <c r="E12" s="364"/>
      <c r="F12" s="365"/>
      <c r="G12" s="362"/>
      <c r="H12" s="366"/>
      <c r="I12" s="367"/>
      <c r="J12" s="362"/>
      <c r="K12" s="362"/>
      <c r="L12" s="362"/>
      <c r="M12" s="362"/>
      <c r="N12" s="280" t="s">
        <v>454</v>
      </c>
      <c r="O12" s="365"/>
      <c r="P12" s="273">
        <v>829.27</v>
      </c>
      <c r="Q12" s="274" t="s">
        <v>460</v>
      </c>
      <c r="R12" s="275"/>
      <c r="S12" s="273"/>
      <c r="T12" s="273"/>
      <c r="U12" s="366"/>
      <c r="V12" s="369"/>
      <c r="W12" s="363"/>
      <c r="X12" s="2">
        <v>101</v>
      </c>
    </row>
    <row r="13" spans="1:24" x14ac:dyDescent="0.3">
      <c r="A13" s="368"/>
      <c r="B13" s="362"/>
      <c r="C13" s="362"/>
      <c r="D13" s="362"/>
      <c r="E13" s="364"/>
      <c r="F13" s="365"/>
      <c r="G13" s="362"/>
      <c r="H13" s="366"/>
      <c r="I13" s="367"/>
      <c r="J13" s="362"/>
      <c r="K13" s="362"/>
      <c r="L13" s="362"/>
      <c r="M13" s="362"/>
      <c r="N13" s="280">
        <v>45473</v>
      </c>
      <c r="O13" s="365"/>
      <c r="P13" s="273">
        <v>761.56</v>
      </c>
      <c r="Q13" s="274">
        <v>45489</v>
      </c>
      <c r="R13" s="275"/>
      <c r="S13" s="273"/>
      <c r="T13" s="273"/>
      <c r="U13" s="366"/>
      <c r="V13" s="369"/>
      <c r="W13" s="363"/>
      <c r="X13" s="2">
        <v>101</v>
      </c>
    </row>
    <row r="14" spans="1:24" x14ac:dyDescent="0.3">
      <c r="A14" s="368"/>
      <c r="B14" s="362"/>
      <c r="C14" s="362"/>
      <c r="D14" s="362"/>
      <c r="E14" s="364"/>
      <c r="F14" s="365"/>
      <c r="G14" s="362"/>
      <c r="H14" s="366"/>
      <c r="I14" s="367"/>
      <c r="J14" s="362"/>
      <c r="K14" s="362"/>
      <c r="L14" s="362"/>
      <c r="M14" s="362"/>
      <c r="N14" s="280">
        <v>45473</v>
      </c>
      <c r="O14" s="365"/>
      <c r="P14" s="273">
        <v>72.069999999999993</v>
      </c>
      <c r="Q14" s="274">
        <v>45489</v>
      </c>
      <c r="R14" s="275"/>
      <c r="S14" s="273"/>
      <c r="T14" s="273"/>
      <c r="U14" s="366"/>
      <c r="V14" s="369"/>
      <c r="W14" s="363"/>
      <c r="X14" s="2">
        <v>101</v>
      </c>
    </row>
    <row r="15" spans="1:24" x14ac:dyDescent="0.3">
      <c r="A15" s="368"/>
      <c r="B15" s="362"/>
      <c r="C15" s="362"/>
      <c r="D15" s="362"/>
      <c r="E15" s="364"/>
      <c r="F15" s="365"/>
      <c r="G15" s="362"/>
      <c r="H15" s="366"/>
      <c r="I15" s="367"/>
      <c r="J15" s="362"/>
      <c r="K15" s="362"/>
      <c r="L15" s="362"/>
      <c r="M15" s="362"/>
      <c r="N15" s="280">
        <v>45443</v>
      </c>
      <c r="O15" s="365"/>
      <c r="P15" s="273">
        <v>789.2</v>
      </c>
      <c r="Q15" s="274">
        <v>45471</v>
      </c>
      <c r="R15" s="275"/>
      <c r="S15" s="273"/>
      <c r="T15" s="273"/>
      <c r="U15" s="366"/>
      <c r="V15" s="369"/>
      <c r="W15" s="363"/>
      <c r="X15" s="2">
        <v>101</v>
      </c>
    </row>
    <row r="16" spans="1:24" x14ac:dyDescent="0.3">
      <c r="A16" s="368"/>
      <c r="B16" s="362"/>
      <c r="C16" s="362"/>
      <c r="D16" s="362"/>
      <c r="E16" s="364"/>
      <c r="F16" s="365"/>
      <c r="G16" s="362"/>
      <c r="H16" s="366"/>
      <c r="I16" s="367"/>
      <c r="J16" s="362"/>
      <c r="K16" s="362"/>
      <c r="L16" s="362"/>
      <c r="M16" s="362"/>
      <c r="N16" s="280">
        <v>45504</v>
      </c>
      <c r="O16" s="365"/>
      <c r="P16" s="273">
        <v>774.3</v>
      </c>
      <c r="Q16" s="274">
        <v>45510</v>
      </c>
      <c r="R16" s="275"/>
      <c r="S16" s="273"/>
      <c r="T16" s="273"/>
      <c r="U16" s="366"/>
      <c r="V16" s="369"/>
      <c r="W16" s="363"/>
      <c r="X16" s="2">
        <v>101</v>
      </c>
    </row>
    <row r="17" spans="1:24" x14ac:dyDescent="0.3">
      <c r="A17" s="368"/>
      <c r="B17" s="362"/>
      <c r="C17" s="362"/>
      <c r="D17" s="362"/>
      <c r="E17" s="364"/>
      <c r="F17" s="365"/>
      <c r="G17" s="362"/>
      <c r="H17" s="366"/>
      <c r="I17" s="367"/>
      <c r="J17" s="362"/>
      <c r="K17" s="362"/>
      <c r="L17" s="362"/>
      <c r="M17" s="362"/>
      <c r="N17" s="280">
        <v>45504</v>
      </c>
      <c r="O17" s="365"/>
      <c r="P17" s="273">
        <v>774.3</v>
      </c>
      <c r="Q17" s="274">
        <v>45510</v>
      </c>
      <c r="R17" s="275"/>
      <c r="S17" s="273"/>
      <c r="T17" s="273"/>
      <c r="U17" s="366"/>
      <c r="V17" s="369"/>
      <c r="W17" s="363"/>
      <c r="X17" s="2">
        <v>101</v>
      </c>
    </row>
    <row r="18" spans="1:24" s="269" customFormat="1" x14ac:dyDescent="0.3">
      <c r="A18" s="368"/>
      <c r="B18" s="362"/>
      <c r="C18" s="362"/>
      <c r="D18" s="362"/>
      <c r="E18" s="364"/>
      <c r="F18" s="365"/>
      <c r="G18" s="362"/>
      <c r="H18" s="366"/>
      <c r="I18" s="367"/>
      <c r="J18" s="362"/>
      <c r="K18" s="362"/>
      <c r="L18" s="362"/>
      <c r="M18" s="362"/>
      <c r="N18" s="282">
        <v>45535</v>
      </c>
      <c r="O18" s="365"/>
      <c r="P18" s="283">
        <v>774.41</v>
      </c>
      <c r="Q18" s="284">
        <v>45544</v>
      </c>
      <c r="R18" s="285"/>
      <c r="S18" s="283"/>
      <c r="T18" s="283"/>
      <c r="U18" s="366"/>
      <c r="V18" s="369"/>
      <c r="W18" s="363"/>
      <c r="X18" s="269">
        <v>101</v>
      </c>
    </row>
    <row r="19" spans="1:24" s="269" customFormat="1" x14ac:dyDescent="0.3">
      <c r="A19" s="347"/>
      <c r="B19" s="353"/>
      <c r="C19" s="353"/>
      <c r="D19" s="353"/>
      <c r="E19" s="359"/>
      <c r="F19" s="349"/>
      <c r="G19" s="353"/>
      <c r="H19" s="351"/>
      <c r="I19" s="361"/>
      <c r="J19" s="353"/>
      <c r="K19" s="353"/>
      <c r="L19" s="353"/>
      <c r="M19" s="353"/>
      <c r="N19" s="281">
        <v>45535</v>
      </c>
      <c r="O19" s="349"/>
      <c r="P19" s="276">
        <v>53.78</v>
      </c>
      <c r="Q19" s="277">
        <v>45544</v>
      </c>
      <c r="R19" s="278"/>
      <c r="S19" s="276"/>
      <c r="T19" s="276"/>
      <c r="U19" s="351"/>
      <c r="V19" s="355"/>
      <c r="W19" s="357"/>
      <c r="X19" s="269">
        <v>101</v>
      </c>
    </row>
    <row r="20" spans="1:24" s="85" customFormat="1" ht="104.4" customHeight="1" x14ac:dyDescent="0.3">
      <c r="A20" s="346">
        <v>2</v>
      </c>
      <c r="B20" s="352" t="s">
        <v>56</v>
      </c>
      <c r="C20" s="352"/>
      <c r="D20" s="352"/>
      <c r="E20" s="358" t="s">
        <v>192</v>
      </c>
      <c r="F20" s="348" t="s">
        <v>190</v>
      </c>
      <c r="G20" s="352" t="s">
        <v>193</v>
      </c>
      <c r="H20" s="350">
        <v>36000</v>
      </c>
      <c r="I20" s="360">
        <f>IF(X20 = 102, H20 + SUM(S20:S27) - SUM(T20:T27) - SUM(P20:P27) - V20,0)</f>
        <v>12000</v>
      </c>
      <c r="J20" s="352" t="s">
        <v>168</v>
      </c>
      <c r="K20" s="352" t="s">
        <v>150</v>
      </c>
      <c r="L20" s="352"/>
      <c r="M20" s="352" t="s">
        <v>188</v>
      </c>
      <c r="N20" s="279" t="s">
        <v>257</v>
      </c>
      <c r="O20" s="348" t="s">
        <v>194</v>
      </c>
      <c r="P20" s="270">
        <v>3000</v>
      </c>
      <c r="Q20" s="271" t="s">
        <v>262</v>
      </c>
      <c r="R20" s="272"/>
      <c r="S20" s="270"/>
      <c r="T20" s="270"/>
      <c r="U20" s="350"/>
      <c r="V20" s="354"/>
      <c r="W20" s="356"/>
      <c r="X20" s="85">
        <v>102</v>
      </c>
    </row>
    <row r="21" spans="1:24" x14ac:dyDescent="0.3">
      <c r="A21" s="368"/>
      <c r="B21" s="362"/>
      <c r="C21" s="362"/>
      <c r="D21" s="362"/>
      <c r="E21" s="364"/>
      <c r="F21" s="365"/>
      <c r="G21" s="362"/>
      <c r="H21" s="366"/>
      <c r="I21" s="367"/>
      <c r="J21" s="362"/>
      <c r="K21" s="362"/>
      <c r="L21" s="362"/>
      <c r="M21" s="362"/>
      <c r="N21" s="280" t="s">
        <v>312</v>
      </c>
      <c r="O21" s="365"/>
      <c r="P21" s="273">
        <v>3000</v>
      </c>
      <c r="Q21" s="274" t="s">
        <v>316</v>
      </c>
      <c r="R21" s="275"/>
      <c r="S21" s="273"/>
      <c r="T21" s="273"/>
      <c r="U21" s="366"/>
      <c r="V21" s="369"/>
      <c r="W21" s="363"/>
      <c r="X21" s="2">
        <v>102</v>
      </c>
    </row>
    <row r="22" spans="1:24" x14ac:dyDescent="0.3">
      <c r="A22" s="368"/>
      <c r="B22" s="362"/>
      <c r="C22" s="362"/>
      <c r="D22" s="362"/>
      <c r="E22" s="364"/>
      <c r="F22" s="365"/>
      <c r="G22" s="362"/>
      <c r="H22" s="366"/>
      <c r="I22" s="367"/>
      <c r="J22" s="362"/>
      <c r="K22" s="362"/>
      <c r="L22" s="362"/>
      <c r="M22" s="362"/>
      <c r="N22" s="280" t="s">
        <v>402</v>
      </c>
      <c r="O22" s="365"/>
      <c r="P22" s="273">
        <v>3000</v>
      </c>
      <c r="Q22" s="274" t="s">
        <v>404</v>
      </c>
      <c r="R22" s="275"/>
      <c r="S22" s="273"/>
      <c r="T22" s="273"/>
      <c r="U22" s="366"/>
      <c r="V22" s="369"/>
      <c r="W22" s="363"/>
      <c r="X22" s="2">
        <v>102</v>
      </c>
    </row>
    <row r="23" spans="1:24" x14ac:dyDescent="0.3">
      <c r="A23" s="368"/>
      <c r="B23" s="362"/>
      <c r="C23" s="362"/>
      <c r="D23" s="362"/>
      <c r="E23" s="364"/>
      <c r="F23" s="365"/>
      <c r="G23" s="362"/>
      <c r="H23" s="366"/>
      <c r="I23" s="367"/>
      <c r="J23" s="362"/>
      <c r="K23" s="362"/>
      <c r="L23" s="362"/>
      <c r="M23" s="362"/>
      <c r="N23" s="280" t="s">
        <v>454</v>
      </c>
      <c r="O23" s="365"/>
      <c r="P23" s="273">
        <v>3000</v>
      </c>
      <c r="Q23" s="274" t="s">
        <v>455</v>
      </c>
      <c r="R23" s="275"/>
      <c r="S23" s="273"/>
      <c r="T23" s="273"/>
      <c r="U23" s="366"/>
      <c r="V23" s="369"/>
      <c r="W23" s="363"/>
      <c r="X23" s="2">
        <v>102</v>
      </c>
    </row>
    <row r="24" spans="1:24" x14ac:dyDescent="0.3">
      <c r="A24" s="368"/>
      <c r="B24" s="362"/>
      <c r="C24" s="362"/>
      <c r="D24" s="362"/>
      <c r="E24" s="364"/>
      <c r="F24" s="365"/>
      <c r="G24" s="362"/>
      <c r="H24" s="366"/>
      <c r="I24" s="367"/>
      <c r="J24" s="362"/>
      <c r="K24" s="362"/>
      <c r="L24" s="362"/>
      <c r="M24" s="362"/>
      <c r="N24" s="280" t="s">
        <v>468</v>
      </c>
      <c r="O24" s="365"/>
      <c r="P24" s="273">
        <v>3000</v>
      </c>
      <c r="Q24" s="274" t="s">
        <v>506</v>
      </c>
      <c r="R24" s="275"/>
      <c r="S24" s="273"/>
      <c r="T24" s="273"/>
      <c r="U24" s="366"/>
      <c r="V24" s="369"/>
      <c r="W24" s="363"/>
      <c r="X24" s="2">
        <v>102</v>
      </c>
    </row>
    <row r="25" spans="1:24" x14ac:dyDescent="0.3">
      <c r="A25" s="368"/>
      <c r="B25" s="362"/>
      <c r="C25" s="362"/>
      <c r="D25" s="362"/>
      <c r="E25" s="364"/>
      <c r="F25" s="365"/>
      <c r="G25" s="362"/>
      <c r="H25" s="366"/>
      <c r="I25" s="367"/>
      <c r="J25" s="362"/>
      <c r="K25" s="362"/>
      <c r="L25" s="362"/>
      <c r="M25" s="362"/>
      <c r="N25" s="280">
        <v>45473</v>
      </c>
      <c r="O25" s="365"/>
      <c r="P25" s="273">
        <v>3000</v>
      </c>
      <c r="Q25" s="274">
        <v>45476</v>
      </c>
      <c r="R25" s="275"/>
      <c r="S25" s="273"/>
      <c r="T25" s="273"/>
      <c r="U25" s="366"/>
      <c r="V25" s="369"/>
      <c r="W25" s="363"/>
      <c r="X25" s="2">
        <v>102</v>
      </c>
    </row>
    <row r="26" spans="1:24" x14ac:dyDescent="0.3">
      <c r="A26" s="368"/>
      <c r="B26" s="362"/>
      <c r="C26" s="362"/>
      <c r="D26" s="362"/>
      <c r="E26" s="364"/>
      <c r="F26" s="365"/>
      <c r="G26" s="362"/>
      <c r="H26" s="366"/>
      <c r="I26" s="367"/>
      <c r="J26" s="362"/>
      <c r="K26" s="362"/>
      <c r="L26" s="362"/>
      <c r="M26" s="362"/>
      <c r="N26" s="280">
        <v>45504</v>
      </c>
      <c r="O26" s="365"/>
      <c r="P26" s="273">
        <v>3000</v>
      </c>
      <c r="Q26" s="274">
        <v>45509</v>
      </c>
      <c r="R26" s="275"/>
      <c r="S26" s="273"/>
      <c r="T26" s="273"/>
      <c r="U26" s="366"/>
      <c r="V26" s="369"/>
      <c r="W26" s="363"/>
      <c r="X26" s="2">
        <v>102</v>
      </c>
    </row>
    <row r="27" spans="1:24" s="269" customFormat="1" x14ac:dyDescent="0.3">
      <c r="A27" s="347"/>
      <c r="B27" s="353"/>
      <c r="C27" s="353"/>
      <c r="D27" s="353"/>
      <c r="E27" s="359"/>
      <c r="F27" s="349"/>
      <c r="G27" s="353"/>
      <c r="H27" s="351"/>
      <c r="I27" s="361"/>
      <c r="J27" s="353"/>
      <c r="K27" s="353"/>
      <c r="L27" s="353"/>
      <c r="M27" s="353"/>
      <c r="N27" s="281">
        <v>45535</v>
      </c>
      <c r="O27" s="349"/>
      <c r="P27" s="276">
        <v>3000</v>
      </c>
      <c r="Q27" s="277">
        <v>45544</v>
      </c>
      <c r="R27" s="278"/>
      <c r="S27" s="276"/>
      <c r="T27" s="276"/>
      <c r="U27" s="351"/>
      <c r="V27" s="355"/>
      <c r="W27" s="357"/>
      <c r="X27" s="269">
        <v>102</v>
      </c>
    </row>
    <row r="28" spans="1:24" s="85" customFormat="1" ht="108" customHeight="1" x14ac:dyDescent="0.3">
      <c r="A28" s="346">
        <v>3</v>
      </c>
      <c r="B28" s="352" t="s">
        <v>56</v>
      </c>
      <c r="C28" s="352"/>
      <c r="D28" s="352"/>
      <c r="E28" s="358" t="s">
        <v>195</v>
      </c>
      <c r="F28" s="348" t="s">
        <v>190</v>
      </c>
      <c r="G28" s="352" t="s">
        <v>196</v>
      </c>
      <c r="H28" s="350">
        <v>24000</v>
      </c>
      <c r="I28" s="360">
        <f>IF(X28 = 103, H28 + SUM(S28:S35) - SUM(T28:T35) - SUM(P28:P35) - V28,0)</f>
        <v>8000</v>
      </c>
      <c r="J28" s="352" t="s">
        <v>168</v>
      </c>
      <c r="K28" s="352" t="s">
        <v>150</v>
      </c>
      <c r="L28" s="352"/>
      <c r="M28" s="352" t="s">
        <v>188</v>
      </c>
      <c r="N28" s="279" t="s">
        <v>257</v>
      </c>
      <c r="O28" s="348" t="s">
        <v>194</v>
      </c>
      <c r="P28" s="270">
        <v>2000</v>
      </c>
      <c r="Q28" s="271" t="s">
        <v>262</v>
      </c>
      <c r="R28" s="272"/>
      <c r="S28" s="270"/>
      <c r="T28" s="270"/>
      <c r="U28" s="350"/>
      <c r="V28" s="354"/>
      <c r="W28" s="356"/>
      <c r="X28" s="85">
        <v>103</v>
      </c>
    </row>
    <row r="29" spans="1:24" x14ac:dyDescent="0.3">
      <c r="A29" s="368"/>
      <c r="B29" s="362"/>
      <c r="C29" s="362"/>
      <c r="D29" s="362"/>
      <c r="E29" s="364"/>
      <c r="F29" s="365"/>
      <c r="G29" s="362"/>
      <c r="H29" s="366"/>
      <c r="I29" s="367"/>
      <c r="J29" s="362"/>
      <c r="K29" s="362"/>
      <c r="L29" s="362"/>
      <c r="M29" s="362"/>
      <c r="N29" s="280" t="s">
        <v>312</v>
      </c>
      <c r="O29" s="365"/>
      <c r="P29" s="273">
        <v>2000</v>
      </c>
      <c r="Q29" s="274" t="s">
        <v>316</v>
      </c>
      <c r="R29" s="275"/>
      <c r="S29" s="273"/>
      <c r="T29" s="273"/>
      <c r="U29" s="366"/>
      <c r="V29" s="369"/>
      <c r="W29" s="363"/>
      <c r="X29" s="2">
        <v>103</v>
      </c>
    </row>
    <row r="30" spans="1:24" x14ac:dyDescent="0.3">
      <c r="A30" s="368"/>
      <c r="B30" s="362"/>
      <c r="C30" s="362"/>
      <c r="D30" s="362"/>
      <c r="E30" s="364"/>
      <c r="F30" s="365"/>
      <c r="G30" s="362"/>
      <c r="H30" s="366"/>
      <c r="I30" s="367"/>
      <c r="J30" s="362"/>
      <c r="K30" s="362"/>
      <c r="L30" s="362"/>
      <c r="M30" s="362"/>
      <c r="N30" s="280" t="s">
        <v>402</v>
      </c>
      <c r="O30" s="365"/>
      <c r="P30" s="273">
        <v>2000</v>
      </c>
      <c r="Q30" s="274" t="s">
        <v>404</v>
      </c>
      <c r="R30" s="275"/>
      <c r="S30" s="273"/>
      <c r="T30" s="273"/>
      <c r="U30" s="366"/>
      <c r="V30" s="369"/>
      <c r="W30" s="363"/>
      <c r="X30" s="2">
        <v>103</v>
      </c>
    </row>
    <row r="31" spans="1:24" x14ac:dyDescent="0.3">
      <c r="A31" s="368"/>
      <c r="B31" s="362"/>
      <c r="C31" s="362"/>
      <c r="D31" s="362"/>
      <c r="E31" s="364"/>
      <c r="F31" s="365"/>
      <c r="G31" s="362"/>
      <c r="H31" s="366"/>
      <c r="I31" s="367"/>
      <c r="J31" s="362"/>
      <c r="K31" s="362"/>
      <c r="L31" s="362"/>
      <c r="M31" s="362"/>
      <c r="N31" s="280" t="s">
        <v>454</v>
      </c>
      <c r="O31" s="365"/>
      <c r="P31" s="273">
        <v>2000</v>
      </c>
      <c r="Q31" s="274" t="s">
        <v>455</v>
      </c>
      <c r="R31" s="275"/>
      <c r="S31" s="273"/>
      <c r="T31" s="273"/>
      <c r="U31" s="366"/>
      <c r="V31" s="369"/>
      <c r="W31" s="363"/>
      <c r="X31" s="2">
        <v>103</v>
      </c>
    </row>
    <row r="32" spans="1:24" x14ac:dyDescent="0.3">
      <c r="A32" s="368"/>
      <c r="B32" s="362"/>
      <c r="C32" s="362"/>
      <c r="D32" s="362"/>
      <c r="E32" s="364"/>
      <c r="F32" s="365"/>
      <c r="G32" s="362"/>
      <c r="H32" s="366"/>
      <c r="I32" s="367"/>
      <c r="J32" s="362"/>
      <c r="K32" s="362"/>
      <c r="L32" s="362"/>
      <c r="M32" s="362"/>
      <c r="N32" s="280" t="s">
        <v>468</v>
      </c>
      <c r="O32" s="365"/>
      <c r="P32" s="273">
        <v>2000</v>
      </c>
      <c r="Q32" s="274" t="s">
        <v>506</v>
      </c>
      <c r="R32" s="275"/>
      <c r="S32" s="273"/>
      <c r="T32" s="273"/>
      <c r="U32" s="366"/>
      <c r="V32" s="369"/>
      <c r="W32" s="363"/>
      <c r="X32" s="2">
        <v>103</v>
      </c>
    </row>
    <row r="33" spans="1:24" x14ac:dyDescent="0.3">
      <c r="A33" s="368"/>
      <c r="B33" s="362"/>
      <c r="C33" s="362"/>
      <c r="D33" s="362"/>
      <c r="E33" s="364"/>
      <c r="F33" s="365"/>
      <c r="G33" s="362"/>
      <c r="H33" s="366"/>
      <c r="I33" s="367"/>
      <c r="J33" s="362"/>
      <c r="K33" s="362"/>
      <c r="L33" s="362"/>
      <c r="M33" s="362"/>
      <c r="N33" s="280">
        <v>45473</v>
      </c>
      <c r="O33" s="365"/>
      <c r="P33" s="273">
        <v>2000</v>
      </c>
      <c r="Q33" s="274">
        <v>45476</v>
      </c>
      <c r="R33" s="275"/>
      <c r="S33" s="273"/>
      <c r="T33" s="273"/>
      <c r="U33" s="366"/>
      <c r="V33" s="369"/>
      <c r="W33" s="363"/>
      <c r="X33" s="2">
        <v>103</v>
      </c>
    </row>
    <row r="34" spans="1:24" x14ac:dyDescent="0.3">
      <c r="A34" s="368"/>
      <c r="B34" s="362"/>
      <c r="C34" s="362"/>
      <c r="D34" s="362"/>
      <c r="E34" s="364"/>
      <c r="F34" s="365"/>
      <c r="G34" s="362"/>
      <c r="H34" s="366"/>
      <c r="I34" s="367"/>
      <c r="J34" s="362"/>
      <c r="K34" s="362"/>
      <c r="L34" s="362"/>
      <c r="M34" s="362"/>
      <c r="N34" s="280" t="s">
        <v>548</v>
      </c>
      <c r="O34" s="365"/>
      <c r="P34" s="273">
        <v>2000</v>
      </c>
      <c r="Q34" s="274">
        <v>45509</v>
      </c>
      <c r="R34" s="275"/>
      <c r="S34" s="273"/>
      <c r="T34" s="273"/>
      <c r="U34" s="366"/>
      <c r="V34" s="369"/>
      <c r="W34" s="363"/>
      <c r="X34" s="2">
        <v>103</v>
      </c>
    </row>
    <row r="35" spans="1:24" s="269" customFormat="1" x14ac:dyDescent="0.3">
      <c r="A35" s="347"/>
      <c r="B35" s="353"/>
      <c r="C35" s="353"/>
      <c r="D35" s="353"/>
      <c r="E35" s="359"/>
      <c r="F35" s="349"/>
      <c r="G35" s="353"/>
      <c r="H35" s="351"/>
      <c r="I35" s="361"/>
      <c r="J35" s="353"/>
      <c r="K35" s="353"/>
      <c r="L35" s="353"/>
      <c r="M35" s="353"/>
      <c r="N35" s="281">
        <v>45535</v>
      </c>
      <c r="O35" s="349"/>
      <c r="P35" s="276">
        <v>2000</v>
      </c>
      <c r="Q35" s="277">
        <v>45544</v>
      </c>
      <c r="R35" s="278"/>
      <c r="S35" s="276"/>
      <c r="T35" s="276"/>
      <c r="U35" s="351"/>
      <c r="V35" s="355"/>
      <c r="W35" s="357"/>
      <c r="X35" s="269">
        <v>103</v>
      </c>
    </row>
    <row r="36" spans="1:24" s="85" customFormat="1" ht="94.8" customHeight="1" x14ac:dyDescent="0.3">
      <c r="A36" s="370">
        <v>4</v>
      </c>
      <c r="B36" s="376" t="s">
        <v>56</v>
      </c>
      <c r="C36" s="376"/>
      <c r="D36" s="376"/>
      <c r="E36" s="382" t="s">
        <v>217</v>
      </c>
      <c r="F36" s="372" t="s">
        <v>212</v>
      </c>
      <c r="G36" s="376" t="s">
        <v>216</v>
      </c>
      <c r="H36" s="374">
        <v>7200</v>
      </c>
      <c r="I36" s="405">
        <f>IF(X36 = 104, H36 + SUM(S36:S37) - SUM(T36:T37) - SUM(P36:P37) - V36,0)</f>
        <v>3600</v>
      </c>
      <c r="J36" s="376" t="s">
        <v>169</v>
      </c>
      <c r="K36" s="376" t="s">
        <v>170</v>
      </c>
      <c r="L36" s="376"/>
      <c r="M36" s="376" t="s">
        <v>188</v>
      </c>
      <c r="N36" s="235" t="s">
        <v>402</v>
      </c>
      <c r="O36" s="372" t="s">
        <v>218</v>
      </c>
      <c r="P36" s="226">
        <v>1800</v>
      </c>
      <c r="Q36" s="225" t="s">
        <v>404</v>
      </c>
      <c r="R36" s="224"/>
      <c r="S36" s="226"/>
      <c r="T36" s="226"/>
      <c r="U36" s="374"/>
      <c r="V36" s="378"/>
      <c r="W36" s="380"/>
      <c r="X36" s="85">
        <v>104</v>
      </c>
    </row>
    <row r="37" spans="1:24" x14ac:dyDescent="0.3">
      <c r="A37" s="371"/>
      <c r="B37" s="377"/>
      <c r="C37" s="377"/>
      <c r="D37" s="377"/>
      <c r="E37" s="383"/>
      <c r="F37" s="373"/>
      <c r="G37" s="377"/>
      <c r="H37" s="375"/>
      <c r="I37" s="406"/>
      <c r="J37" s="377"/>
      <c r="K37" s="377"/>
      <c r="L37" s="377"/>
      <c r="M37" s="377"/>
      <c r="N37" s="233">
        <v>45473</v>
      </c>
      <c r="O37" s="373"/>
      <c r="P37" s="232">
        <v>1800</v>
      </c>
      <c r="Q37" s="233">
        <v>45475</v>
      </c>
      <c r="R37" s="234"/>
      <c r="S37" s="232"/>
      <c r="T37" s="232"/>
      <c r="U37" s="375"/>
      <c r="V37" s="379"/>
      <c r="W37" s="381"/>
      <c r="X37" s="2">
        <v>104</v>
      </c>
    </row>
    <row r="38" spans="1:24" s="85" customFormat="1" ht="76.8" customHeight="1" x14ac:dyDescent="0.3">
      <c r="A38" s="346">
        <v>5</v>
      </c>
      <c r="B38" s="352" t="s">
        <v>56</v>
      </c>
      <c r="C38" s="352"/>
      <c r="D38" s="352"/>
      <c r="E38" s="358" t="s">
        <v>219</v>
      </c>
      <c r="F38" s="348" t="s">
        <v>220</v>
      </c>
      <c r="G38" s="352" t="s">
        <v>221</v>
      </c>
      <c r="H38" s="350">
        <v>72000</v>
      </c>
      <c r="I38" s="360">
        <f>IF(X38 = 105, H38 + SUM(S38:S45) - SUM(T38:T45) - SUM(P38:P45) - V38,0)</f>
        <v>24000</v>
      </c>
      <c r="J38" s="352" t="s">
        <v>222</v>
      </c>
      <c r="K38" s="352" t="s">
        <v>223</v>
      </c>
      <c r="L38" s="352"/>
      <c r="M38" s="352" t="s">
        <v>188</v>
      </c>
      <c r="N38" s="279" t="s">
        <v>257</v>
      </c>
      <c r="O38" s="348" t="s">
        <v>172</v>
      </c>
      <c r="P38" s="270">
        <v>6000</v>
      </c>
      <c r="Q38" s="271" t="s">
        <v>270</v>
      </c>
      <c r="R38" s="272"/>
      <c r="S38" s="270"/>
      <c r="T38" s="270"/>
      <c r="U38" s="350"/>
      <c r="V38" s="354"/>
      <c r="W38" s="356"/>
      <c r="X38" s="85">
        <v>105</v>
      </c>
    </row>
    <row r="39" spans="1:24" x14ac:dyDescent="0.3">
      <c r="A39" s="368"/>
      <c r="B39" s="362"/>
      <c r="C39" s="362"/>
      <c r="D39" s="362"/>
      <c r="E39" s="364"/>
      <c r="F39" s="365"/>
      <c r="G39" s="362"/>
      <c r="H39" s="366"/>
      <c r="I39" s="367"/>
      <c r="J39" s="362"/>
      <c r="K39" s="362"/>
      <c r="L39" s="362"/>
      <c r="M39" s="362"/>
      <c r="N39" s="280" t="s">
        <v>312</v>
      </c>
      <c r="O39" s="365"/>
      <c r="P39" s="273">
        <v>6000</v>
      </c>
      <c r="Q39" s="274" t="s">
        <v>313</v>
      </c>
      <c r="R39" s="275"/>
      <c r="S39" s="273"/>
      <c r="T39" s="273"/>
      <c r="U39" s="366"/>
      <c r="V39" s="369"/>
      <c r="W39" s="363"/>
      <c r="X39" s="2">
        <v>105</v>
      </c>
    </row>
    <row r="40" spans="1:24" x14ac:dyDescent="0.3">
      <c r="A40" s="368"/>
      <c r="B40" s="362"/>
      <c r="C40" s="362"/>
      <c r="D40" s="362"/>
      <c r="E40" s="364"/>
      <c r="F40" s="365"/>
      <c r="G40" s="362"/>
      <c r="H40" s="366"/>
      <c r="I40" s="367"/>
      <c r="J40" s="362"/>
      <c r="K40" s="362"/>
      <c r="L40" s="362"/>
      <c r="M40" s="362"/>
      <c r="N40" s="280" t="s">
        <v>402</v>
      </c>
      <c r="O40" s="365"/>
      <c r="P40" s="273">
        <v>6000</v>
      </c>
      <c r="Q40" s="274" t="s">
        <v>405</v>
      </c>
      <c r="R40" s="275"/>
      <c r="S40" s="273"/>
      <c r="T40" s="273"/>
      <c r="U40" s="366"/>
      <c r="V40" s="369"/>
      <c r="W40" s="363"/>
      <c r="X40" s="2">
        <v>105</v>
      </c>
    </row>
    <row r="41" spans="1:24" x14ac:dyDescent="0.3">
      <c r="A41" s="368"/>
      <c r="B41" s="362"/>
      <c r="C41" s="362"/>
      <c r="D41" s="362"/>
      <c r="E41" s="364"/>
      <c r="F41" s="365"/>
      <c r="G41" s="362"/>
      <c r="H41" s="366"/>
      <c r="I41" s="367"/>
      <c r="J41" s="362"/>
      <c r="K41" s="362"/>
      <c r="L41" s="362"/>
      <c r="M41" s="362"/>
      <c r="N41" s="280" t="s">
        <v>454</v>
      </c>
      <c r="O41" s="365"/>
      <c r="P41" s="273">
        <v>6000</v>
      </c>
      <c r="Q41" s="274" t="s">
        <v>461</v>
      </c>
      <c r="R41" s="275"/>
      <c r="S41" s="273"/>
      <c r="T41" s="273"/>
      <c r="U41" s="366"/>
      <c r="V41" s="369"/>
      <c r="W41" s="363"/>
      <c r="X41" s="2">
        <v>105</v>
      </c>
    </row>
    <row r="42" spans="1:24" x14ac:dyDescent="0.3">
      <c r="A42" s="368"/>
      <c r="B42" s="362"/>
      <c r="C42" s="362"/>
      <c r="D42" s="362"/>
      <c r="E42" s="364"/>
      <c r="F42" s="365"/>
      <c r="G42" s="362"/>
      <c r="H42" s="366"/>
      <c r="I42" s="367"/>
      <c r="J42" s="362"/>
      <c r="K42" s="362"/>
      <c r="L42" s="362"/>
      <c r="M42" s="362"/>
      <c r="N42" s="280" t="s">
        <v>468</v>
      </c>
      <c r="O42" s="365"/>
      <c r="P42" s="273">
        <v>6000</v>
      </c>
      <c r="Q42" s="274" t="s">
        <v>507</v>
      </c>
      <c r="R42" s="275"/>
      <c r="S42" s="273"/>
      <c r="T42" s="273"/>
      <c r="U42" s="366"/>
      <c r="V42" s="369"/>
      <c r="W42" s="363"/>
      <c r="X42" s="2">
        <v>105</v>
      </c>
    </row>
    <row r="43" spans="1:24" x14ac:dyDescent="0.3">
      <c r="A43" s="368"/>
      <c r="B43" s="362"/>
      <c r="C43" s="362"/>
      <c r="D43" s="362"/>
      <c r="E43" s="364"/>
      <c r="F43" s="365"/>
      <c r="G43" s="362"/>
      <c r="H43" s="366"/>
      <c r="I43" s="367"/>
      <c r="J43" s="362"/>
      <c r="K43" s="362"/>
      <c r="L43" s="362"/>
      <c r="M43" s="362"/>
      <c r="N43" s="280">
        <v>45473</v>
      </c>
      <c r="O43" s="365"/>
      <c r="P43" s="273">
        <v>6000</v>
      </c>
      <c r="Q43" s="274">
        <v>45484</v>
      </c>
      <c r="R43" s="275"/>
      <c r="S43" s="273"/>
      <c r="T43" s="273"/>
      <c r="U43" s="366"/>
      <c r="V43" s="369"/>
      <c r="W43" s="363"/>
      <c r="X43" s="2">
        <v>105</v>
      </c>
    </row>
    <row r="44" spans="1:24" x14ac:dyDescent="0.3">
      <c r="A44" s="368"/>
      <c r="B44" s="362"/>
      <c r="C44" s="362"/>
      <c r="D44" s="362"/>
      <c r="E44" s="364"/>
      <c r="F44" s="365"/>
      <c r="G44" s="362"/>
      <c r="H44" s="366"/>
      <c r="I44" s="367"/>
      <c r="J44" s="362"/>
      <c r="K44" s="362"/>
      <c r="L44" s="362"/>
      <c r="M44" s="362"/>
      <c r="N44" s="280">
        <v>45504</v>
      </c>
      <c r="O44" s="365"/>
      <c r="P44" s="273">
        <v>6000</v>
      </c>
      <c r="Q44" s="274">
        <v>45526</v>
      </c>
      <c r="R44" s="275"/>
      <c r="S44" s="273"/>
      <c r="T44" s="273"/>
      <c r="U44" s="366"/>
      <c r="V44" s="369"/>
      <c r="W44" s="363"/>
      <c r="X44" s="2">
        <v>105</v>
      </c>
    </row>
    <row r="45" spans="1:24" s="269" customFormat="1" x14ac:dyDescent="0.3">
      <c r="A45" s="347"/>
      <c r="B45" s="353"/>
      <c r="C45" s="353"/>
      <c r="D45" s="353"/>
      <c r="E45" s="359"/>
      <c r="F45" s="349"/>
      <c r="G45" s="353"/>
      <c r="H45" s="351"/>
      <c r="I45" s="361"/>
      <c r="J45" s="353"/>
      <c r="K45" s="353"/>
      <c r="L45" s="353"/>
      <c r="M45" s="353"/>
      <c r="N45" s="281">
        <v>45535</v>
      </c>
      <c r="O45" s="349"/>
      <c r="P45" s="276">
        <v>6000</v>
      </c>
      <c r="Q45" s="277">
        <v>45561</v>
      </c>
      <c r="R45" s="278"/>
      <c r="S45" s="276"/>
      <c r="T45" s="276"/>
      <c r="U45" s="351"/>
      <c r="V45" s="355"/>
      <c r="W45" s="357"/>
      <c r="X45" s="269">
        <v>105</v>
      </c>
    </row>
    <row r="46" spans="1:24" s="85" customFormat="1" ht="76.8" customHeight="1" x14ac:dyDescent="0.3">
      <c r="A46" s="96">
        <v>6</v>
      </c>
      <c r="B46" s="97" t="s">
        <v>56</v>
      </c>
      <c r="C46" s="97"/>
      <c r="D46" s="97"/>
      <c r="E46" s="98" t="s">
        <v>234</v>
      </c>
      <c r="F46" s="103" t="s">
        <v>220</v>
      </c>
      <c r="G46" s="97" t="s">
        <v>235</v>
      </c>
      <c r="H46" s="99">
        <v>8000</v>
      </c>
      <c r="I46" s="100">
        <f>IF(X46 = 107, H46 + SUM(S46:S46) - SUM(T46:T46) - SUM(P46:P46) - V46,0)</f>
        <v>0</v>
      </c>
      <c r="J46" s="97" t="s">
        <v>174</v>
      </c>
      <c r="K46" s="97" t="s">
        <v>175</v>
      </c>
      <c r="L46" s="97"/>
      <c r="M46" s="97" t="s">
        <v>236</v>
      </c>
      <c r="N46" s="103" t="s">
        <v>266</v>
      </c>
      <c r="O46" s="103" t="s">
        <v>305</v>
      </c>
      <c r="P46" s="99">
        <v>8000</v>
      </c>
      <c r="Q46" s="98" t="s">
        <v>268</v>
      </c>
      <c r="R46" s="97"/>
      <c r="S46" s="99"/>
      <c r="T46" s="99"/>
      <c r="U46" s="99"/>
      <c r="V46" s="102"/>
      <c r="W46" s="101"/>
      <c r="X46" s="85">
        <v>107</v>
      </c>
    </row>
    <row r="47" spans="1:24" s="85" customFormat="1" ht="126" x14ac:dyDescent="0.3">
      <c r="A47" s="96">
        <v>7</v>
      </c>
      <c r="B47" s="97" t="s">
        <v>56</v>
      </c>
      <c r="C47" s="97"/>
      <c r="D47" s="97"/>
      <c r="E47" s="98" t="s">
        <v>237</v>
      </c>
      <c r="F47" s="103" t="s">
        <v>238</v>
      </c>
      <c r="G47" s="97" t="s">
        <v>239</v>
      </c>
      <c r="H47" s="99">
        <v>14450</v>
      </c>
      <c r="I47" s="100">
        <f>IF(X47 = 108, H47 + SUM(S47:S47) - SUM(T47:T47) - SUM(P47:P47) - V47,0)</f>
        <v>0</v>
      </c>
      <c r="J47" s="97" t="s">
        <v>240</v>
      </c>
      <c r="K47" s="97" t="s">
        <v>241</v>
      </c>
      <c r="L47" s="97"/>
      <c r="M47" s="97" t="s">
        <v>242</v>
      </c>
      <c r="N47" s="103" t="s">
        <v>267</v>
      </c>
      <c r="O47" s="103" t="s">
        <v>243</v>
      </c>
      <c r="P47" s="99">
        <v>14450</v>
      </c>
      <c r="Q47" s="98" t="s">
        <v>266</v>
      </c>
      <c r="R47" s="97"/>
      <c r="S47" s="99"/>
      <c r="T47" s="99"/>
      <c r="U47" s="99"/>
      <c r="V47" s="102"/>
      <c r="W47" s="101"/>
      <c r="X47" s="85">
        <v>108</v>
      </c>
    </row>
    <row r="48" spans="1:24" s="85" customFormat="1" ht="72" x14ac:dyDescent="0.3">
      <c r="A48" s="96">
        <v>8</v>
      </c>
      <c r="B48" s="97" t="s">
        <v>56</v>
      </c>
      <c r="C48" s="97"/>
      <c r="D48" s="97"/>
      <c r="E48" s="98" t="s">
        <v>244</v>
      </c>
      <c r="F48" s="103" t="s">
        <v>245</v>
      </c>
      <c r="G48" s="97" t="s">
        <v>246</v>
      </c>
      <c r="H48" s="99">
        <v>3230</v>
      </c>
      <c r="I48" s="100">
        <f>IF(X48 = 109, H48 + SUM(S48:S48) - SUM(T48:T48) - SUM(P48:P48) - V48,0)</f>
        <v>0</v>
      </c>
      <c r="J48" s="97" t="s">
        <v>168</v>
      </c>
      <c r="K48" s="97" t="s">
        <v>150</v>
      </c>
      <c r="L48" s="97"/>
      <c r="M48" s="97" t="s">
        <v>247</v>
      </c>
      <c r="N48" s="103" t="s">
        <v>261</v>
      </c>
      <c r="O48" s="103" t="s">
        <v>218</v>
      </c>
      <c r="P48" s="99">
        <v>3230</v>
      </c>
      <c r="Q48" s="98" t="s">
        <v>269</v>
      </c>
      <c r="R48" s="97"/>
      <c r="S48" s="99"/>
      <c r="T48" s="99"/>
      <c r="U48" s="99"/>
      <c r="V48" s="102"/>
      <c r="W48" s="101"/>
      <c r="X48" s="85">
        <v>109</v>
      </c>
    </row>
    <row r="49" spans="1:24" s="85" customFormat="1" ht="126" x14ac:dyDescent="0.3">
      <c r="A49" s="104">
        <v>9</v>
      </c>
      <c r="B49" s="105" t="s">
        <v>56</v>
      </c>
      <c r="C49" s="105"/>
      <c r="D49" s="105"/>
      <c r="E49" s="109" t="s">
        <v>254</v>
      </c>
      <c r="F49" s="110" t="s">
        <v>253</v>
      </c>
      <c r="G49" s="105" t="s">
        <v>239</v>
      </c>
      <c r="H49" s="106">
        <v>17300</v>
      </c>
      <c r="I49" s="107">
        <f>IF(X49 = 111, H49 + SUM(S49:S49) - SUM(T49:T49) - SUM(P49:P49) - V49,0)</f>
        <v>0</v>
      </c>
      <c r="J49" s="105" t="s">
        <v>240</v>
      </c>
      <c r="K49" s="105" t="s">
        <v>241</v>
      </c>
      <c r="L49" s="105"/>
      <c r="M49" s="105" t="s">
        <v>255</v>
      </c>
      <c r="N49" s="110" t="s">
        <v>262</v>
      </c>
      <c r="O49" s="110" t="s">
        <v>243</v>
      </c>
      <c r="P49" s="106">
        <v>17300</v>
      </c>
      <c r="Q49" s="109" t="s">
        <v>270</v>
      </c>
      <c r="R49" s="105"/>
      <c r="S49" s="106"/>
      <c r="T49" s="106"/>
      <c r="U49" s="106"/>
      <c r="V49" s="111"/>
      <c r="W49" s="108"/>
      <c r="X49" s="85">
        <v>111</v>
      </c>
    </row>
    <row r="50" spans="1:24" s="85" customFormat="1" ht="126" x14ac:dyDescent="0.3">
      <c r="A50" s="113">
        <v>10</v>
      </c>
      <c r="B50" s="114" t="s">
        <v>56</v>
      </c>
      <c r="C50" s="114"/>
      <c r="D50" s="114"/>
      <c r="E50" s="115" t="s">
        <v>275</v>
      </c>
      <c r="F50" s="121" t="s">
        <v>276</v>
      </c>
      <c r="G50" s="114" t="s">
        <v>239</v>
      </c>
      <c r="H50" s="116">
        <v>5800</v>
      </c>
      <c r="I50" s="117">
        <f>IF(X50 = 112, H50 + SUM(S50:S50) - SUM(T50:T50) - SUM(P50:P50) - V50,0)</f>
        <v>0</v>
      </c>
      <c r="J50" s="114" t="s">
        <v>240</v>
      </c>
      <c r="K50" s="114" t="s">
        <v>241</v>
      </c>
      <c r="L50" s="114"/>
      <c r="M50" s="114" t="s">
        <v>282</v>
      </c>
      <c r="N50" s="121" t="s">
        <v>272</v>
      </c>
      <c r="O50" s="121" t="s">
        <v>243</v>
      </c>
      <c r="P50" s="116">
        <v>5800</v>
      </c>
      <c r="Q50" s="115" t="s">
        <v>314</v>
      </c>
      <c r="R50" s="114"/>
      <c r="S50" s="116"/>
      <c r="T50" s="116"/>
      <c r="U50" s="116"/>
      <c r="V50" s="122"/>
      <c r="W50" s="112"/>
      <c r="X50" s="85">
        <v>112</v>
      </c>
    </row>
    <row r="51" spans="1:24" s="85" customFormat="1" ht="144" x14ac:dyDescent="0.3">
      <c r="A51" s="113">
        <v>11</v>
      </c>
      <c r="B51" s="114" t="s">
        <v>56</v>
      </c>
      <c r="C51" s="114"/>
      <c r="D51" s="114"/>
      <c r="E51" s="115" t="s">
        <v>283</v>
      </c>
      <c r="F51" s="121" t="s">
        <v>276</v>
      </c>
      <c r="G51" s="114" t="s">
        <v>284</v>
      </c>
      <c r="H51" s="116">
        <v>3500</v>
      </c>
      <c r="I51" s="117">
        <f>IF(X51 = 113, H51 + SUM(S51:S51) - SUM(T51:T51) - SUM(P51:P51) - V51,0)</f>
        <v>0</v>
      </c>
      <c r="J51" s="114" t="s">
        <v>285</v>
      </c>
      <c r="K51" s="114" t="s">
        <v>286</v>
      </c>
      <c r="L51" s="114"/>
      <c r="M51" s="114" t="s">
        <v>282</v>
      </c>
      <c r="N51" s="121" t="s">
        <v>319</v>
      </c>
      <c r="O51" s="121" t="s">
        <v>287</v>
      </c>
      <c r="P51" s="116">
        <v>3500</v>
      </c>
      <c r="Q51" s="115" t="s">
        <v>318</v>
      </c>
      <c r="R51" s="114"/>
      <c r="S51" s="116"/>
      <c r="T51" s="116"/>
      <c r="U51" s="116"/>
      <c r="V51" s="122"/>
      <c r="W51" s="112"/>
      <c r="X51" s="85">
        <v>113</v>
      </c>
    </row>
    <row r="52" spans="1:24" s="85" customFormat="1" ht="123.6" customHeight="1" x14ac:dyDescent="0.3">
      <c r="A52" s="346">
        <v>12</v>
      </c>
      <c r="B52" s="352" t="s">
        <v>56</v>
      </c>
      <c r="C52" s="352"/>
      <c r="D52" s="352"/>
      <c r="E52" s="358" t="s">
        <v>301</v>
      </c>
      <c r="F52" s="348" t="s">
        <v>296</v>
      </c>
      <c r="G52" s="352" t="s">
        <v>303</v>
      </c>
      <c r="H52" s="350">
        <v>6348</v>
      </c>
      <c r="I52" s="360">
        <f>IF(X52 = 114, H52 + SUM(S52:S57) - SUM(T52:T57) - SUM(P52:P57) - V52,0)</f>
        <v>3522</v>
      </c>
      <c r="J52" s="352" t="s">
        <v>304</v>
      </c>
      <c r="K52" s="352" t="s">
        <v>302</v>
      </c>
      <c r="L52" s="352"/>
      <c r="M52" s="352" t="s">
        <v>299</v>
      </c>
      <c r="N52" s="279" t="s">
        <v>402</v>
      </c>
      <c r="O52" s="348" t="s">
        <v>307</v>
      </c>
      <c r="P52" s="270">
        <v>1566</v>
      </c>
      <c r="Q52" s="271" t="s">
        <v>405</v>
      </c>
      <c r="R52" s="272"/>
      <c r="S52" s="270"/>
      <c r="T52" s="270"/>
      <c r="U52" s="350"/>
      <c r="V52" s="354"/>
      <c r="W52" s="356"/>
      <c r="X52" s="85">
        <v>114</v>
      </c>
    </row>
    <row r="53" spans="1:24" x14ac:dyDescent="0.3">
      <c r="A53" s="368"/>
      <c r="B53" s="362"/>
      <c r="C53" s="362"/>
      <c r="D53" s="362"/>
      <c r="E53" s="364"/>
      <c r="F53" s="365"/>
      <c r="G53" s="362"/>
      <c r="H53" s="366"/>
      <c r="I53" s="367"/>
      <c r="J53" s="362"/>
      <c r="K53" s="362"/>
      <c r="L53" s="362"/>
      <c r="M53" s="362"/>
      <c r="N53" s="280" t="s">
        <v>454</v>
      </c>
      <c r="O53" s="365"/>
      <c r="P53" s="273">
        <v>252</v>
      </c>
      <c r="Q53" s="274" t="s">
        <v>458</v>
      </c>
      <c r="R53" s="275"/>
      <c r="S53" s="273"/>
      <c r="T53" s="273"/>
      <c r="U53" s="366"/>
      <c r="V53" s="369"/>
      <c r="W53" s="363"/>
      <c r="X53" s="2">
        <v>114</v>
      </c>
    </row>
    <row r="54" spans="1:24" x14ac:dyDescent="0.3">
      <c r="A54" s="368"/>
      <c r="B54" s="362"/>
      <c r="C54" s="362"/>
      <c r="D54" s="362"/>
      <c r="E54" s="364"/>
      <c r="F54" s="365"/>
      <c r="G54" s="362"/>
      <c r="H54" s="366"/>
      <c r="I54" s="367"/>
      <c r="J54" s="362"/>
      <c r="K54" s="362"/>
      <c r="L54" s="362"/>
      <c r="M54" s="362"/>
      <c r="N54" s="280" t="s">
        <v>468</v>
      </c>
      <c r="O54" s="365"/>
      <c r="P54" s="273">
        <v>252</v>
      </c>
      <c r="Q54" s="274" t="s">
        <v>508</v>
      </c>
      <c r="R54" s="275"/>
      <c r="S54" s="273"/>
      <c r="T54" s="273"/>
      <c r="U54" s="366"/>
      <c r="V54" s="369"/>
      <c r="W54" s="363"/>
      <c r="X54" s="2">
        <v>114</v>
      </c>
    </row>
    <row r="55" spans="1:24" x14ac:dyDescent="0.3">
      <c r="A55" s="368"/>
      <c r="B55" s="362"/>
      <c r="C55" s="362"/>
      <c r="D55" s="362"/>
      <c r="E55" s="364"/>
      <c r="F55" s="365"/>
      <c r="G55" s="362"/>
      <c r="H55" s="366"/>
      <c r="I55" s="367"/>
      <c r="J55" s="362"/>
      <c r="K55" s="362"/>
      <c r="L55" s="362"/>
      <c r="M55" s="362"/>
      <c r="N55" s="280">
        <v>45473</v>
      </c>
      <c r="O55" s="365"/>
      <c r="P55" s="273">
        <v>252</v>
      </c>
      <c r="Q55" s="274">
        <v>45482</v>
      </c>
      <c r="R55" s="275"/>
      <c r="S55" s="273"/>
      <c r="T55" s="273"/>
      <c r="U55" s="366"/>
      <c r="V55" s="369"/>
      <c r="W55" s="363"/>
      <c r="X55" s="2">
        <v>114</v>
      </c>
    </row>
    <row r="56" spans="1:24" x14ac:dyDescent="0.3">
      <c r="A56" s="368"/>
      <c r="B56" s="362"/>
      <c r="C56" s="362"/>
      <c r="D56" s="362"/>
      <c r="E56" s="364"/>
      <c r="F56" s="365"/>
      <c r="G56" s="362"/>
      <c r="H56" s="366"/>
      <c r="I56" s="367"/>
      <c r="J56" s="362"/>
      <c r="K56" s="362"/>
      <c r="L56" s="362"/>
      <c r="M56" s="362"/>
      <c r="N56" s="280">
        <v>45504</v>
      </c>
      <c r="O56" s="365"/>
      <c r="P56" s="273">
        <v>252</v>
      </c>
      <c r="Q56" s="274">
        <v>45518</v>
      </c>
      <c r="R56" s="275"/>
      <c r="S56" s="273"/>
      <c r="T56" s="273"/>
      <c r="U56" s="366"/>
      <c r="V56" s="369"/>
      <c r="W56" s="363"/>
      <c r="X56" s="2">
        <v>114</v>
      </c>
    </row>
    <row r="57" spans="1:24" s="269" customFormat="1" x14ac:dyDescent="0.3">
      <c r="A57" s="347"/>
      <c r="B57" s="353"/>
      <c r="C57" s="353"/>
      <c r="D57" s="353"/>
      <c r="E57" s="359"/>
      <c r="F57" s="349"/>
      <c r="G57" s="353"/>
      <c r="H57" s="351"/>
      <c r="I57" s="361"/>
      <c r="J57" s="353"/>
      <c r="K57" s="353"/>
      <c r="L57" s="353"/>
      <c r="M57" s="353"/>
      <c r="N57" s="281">
        <v>45535</v>
      </c>
      <c r="O57" s="349"/>
      <c r="P57" s="276">
        <v>252</v>
      </c>
      <c r="Q57" s="277">
        <v>45551</v>
      </c>
      <c r="R57" s="278"/>
      <c r="S57" s="276"/>
      <c r="T57" s="276"/>
      <c r="U57" s="351"/>
      <c r="V57" s="355"/>
      <c r="W57" s="357"/>
      <c r="X57" s="269">
        <v>114</v>
      </c>
    </row>
    <row r="58" spans="1:24" s="85" customFormat="1" ht="147.6" customHeight="1" x14ac:dyDescent="0.3">
      <c r="A58" s="113">
        <v>13</v>
      </c>
      <c r="B58" s="114" t="s">
        <v>56</v>
      </c>
      <c r="C58" s="114"/>
      <c r="D58" s="114"/>
      <c r="E58" s="115" t="s">
        <v>306</v>
      </c>
      <c r="F58" s="121" t="s">
        <v>296</v>
      </c>
      <c r="G58" s="114" t="s">
        <v>239</v>
      </c>
      <c r="H58" s="116">
        <v>14280</v>
      </c>
      <c r="I58" s="117">
        <f>IF(X58 = 115, H58 + SUM(S58:S58) - SUM(T58:T58) - SUM(P58:P58) - V58,0)</f>
        <v>0</v>
      </c>
      <c r="J58" s="114" t="s">
        <v>240</v>
      </c>
      <c r="K58" s="114" t="s">
        <v>241</v>
      </c>
      <c r="L58" s="114"/>
      <c r="M58" s="114" t="s">
        <v>299</v>
      </c>
      <c r="N58" s="121" t="s">
        <v>315</v>
      </c>
      <c r="O58" s="121" t="s">
        <v>243</v>
      </c>
      <c r="P58" s="116">
        <v>14280</v>
      </c>
      <c r="Q58" s="115" t="s">
        <v>314</v>
      </c>
      <c r="R58" s="114"/>
      <c r="S58" s="116"/>
      <c r="T58" s="116"/>
      <c r="U58" s="116"/>
      <c r="V58" s="122"/>
      <c r="W58" s="112"/>
      <c r="X58" s="85">
        <v>115</v>
      </c>
    </row>
    <row r="59" spans="1:24" s="85" customFormat="1" ht="108" x14ac:dyDescent="0.3">
      <c r="A59" s="140">
        <v>14</v>
      </c>
      <c r="B59" s="141" t="s">
        <v>56</v>
      </c>
      <c r="C59" s="141"/>
      <c r="D59" s="141"/>
      <c r="E59" s="142" t="s">
        <v>332</v>
      </c>
      <c r="F59" s="146" t="s">
        <v>333</v>
      </c>
      <c r="G59" s="141" t="s">
        <v>334</v>
      </c>
      <c r="H59" s="143">
        <v>23544.3</v>
      </c>
      <c r="I59" s="144">
        <f>IF(X59 = 116, H59 + SUM(S59:S59) - SUM(T59:T59) - SUM(P59:P59) - V59,0)</f>
        <v>0</v>
      </c>
      <c r="J59" s="141" t="s">
        <v>335</v>
      </c>
      <c r="K59" s="141" t="s">
        <v>336</v>
      </c>
      <c r="L59" s="141"/>
      <c r="M59" s="141" t="s">
        <v>337</v>
      </c>
      <c r="N59" s="146" t="s">
        <v>424</v>
      </c>
      <c r="O59" s="146" t="s">
        <v>338</v>
      </c>
      <c r="P59" s="143">
        <v>23544.3</v>
      </c>
      <c r="Q59" s="142" t="s">
        <v>459</v>
      </c>
      <c r="R59" s="141"/>
      <c r="S59" s="143"/>
      <c r="T59" s="143"/>
      <c r="U59" s="143"/>
      <c r="V59" s="145"/>
      <c r="W59" s="139"/>
      <c r="X59" s="85">
        <v>116</v>
      </c>
    </row>
    <row r="60" spans="1:24" s="85" customFormat="1" ht="126" x14ac:dyDescent="0.3">
      <c r="A60" s="140">
        <v>15</v>
      </c>
      <c r="B60" s="141" t="s">
        <v>56</v>
      </c>
      <c r="C60" s="141"/>
      <c r="D60" s="141"/>
      <c r="E60" s="142" t="s">
        <v>339</v>
      </c>
      <c r="F60" s="146" t="s">
        <v>340</v>
      </c>
      <c r="G60" s="141" t="s">
        <v>239</v>
      </c>
      <c r="H60" s="143">
        <v>19500</v>
      </c>
      <c r="I60" s="144">
        <f>IF(X60 = 117, H60 + SUM(S60:S60) - SUM(T60:T60) - SUM(P60:P60) - V60,0)</f>
        <v>0</v>
      </c>
      <c r="J60" s="141" t="s">
        <v>240</v>
      </c>
      <c r="K60" s="141" t="s">
        <v>241</v>
      </c>
      <c r="L60" s="141"/>
      <c r="M60" s="141" t="s">
        <v>341</v>
      </c>
      <c r="N60" s="146" t="s">
        <v>399</v>
      </c>
      <c r="O60" s="146" t="s">
        <v>243</v>
      </c>
      <c r="P60" s="143">
        <v>19500</v>
      </c>
      <c r="Q60" s="142" t="s">
        <v>407</v>
      </c>
      <c r="R60" s="141"/>
      <c r="S60" s="143"/>
      <c r="T60" s="143"/>
      <c r="U60" s="143"/>
      <c r="V60" s="145"/>
      <c r="W60" s="139"/>
      <c r="X60" s="85">
        <v>117</v>
      </c>
    </row>
    <row r="61" spans="1:24" s="85" customFormat="1" ht="198" customHeight="1" x14ac:dyDescent="0.3">
      <c r="A61" s="403">
        <v>16</v>
      </c>
      <c r="B61" s="386" t="s">
        <v>56</v>
      </c>
      <c r="C61" s="386"/>
      <c r="D61" s="386"/>
      <c r="E61" s="390" t="s">
        <v>342</v>
      </c>
      <c r="F61" s="392" t="s">
        <v>343</v>
      </c>
      <c r="G61" s="386" t="s">
        <v>344</v>
      </c>
      <c r="H61" s="394">
        <v>52000</v>
      </c>
      <c r="I61" s="396">
        <f>IF(X61 = 118, H61 + SUM(S61:S62) - SUM(T61:T62) - SUM(P61:P62) - V61,0)</f>
        <v>0</v>
      </c>
      <c r="J61" s="386" t="s">
        <v>169</v>
      </c>
      <c r="K61" s="386" t="s">
        <v>170</v>
      </c>
      <c r="L61" s="386"/>
      <c r="M61" s="386" t="s">
        <v>345</v>
      </c>
      <c r="N61" s="156" t="s">
        <v>406</v>
      </c>
      <c r="O61" s="392" t="s">
        <v>346</v>
      </c>
      <c r="P61" s="152">
        <v>4000</v>
      </c>
      <c r="Q61" s="151" t="s">
        <v>405</v>
      </c>
      <c r="R61" s="150"/>
      <c r="S61" s="152"/>
      <c r="T61" s="152"/>
      <c r="U61" s="394"/>
      <c r="V61" s="384"/>
      <c r="W61" s="388"/>
      <c r="X61" s="85">
        <v>118</v>
      </c>
    </row>
    <row r="62" spans="1:24" x14ac:dyDescent="0.3">
      <c r="A62" s="404"/>
      <c r="B62" s="387"/>
      <c r="C62" s="387"/>
      <c r="D62" s="387"/>
      <c r="E62" s="391"/>
      <c r="F62" s="393"/>
      <c r="G62" s="387"/>
      <c r="H62" s="395"/>
      <c r="I62" s="397"/>
      <c r="J62" s="387"/>
      <c r="K62" s="387"/>
      <c r="L62" s="387"/>
      <c r="M62" s="387"/>
      <c r="N62" s="157" t="s">
        <v>406</v>
      </c>
      <c r="O62" s="393"/>
      <c r="P62" s="153">
        <v>48000</v>
      </c>
      <c r="Q62" s="154" t="s">
        <v>405</v>
      </c>
      <c r="R62" s="155"/>
      <c r="S62" s="153"/>
      <c r="T62" s="153"/>
      <c r="U62" s="395"/>
      <c r="V62" s="385"/>
      <c r="W62" s="389"/>
      <c r="X62" s="2">
        <v>118</v>
      </c>
    </row>
    <row r="63" spans="1:24" s="85" customFormat="1" ht="144" x14ac:dyDescent="0.3">
      <c r="A63" s="140">
        <v>17</v>
      </c>
      <c r="B63" s="141" t="s">
        <v>56</v>
      </c>
      <c r="C63" s="141"/>
      <c r="D63" s="141"/>
      <c r="E63" s="142" t="s">
        <v>347</v>
      </c>
      <c r="F63" s="146" t="s">
        <v>348</v>
      </c>
      <c r="G63" s="141" t="s">
        <v>349</v>
      </c>
      <c r="H63" s="143">
        <v>1900</v>
      </c>
      <c r="I63" s="144">
        <f>IF(X63 = 119, H63 + SUM(S63:S63) - SUM(T63:T63) - SUM(P63:P63) - V63,0)</f>
        <v>0</v>
      </c>
      <c r="J63" s="141" t="s">
        <v>350</v>
      </c>
      <c r="K63" s="141" t="s">
        <v>351</v>
      </c>
      <c r="L63" s="141"/>
      <c r="M63" s="141" t="s">
        <v>352</v>
      </c>
      <c r="N63" s="146" t="s">
        <v>405</v>
      </c>
      <c r="O63" s="146" t="s">
        <v>353</v>
      </c>
      <c r="P63" s="143">
        <v>1900</v>
      </c>
      <c r="Q63" s="142" t="s">
        <v>400</v>
      </c>
      <c r="R63" s="141"/>
      <c r="S63" s="143"/>
      <c r="T63" s="143"/>
      <c r="U63" s="143"/>
      <c r="V63" s="145"/>
      <c r="W63" s="139"/>
      <c r="X63" s="85">
        <v>119</v>
      </c>
    </row>
    <row r="64" spans="1:24" s="85" customFormat="1" ht="108" x14ac:dyDescent="0.3">
      <c r="A64" s="140">
        <v>18</v>
      </c>
      <c r="B64" s="141" t="s">
        <v>56</v>
      </c>
      <c r="C64" s="141"/>
      <c r="D64" s="141"/>
      <c r="E64" s="142" t="s">
        <v>364</v>
      </c>
      <c r="F64" s="146" t="s">
        <v>365</v>
      </c>
      <c r="G64" s="141" t="s">
        <v>366</v>
      </c>
      <c r="H64" s="143">
        <v>4500</v>
      </c>
      <c r="I64" s="144">
        <f>IF(X64 = 120, H64 + SUM(S64:S64) - SUM(T64:T64) - SUM(P64:P64) - V64,0)</f>
        <v>0</v>
      </c>
      <c r="J64" s="141" t="s">
        <v>168</v>
      </c>
      <c r="K64" s="141" t="s">
        <v>150</v>
      </c>
      <c r="L64" s="141"/>
      <c r="M64" s="141" t="s">
        <v>367</v>
      </c>
      <c r="N64" s="146" t="s">
        <v>400</v>
      </c>
      <c r="O64" s="146" t="s">
        <v>368</v>
      </c>
      <c r="P64" s="143">
        <v>4500</v>
      </c>
      <c r="Q64" s="142" t="s">
        <v>409</v>
      </c>
      <c r="R64" s="141"/>
      <c r="S64" s="143"/>
      <c r="T64" s="143"/>
      <c r="U64" s="143"/>
      <c r="V64" s="145"/>
      <c r="W64" s="139"/>
      <c r="X64" s="85">
        <v>120</v>
      </c>
    </row>
    <row r="65" spans="1:24" s="85" customFormat="1" ht="126" x14ac:dyDescent="0.3">
      <c r="A65" s="140">
        <v>19</v>
      </c>
      <c r="B65" s="141" t="s">
        <v>56</v>
      </c>
      <c r="C65" s="141"/>
      <c r="D65" s="141"/>
      <c r="E65" s="142" t="s">
        <v>374</v>
      </c>
      <c r="F65" s="146" t="s">
        <v>375</v>
      </c>
      <c r="G65" s="141" t="s">
        <v>239</v>
      </c>
      <c r="H65" s="143">
        <v>7920</v>
      </c>
      <c r="I65" s="144">
        <f>IF(X65 = 121, H65 + SUM(S65:S65) - SUM(T65:T65) - SUM(P65:P65) - V65,0)</f>
        <v>0</v>
      </c>
      <c r="J65" s="141" t="s">
        <v>240</v>
      </c>
      <c r="K65" s="141" t="s">
        <v>241</v>
      </c>
      <c r="L65" s="141"/>
      <c r="M65" s="141" t="s">
        <v>378</v>
      </c>
      <c r="N65" s="146" t="s">
        <v>411</v>
      </c>
      <c r="O65" s="146" t="s">
        <v>243</v>
      </c>
      <c r="P65" s="143">
        <v>7920</v>
      </c>
      <c r="Q65" s="142" t="s">
        <v>410</v>
      </c>
      <c r="R65" s="141"/>
      <c r="S65" s="143"/>
      <c r="T65" s="143"/>
      <c r="U65" s="143"/>
      <c r="V65" s="145"/>
      <c r="W65" s="139"/>
      <c r="X65" s="85">
        <v>121</v>
      </c>
    </row>
    <row r="66" spans="1:24" s="85" customFormat="1" ht="90" x14ac:dyDescent="0.3">
      <c r="A66" s="140">
        <v>20</v>
      </c>
      <c r="B66" s="141" t="s">
        <v>56</v>
      </c>
      <c r="C66" s="141"/>
      <c r="D66" s="141"/>
      <c r="E66" s="142" t="s">
        <v>376</v>
      </c>
      <c r="F66" s="146" t="s">
        <v>377</v>
      </c>
      <c r="G66" s="141" t="s">
        <v>379</v>
      </c>
      <c r="H66" s="143">
        <v>3000</v>
      </c>
      <c r="I66" s="144">
        <f>IF(X66 = 122, H66 + SUM(S66:S66) - SUM(T66:T66) - SUM(P66:P66) - V66,0)</f>
        <v>0</v>
      </c>
      <c r="J66" s="141" t="s">
        <v>380</v>
      </c>
      <c r="K66" s="141" t="s">
        <v>381</v>
      </c>
      <c r="L66" s="141"/>
      <c r="M66" s="141" t="s">
        <v>382</v>
      </c>
      <c r="N66" s="146" t="s">
        <v>409</v>
      </c>
      <c r="O66" s="146" t="s">
        <v>383</v>
      </c>
      <c r="P66" s="143">
        <v>3000</v>
      </c>
      <c r="Q66" s="142" t="s">
        <v>410</v>
      </c>
      <c r="R66" s="141"/>
      <c r="S66" s="143"/>
      <c r="T66" s="143"/>
      <c r="U66" s="143"/>
      <c r="V66" s="145"/>
      <c r="W66" s="139"/>
      <c r="X66" s="85">
        <v>122</v>
      </c>
    </row>
    <row r="67" spans="1:24" s="85" customFormat="1" ht="72" x14ac:dyDescent="0.3">
      <c r="A67" s="140">
        <v>21</v>
      </c>
      <c r="B67" s="141" t="s">
        <v>56</v>
      </c>
      <c r="C67" s="141"/>
      <c r="D67" s="141"/>
      <c r="E67" s="142" t="s">
        <v>392</v>
      </c>
      <c r="F67" s="146" t="s">
        <v>355</v>
      </c>
      <c r="G67" s="141" t="s">
        <v>394</v>
      </c>
      <c r="H67" s="143">
        <v>65311</v>
      </c>
      <c r="I67" s="144">
        <f>IF(X67 = 123, H67 + SUM(S67:S67) - SUM(T67:T67) - SUM(P67:P67) - V67,0)</f>
        <v>0</v>
      </c>
      <c r="J67" s="141" t="s">
        <v>395</v>
      </c>
      <c r="K67" s="141" t="s">
        <v>396</v>
      </c>
      <c r="L67" s="141"/>
      <c r="M67" s="141" t="s">
        <v>397</v>
      </c>
      <c r="N67" s="146" t="s">
        <v>465</v>
      </c>
      <c r="O67" s="146" t="s">
        <v>398</v>
      </c>
      <c r="P67" s="143">
        <v>68346</v>
      </c>
      <c r="Q67" s="142" t="s">
        <v>468</v>
      </c>
      <c r="R67" s="141" t="s">
        <v>449</v>
      </c>
      <c r="S67" s="143">
        <v>3035</v>
      </c>
      <c r="T67" s="143"/>
      <c r="U67" s="143"/>
      <c r="V67" s="145"/>
      <c r="W67" s="139"/>
      <c r="X67" s="85">
        <v>123</v>
      </c>
    </row>
    <row r="68" spans="1:24" s="85" customFormat="1" ht="72" x14ac:dyDescent="0.3">
      <c r="A68" s="140">
        <v>22</v>
      </c>
      <c r="B68" s="141" t="s">
        <v>56</v>
      </c>
      <c r="C68" s="141"/>
      <c r="D68" s="141"/>
      <c r="E68" s="142" t="s">
        <v>393</v>
      </c>
      <c r="F68" s="146" t="s">
        <v>355</v>
      </c>
      <c r="G68" s="141" t="s">
        <v>394</v>
      </c>
      <c r="H68" s="143">
        <v>4243</v>
      </c>
      <c r="I68" s="144">
        <f>IF(X68 = 124, H68 + SUM(S68:S68) - SUM(T68:T68) - SUM(P68:P68) - V68,0)</f>
        <v>0</v>
      </c>
      <c r="J68" s="141" t="s">
        <v>395</v>
      </c>
      <c r="K68" s="141" t="s">
        <v>396</v>
      </c>
      <c r="L68" s="141"/>
      <c r="M68" s="141" t="s">
        <v>397</v>
      </c>
      <c r="N68" s="146" t="s">
        <v>465</v>
      </c>
      <c r="O68" s="146" t="s">
        <v>398</v>
      </c>
      <c r="P68" s="143">
        <v>4243</v>
      </c>
      <c r="Q68" s="142" t="s">
        <v>468</v>
      </c>
      <c r="R68" s="141"/>
      <c r="S68" s="143"/>
      <c r="T68" s="143"/>
      <c r="U68" s="143"/>
      <c r="V68" s="145"/>
      <c r="W68" s="139"/>
      <c r="X68" s="85">
        <v>124</v>
      </c>
    </row>
    <row r="69" spans="1:24" s="85" customFormat="1" ht="150" customHeight="1" x14ac:dyDescent="0.3">
      <c r="A69" s="140">
        <v>23</v>
      </c>
      <c r="B69" s="141" t="s">
        <v>56</v>
      </c>
      <c r="C69" s="141"/>
      <c r="D69" s="141"/>
      <c r="E69" s="142" t="s">
        <v>390</v>
      </c>
      <c r="F69" s="146" t="s">
        <v>389</v>
      </c>
      <c r="G69" s="141" t="s">
        <v>239</v>
      </c>
      <c r="H69" s="143">
        <v>2500</v>
      </c>
      <c r="I69" s="144">
        <f>IF(X69 = 126, H69 + SUM(S69:S69) - SUM(T69:T69) - SUM(P69:P69) - V69,0)</f>
        <v>0</v>
      </c>
      <c r="J69" s="141" t="s">
        <v>240</v>
      </c>
      <c r="K69" s="141" t="s">
        <v>241</v>
      </c>
      <c r="L69" s="141"/>
      <c r="M69" s="141" t="s">
        <v>391</v>
      </c>
      <c r="N69" s="146" t="s">
        <v>413</v>
      </c>
      <c r="O69" s="146" t="s">
        <v>243</v>
      </c>
      <c r="P69" s="143">
        <v>2500</v>
      </c>
      <c r="Q69" s="142" t="s">
        <v>412</v>
      </c>
      <c r="R69" s="141"/>
      <c r="S69" s="143"/>
      <c r="T69" s="143"/>
      <c r="U69" s="143"/>
      <c r="V69" s="145"/>
      <c r="W69" s="139"/>
      <c r="X69" s="85">
        <v>126</v>
      </c>
    </row>
    <row r="70" spans="1:24" s="85" customFormat="1" ht="72" customHeight="1" x14ac:dyDescent="0.3">
      <c r="A70" s="407">
        <v>24</v>
      </c>
      <c r="B70" s="413" t="s">
        <v>56</v>
      </c>
      <c r="C70" s="413"/>
      <c r="D70" s="413"/>
      <c r="E70" s="419" t="s">
        <v>415</v>
      </c>
      <c r="F70" s="409" t="s">
        <v>389</v>
      </c>
      <c r="G70" s="413" t="s">
        <v>416</v>
      </c>
      <c r="H70" s="411">
        <v>12904</v>
      </c>
      <c r="I70" s="421">
        <f>IF(X70 = 127, H70 + SUM(S70:S71) - SUM(T70:T71) - SUM(P70:P71) - V70,0)</f>
        <v>0</v>
      </c>
      <c r="J70" s="413" t="s">
        <v>417</v>
      </c>
      <c r="K70" s="413" t="s">
        <v>418</v>
      </c>
      <c r="L70" s="413"/>
      <c r="M70" s="413" t="s">
        <v>419</v>
      </c>
      <c r="N70" s="189" t="s">
        <v>425</v>
      </c>
      <c r="O70" s="409" t="s">
        <v>420</v>
      </c>
      <c r="P70" s="183">
        <v>3784</v>
      </c>
      <c r="Q70" s="182" t="s">
        <v>463</v>
      </c>
      <c r="R70" s="181"/>
      <c r="S70" s="183"/>
      <c r="T70" s="183"/>
      <c r="U70" s="411"/>
      <c r="V70" s="415"/>
      <c r="W70" s="417"/>
      <c r="X70" s="85">
        <v>127</v>
      </c>
    </row>
    <row r="71" spans="1:24" x14ac:dyDescent="0.3">
      <c r="A71" s="408"/>
      <c r="B71" s="414"/>
      <c r="C71" s="414"/>
      <c r="D71" s="414"/>
      <c r="E71" s="420"/>
      <c r="F71" s="410"/>
      <c r="G71" s="414"/>
      <c r="H71" s="412"/>
      <c r="I71" s="422"/>
      <c r="J71" s="414"/>
      <c r="K71" s="414"/>
      <c r="L71" s="414"/>
      <c r="M71" s="414"/>
      <c r="N71" s="191" t="s">
        <v>425</v>
      </c>
      <c r="O71" s="410"/>
      <c r="P71" s="186">
        <v>9120</v>
      </c>
      <c r="Q71" s="187" t="s">
        <v>463</v>
      </c>
      <c r="R71" s="188"/>
      <c r="S71" s="186"/>
      <c r="T71" s="186"/>
      <c r="U71" s="412"/>
      <c r="V71" s="416"/>
      <c r="W71" s="418"/>
      <c r="X71" s="2">
        <v>127</v>
      </c>
    </row>
    <row r="72" spans="1:24" s="85" customFormat="1" ht="72" x14ac:dyDescent="0.3">
      <c r="A72" s="170">
        <v>25</v>
      </c>
      <c r="B72" s="171" t="s">
        <v>56</v>
      </c>
      <c r="C72" s="171"/>
      <c r="D72" s="171"/>
      <c r="E72" s="173" t="s">
        <v>426</v>
      </c>
      <c r="F72" s="179" t="s">
        <v>427</v>
      </c>
      <c r="G72" s="171" t="s">
        <v>284</v>
      </c>
      <c r="H72" s="174">
        <v>6750</v>
      </c>
      <c r="I72" s="175">
        <f>IF(X72 = 128, H72 + SUM(S72:S72) - SUM(T72:T72) - SUM(P72:P72) - V72,0)</f>
        <v>0</v>
      </c>
      <c r="J72" s="171" t="s">
        <v>428</v>
      </c>
      <c r="K72" s="171" t="s">
        <v>429</v>
      </c>
      <c r="L72" s="171"/>
      <c r="M72" s="171" t="s">
        <v>430</v>
      </c>
      <c r="N72" s="179" t="s">
        <v>463</v>
      </c>
      <c r="O72" s="179" t="s">
        <v>431</v>
      </c>
      <c r="P72" s="174">
        <v>6750</v>
      </c>
      <c r="Q72" s="173" t="s">
        <v>464</v>
      </c>
      <c r="R72" s="171"/>
      <c r="S72" s="174"/>
      <c r="T72" s="174"/>
      <c r="U72" s="174"/>
      <c r="V72" s="180"/>
      <c r="W72" s="172"/>
      <c r="X72" s="85">
        <v>128</v>
      </c>
    </row>
    <row r="73" spans="1:24" s="85" customFormat="1" ht="126" x14ac:dyDescent="0.3">
      <c r="A73" s="170">
        <v>26</v>
      </c>
      <c r="B73" s="171" t="s">
        <v>56</v>
      </c>
      <c r="C73" s="171"/>
      <c r="D73" s="171"/>
      <c r="E73" s="173" t="s">
        <v>450</v>
      </c>
      <c r="F73" s="179" t="s">
        <v>451</v>
      </c>
      <c r="G73" s="171" t="s">
        <v>239</v>
      </c>
      <c r="H73" s="174">
        <v>4100</v>
      </c>
      <c r="I73" s="175">
        <f>IF(X73 = 129, H73 + SUM(S73:S73) - SUM(T73:T73) - SUM(P73:P73) - V73,0)</f>
        <v>0</v>
      </c>
      <c r="J73" s="171" t="s">
        <v>240</v>
      </c>
      <c r="K73" s="171" t="s">
        <v>241</v>
      </c>
      <c r="L73" s="171"/>
      <c r="M73" s="171" t="s">
        <v>452</v>
      </c>
      <c r="N73" s="179" t="s">
        <v>466</v>
      </c>
      <c r="O73" s="179" t="s">
        <v>243</v>
      </c>
      <c r="P73" s="174">
        <v>4100</v>
      </c>
      <c r="Q73" s="173" t="s">
        <v>505</v>
      </c>
      <c r="R73" s="171"/>
      <c r="S73" s="174"/>
      <c r="T73" s="174"/>
      <c r="U73" s="174"/>
      <c r="V73" s="180"/>
      <c r="W73" s="172"/>
      <c r="X73" s="85">
        <v>129</v>
      </c>
    </row>
    <row r="74" spans="1:24" s="85" customFormat="1" ht="144" x14ac:dyDescent="0.3">
      <c r="A74" s="193">
        <v>27</v>
      </c>
      <c r="B74" s="194" t="s">
        <v>56</v>
      </c>
      <c r="C74" s="194"/>
      <c r="D74" s="194"/>
      <c r="E74" s="195" t="s">
        <v>470</v>
      </c>
      <c r="F74" s="199" t="s">
        <v>471</v>
      </c>
      <c r="G74" s="194" t="s">
        <v>472</v>
      </c>
      <c r="H74" s="196">
        <v>14921.5</v>
      </c>
      <c r="I74" s="197">
        <f>IF(X74 = 130, H74 + SUM(S74:S74) - SUM(T74:T74) - SUM(P74:P74) - V74,0)</f>
        <v>0</v>
      </c>
      <c r="J74" s="194" t="s">
        <v>473</v>
      </c>
      <c r="K74" s="194" t="s">
        <v>474</v>
      </c>
      <c r="L74" s="194"/>
      <c r="M74" s="194" t="s">
        <v>475</v>
      </c>
      <c r="N74" s="199" t="s">
        <v>505</v>
      </c>
      <c r="O74" s="199" t="s">
        <v>476</v>
      </c>
      <c r="P74" s="196">
        <v>14921.5</v>
      </c>
      <c r="Q74" s="195" t="s">
        <v>503</v>
      </c>
      <c r="R74" s="194"/>
      <c r="S74" s="196"/>
      <c r="T74" s="196"/>
      <c r="U74" s="196"/>
      <c r="V74" s="198"/>
      <c r="W74" s="192"/>
      <c r="X74" s="85">
        <v>130</v>
      </c>
    </row>
    <row r="75" spans="1:24" s="85" customFormat="1" ht="72" x14ac:dyDescent="0.3">
      <c r="A75" s="193">
        <v>28</v>
      </c>
      <c r="B75" s="194" t="s">
        <v>56</v>
      </c>
      <c r="C75" s="194"/>
      <c r="D75" s="194"/>
      <c r="E75" s="195" t="s">
        <v>484</v>
      </c>
      <c r="F75" s="199" t="s">
        <v>471</v>
      </c>
      <c r="G75" s="194" t="s">
        <v>394</v>
      </c>
      <c r="H75" s="196">
        <v>78905</v>
      </c>
      <c r="I75" s="197">
        <f>IF(X75 = 131, H75 + SUM(S75:S75) - SUM(T75:T75) - SUM(P75:P75) - V75,0)</f>
        <v>4426</v>
      </c>
      <c r="J75" s="194" t="s">
        <v>395</v>
      </c>
      <c r="K75" s="194" t="s">
        <v>396</v>
      </c>
      <c r="L75" s="194"/>
      <c r="M75" s="194" t="s">
        <v>486</v>
      </c>
      <c r="N75" s="199">
        <v>45497</v>
      </c>
      <c r="O75" s="199" t="s">
        <v>398</v>
      </c>
      <c r="P75" s="196">
        <v>74479</v>
      </c>
      <c r="Q75" s="195">
        <v>45509</v>
      </c>
      <c r="R75" s="194"/>
      <c r="S75" s="196"/>
      <c r="T75" s="196"/>
      <c r="U75" s="196"/>
      <c r="V75" s="198"/>
      <c r="W75" s="192"/>
      <c r="X75" s="85">
        <v>131</v>
      </c>
    </row>
    <row r="76" spans="1:24" s="85" customFormat="1" ht="72" x14ac:dyDescent="0.3">
      <c r="A76" s="193">
        <v>29</v>
      </c>
      <c r="B76" s="194" t="s">
        <v>56</v>
      </c>
      <c r="C76" s="194"/>
      <c r="D76" s="194"/>
      <c r="E76" s="195" t="s">
        <v>485</v>
      </c>
      <c r="F76" s="199" t="s">
        <v>471</v>
      </c>
      <c r="G76" s="194" t="s">
        <v>394</v>
      </c>
      <c r="H76" s="196">
        <v>10258</v>
      </c>
      <c r="I76" s="197">
        <f>IF(X76 = 132, H76 + SUM(S76:S76) - SUM(T76:T76) - SUM(P76:P76) - V76,0)</f>
        <v>0</v>
      </c>
      <c r="J76" s="194" t="s">
        <v>395</v>
      </c>
      <c r="K76" s="194" t="s">
        <v>396</v>
      </c>
      <c r="L76" s="194"/>
      <c r="M76" s="194" t="s">
        <v>486</v>
      </c>
      <c r="N76" s="199">
        <v>45497</v>
      </c>
      <c r="O76" s="199" t="s">
        <v>398</v>
      </c>
      <c r="P76" s="196">
        <v>10258</v>
      </c>
      <c r="Q76" s="195">
        <v>45509</v>
      </c>
      <c r="R76" s="194"/>
      <c r="S76" s="196"/>
      <c r="T76" s="196"/>
      <c r="U76" s="196"/>
      <c r="V76" s="198"/>
      <c r="W76" s="192"/>
      <c r="X76" s="85">
        <v>132</v>
      </c>
    </row>
    <row r="77" spans="1:24" s="85" customFormat="1" ht="162" customHeight="1" x14ac:dyDescent="0.3">
      <c r="A77" s="346">
        <v>30</v>
      </c>
      <c r="B77" s="352" t="s">
        <v>56</v>
      </c>
      <c r="C77" s="352"/>
      <c r="D77" s="352"/>
      <c r="E77" s="358" t="s">
        <v>496</v>
      </c>
      <c r="F77" s="348" t="s">
        <v>497</v>
      </c>
      <c r="G77" s="352" t="s">
        <v>498</v>
      </c>
      <c r="H77" s="350">
        <v>6600</v>
      </c>
      <c r="I77" s="360">
        <f>IF(X77 = 133, H77 + SUM(S77:S78) - SUM(T77:T78) - SUM(P77:P78) - V77,0)</f>
        <v>0</v>
      </c>
      <c r="J77" s="352" t="s">
        <v>499</v>
      </c>
      <c r="K77" s="352" t="s">
        <v>500</v>
      </c>
      <c r="L77" s="352"/>
      <c r="M77" s="352" t="s">
        <v>501</v>
      </c>
      <c r="N77" s="279">
        <v>45527</v>
      </c>
      <c r="O77" s="348" t="s">
        <v>502</v>
      </c>
      <c r="P77" s="270">
        <v>4620</v>
      </c>
      <c r="Q77" s="271">
        <v>45538</v>
      </c>
      <c r="R77" s="272"/>
      <c r="S77" s="270"/>
      <c r="T77" s="270"/>
      <c r="U77" s="350"/>
      <c r="V77" s="354"/>
      <c r="W77" s="356"/>
      <c r="X77" s="85">
        <v>133</v>
      </c>
    </row>
    <row r="78" spans="1:24" s="269" customFormat="1" x14ac:dyDescent="0.3">
      <c r="A78" s="347"/>
      <c r="B78" s="353"/>
      <c r="C78" s="353"/>
      <c r="D78" s="353"/>
      <c r="E78" s="359"/>
      <c r="F78" s="349"/>
      <c r="G78" s="353"/>
      <c r="H78" s="351"/>
      <c r="I78" s="361"/>
      <c r="J78" s="353"/>
      <c r="K78" s="353"/>
      <c r="L78" s="353"/>
      <c r="M78" s="353"/>
      <c r="N78" s="281"/>
      <c r="O78" s="349"/>
      <c r="P78" s="276">
        <v>1980</v>
      </c>
      <c r="Q78" s="277"/>
      <c r="R78" s="278"/>
      <c r="S78" s="276"/>
      <c r="T78" s="276"/>
      <c r="U78" s="351"/>
      <c r="V78" s="355"/>
      <c r="W78" s="357"/>
      <c r="X78" s="269">
        <v>133</v>
      </c>
    </row>
    <row r="79" spans="1:24" s="85" customFormat="1" ht="144" x14ac:dyDescent="0.3">
      <c r="A79" s="193">
        <v>31</v>
      </c>
      <c r="B79" s="194" t="s">
        <v>56</v>
      </c>
      <c r="C79" s="194"/>
      <c r="D79" s="194"/>
      <c r="E79" s="195" t="s">
        <v>57</v>
      </c>
      <c r="F79" s="199" t="s">
        <v>490</v>
      </c>
      <c r="G79" s="194" t="s">
        <v>491</v>
      </c>
      <c r="H79" s="196">
        <v>25000</v>
      </c>
      <c r="I79" s="197">
        <f>IF(X79 = 134, H79 + SUM(S79:S79) - SUM(T79:T79) - SUM(P79:P79) - V79,0)</f>
        <v>0</v>
      </c>
      <c r="J79" s="194" t="s">
        <v>492</v>
      </c>
      <c r="K79" s="194" t="s">
        <v>493</v>
      </c>
      <c r="L79" s="194"/>
      <c r="M79" s="194" t="s">
        <v>494</v>
      </c>
      <c r="N79" s="199">
        <v>45468</v>
      </c>
      <c r="O79" s="199" t="s">
        <v>495</v>
      </c>
      <c r="P79" s="196">
        <v>25000</v>
      </c>
      <c r="Q79" s="195">
        <v>45475</v>
      </c>
      <c r="R79" s="194"/>
      <c r="S79" s="196"/>
      <c r="T79" s="196"/>
      <c r="U79" s="196"/>
      <c r="V79" s="198"/>
      <c r="W79" s="192"/>
      <c r="X79" s="85">
        <v>134</v>
      </c>
    </row>
    <row r="80" spans="1:24" s="85" customFormat="1" ht="90" x14ac:dyDescent="0.3">
      <c r="A80" s="215">
        <v>32</v>
      </c>
      <c r="B80" s="217" t="s">
        <v>56</v>
      </c>
      <c r="C80" s="217"/>
      <c r="D80" s="217"/>
      <c r="E80" s="220" t="s">
        <v>526</v>
      </c>
      <c r="F80" s="222" t="s">
        <v>527</v>
      </c>
      <c r="G80" s="217" t="s">
        <v>213</v>
      </c>
      <c r="H80" s="216">
        <v>599960</v>
      </c>
      <c r="I80" s="221">
        <f>IF(X80 = 135, H80 + SUM(S80:S80) - SUM(T80:T80) - SUM(P80:P80) - V80,0)</f>
        <v>588035</v>
      </c>
      <c r="J80" s="217" t="s">
        <v>528</v>
      </c>
      <c r="K80" s="217" t="s">
        <v>147</v>
      </c>
      <c r="L80" s="217"/>
      <c r="M80" s="217" t="s">
        <v>529</v>
      </c>
      <c r="N80" s="222"/>
      <c r="O80" s="222" t="s">
        <v>530</v>
      </c>
      <c r="P80" s="216">
        <v>11925</v>
      </c>
      <c r="Q80" s="220">
        <v>45509</v>
      </c>
      <c r="R80" s="217"/>
      <c r="S80" s="216"/>
      <c r="T80" s="216"/>
      <c r="U80" s="216"/>
      <c r="V80" s="218"/>
      <c r="W80" s="219"/>
      <c r="X80" s="85">
        <v>135</v>
      </c>
    </row>
    <row r="81" spans="1:24" s="85" customFormat="1" ht="91.8" customHeight="1" x14ac:dyDescent="0.3">
      <c r="A81" s="215">
        <v>33</v>
      </c>
      <c r="B81" s="217" t="s">
        <v>56</v>
      </c>
      <c r="C81" s="217"/>
      <c r="D81" s="217"/>
      <c r="E81" s="220" t="s">
        <v>531</v>
      </c>
      <c r="F81" s="222">
        <v>45483</v>
      </c>
      <c r="G81" s="217" t="s">
        <v>532</v>
      </c>
      <c r="H81" s="216">
        <v>4000</v>
      </c>
      <c r="I81" s="221">
        <f>IF(X81 = 136, H81 + SUM(S81:S81) - SUM(T81:T81) - SUM(P81:P81) - V81,0)</f>
        <v>0</v>
      </c>
      <c r="J81" s="217" t="s">
        <v>533</v>
      </c>
      <c r="K81" s="217" t="s">
        <v>534</v>
      </c>
      <c r="L81" s="217"/>
      <c r="M81" s="217" t="s">
        <v>535</v>
      </c>
      <c r="N81" s="220">
        <v>45483</v>
      </c>
      <c r="O81" s="222" t="s">
        <v>536</v>
      </c>
      <c r="P81" s="216">
        <v>4000</v>
      </c>
      <c r="Q81" s="220">
        <v>45498</v>
      </c>
      <c r="R81" s="217"/>
      <c r="S81" s="216"/>
      <c r="T81" s="216"/>
      <c r="U81" s="216"/>
      <c r="V81" s="218"/>
      <c r="W81" s="219"/>
      <c r="X81" s="85">
        <v>136</v>
      </c>
    </row>
    <row r="82" spans="1:24" s="85" customFormat="1" ht="54" x14ac:dyDescent="0.3">
      <c r="A82" s="215">
        <v>34</v>
      </c>
      <c r="B82" s="217" t="s">
        <v>56</v>
      </c>
      <c r="C82" s="217"/>
      <c r="D82" s="217"/>
      <c r="E82" s="220" t="s">
        <v>537</v>
      </c>
      <c r="F82" s="222">
        <v>45491</v>
      </c>
      <c r="G82" s="217" t="s">
        <v>538</v>
      </c>
      <c r="H82" s="216">
        <v>7200</v>
      </c>
      <c r="I82" s="221">
        <f>IF(X82 = 137, H82 + SUM(S82:S82) - SUM(T82:T82) - SUM(P82:P82) - V82,0)</f>
        <v>0</v>
      </c>
      <c r="J82" s="217" t="s">
        <v>350</v>
      </c>
      <c r="K82" s="217" t="s">
        <v>539</v>
      </c>
      <c r="L82" s="217"/>
      <c r="M82" s="217" t="s">
        <v>540</v>
      </c>
      <c r="N82" s="220">
        <v>45495</v>
      </c>
      <c r="O82" s="222" t="s">
        <v>541</v>
      </c>
      <c r="P82" s="216">
        <v>7200</v>
      </c>
      <c r="Q82" s="220">
        <v>45498</v>
      </c>
      <c r="R82" s="217"/>
      <c r="S82" s="216"/>
      <c r="T82" s="216"/>
      <c r="U82" s="216"/>
      <c r="V82" s="218"/>
      <c r="W82" s="219"/>
      <c r="X82" s="85">
        <v>137</v>
      </c>
    </row>
    <row r="83" spans="1:24" x14ac:dyDescent="0.3">
      <c r="X83" s="2">
        <v>138</v>
      </c>
    </row>
  </sheetData>
  <sheetProtection algorithmName="SHA-512" hashValue="w3L6TXyINpBzCOh8ql1BCfSWSQSRwpI2C7fVD/1LmpqdmXfPEocwNhuheDqegtowaxQLkcTiMH5DDyyihHZ87w==" saltValue="XeWmbt5ZGiSMIVAHLPlDNw==" spinCount="100000" sheet="1" objects="1" scenarios="1" formatCells="0" formatColumns="0" formatRows="0"/>
  <mergeCells count="160">
    <mergeCell ref="A70:A71"/>
    <mergeCell ref="O70:O71"/>
    <mergeCell ref="U70:U71"/>
    <mergeCell ref="B70:B71"/>
    <mergeCell ref="V70:V71"/>
    <mergeCell ref="C70:C71"/>
    <mergeCell ref="W70:W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A3:E3"/>
    <mergeCell ref="S2:U2"/>
    <mergeCell ref="N2:O2"/>
    <mergeCell ref="J4:K4"/>
    <mergeCell ref="M4:N4"/>
    <mergeCell ref="O4:P4"/>
    <mergeCell ref="K2:M2"/>
    <mergeCell ref="A61:A62"/>
    <mergeCell ref="O61:O62"/>
    <mergeCell ref="U61:U62"/>
    <mergeCell ref="B61:B62"/>
    <mergeCell ref="I36:I37"/>
    <mergeCell ref="J36:J37"/>
    <mergeCell ref="K36:K37"/>
    <mergeCell ref="L36:L37"/>
    <mergeCell ref="M36:M37"/>
    <mergeCell ref="A38:A45"/>
    <mergeCell ref="O38:O45"/>
    <mergeCell ref="U38:U45"/>
    <mergeCell ref="B38:B45"/>
    <mergeCell ref="V38:V45"/>
    <mergeCell ref="V61:V62"/>
    <mergeCell ref="C61:C62"/>
    <mergeCell ref="W61:W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W20:W27"/>
    <mergeCell ref="D20:D27"/>
    <mergeCell ref="E20:E27"/>
    <mergeCell ref="F20:F27"/>
    <mergeCell ref="G20:G27"/>
    <mergeCell ref="H20:H27"/>
    <mergeCell ref="I20:I27"/>
    <mergeCell ref="A36:A37"/>
    <mergeCell ref="O36:O37"/>
    <mergeCell ref="U36:U37"/>
    <mergeCell ref="B36:B37"/>
    <mergeCell ref="V36:V37"/>
    <mergeCell ref="C36:C37"/>
    <mergeCell ref="W36:W37"/>
    <mergeCell ref="D36:D37"/>
    <mergeCell ref="E36:E37"/>
    <mergeCell ref="F36:F37"/>
    <mergeCell ref="G36:G37"/>
    <mergeCell ref="H36:H37"/>
    <mergeCell ref="J20:J27"/>
    <mergeCell ref="K20:K27"/>
    <mergeCell ref="L20:L27"/>
    <mergeCell ref="M20:M27"/>
    <mergeCell ref="A9:A19"/>
    <mergeCell ref="O9:O19"/>
    <mergeCell ref="U9:U19"/>
    <mergeCell ref="B9:B19"/>
    <mergeCell ref="V9:V19"/>
    <mergeCell ref="C9:C19"/>
    <mergeCell ref="W9:W19"/>
    <mergeCell ref="D9:D19"/>
    <mergeCell ref="E9:E19"/>
    <mergeCell ref="F9:F19"/>
    <mergeCell ref="G9:G19"/>
    <mergeCell ref="H9:H19"/>
    <mergeCell ref="I9:I19"/>
    <mergeCell ref="J9:J19"/>
    <mergeCell ref="K9:K19"/>
    <mergeCell ref="L9:L19"/>
    <mergeCell ref="M9:M19"/>
    <mergeCell ref="A28:A35"/>
    <mergeCell ref="O28:O35"/>
    <mergeCell ref="U28:U35"/>
    <mergeCell ref="B28:B35"/>
    <mergeCell ref="V28:V35"/>
    <mergeCell ref="C28:C35"/>
    <mergeCell ref="W28:W35"/>
    <mergeCell ref="D28:D35"/>
    <mergeCell ref="E28:E35"/>
    <mergeCell ref="F28:F35"/>
    <mergeCell ref="G28:G35"/>
    <mergeCell ref="H28:H35"/>
    <mergeCell ref="I28:I35"/>
    <mergeCell ref="J28:J35"/>
    <mergeCell ref="K28:K35"/>
    <mergeCell ref="L28:L35"/>
    <mergeCell ref="M28:M35"/>
    <mergeCell ref="A20:A27"/>
    <mergeCell ref="O20:O27"/>
    <mergeCell ref="U20:U27"/>
    <mergeCell ref="B20:B27"/>
    <mergeCell ref="V20:V27"/>
    <mergeCell ref="C20:C27"/>
    <mergeCell ref="A52:A57"/>
    <mergeCell ref="O52:O57"/>
    <mergeCell ref="U52:U57"/>
    <mergeCell ref="B52:B57"/>
    <mergeCell ref="V52:V57"/>
    <mergeCell ref="C52:C57"/>
    <mergeCell ref="W52:W57"/>
    <mergeCell ref="D52:D57"/>
    <mergeCell ref="E52:E57"/>
    <mergeCell ref="F52:F57"/>
    <mergeCell ref="G52:G57"/>
    <mergeCell ref="H52:H57"/>
    <mergeCell ref="I52:I57"/>
    <mergeCell ref="J52:J57"/>
    <mergeCell ref="K52:K57"/>
    <mergeCell ref="L52:L57"/>
    <mergeCell ref="M52:M57"/>
    <mergeCell ref="C38:C45"/>
    <mergeCell ref="W38:W45"/>
    <mergeCell ref="D38:D45"/>
    <mergeCell ref="E38:E45"/>
    <mergeCell ref="F38:F45"/>
    <mergeCell ref="G38:G45"/>
    <mergeCell ref="H38:H45"/>
    <mergeCell ref="I38:I45"/>
    <mergeCell ref="J38:J45"/>
    <mergeCell ref="K38:K45"/>
    <mergeCell ref="L38:L45"/>
    <mergeCell ref="M38:M45"/>
    <mergeCell ref="A77:A78"/>
    <mergeCell ref="O77:O78"/>
    <mergeCell ref="U77:U78"/>
    <mergeCell ref="B77:B78"/>
    <mergeCell ref="V77:V78"/>
    <mergeCell ref="C77:C78"/>
    <mergeCell ref="W77:W78"/>
    <mergeCell ref="D77:D78"/>
    <mergeCell ref="E77:E78"/>
    <mergeCell ref="F77:F78"/>
    <mergeCell ref="G77:G78"/>
    <mergeCell ref="H77:H78"/>
    <mergeCell ref="I77:I78"/>
    <mergeCell ref="J77:J78"/>
    <mergeCell ref="K77:K78"/>
    <mergeCell ref="L77:L78"/>
    <mergeCell ref="M77:M78"/>
  </mergeCells>
  <pageMargins left="0.23622047244094491" right="0.23622047244094491" top="0.74803149606299213" bottom="0.74803149606299213" header="0.31496062992125984" footer="0.31496062992125984"/>
  <pageSetup paperSize="9" scale="23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1">
    <tabColor rgb="FFFF0000"/>
    <pageSetUpPr fitToPage="1"/>
  </sheetPr>
  <dimension ref="A1:X178"/>
  <sheetViews>
    <sheetView showGridLines="0" zoomScale="60" zoomScaleNormal="60" workbookViewId="0">
      <pane ySplit="8" topLeftCell="A147" activePane="bottomLeft" state="frozen"/>
      <selection pane="bottomLeft" activeCell="R100" sqref="R100"/>
    </sheetView>
  </sheetViews>
  <sheetFormatPr defaultColWidth="0" defaultRowHeight="18" x14ac:dyDescent="0.3"/>
  <cols>
    <col min="1" max="1" width="14" style="3" customWidth="1"/>
    <col min="2" max="2" width="40.33203125" style="3" customWidth="1"/>
    <col min="3" max="3" width="34" style="3" customWidth="1"/>
    <col min="4" max="4" width="25.44140625" style="3" customWidth="1"/>
    <col min="5" max="5" width="23.88671875" style="3" customWidth="1"/>
    <col min="6" max="6" width="32.44140625" style="3" customWidth="1"/>
    <col min="7" max="7" width="42" style="11" customWidth="1"/>
    <col min="8" max="8" width="35" style="3" customWidth="1"/>
    <col min="9" max="9" width="33" style="3" customWidth="1"/>
    <col min="10" max="11" width="27.33203125" style="26" customWidth="1"/>
    <col min="12" max="12" width="21.44140625" style="3" customWidth="1"/>
    <col min="13" max="13" width="26.5546875" style="3" customWidth="1"/>
    <col min="14" max="14" width="28.109375" style="11" customWidth="1"/>
    <col min="15" max="15" width="39.33203125" style="3" customWidth="1"/>
    <col min="16" max="16" width="24.6640625" style="26" customWidth="1"/>
    <col min="17" max="17" width="24.44140625" style="11" customWidth="1"/>
    <col min="18" max="18" width="23.44140625" style="3" customWidth="1"/>
    <col min="19" max="19" width="25.6640625" style="3" customWidth="1"/>
    <col min="20" max="20" width="26" style="3" customWidth="1"/>
    <col min="21" max="21" width="23.6640625" style="11" customWidth="1"/>
    <col min="22" max="22" width="24" style="10" customWidth="1"/>
    <col min="23" max="23" width="21.88671875" style="2" customWidth="1"/>
    <col min="24" max="16384" width="9.109375" style="2" hidden="1"/>
  </cols>
  <sheetData>
    <row r="1" spans="1:24" ht="18.600000000000001" thickBot="1" x14ac:dyDescent="0.35"/>
    <row r="2" spans="1:24" ht="39.9" customHeight="1" thickBot="1" x14ac:dyDescent="0.35">
      <c r="E2" s="68"/>
      <c r="F2" s="519" t="s">
        <v>24</v>
      </c>
      <c r="G2" s="520"/>
      <c r="H2" s="80">
        <f>SUM(H9:H10001)</f>
        <v>3479591.68</v>
      </c>
      <c r="I2" s="68"/>
      <c r="N2" s="399" t="s">
        <v>137</v>
      </c>
      <c r="O2" s="401"/>
      <c r="P2" s="69">
        <f>SUM(P9:P10001)</f>
        <v>2761193.9399999995</v>
      </c>
      <c r="R2" s="68"/>
      <c r="S2" s="399" t="s">
        <v>45</v>
      </c>
      <c r="T2" s="400"/>
      <c r="U2" s="401"/>
      <c r="V2" s="70">
        <f>SUM(V9:V10001)</f>
        <v>260267.68999999997</v>
      </c>
    </row>
    <row r="3" spans="1:24" x14ac:dyDescent="0.3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" customHeight="1" x14ac:dyDescent="0.3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ht="144" x14ac:dyDescent="0.3">
      <c r="A6" s="18" t="s">
        <v>8</v>
      </c>
      <c r="B6" s="18" t="s">
        <v>47</v>
      </c>
      <c r="C6" s="18" t="s">
        <v>145</v>
      </c>
      <c r="D6" s="18" t="s">
        <v>10</v>
      </c>
      <c r="E6" s="18" t="s">
        <v>1</v>
      </c>
      <c r="F6" s="18" t="s">
        <v>2</v>
      </c>
      <c r="G6" s="24" t="s">
        <v>3</v>
      </c>
      <c r="H6" s="18" t="s">
        <v>4</v>
      </c>
      <c r="I6" s="18" t="s">
        <v>22</v>
      </c>
      <c r="J6" s="27" t="s">
        <v>46</v>
      </c>
      <c r="K6" s="27" t="s">
        <v>5</v>
      </c>
      <c r="L6" s="18" t="s">
        <v>106</v>
      </c>
      <c r="M6" s="18" t="s">
        <v>39</v>
      </c>
      <c r="N6" s="24" t="s">
        <v>37</v>
      </c>
      <c r="O6" s="18" t="s">
        <v>6</v>
      </c>
      <c r="P6" s="27" t="s">
        <v>23</v>
      </c>
      <c r="Q6" s="24" t="s">
        <v>9</v>
      </c>
      <c r="R6" s="23" t="s">
        <v>40</v>
      </c>
      <c r="S6" s="23" t="s">
        <v>103</v>
      </c>
      <c r="T6" s="23" t="s">
        <v>104</v>
      </c>
      <c r="U6" s="22" t="s">
        <v>41</v>
      </c>
      <c r="V6" s="25" t="s">
        <v>43</v>
      </c>
      <c r="W6" s="1" t="s">
        <v>42</v>
      </c>
    </row>
    <row r="7" spans="1:24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08" x14ac:dyDescent="0.3">
      <c r="A8" s="21" t="s">
        <v>36</v>
      </c>
      <c r="B8" s="21" t="s">
        <v>56</v>
      </c>
      <c r="C8" s="21"/>
      <c r="D8" s="21" t="s">
        <v>58</v>
      </c>
      <c r="E8" s="21" t="s">
        <v>57</v>
      </c>
      <c r="F8" s="59">
        <v>43839</v>
      </c>
      <c r="G8" s="20" t="s">
        <v>59</v>
      </c>
      <c r="H8" s="19">
        <v>20000</v>
      </c>
      <c r="I8" s="19">
        <v>0</v>
      </c>
      <c r="J8" s="58">
        <v>2353019514</v>
      </c>
      <c r="K8" s="28" t="s">
        <v>61</v>
      </c>
      <c r="L8" s="21"/>
      <c r="M8" s="21" t="s">
        <v>62</v>
      </c>
      <c r="N8" s="20">
        <v>43840</v>
      </c>
      <c r="O8" s="21" t="s">
        <v>63</v>
      </c>
      <c r="P8" s="28">
        <v>20000</v>
      </c>
      <c r="Q8" s="20">
        <v>43840</v>
      </c>
      <c r="R8" s="21"/>
      <c r="S8" s="54"/>
      <c r="T8" s="54"/>
      <c r="U8" s="20"/>
      <c r="V8" s="19"/>
      <c r="W8" s="12" t="s">
        <v>64</v>
      </c>
    </row>
    <row r="9" spans="1:24" s="85" customFormat="1" ht="72.599999999999994" customHeight="1" x14ac:dyDescent="0.3">
      <c r="A9" s="346">
        <v>1</v>
      </c>
      <c r="B9" s="352" t="s">
        <v>56</v>
      </c>
      <c r="C9" s="352"/>
      <c r="D9" s="352"/>
      <c r="E9" s="352" t="s">
        <v>167</v>
      </c>
      <c r="F9" s="348" t="s">
        <v>190</v>
      </c>
      <c r="G9" s="358" t="s">
        <v>191</v>
      </c>
      <c r="H9" s="350">
        <v>464158.73</v>
      </c>
      <c r="I9" s="360">
        <f>IF(X9 = 101, H9 + SUM(S9:S30) - SUM(T9:T30) - SUM(P9:P30) - V9,0)</f>
        <v>52963.390000000014</v>
      </c>
      <c r="J9" s="423">
        <v>2308119595</v>
      </c>
      <c r="K9" s="426" t="s">
        <v>146</v>
      </c>
      <c r="L9" s="352"/>
      <c r="M9" s="352" t="s">
        <v>188</v>
      </c>
      <c r="N9" s="279" t="s">
        <v>251</v>
      </c>
      <c r="O9" s="348" t="s">
        <v>166</v>
      </c>
      <c r="P9" s="270">
        <v>25380.19</v>
      </c>
      <c r="Q9" s="271" t="s">
        <v>250</v>
      </c>
      <c r="R9" s="272"/>
      <c r="S9" s="270"/>
      <c r="T9" s="270"/>
      <c r="U9" s="350"/>
      <c r="V9" s="429"/>
      <c r="W9" s="356"/>
      <c r="X9" s="85">
        <v>101</v>
      </c>
    </row>
    <row r="10" spans="1:24" x14ac:dyDescent="0.3">
      <c r="A10" s="368"/>
      <c r="B10" s="362"/>
      <c r="C10" s="362"/>
      <c r="D10" s="362"/>
      <c r="E10" s="362"/>
      <c r="F10" s="365"/>
      <c r="G10" s="364"/>
      <c r="H10" s="366"/>
      <c r="I10" s="367"/>
      <c r="J10" s="424"/>
      <c r="K10" s="427"/>
      <c r="L10" s="362"/>
      <c r="M10" s="362"/>
      <c r="N10" s="280" t="s">
        <v>251</v>
      </c>
      <c r="O10" s="365"/>
      <c r="P10" s="273">
        <v>21770.06</v>
      </c>
      <c r="Q10" s="274" t="s">
        <v>250</v>
      </c>
      <c r="R10" s="275"/>
      <c r="S10" s="273"/>
      <c r="T10" s="273"/>
      <c r="U10" s="366"/>
      <c r="V10" s="430"/>
      <c r="W10" s="363"/>
      <c r="X10" s="2">
        <v>101</v>
      </c>
    </row>
    <row r="11" spans="1:24" x14ac:dyDescent="0.3">
      <c r="A11" s="368"/>
      <c r="B11" s="362"/>
      <c r="C11" s="362"/>
      <c r="D11" s="362"/>
      <c r="E11" s="362"/>
      <c r="F11" s="365"/>
      <c r="G11" s="364"/>
      <c r="H11" s="366"/>
      <c r="I11" s="367"/>
      <c r="J11" s="424"/>
      <c r="K11" s="427"/>
      <c r="L11" s="362"/>
      <c r="M11" s="362"/>
      <c r="N11" s="280" t="s">
        <v>266</v>
      </c>
      <c r="O11" s="365"/>
      <c r="P11" s="273">
        <v>19035.14</v>
      </c>
      <c r="Q11" s="274" t="s">
        <v>262</v>
      </c>
      <c r="R11" s="275"/>
      <c r="S11" s="273"/>
      <c r="T11" s="273"/>
      <c r="U11" s="366"/>
      <c r="V11" s="430"/>
      <c r="W11" s="363"/>
      <c r="X11" s="2">
        <v>101</v>
      </c>
    </row>
    <row r="12" spans="1:24" x14ac:dyDescent="0.3">
      <c r="A12" s="368"/>
      <c r="B12" s="362"/>
      <c r="C12" s="362"/>
      <c r="D12" s="362"/>
      <c r="E12" s="362"/>
      <c r="F12" s="365"/>
      <c r="G12" s="364"/>
      <c r="H12" s="366"/>
      <c r="I12" s="367"/>
      <c r="J12" s="424"/>
      <c r="K12" s="427"/>
      <c r="L12" s="362"/>
      <c r="M12" s="362"/>
      <c r="N12" s="280" t="s">
        <v>257</v>
      </c>
      <c r="O12" s="365"/>
      <c r="P12" s="273">
        <v>22441.72</v>
      </c>
      <c r="Q12" s="274" t="s">
        <v>272</v>
      </c>
      <c r="R12" s="275"/>
      <c r="S12" s="273"/>
      <c r="T12" s="273"/>
      <c r="U12" s="366"/>
      <c r="V12" s="430"/>
      <c r="W12" s="363"/>
      <c r="X12" s="2">
        <v>101</v>
      </c>
    </row>
    <row r="13" spans="1:24" x14ac:dyDescent="0.3">
      <c r="A13" s="368"/>
      <c r="B13" s="362"/>
      <c r="C13" s="362"/>
      <c r="D13" s="362"/>
      <c r="E13" s="362"/>
      <c r="F13" s="365"/>
      <c r="G13" s="364"/>
      <c r="H13" s="366"/>
      <c r="I13" s="367"/>
      <c r="J13" s="424"/>
      <c r="K13" s="427"/>
      <c r="L13" s="362"/>
      <c r="M13" s="362"/>
      <c r="N13" s="280" t="s">
        <v>266</v>
      </c>
      <c r="O13" s="365"/>
      <c r="P13" s="273">
        <v>30637.63</v>
      </c>
      <c r="Q13" s="274" t="s">
        <v>272</v>
      </c>
      <c r="R13" s="275"/>
      <c r="S13" s="273"/>
      <c r="T13" s="273"/>
      <c r="U13" s="366"/>
      <c r="V13" s="430"/>
      <c r="W13" s="363"/>
      <c r="X13" s="2">
        <v>101</v>
      </c>
    </row>
    <row r="14" spans="1:24" x14ac:dyDescent="0.3">
      <c r="A14" s="368"/>
      <c r="B14" s="362"/>
      <c r="C14" s="362"/>
      <c r="D14" s="362"/>
      <c r="E14" s="362"/>
      <c r="F14" s="365"/>
      <c r="G14" s="364"/>
      <c r="H14" s="366"/>
      <c r="I14" s="367"/>
      <c r="J14" s="424"/>
      <c r="K14" s="427"/>
      <c r="L14" s="362"/>
      <c r="M14" s="362"/>
      <c r="N14" s="280" t="s">
        <v>310</v>
      </c>
      <c r="O14" s="365"/>
      <c r="P14" s="273">
        <v>22984.78</v>
      </c>
      <c r="Q14" s="274" t="s">
        <v>309</v>
      </c>
      <c r="R14" s="275"/>
      <c r="S14" s="273"/>
      <c r="T14" s="273"/>
      <c r="U14" s="366"/>
      <c r="V14" s="430"/>
      <c r="W14" s="363"/>
      <c r="X14" s="2">
        <v>101</v>
      </c>
    </row>
    <row r="15" spans="1:24" x14ac:dyDescent="0.3">
      <c r="A15" s="368"/>
      <c r="B15" s="362"/>
      <c r="C15" s="362"/>
      <c r="D15" s="362"/>
      <c r="E15" s="362"/>
      <c r="F15" s="365"/>
      <c r="G15" s="364"/>
      <c r="H15" s="366"/>
      <c r="I15" s="367"/>
      <c r="J15" s="424"/>
      <c r="K15" s="427"/>
      <c r="L15" s="362"/>
      <c r="M15" s="362"/>
      <c r="N15" s="280" t="s">
        <v>312</v>
      </c>
      <c r="O15" s="365"/>
      <c r="P15" s="273">
        <v>19352.66</v>
      </c>
      <c r="Q15" s="274" t="s">
        <v>311</v>
      </c>
      <c r="R15" s="275"/>
      <c r="S15" s="273"/>
      <c r="T15" s="273"/>
      <c r="U15" s="366"/>
      <c r="V15" s="430"/>
      <c r="W15" s="363"/>
      <c r="X15" s="2">
        <v>101</v>
      </c>
    </row>
    <row r="16" spans="1:24" x14ac:dyDescent="0.3">
      <c r="A16" s="368"/>
      <c r="B16" s="362"/>
      <c r="C16" s="362"/>
      <c r="D16" s="362"/>
      <c r="E16" s="362"/>
      <c r="F16" s="365"/>
      <c r="G16" s="364"/>
      <c r="H16" s="366"/>
      <c r="I16" s="367"/>
      <c r="J16" s="424"/>
      <c r="K16" s="427"/>
      <c r="L16" s="362"/>
      <c r="M16" s="362"/>
      <c r="N16" s="280" t="s">
        <v>310</v>
      </c>
      <c r="O16" s="365"/>
      <c r="P16" s="273">
        <v>30318.62</v>
      </c>
      <c r="Q16" s="274" t="s">
        <v>311</v>
      </c>
      <c r="R16" s="275"/>
      <c r="S16" s="273"/>
      <c r="T16" s="273"/>
      <c r="U16" s="366"/>
      <c r="V16" s="430"/>
      <c r="W16" s="363"/>
      <c r="X16" s="2">
        <v>101</v>
      </c>
    </row>
    <row r="17" spans="1:24" x14ac:dyDescent="0.3">
      <c r="A17" s="368"/>
      <c r="B17" s="362"/>
      <c r="C17" s="362"/>
      <c r="D17" s="362"/>
      <c r="E17" s="362"/>
      <c r="F17" s="365"/>
      <c r="G17" s="364"/>
      <c r="H17" s="366"/>
      <c r="I17" s="367"/>
      <c r="J17" s="424"/>
      <c r="K17" s="427"/>
      <c r="L17" s="362"/>
      <c r="M17" s="362"/>
      <c r="N17" s="280" t="s">
        <v>399</v>
      </c>
      <c r="O17" s="365"/>
      <c r="P17" s="273">
        <v>22735.61</v>
      </c>
      <c r="Q17" s="274" t="s">
        <v>399</v>
      </c>
      <c r="R17" s="275"/>
      <c r="S17" s="273"/>
      <c r="T17" s="273"/>
      <c r="U17" s="366"/>
      <c r="V17" s="430"/>
      <c r="W17" s="363"/>
      <c r="X17" s="2">
        <v>101</v>
      </c>
    </row>
    <row r="18" spans="1:24" x14ac:dyDescent="0.3">
      <c r="A18" s="368"/>
      <c r="B18" s="362"/>
      <c r="C18" s="362"/>
      <c r="D18" s="362"/>
      <c r="E18" s="362"/>
      <c r="F18" s="365"/>
      <c r="G18" s="364"/>
      <c r="H18" s="366"/>
      <c r="I18" s="367"/>
      <c r="J18" s="424"/>
      <c r="K18" s="427"/>
      <c r="L18" s="362"/>
      <c r="M18" s="362"/>
      <c r="N18" s="280" t="s">
        <v>399</v>
      </c>
      <c r="O18" s="365"/>
      <c r="P18" s="273">
        <v>23350.45</v>
      </c>
      <c r="Q18" s="274" t="s">
        <v>400</v>
      </c>
      <c r="R18" s="275"/>
      <c r="S18" s="273"/>
      <c r="T18" s="273"/>
      <c r="U18" s="366"/>
      <c r="V18" s="430"/>
      <c r="W18" s="363"/>
      <c r="X18" s="2">
        <v>101</v>
      </c>
    </row>
    <row r="19" spans="1:24" x14ac:dyDescent="0.3">
      <c r="A19" s="368"/>
      <c r="B19" s="362"/>
      <c r="C19" s="362"/>
      <c r="D19" s="362"/>
      <c r="E19" s="362"/>
      <c r="F19" s="365"/>
      <c r="G19" s="364"/>
      <c r="H19" s="366"/>
      <c r="I19" s="367"/>
      <c r="J19" s="424"/>
      <c r="K19" s="427"/>
      <c r="L19" s="362"/>
      <c r="M19" s="362"/>
      <c r="N19" s="280" t="s">
        <v>457</v>
      </c>
      <c r="O19" s="365"/>
      <c r="P19" s="273">
        <v>17516.099999999999</v>
      </c>
      <c r="Q19" s="274" t="s">
        <v>455</v>
      </c>
      <c r="R19" s="275"/>
      <c r="S19" s="273"/>
      <c r="T19" s="273"/>
      <c r="U19" s="366"/>
      <c r="V19" s="430"/>
      <c r="W19" s="363"/>
      <c r="X19" s="2">
        <v>101</v>
      </c>
    </row>
    <row r="20" spans="1:24" x14ac:dyDescent="0.3">
      <c r="A20" s="368"/>
      <c r="B20" s="362"/>
      <c r="C20" s="362"/>
      <c r="D20" s="362"/>
      <c r="E20" s="362"/>
      <c r="F20" s="365"/>
      <c r="G20" s="364"/>
      <c r="H20" s="366"/>
      <c r="I20" s="367"/>
      <c r="J20" s="424"/>
      <c r="K20" s="427"/>
      <c r="L20" s="362"/>
      <c r="M20" s="362"/>
      <c r="N20" s="280" t="s">
        <v>454</v>
      </c>
      <c r="O20" s="365"/>
      <c r="P20" s="273">
        <v>15970.94</v>
      </c>
      <c r="Q20" s="274" t="s">
        <v>458</v>
      </c>
      <c r="R20" s="275"/>
      <c r="S20" s="273"/>
      <c r="T20" s="273"/>
      <c r="U20" s="366"/>
      <c r="V20" s="430"/>
      <c r="W20" s="363"/>
      <c r="X20" s="2">
        <v>101</v>
      </c>
    </row>
    <row r="21" spans="1:24" x14ac:dyDescent="0.3">
      <c r="A21" s="368"/>
      <c r="B21" s="362"/>
      <c r="C21" s="362"/>
      <c r="D21" s="362"/>
      <c r="E21" s="362"/>
      <c r="F21" s="365"/>
      <c r="G21" s="364"/>
      <c r="H21" s="366"/>
      <c r="I21" s="367"/>
      <c r="J21" s="424"/>
      <c r="K21" s="427"/>
      <c r="L21" s="362"/>
      <c r="M21" s="362"/>
      <c r="N21" s="280" t="s">
        <v>457</v>
      </c>
      <c r="O21" s="365"/>
      <c r="P21" s="273">
        <v>27434.06</v>
      </c>
      <c r="Q21" s="274" t="s">
        <v>458</v>
      </c>
      <c r="R21" s="275"/>
      <c r="S21" s="273"/>
      <c r="T21" s="273"/>
      <c r="U21" s="366"/>
      <c r="V21" s="430"/>
      <c r="W21" s="363"/>
      <c r="X21" s="2">
        <v>101</v>
      </c>
    </row>
    <row r="22" spans="1:24" x14ac:dyDescent="0.3">
      <c r="A22" s="368"/>
      <c r="B22" s="362"/>
      <c r="C22" s="362"/>
      <c r="D22" s="362"/>
      <c r="E22" s="362"/>
      <c r="F22" s="365"/>
      <c r="G22" s="364"/>
      <c r="H22" s="366"/>
      <c r="I22" s="367"/>
      <c r="J22" s="424"/>
      <c r="K22" s="427"/>
      <c r="L22" s="362"/>
      <c r="M22" s="362"/>
      <c r="N22" s="280" t="s">
        <v>509</v>
      </c>
      <c r="O22" s="365"/>
      <c r="P22" s="273">
        <v>20575.55</v>
      </c>
      <c r="Q22" s="274" t="s">
        <v>506</v>
      </c>
      <c r="R22" s="275"/>
      <c r="S22" s="273"/>
      <c r="T22" s="273"/>
      <c r="U22" s="366"/>
      <c r="V22" s="430"/>
      <c r="W22" s="363"/>
      <c r="X22" s="2">
        <v>101</v>
      </c>
    </row>
    <row r="23" spans="1:24" x14ac:dyDescent="0.3">
      <c r="A23" s="368"/>
      <c r="B23" s="362"/>
      <c r="C23" s="362"/>
      <c r="D23" s="362"/>
      <c r="E23" s="362"/>
      <c r="F23" s="365"/>
      <c r="G23" s="364"/>
      <c r="H23" s="366"/>
      <c r="I23" s="367"/>
      <c r="J23" s="424"/>
      <c r="K23" s="427"/>
      <c r="L23" s="362"/>
      <c r="M23" s="362"/>
      <c r="N23" s="280" t="s">
        <v>468</v>
      </c>
      <c r="O23" s="365"/>
      <c r="P23" s="273">
        <v>1128.82</v>
      </c>
      <c r="Q23" s="274" t="s">
        <v>508</v>
      </c>
      <c r="R23" s="275"/>
      <c r="S23" s="273"/>
      <c r="T23" s="273"/>
      <c r="U23" s="366"/>
      <c r="V23" s="430"/>
      <c r="W23" s="363"/>
      <c r="X23" s="2">
        <v>101</v>
      </c>
    </row>
    <row r="24" spans="1:24" x14ac:dyDescent="0.3">
      <c r="A24" s="368"/>
      <c r="B24" s="362"/>
      <c r="C24" s="362"/>
      <c r="D24" s="362"/>
      <c r="E24" s="362"/>
      <c r="F24" s="365"/>
      <c r="G24" s="364"/>
      <c r="H24" s="366"/>
      <c r="I24" s="367"/>
      <c r="J24" s="424"/>
      <c r="K24" s="427"/>
      <c r="L24" s="362"/>
      <c r="M24" s="362"/>
      <c r="N24" s="280" t="s">
        <v>509</v>
      </c>
      <c r="O24" s="365"/>
      <c r="P24" s="273">
        <v>20362.28</v>
      </c>
      <c r="Q24" s="274" t="s">
        <v>508</v>
      </c>
      <c r="R24" s="275"/>
      <c r="S24" s="273"/>
      <c r="T24" s="273"/>
      <c r="U24" s="366"/>
      <c r="V24" s="430"/>
      <c r="W24" s="363"/>
      <c r="X24" s="2">
        <v>101</v>
      </c>
    </row>
    <row r="25" spans="1:24" x14ac:dyDescent="0.3">
      <c r="A25" s="368"/>
      <c r="B25" s="362"/>
      <c r="C25" s="362"/>
      <c r="D25" s="362"/>
      <c r="E25" s="362"/>
      <c r="F25" s="365"/>
      <c r="G25" s="364"/>
      <c r="H25" s="366"/>
      <c r="I25" s="367"/>
      <c r="J25" s="424"/>
      <c r="K25" s="427"/>
      <c r="L25" s="362"/>
      <c r="M25" s="362"/>
      <c r="N25" s="280" t="s">
        <v>542</v>
      </c>
      <c r="O25" s="365"/>
      <c r="P25" s="273">
        <v>16187.8</v>
      </c>
      <c r="Q25" s="274">
        <v>45474</v>
      </c>
      <c r="R25" s="275"/>
      <c r="S25" s="273"/>
      <c r="T25" s="273"/>
      <c r="U25" s="366"/>
      <c r="V25" s="430"/>
      <c r="W25" s="363"/>
      <c r="X25" s="2">
        <v>101</v>
      </c>
    </row>
    <row r="26" spans="1:24" x14ac:dyDescent="0.3">
      <c r="A26" s="368"/>
      <c r="B26" s="362"/>
      <c r="C26" s="362"/>
      <c r="D26" s="362"/>
      <c r="E26" s="362"/>
      <c r="F26" s="365"/>
      <c r="G26" s="364"/>
      <c r="H26" s="366"/>
      <c r="I26" s="367"/>
      <c r="J26" s="424"/>
      <c r="K26" s="427"/>
      <c r="L26" s="362"/>
      <c r="M26" s="362"/>
      <c r="N26" s="280">
        <v>45474</v>
      </c>
      <c r="O26" s="365"/>
      <c r="P26" s="273">
        <v>16069.98</v>
      </c>
      <c r="Q26" s="274">
        <v>45489</v>
      </c>
      <c r="R26" s="275"/>
      <c r="S26" s="273"/>
      <c r="T26" s="273"/>
      <c r="U26" s="366"/>
      <c r="V26" s="430"/>
      <c r="W26" s="363"/>
      <c r="X26" s="2">
        <v>101</v>
      </c>
    </row>
    <row r="27" spans="1:24" x14ac:dyDescent="0.3">
      <c r="A27" s="368"/>
      <c r="B27" s="362"/>
      <c r="C27" s="362"/>
      <c r="D27" s="362"/>
      <c r="E27" s="362"/>
      <c r="F27" s="365"/>
      <c r="G27" s="364"/>
      <c r="H27" s="366"/>
      <c r="I27" s="367"/>
      <c r="J27" s="424"/>
      <c r="K27" s="427"/>
      <c r="L27" s="362"/>
      <c r="M27" s="362"/>
      <c r="N27" s="280">
        <v>45505</v>
      </c>
      <c r="O27" s="365"/>
      <c r="P27" s="273">
        <v>12059.5</v>
      </c>
      <c r="Q27" s="274">
        <v>45509</v>
      </c>
      <c r="R27" s="275"/>
      <c r="S27" s="273"/>
      <c r="T27" s="273"/>
      <c r="U27" s="366"/>
      <c r="V27" s="430"/>
      <c r="W27" s="363"/>
      <c r="X27" s="2">
        <v>101</v>
      </c>
    </row>
    <row r="28" spans="1:24" x14ac:dyDescent="0.3">
      <c r="A28" s="368"/>
      <c r="B28" s="362"/>
      <c r="C28" s="362"/>
      <c r="D28" s="362"/>
      <c r="E28" s="362"/>
      <c r="F28" s="365"/>
      <c r="G28" s="364"/>
      <c r="H28" s="366"/>
      <c r="I28" s="367"/>
      <c r="J28" s="424"/>
      <c r="K28" s="427"/>
      <c r="L28" s="362"/>
      <c r="M28" s="362"/>
      <c r="N28" s="280">
        <v>45505</v>
      </c>
      <c r="O28" s="365"/>
      <c r="P28" s="273">
        <v>9481.18</v>
      </c>
      <c r="Q28" s="274">
        <v>45518</v>
      </c>
      <c r="R28" s="275"/>
      <c r="S28" s="273"/>
      <c r="T28" s="273"/>
      <c r="U28" s="366"/>
      <c r="V28" s="430"/>
      <c r="W28" s="363"/>
      <c r="X28" s="2">
        <v>101</v>
      </c>
    </row>
    <row r="29" spans="1:24" s="269" customFormat="1" x14ac:dyDescent="0.3">
      <c r="A29" s="368"/>
      <c r="B29" s="362"/>
      <c r="C29" s="362"/>
      <c r="D29" s="362"/>
      <c r="E29" s="362"/>
      <c r="F29" s="365"/>
      <c r="G29" s="364"/>
      <c r="H29" s="366"/>
      <c r="I29" s="367"/>
      <c r="J29" s="424"/>
      <c r="K29" s="427"/>
      <c r="L29" s="362"/>
      <c r="M29" s="362"/>
      <c r="N29" s="282">
        <v>45536</v>
      </c>
      <c r="O29" s="365"/>
      <c r="P29" s="283">
        <v>7118.27</v>
      </c>
      <c r="Q29" s="284">
        <v>45537</v>
      </c>
      <c r="R29" s="285"/>
      <c r="S29" s="283"/>
      <c r="T29" s="283"/>
      <c r="U29" s="366"/>
      <c r="V29" s="430"/>
      <c r="W29" s="363"/>
      <c r="X29" s="269">
        <v>101</v>
      </c>
    </row>
    <row r="30" spans="1:24" s="269" customFormat="1" x14ac:dyDescent="0.3">
      <c r="A30" s="347"/>
      <c r="B30" s="353"/>
      <c r="C30" s="353"/>
      <c r="D30" s="353"/>
      <c r="E30" s="353"/>
      <c r="F30" s="349"/>
      <c r="G30" s="359"/>
      <c r="H30" s="351"/>
      <c r="I30" s="361"/>
      <c r="J30" s="425"/>
      <c r="K30" s="428"/>
      <c r="L30" s="353"/>
      <c r="M30" s="353"/>
      <c r="N30" s="281">
        <v>45536</v>
      </c>
      <c r="O30" s="349"/>
      <c r="P30" s="276">
        <v>9284</v>
      </c>
      <c r="Q30" s="277">
        <v>45551</v>
      </c>
      <c r="R30" s="278"/>
      <c r="S30" s="276"/>
      <c r="T30" s="276"/>
      <c r="U30" s="351"/>
      <c r="V30" s="431"/>
      <c r="W30" s="357"/>
      <c r="X30" s="269">
        <v>101</v>
      </c>
    </row>
    <row r="31" spans="1:24" s="85" customFormat="1" ht="63" customHeight="1" x14ac:dyDescent="0.3">
      <c r="A31" s="432">
        <v>2</v>
      </c>
      <c r="B31" s="441" t="s">
        <v>56</v>
      </c>
      <c r="C31" s="441"/>
      <c r="D31" s="441"/>
      <c r="E31" s="441" t="s">
        <v>159</v>
      </c>
      <c r="F31" s="435" t="s">
        <v>190</v>
      </c>
      <c r="G31" s="450" t="s">
        <v>160</v>
      </c>
      <c r="H31" s="438">
        <v>22628.22</v>
      </c>
      <c r="I31" s="453">
        <f>IF(X31 = 102, H31 + SUM(S31:S37) - SUM(T31:T37) - SUM(P31:P37) - V31,0)</f>
        <v>-4042.3499999999949</v>
      </c>
      <c r="J31" s="456">
        <v>2308131994</v>
      </c>
      <c r="K31" s="459" t="s">
        <v>208</v>
      </c>
      <c r="L31" s="441"/>
      <c r="M31" s="441" t="s">
        <v>209</v>
      </c>
      <c r="N31" s="257" t="s">
        <v>257</v>
      </c>
      <c r="O31" s="435" t="s">
        <v>163</v>
      </c>
      <c r="P31" s="250">
        <v>3771.37</v>
      </c>
      <c r="Q31" s="249" t="s">
        <v>270</v>
      </c>
      <c r="R31" s="248"/>
      <c r="S31" s="250"/>
      <c r="T31" s="250"/>
      <c r="U31" s="438"/>
      <c r="V31" s="444"/>
      <c r="W31" s="447"/>
      <c r="X31" s="85">
        <v>102</v>
      </c>
    </row>
    <row r="32" spans="1:24" x14ac:dyDescent="0.3">
      <c r="A32" s="433"/>
      <c r="B32" s="442"/>
      <c r="C32" s="442"/>
      <c r="D32" s="442"/>
      <c r="E32" s="442"/>
      <c r="F32" s="436"/>
      <c r="G32" s="451"/>
      <c r="H32" s="439"/>
      <c r="I32" s="454"/>
      <c r="J32" s="457"/>
      <c r="K32" s="460"/>
      <c r="L32" s="442"/>
      <c r="M32" s="442"/>
      <c r="N32" s="258" t="s">
        <v>312</v>
      </c>
      <c r="O32" s="436"/>
      <c r="P32" s="251">
        <v>3771.37</v>
      </c>
      <c r="Q32" s="252" t="s">
        <v>316</v>
      </c>
      <c r="R32" s="253"/>
      <c r="S32" s="251"/>
      <c r="T32" s="251"/>
      <c r="U32" s="439"/>
      <c r="V32" s="445"/>
      <c r="W32" s="448"/>
      <c r="X32" s="2">
        <v>102</v>
      </c>
    </row>
    <row r="33" spans="1:24" x14ac:dyDescent="0.3">
      <c r="A33" s="433"/>
      <c r="B33" s="442"/>
      <c r="C33" s="442"/>
      <c r="D33" s="442"/>
      <c r="E33" s="442"/>
      <c r="F33" s="436"/>
      <c r="G33" s="451"/>
      <c r="H33" s="439"/>
      <c r="I33" s="454"/>
      <c r="J33" s="457"/>
      <c r="K33" s="460"/>
      <c r="L33" s="442"/>
      <c r="M33" s="442"/>
      <c r="N33" s="258" t="s">
        <v>402</v>
      </c>
      <c r="O33" s="436"/>
      <c r="P33" s="251">
        <v>3771.37</v>
      </c>
      <c r="Q33" s="252" t="s">
        <v>401</v>
      </c>
      <c r="R33" s="253"/>
      <c r="S33" s="251"/>
      <c r="T33" s="251"/>
      <c r="U33" s="439"/>
      <c r="V33" s="445"/>
      <c r="W33" s="448"/>
      <c r="X33" s="2">
        <v>102</v>
      </c>
    </row>
    <row r="34" spans="1:24" x14ac:dyDescent="0.3">
      <c r="A34" s="433"/>
      <c r="B34" s="442"/>
      <c r="C34" s="442"/>
      <c r="D34" s="442"/>
      <c r="E34" s="442"/>
      <c r="F34" s="436"/>
      <c r="G34" s="451"/>
      <c r="H34" s="439"/>
      <c r="I34" s="454"/>
      <c r="J34" s="457"/>
      <c r="K34" s="460"/>
      <c r="L34" s="442"/>
      <c r="M34" s="442"/>
      <c r="N34" s="258" t="s">
        <v>454</v>
      </c>
      <c r="O34" s="436"/>
      <c r="P34" s="251">
        <v>3771.37</v>
      </c>
      <c r="Q34" s="252" t="s">
        <v>459</v>
      </c>
      <c r="R34" s="253"/>
      <c r="S34" s="251"/>
      <c r="T34" s="251"/>
      <c r="U34" s="439"/>
      <c r="V34" s="445"/>
      <c r="W34" s="448"/>
      <c r="X34" s="2">
        <v>102</v>
      </c>
    </row>
    <row r="35" spans="1:24" x14ac:dyDescent="0.3">
      <c r="A35" s="433"/>
      <c r="B35" s="442"/>
      <c r="C35" s="442"/>
      <c r="D35" s="442"/>
      <c r="E35" s="442"/>
      <c r="F35" s="436"/>
      <c r="G35" s="451"/>
      <c r="H35" s="439"/>
      <c r="I35" s="454"/>
      <c r="J35" s="457"/>
      <c r="K35" s="460"/>
      <c r="L35" s="442"/>
      <c r="M35" s="442"/>
      <c r="N35" s="258" t="s">
        <v>468</v>
      </c>
      <c r="O35" s="436"/>
      <c r="P35" s="251">
        <v>3771.37</v>
      </c>
      <c r="Q35" s="252" t="s">
        <v>512</v>
      </c>
      <c r="R35" s="253"/>
      <c r="S35" s="251"/>
      <c r="T35" s="251"/>
      <c r="U35" s="439"/>
      <c r="V35" s="445"/>
      <c r="W35" s="448"/>
      <c r="X35" s="2">
        <v>102</v>
      </c>
    </row>
    <row r="36" spans="1:24" x14ac:dyDescent="0.3">
      <c r="A36" s="433"/>
      <c r="B36" s="442"/>
      <c r="C36" s="442"/>
      <c r="D36" s="442"/>
      <c r="E36" s="442"/>
      <c r="F36" s="436"/>
      <c r="G36" s="451"/>
      <c r="H36" s="439"/>
      <c r="I36" s="454"/>
      <c r="J36" s="457"/>
      <c r="K36" s="460"/>
      <c r="L36" s="442"/>
      <c r="M36" s="442"/>
      <c r="N36" s="258">
        <v>45473</v>
      </c>
      <c r="O36" s="436"/>
      <c r="P36" s="251">
        <v>3771.37</v>
      </c>
      <c r="Q36" s="252">
        <v>45490</v>
      </c>
      <c r="R36" s="253"/>
      <c r="S36" s="251"/>
      <c r="T36" s="251"/>
      <c r="U36" s="439"/>
      <c r="V36" s="445"/>
      <c r="W36" s="448"/>
      <c r="X36" s="2">
        <v>102</v>
      </c>
    </row>
    <row r="37" spans="1:24" x14ac:dyDescent="0.3">
      <c r="A37" s="434"/>
      <c r="B37" s="443"/>
      <c r="C37" s="443"/>
      <c r="D37" s="443"/>
      <c r="E37" s="443"/>
      <c r="F37" s="437"/>
      <c r="G37" s="452"/>
      <c r="H37" s="440"/>
      <c r="I37" s="455"/>
      <c r="J37" s="458"/>
      <c r="K37" s="461"/>
      <c r="L37" s="443"/>
      <c r="M37" s="443"/>
      <c r="N37" s="259">
        <v>45504</v>
      </c>
      <c r="O37" s="437"/>
      <c r="P37" s="255">
        <v>4042.35</v>
      </c>
      <c r="Q37" s="254">
        <v>45510</v>
      </c>
      <c r="R37" s="256"/>
      <c r="S37" s="255"/>
      <c r="T37" s="255"/>
      <c r="U37" s="440"/>
      <c r="V37" s="446"/>
      <c r="W37" s="449"/>
      <c r="X37" s="2">
        <v>102</v>
      </c>
    </row>
    <row r="38" spans="1:24" s="85" customFormat="1" ht="60.6" customHeight="1" x14ac:dyDescent="0.3">
      <c r="A38" s="346">
        <v>3</v>
      </c>
      <c r="B38" s="352" t="s">
        <v>56</v>
      </c>
      <c r="C38" s="352"/>
      <c r="D38" s="352"/>
      <c r="E38" s="352" t="s">
        <v>173</v>
      </c>
      <c r="F38" s="348" t="s">
        <v>190</v>
      </c>
      <c r="G38" s="358" t="s">
        <v>161</v>
      </c>
      <c r="H38" s="350">
        <v>38404.160000000003</v>
      </c>
      <c r="I38" s="360">
        <f>IF(X38 = 103, H38 + SUM(S38:S45) - SUM(T38:T45) - SUM(P38:P45) - V38,0)</f>
        <v>-46683.229999999967</v>
      </c>
      <c r="J38" s="423">
        <v>2369002347</v>
      </c>
      <c r="K38" s="426" t="s">
        <v>162</v>
      </c>
      <c r="L38" s="352"/>
      <c r="M38" s="352" t="s">
        <v>188</v>
      </c>
      <c r="N38" s="279" t="s">
        <v>257</v>
      </c>
      <c r="O38" s="348" t="s">
        <v>210</v>
      </c>
      <c r="P38" s="270">
        <v>16111.64</v>
      </c>
      <c r="Q38" s="271" t="s">
        <v>271</v>
      </c>
      <c r="R38" s="272" t="s">
        <v>360</v>
      </c>
      <c r="S38" s="270">
        <v>3210.62</v>
      </c>
      <c r="T38" s="270"/>
      <c r="U38" s="350"/>
      <c r="V38" s="429"/>
      <c r="W38" s="356"/>
      <c r="X38" s="85">
        <v>103</v>
      </c>
    </row>
    <row r="39" spans="1:24" ht="54" x14ac:dyDescent="0.3">
      <c r="A39" s="368"/>
      <c r="B39" s="362"/>
      <c r="C39" s="362"/>
      <c r="D39" s="362"/>
      <c r="E39" s="362"/>
      <c r="F39" s="365"/>
      <c r="G39" s="364"/>
      <c r="H39" s="366"/>
      <c r="I39" s="367"/>
      <c r="J39" s="424"/>
      <c r="K39" s="427"/>
      <c r="L39" s="362"/>
      <c r="M39" s="362"/>
      <c r="N39" s="280" t="s">
        <v>312</v>
      </c>
      <c r="O39" s="365"/>
      <c r="P39" s="273">
        <v>12313.3</v>
      </c>
      <c r="Q39" s="274" t="s">
        <v>316</v>
      </c>
      <c r="R39" s="275" t="s">
        <v>414</v>
      </c>
      <c r="S39" s="273">
        <v>15026.4</v>
      </c>
      <c r="T39" s="273"/>
      <c r="U39" s="366"/>
      <c r="V39" s="430"/>
      <c r="W39" s="363"/>
      <c r="X39" s="2">
        <v>103</v>
      </c>
    </row>
    <row r="40" spans="1:24" ht="54" x14ac:dyDescent="0.3">
      <c r="A40" s="368"/>
      <c r="B40" s="362"/>
      <c r="C40" s="362"/>
      <c r="D40" s="362"/>
      <c r="E40" s="362"/>
      <c r="F40" s="365"/>
      <c r="G40" s="364"/>
      <c r="H40" s="366"/>
      <c r="I40" s="367"/>
      <c r="J40" s="424"/>
      <c r="K40" s="427"/>
      <c r="L40" s="362"/>
      <c r="M40" s="362"/>
      <c r="N40" s="280" t="s">
        <v>402</v>
      </c>
      <c r="O40" s="365"/>
      <c r="P40" s="273">
        <v>13189.84</v>
      </c>
      <c r="Q40" s="274" t="s">
        <v>408</v>
      </c>
      <c r="R40" s="275" t="s">
        <v>483</v>
      </c>
      <c r="S40" s="273">
        <v>19283.88</v>
      </c>
      <c r="T40" s="273"/>
      <c r="U40" s="366"/>
      <c r="V40" s="430"/>
      <c r="W40" s="363"/>
      <c r="X40" s="2">
        <v>103</v>
      </c>
    </row>
    <row r="41" spans="1:24" ht="54" x14ac:dyDescent="0.3">
      <c r="A41" s="368"/>
      <c r="B41" s="362"/>
      <c r="C41" s="362"/>
      <c r="D41" s="362"/>
      <c r="E41" s="362"/>
      <c r="F41" s="365"/>
      <c r="G41" s="364"/>
      <c r="H41" s="366"/>
      <c r="I41" s="367"/>
      <c r="J41" s="424"/>
      <c r="K41" s="427"/>
      <c r="L41" s="362"/>
      <c r="M41" s="362"/>
      <c r="N41" s="280" t="s">
        <v>454</v>
      </c>
      <c r="O41" s="365"/>
      <c r="P41" s="273">
        <v>15026.4</v>
      </c>
      <c r="Q41" s="274" t="s">
        <v>458</v>
      </c>
      <c r="R41" s="275" t="s">
        <v>520</v>
      </c>
      <c r="S41" s="273">
        <v>12146.34</v>
      </c>
      <c r="T41" s="273"/>
      <c r="U41" s="366"/>
      <c r="V41" s="430"/>
      <c r="W41" s="363"/>
      <c r="X41" s="2">
        <v>103</v>
      </c>
    </row>
    <row r="42" spans="1:24" x14ac:dyDescent="0.3">
      <c r="A42" s="368"/>
      <c r="B42" s="362"/>
      <c r="C42" s="362"/>
      <c r="D42" s="362"/>
      <c r="E42" s="362"/>
      <c r="F42" s="365"/>
      <c r="G42" s="364"/>
      <c r="H42" s="366"/>
      <c r="I42" s="367"/>
      <c r="J42" s="424"/>
      <c r="K42" s="427"/>
      <c r="L42" s="362"/>
      <c r="M42" s="362"/>
      <c r="N42" s="280" t="s">
        <v>468</v>
      </c>
      <c r="O42" s="365"/>
      <c r="P42" s="273">
        <v>19283.88</v>
      </c>
      <c r="Q42" s="274" t="s">
        <v>513</v>
      </c>
      <c r="R42" s="275"/>
      <c r="S42" s="273"/>
      <c r="T42" s="273"/>
      <c r="U42" s="366"/>
      <c r="V42" s="430"/>
      <c r="W42" s="363"/>
      <c r="X42" s="2">
        <v>103</v>
      </c>
    </row>
    <row r="43" spans="1:24" x14ac:dyDescent="0.3">
      <c r="A43" s="368"/>
      <c r="B43" s="362"/>
      <c r="C43" s="362"/>
      <c r="D43" s="362"/>
      <c r="E43" s="362"/>
      <c r="F43" s="365"/>
      <c r="G43" s="364"/>
      <c r="H43" s="366"/>
      <c r="I43" s="367"/>
      <c r="J43" s="424"/>
      <c r="K43" s="427"/>
      <c r="L43" s="362"/>
      <c r="M43" s="362"/>
      <c r="N43" s="280">
        <v>45473</v>
      </c>
      <c r="O43" s="365"/>
      <c r="P43" s="273">
        <v>12146.34</v>
      </c>
      <c r="Q43" s="274">
        <v>45489</v>
      </c>
      <c r="R43" s="275"/>
      <c r="S43" s="273"/>
      <c r="T43" s="273"/>
      <c r="U43" s="366"/>
      <c r="V43" s="430"/>
      <c r="W43" s="363"/>
      <c r="X43" s="2">
        <v>103</v>
      </c>
    </row>
    <row r="44" spans="1:24" x14ac:dyDescent="0.3">
      <c r="A44" s="368"/>
      <c r="B44" s="362"/>
      <c r="C44" s="362"/>
      <c r="D44" s="362"/>
      <c r="E44" s="362"/>
      <c r="F44" s="365"/>
      <c r="G44" s="364"/>
      <c r="H44" s="366"/>
      <c r="I44" s="367"/>
      <c r="J44" s="424"/>
      <c r="K44" s="427"/>
      <c r="L44" s="362"/>
      <c r="M44" s="362"/>
      <c r="N44" s="280">
        <v>45504</v>
      </c>
      <c r="O44" s="365"/>
      <c r="P44" s="273">
        <v>20219.21</v>
      </c>
      <c r="Q44" s="274">
        <v>45518</v>
      </c>
      <c r="R44" s="275"/>
      <c r="S44" s="273"/>
      <c r="T44" s="273"/>
      <c r="U44" s="366"/>
      <c r="V44" s="430"/>
      <c r="W44" s="363"/>
      <c r="X44" s="2">
        <v>103</v>
      </c>
    </row>
    <row r="45" spans="1:24" s="269" customFormat="1" x14ac:dyDescent="0.3">
      <c r="A45" s="347"/>
      <c r="B45" s="353"/>
      <c r="C45" s="353"/>
      <c r="D45" s="353"/>
      <c r="E45" s="353"/>
      <c r="F45" s="349"/>
      <c r="G45" s="359"/>
      <c r="H45" s="351"/>
      <c r="I45" s="361"/>
      <c r="J45" s="425"/>
      <c r="K45" s="428"/>
      <c r="L45" s="353"/>
      <c r="M45" s="353"/>
      <c r="N45" s="281">
        <v>45534</v>
      </c>
      <c r="O45" s="349"/>
      <c r="P45" s="276">
        <v>26464.02</v>
      </c>
      <c r="Q45" s="277">
        <v>45546</v>
      </c>
      <c r="R45" s="278"/>
      <c r="S45" s="276"/>
      <c r="T45" s="276"/>
      <c r="U45" s="351"/>
      <c r="V45" s="431"/>
      <c r="W45" s="357"/>
      <c r="X45" s="269">
        <v>103</v>
      </c>
    </row>
    <row r="46" spans="1:24" s="85" customFormat="1" ht="81" customHeight="1" x14ac:dyDescent="0.3">
      <c r="A46" s="546">
        <v>4</v>
      </c>
      <c r="B46" s="527" t="s">
        <v>56</v>
      </c>
      <c r="C46" s="527"/>
      <c r="D46" s="527"/>
      <c r="E46" s="527" t="s">
        <v>211</v>
      </c>
      <c r="F46" s="529" t="s">
        <v>212</v>
      </c>
      <c r="G46" s="531" t="s">
        <v>213</v>
      </c>
      <c r="H46" s="533">
        <v>256000</v>
      </c>
      <c r="I46" s="535">
        <f>IF(X46 = 104, H46 + SUM(S46:S47) - SUM(T46:T47) - SUM(P46:P47) - V46,0)</f>
        <v>0</v>
      </c>
      <c r="J46" s="537">
        <v>235300578903</v>
      </c>
      <c r="K46" s="539" t="s">
        <v>147</v>
      </c>
      <c r="L46" s="527"/>
      <c r="M46" s="527" t="s">
        <v>214</v>
      </c>
      <c r="N46" s="137" t="s">
        <v>257</v>
      </c>
      <c r="O46" s="529" t="s">
        <v>180</v>
      </c>
      <c r="P46" s="133">
        <v>88832</v>
      </c>
      <c r="Q46" s="132" t="s">
        <v>270</v>
      </c>
      <c r="R46" s="131"/>
      <c r="S46" s="133"/>
      <c r="T46" s="133"/>
      <c r="U46" s="533" t="s">
        <v>331</v>
      </c>
      <c r="V46" s="541">
        <v>71168</v>
      </c>
      <c r="W46" s="525"/>
      <c r="X46" s="85">
        <v>104</v>
      </c>
    </row>
    <row r="47" spans="1:24" x14ac:dyDescent="0.3">
      <c r="A47" s="547"/>
      <c r="B47" s="528"/>
      <c r="C47" s="528"/>
      <c r="D47" s="528"/>
      <c r="E47" s="528"/>
      <c r="F47" s="530"/>
      <c r="G47" s="532"/>
      <c r="H47" s="534"/>
      <c r="I47" s="536"/>
      <c r="J47" s="538"/>
      <c r="K47" s="540"/>
      <c r="L47" s="528"/>
      <c r="M47" s="528"/>
      <c r="N47" s="138" t="s">
        <v>312</v>
      </c>
      <c r="O47" s="530"/>
      <c r="P47" s="134">
        <v>96000</v>
      </c>
      <c r="Q47" s="135" t="s">
        <v>313</v>
      </c>
      <c r="R47" s="136"/>
      <c r="S47" s="134"/>
      <c r="T47" s="134"/>
      <c r="U47" s="534"/>
      <c r="V47" s="542"/>
      <c r="W47" s="526"/>
      <c r="X47" s="2">
        <v>104</v>
      </c>
    </row>
    <row r="48" spans="1:24" s="85" customFormat="1" ht="58.2" customHeight="1" x14ac:dyDescent="0.3">
      <c r="A48" s="87">
        <v>5</v>
      </c>
      <c r="B48" s="88" t="s">
        <v>56</v>
      </c>
      <c r="C48" s="88"/>
      <c r="D48" s="88"/>
      <c r="E48" s="88" t="s">
        <v>215</v>
      </c>
      <c r="F48" s="95" t="s">
        <v>212</v>
      </c>
      <c r="G48" s="89" t="s">
        <v>165</v>
      </c>
      <c r="H48" s="90">
        <v>31676.400000000001</v>
      </c>
      <c r="I48" s="91">
        <f>IF(X48 = 105, H48 + SUM(S48:S48) - SUM(T48:T48) - SUM(P48:P48) - V48,0)</f>
        <v>23757.300000000003</v>
      </c>
      <c r="J48" s="92">
        <v>2353018870</v>
      </c>
      <c r="K48" s="93" t="s">
        <v>152</v>
      </c>
      <c r="L48" s="88"/>
      <c r="M48" s="88" t="s">
        <v>188</v>
      </c>
      <c r="N48" s="89">
        <v>45471</v>
      </c>
      <c r="O48" s="95" t="s">
        <v>178</v>
      </c>
      <c r="P48" s="90">
        <v>7919.1</v>
      </c>
      <c r="Q48" s="89">
        <v>45476</v>
      </c>
      <c r="R48" s="88"/>
      <c r="S48" s="90"/>
      <c r="T48" s="90"/>
      <c r="U48" s="90"/>
      <c r="V48" s="94"/>
      <c r="W48" s="86"/>
      <c r="X48" s="85">
        <v>105</v>
      </c>
    </row>
    <row r="49" spans="1:24" s="85" customFormat="1" ht="69.599999999999994" customHeight="1" x14ac:dyDescent="0.3">
      <c r="A49" s="87">
        <v>6</v>
      </c>
      <c r="B49" s="88"/>
      <c r="C49" s="88"/>
      <c r="D49" s="88"/>
      <c r="E49" s="88"/>
      <c r="F49" s="95"/>
      <c r="G49" s="89"/>
      <c r="H49" s="90"/>
      <c r="I49" s="91">
        <f>IF(X49 = 106, H49 + SUM(S49:S49) - SUM(T49:T49) - SUM(P49:P49) - V49,0)</f>
        <v>0</v>
      </c>
      <c r="J49" s="92"/>
      <c r="K49" s="93"/>
      <c r="L49" s="88"/>
      <c r="M49" s="88"/>
      <c r="N49" s="95"/>
      <c r="O49" s="95"/>
      <c r="P49" s="90"/>
      <c r="Q49" s="89"/>
      <c r="R49" s="88"/>
      <c r="S49" s="90"/>
      <c r="T49" s="90"/>
      <c r="U49" s="90"/>
      <c r="V49" s="94"/>
      <c r="W49" s="86"/>
      <c r="X49" s="85">
        <v>106</v>
      </c>
    </row>
    <row r="50" spans="1:24" s="85" customFormat="1" ht="54" customHeight="1" x14ac:dyDescent="0.3">
      <c r="A50" s="543">
        <v>7</v>
      </c>
      <c r="B50" s="462" t="s">
        <v>225</v>
      </c>
      <c r="C50" s="462"/>
      <c r="D50" s="462"/>
      <c r="E50" s="462" t="s">
        <v>179</v>
      </c>
      <c r="F50" s="465" t="s">
        <v>212</v>
      </c>
      <c r="G50" s="468" t="s">
        <v>227</v>
      </c>
      <c r="H50" s="471">
        <v>166685.48000000001</v>
      </c>
      <c r="I50" s="480">
        <f>IF(X50 = 107, H50 + SUM(S50:S67) - SUM(T50:T67) - SUM(P50:P67) - V50,0)</f>
        <v>1.4551915228366852E-11</v>
      </c>
      <c r="J50" s="483">
        <v>2353020735</v>
      </c>
      <c r="K50" s="486" t="s">
        <v>177</v>
      </c>
      <c r="L50" s="462"/>
      <c r="M50" s="462" t="s">
        <v>201</v>
      </c>
      <c r="N50" s="167" t="s">
        <v>257</v>
      </c>
      <c r="O50" s="465" t="s">
        <v>178</v>
      </c>
      <c r="P50" s="160">
        <v>7111.8</v>
      </c>
      <c r="Q50" s="159" t="s">
        <v>256</v>
      </c>
      <c r="R50" s="158"/>
      <c r="S50" s="160"/>
      <c r="T50" s="160"/>
      <c r="U50" s="471" t="s">
        <v>453</v>
      </c>
      <c r="V50" s="477">
        <v>92328.28</v>
      </c>
      <c r="W50" s="474"/>
      <c r="X50" s="85">
        <v>107</v>
      </c>
    </row>
    <row r="51" spans="1:24" x14ac:dyDescent="0.3">
      <c r="A51" s="544"/>
      <c r="B51" s="463"/>
      <c r="C51" s="463"/>
      <c r="D51" s="463"/>
      <c r="E51" s="463"/>
      <c r="F51" s="466"/>
      <c r="G51" s="469"/>
      <c r="H51" s="472"/>
      <c r="I51" s="481"/>
      <c r="J51" s="484"/>
      <c r="K51" s="487"/>
      <c r="L51" s="463"/>
      <c r="M51" s="463"/>
      <c r="N51" s="168" t="s">
        <v>257</v>
      </c>
      <c r="O51" s="466"/>
      <c r="P51" s="161">
        <v>5818</v>
      </c>
      <c r="Q51" s="162" t="s">
        <v>256</v>
      </c>
      <c r="R51" s="163"/>
      <c r="S51" s="161"/>
      <c r="T51" s="161"/>
      <c r="U51" s="472"/>
      <c r="V51" s="478"/>
      <c r="W51" s="475"/>
      <c r="X51" s="2">
        <v>107</v>
      </c>
    </row>
    <row r="52" spans="1:24" x14ac:dyDescent="0.3">
      <c r="A52" s="544"/>
      <c r="B52" s="463"/>
      <c r="C52" s="463"/>
      <c r="D52" s="463"/>
      <c r="E52" s="463"/>
      <c r="F52" s="466"/>
      <c r="G52" s="469"/>
      <c r="H52" s="472"/>
      <c r="I52" s="481"/>
      <c r="J52" s="484"/>
      <c r="K52" s="487"/>
      <c r="L52" s="463"/>
      <c r="M52" s="463"/>
      <c r="N52" s="168" t="s">
        <v>257</v>
      </c>
      <c r="O52" s="466"/>
      <c r="P52" s="161">
        <v>4140</v>
      </c>
      <c r="Q52" s="162" t="s">
        <v>256</v>
      </c>
      <c r="R52" s="163"/>
      <c r="S52" s="161"/>
      <c r="T52" s="161"/>
      <c r="U52" s="472"/>
      <c r="V52" s="478"/>
      <c r="W52" s="475"/>
      <c r="X52" s="2">
        <v>107</v>
      </c>
    </row>
    <row r="53" spans="1:24" x14ac:dyDescent="0.3">
      <c r="A53" s="544"/>
      <c r="B53" s="463"/>
      <c r="C53" s="463"/>
      <c r="D53" s="463"/>
      <c r="E53" s="463"/>
      <c r="F53" s="466"/>
      <c r="G53" s="469"/>
      <c r="H53" s="472"/>
      <c r="I53" s="481"/>
      <c r="J53" s="484"/>
      <c r="K53" s="487"/>
      <c r="L53" s="463"/>
      <c r="M53" s="463"/>
      <c r="N53" s="168" t="s">
        <v>257</v>
      </c>
      <c r="O53" s="466"/>
      <c r="P53" s="161">
        <v>2670</v>
      </c>
      <c r="Q53" s="162" t="s">
        <v>259</v>
      </c>
      <c r="R53" s="163"/>
      <c r="S53" s="161"/>
      <c r="T53" s="161"/>
      <c r="U53" s="472"/>
      <c r="V53" s="478"/>
      <c r="W53" s="475"/>
      <c r="X53" s="2">
        <v>107</v>
      </c>
    </row>
    <row r="54" spans="1:24" x14ac:dyDescent="0.3">
      <c r="A54" s="544"/>
      <c r="B54" s="463"/>
      <c r="C54" s="463"/>
      <c r="D54" s="463"/>
      <c r="E54" s="463"/>
      <c r="F54" s="466"/>
      <c r="G54" s="469"/>
      <c r="H54" s="472"/>
      <c r="I54" s="481"/>
      <c r="J54" s="484"/>
      <c r="K54" s="487"/>
      <c r="L54" s="463"/>
      <c r="M54" s="463"/>
      <c r="N54" s="168" t="s">
        <v>257</v>
      </c>
      <c r="O54" s="466"/>
      <c r="P54" s="161">
        <v>4611.07</v>
      </c>
      <c r="Q54" s="162" t="s">
        <v>259</v>
      </c>
      <c r="R54" s="163"/>
      <c r="S54" s="161"/>
      <c r="T54" s="161"/>
      <c r="U54" s="472"/>
      <c r="V54" s="478"/>
      <c r="W54" s="475"/>
      <c r="X54" s="2">
        <v>107</v>
      </c>
    </row>
    <row r="55" spans="1:24" x14ac:dyDescent="0.3">
      <c r="A55" s="544"/>
      <c r="B55" s="463"/>
      <c r="C55" s="463"/>
      <c r="D55" s="463"/>
      <c r="E55" s="463"/>
      <c r="F55" s="466"/>
      <c r="G55" s="469"/>
      <c r="H55" s="472"/>
      <c r="I55" s="481"/>
      <c r="J55" s="484"/>
      <c r="K55" s="487"/>
      <c r="L55" s="463"/>
      <c r="M55" s="463"/>
      <c r="N55" s="168" t="s">
        <v>257</v>
      </c>
      <c r="O55" s="466"/>
      <c r="P55" s="161">
        <v>3772.73</v>
      </c>
      <c r="Q55" s="162" t="s">
        <v>259</v>
      </c>
      <c r="R55" s="163"/>
      <c r="S55" s="161"/>
      <c r="T55" s="161"/>
      <c r="U55" s="472"/>
      <c r="V55" s="478"/>
      <c r="W55" s="475"/>
      <c r="X55" s="2">
        <v>107</v>
      </c>
    </row>
    <row r="56" spans="1:24" x14ac:dyDescent="0.3">
      <c r="A56" s="544"/>
      <c r="B56" s="463"/>
      <c r="C56" s="463"/>
      <c r="D56" s="463"/>
      <c r="E56" s="463"/>
      <c r="F56" s="466"/>
      <c r="G56" s="469"/>
      <c r="H56" s="472"/>
      <c r="I56" s="481"/>
      <c r="J56" s="484"/>
      <c r="K56" s="487"/>
      <c r="L56" s="463"/>
      <c r="M56" s="463"/>
      <c r="N56" s="168" t="s">
        <v>312</v>
      </c>
      <c r="O56" s="466"/>
      <c r="P56" s="161">
        <v>5397.15</v>
      </c>
      <c r="Q56" s="162" t="s">
        <v>317</v>
      </c>
      <c r="R56" s="163"/>
      <c r="S56" s="161"/>
      <c r="T56" s="161"/>
      <c r="U56" s="472"/>
      <c r="V56" s="478"/>
      <c r="W56" s="475"/>
      <c r="X56" s="2">
        <v>107</v>
      </c>
    </row>
    <row r="57" spans="1:24" x14ac:dyDescent="0.3">
      <c r="A57" s="544"/>
      <c r="B57" s="463"/>
      <c r="C57" s="463"/>
      <c r="D57" s="463"/>
      <c r="E57" s="463"/>
      <c r="F57" s="466"/>
      <c r="G57" s="469"/>
      <c r="H57" s="472"/>
      <c r="I57" s="481"/>
      <c r="J57" s="484"/>
      <c r="K57" s="487"/>
      <c r="L57" s="463"/>
      <c r="M57" s="463"/>
      <c r="N57" s="168" t="s">
        <v>312</v>
      </c>
      <c r="O57" s="466"/>
      <c r="P57" s="161">
        <v>3840</v>
      </c>
      <c r="Q57" s="162" t="s">
        <v>317</v>
      </c>
      <c r="R57" s="163"/>
      <c r="S57" s="161"/>
      <c r="T57" s="161"/>
      <c r="U57" s="472"/>
      <c r="V57" s="478"/>
      <c r="W57" s="475"/>
      <c r="X57" s="2">
        <v>107</v>
      </c>
    </row>
    <row r="58" spans="1:24" x14ac:dyDescent="0.3">
      <c r="A58" s="544"/>
      <c r="B58" s="463"/>
      <c r="C58" s="463"/>
      <c r="D58" s="463"/>
      <c r="E58" s="463"/>
      <c r="F58" s="466"/>
      <c r="G58" s="469"/>
      <c r="H58" s="472"/>
      <c r="I58" s="481"/>
      <c r="J58" s="484"/>
      <c r="K58" s="487"/>
      <c r="L58" s="463"/>
      <c r="M58" s="463"/>
      <c r="N58" s="168" t="s">
        <v>312</v>
      </c>
      <c r="O58" s="466"/>
      <c r="P58" s="161">
        <v>5284.6</v>
      </c>
      <c r="Q58" s="162" t="s">
        <v>317</v>
      </c>
      <c r="R58" s="163"/>
      <c r="S58" s="161"/>
      <c r="T58" s="161"/>
      <c r="U58" s="472"/>
      <c r="V58" s="478"/>
      <c r="W58" s="475"/>
      <c r="X58" s="2">
        <v>107</v>
      </c>
    </row>
    <row r="59" spans="1:24" x14ac:dyDescent="0.3">
      <c r="A59" s="544"/>
      <c r="B59" s="463"/>
      <c r="C59" s="463"/>
      <c r="D59" s="463"/>
      <c r="E59" s="463"/>
      <c r="F59" s="466"/>
      <c r="G59" s="469"/>
      <c r="H59" s="472"/>
      <c r="I59" s="481"/>
      <c r="J59" s="484"/>
      <c r="K59" s="487"/>
      <c r="L59" s="463"/>
      <c r="M59" s="463"/>
      <c r="N59" s="168" t="s">
        <v>312</v>
      </c>
      <c r="O59" s="466"/>
      <c r="P59" s="161">
        <v>4323.8</v>
      </c>
      <c r="Q59" s="162" t="s">
        <v>317</v>
      </c>
      <c r="R59" s="163"/>
      <c r="S59" s="161"/>
      <c r="T59" s="161"/>
      <c r="U59" s="472"/>
      <c r="V59" s="478"/>
      <c r="W59" s="475"/>
      <c r="X59" s="2">
        <v>107</v>
      </c>
    </row>
    <row r="60" spans="1:24" x14ac:dyDescent="0.3">
      <c r="A60" s="544"/>
      <c r="B60" s="463"/>
      <c r="C60" s="463"/>
      <c r="D60" s="463"/>
      <c r="E60" s="463"/>
      <c r="F60" s="466"/>
      <c r="G60" s="469"/>
      <c r="H60" s="472"/>
      <c r="I60" s="481"/>
      <c r="J60" s="484"/>
      <c r="K60" s="487"/>
      <c r="L60" s="463"/>
      <c r="M60" s="463"/>
      <c r="N60" s="168" t="s">
        <v>312</v>
      </c>
      <c r="O60" s="466"/>
      <c r="P60" s="161">
        <v>3060</v>
      </c>
      <c r="Q60" s="162" t="s">
        <v>317</v>
      </c>
      <c r="R60" s="163"/>
      <c r="S60" s="161"/>
      <c r="T60" s="161"/>
      <c r="U60" s="472"/>
      <c r="V60" s="478"/>
      <c r="W60" s="475"/>
      <c r="X60" s="2">
        <v>107</v>
      </c>
    </row>
    <row r="61" spans="1:24" x14ac:dyDescent="0.3">
      <c r="A61" s="544"/>
      <c r="B61" s="463"/>
      <c r="C61" s="463"/>
      <c r="D61" s="463"/>
      <c r="E61" s="463"/>
      <c r="F61" s="466"/>
      <c r="G61" s="469"/>
      <c r="H61" s="472"/>
      <c r="I61" s="481"/>
      <c r="J61" s="484"/>
      <c r="K61" s="487"/>
      <c r="L61" s="463"/>
      <c r="M61" s="463"/>
      <c r="N61" s="168" t="s">
        <v>312</v>
      </c>
      <c r="O61" s="466"/>
      <c r="P61" s="161">
        <v>6596.45</v>
      </c>
      <c r="Q61" s="162" t="s">
        <v>328</v>
      </c>
      <c r="R61" s="163"/>
      <c r="S61" s="161"/>
      <c r="T61" s="161"/>
      <c r="U61" s="472"/>
      <c r="V61" s="478"/>
      <c r="W61" s="475"/>
      <c r="X61" s="2">
        <v>107</v>
      </c>
    </row>
    <row r="62" spans="1:24" x14ac:dyDescent="0.3">
      <c r="A62" s="544"/>
      <c r="B62" s="463"/>
      <c r="C62" s="463"/>
      <c r="D62" s="463"/>
      <c r="E62" s="463"/>
      <c r="F62" s="466"/>
      <c r="G62" s="469"/>
      <c r="H62" s="472"/>
      <c r="I62" s="481"/>
      <c r="J62" s="484"/>
      <c r="K62" s="487"/>
      <c r="L62" s="463"/>
      <c r="M62" s="463"/>
      <c r="N62" s="168" t="s">
        <v>421</v>
      </c>
      <c r="O62" s="466"/>
      <c r="P62" s="161">
        <v>1740</v>
      </c>
      <c r="Q62" s="162" t="s">
        <v>404</v>
      </c>
      <c r="R62" s="163"/>
      <c r="S62" s="161"/>
      <c r="T62" s="161"/>
      <c r="U62" s="472"/>
      <c r="V62" s="478"/>
      <c r="W62" s="475"/>
      <c r="X62" s="2">
        <v>107</v>
      </c>
    </row>
    <row r="63" spans="1:24" x14ac:dyDescent="0.3">
      <c r="A63" s="544"/>
      <c r="B63" s="463"/>
      <c r="C63" s="463"/>
      <c r="D63" s="463"/>
      <c r="E63" s="463"/>
      <c r="F63" s="466"/>
      <c r="G63" s="469"/>
      <c r="H63" s="472"/>
      <c r="I63" s="481"/>
      <c r="J63" s="484"/>
      <c r="K63" s="487"/>
      <c r="L63" s="463"/>
      <c r="M63" s="463"/>
      <c r="N63" s="168" t="s">
        <v>421</v>
      </c>
      <c r="O63" s="466"/>
      <c r="P63" s="161">
        <v>2550</v>
      </c>
      <c r="Q63" s="162" t="s">
        <v>404</v>
      </c>
      <c r="R63" s="163"/>
      <c r="S63" s="161"/>
      <c r="T63" s="161"/>
      <c r="U63" s="472"/>
      <c r="V63" s="478"/>
      <c r="W63" s="475"/>
      <c r="X63" s="2">
        <v>107</v>
      </c>
    </row>
    <row r="64" spans="1:24" x14ac:dyDescent="0.3">
      <c r="A64" s="544"/>
      <c r="B64" s="463"/>
      <c r="C64" s="463"/>
      <c r="D64" s="463"/>
      <c r="E64" s="463"/>
      <c r="F64" s="466"/>
      <c r="G64" s="469"/>
      <c r="H64" s="472"/>
      <c r="I64" s="481"/>
      <c r="J64" s="484"/>
      <c r="K64" s="487"/>
      <c r="L64" s="463"/>
      <c r="M64" s="463"/>
      <c r="N64" s="168" t="s">
        <v>421</v>
      </c>
      <c r="O64" s="466"/>
      <c r="P64" s="161">
        <v>2445.58</v>
      </c>
      <c r="Q64" s="162" t="s">
        <v>404</v>
      </c>
      <c r="R64" s="163"/>
      <c r="S64" s="161"/>
      <c r="T64" s="161"/>
      <c r="U64" s="472"/>
      <c r="V64" s="478"/>
      <c r="W64" s="475"/>
      <c r="X64" s="2">
        <v>107</v>
      </c>
    </row>
    <row r="65" spans="1:24" x14ac:dyDescent="0.3">
      <c r="A65" s="544"/>
      <c r="B65" s="463"/>
      <c r="C65" s="463"/>
      <c r="D65" s="463"/>
      <c r="E65" s="463"/>
      <c r="F65" s="466"/>
      <c r="G65" s="469"/>
      <c r="H65" s="472"/>
      <c r="I65" s="481"/>
      <c r="J65" s="484"/>
      <c r="K65" s="487"/>
      <c r="L65" s="463"/>
      <c r="M65" s="463"/>
      <c r="N65" s="168" t="s">
        <v>421</v>
      </c>
      <c r="O65" s="466"/>
      <c r="P65" s="161">
        <v>2989.02</v>
      </c>
      <c r="Q65" s="162" t="s">
        <v>404</v>
      </c>
      <c r="R65" s="163"/>
      <c r="S65" s="161"/>
      <c r="T65" s="161"/>
      <c r="U65" s="472"/>
      <c r="V65" s="478"/>
      <c r="W65" s="475"/>
      <c r="X65" s="2">
        <v>107</v>
      </c>
    </row>
    <row r="66" spans="1:24" x14ac:dyDescent="0.3">
      <c r="A66" s="544"/>
      <c r="B66" s="463"/>
      <c r="C66" s="463"/>
      <c r="D66" s="463"/>
      <c r="E66" s="463"/>
      <c r="F66" s="466"/>
      <c r="G66" s="469"/>
      <c r="H66" s="472"/>
      <c r="I66" s="481"/>
      <c r="J66" s="484"/>
      <c r="K66" s="487"/>
      <c r="L66" s="463"/>
      <c r="M66" s="463"/>
      <c r="N66" s="168" t="s">
        <v>421</v>
      </c>
      <c r="O66" s="466"/>
      <c r="P66" s="161">
        <v>4403.83</v>
      </c>
      <c r="Q66" s="162" t="s">
        <v>404</v>
      </c>
      <c r="R66" s="163"/>
      <c r="S66" s="161"/>
      <c r="T66" s="161"/>
      <c r="U66" s="472"/>
      <c r="V66" s="478"/>
      <c r="W66" s="475"/>
      <c r="X66" s="2">
        <v>107</v>
      </c>
    </row>
    <row r="67" spans="1:24" x14ac:dyDescent="0.3">
      <c r="A67" s="545"/>
      <c r="B67" s="464"/>
      <c r="C67" s="464"/>
      <c r="D67" s="464"/>
      <c r="E67" s="464"/>
      <c r="F67" s="467"/>
      <c r="G67" s="470"/>
      <c r="H67" s="473"/>
      <c r="I67" s="482"/>
      <c r="J67" s="485"/>
      <c r="K67" s="488"/>
      <c r="L67" s="464"/>
      <c r="M67" s="464"/>
      <c r="N67" s="169" t="s">
        <v>421</v>
      </c>
      <c r="O67" s="467"/>
      <c r="P67" s="164">
        <v>3603.17</v>
      </c>
      <c r="Q67" s="165" t="s">
        <v>404</v>
      </c>
      <c r="R67" s="166"/>
      <c r="S67" s="164"/>
      <c r="T67" s="164"/>
      <c r="U67" s="473"/>
      <c r="V67" s="479"/>
      <c r="W67" s="476"/>
      <c r="X67" s="2">
        <v>107</v>
      </c>
    </row>
    <row r="68" spans="1:24" s="85" customFormat="1" ht="54" customHeight="1" x14ac:dyDescent="0.3">
      <c r="A68" s="543">
        <v>8</v>
      </c>
      <c r="B68" s="462" t="s">
        <v>56</v>
      </c>
      <c r="C68" s="462"/>
      <c r="D68" s="462"/>
      <c r="E68" s="462" t="s">
        <v>176</v>
      </c>
      <c r="F68" s="465" t="s">
        <v>212</v>
      </c>
      <c r="G68" s="468" t="s">
        <v>228</v>
      </c>
      <c r="H68" s="471">
        <v>50150.29</v>
      </c>
      <c r="I68" s="480">
        <f>IF(X68 = 108, H68 + SUM(S68:S79) - SUM(T68:T79) - SUM(P68:P79) - V68,0)</f>
        <v>0</v>
      </c>
      <c r="J68" s="483">
        <v>2353020735</v>
      </c>
      <c r="K68" s="486" t="s">
        <v>177</v>
      </c>
      <c r="L68" s="462"/>
      <c r="M68" s="462" t="s">
        <v>201</v>
      </c>
      <c r="N68" s="167" t="s">
        <v>257</v>
      </c>
      <c r="O68" s="465" t="s">
        <v>178</v>
      </c>
      <c r="P68" s="160">
        <v>960</v>
      </c>
      <c r="Q68" s="159" t="s">
        <v>258</v>
      </c>
      <c r="R68" s="158"/>
      <c r="S68" s="160"/>
      <c r="T68" s="160"/>
      <c r="U68" s="471" t="s">
        <v>453</v>
      </c>
      <c r="V68" s="477">
        <v>36899.89</v>
      </c>
      <c r="W68" s="474"/>
      <c r="X68" s="85">
        <v>108</v>
      </c>
    </row>
    <row r="69" spans="1:24" x14ac:dyDescent="0.3">
      <c r="A69" s="544"/>
      <c r="B69" s="463"/>
      <c r="C69" s="463"/>
      <c r="D69" s="463"/>
      <c r="E69" s="463"/>
      <c r="F69" s="466"/>
      <c r="G69" s="469"/>
      <c r="H69" s="472"/>
      <c r="I69" s="481"/>
      <c r="J69" s="484"/>
      <c r="K69" s="487"/>
      <c r="L69" s="463"/>
      <c r="M69" s="463"/>
      <c r="N69" s="168" t="s">
        <v>257</v>
      </c>
      <c r="O69" s="466"/>
      <c r="P69" s="161">
        <v>2998.4</v>
      </c>
      <c r="Q69" s="162" t="s">
        <v>258</v>
      </c>
      <c r="R69" s="163"/>
      <c r="S69" s="161"/>
      <c r="T69" s="161"/>
      <c r="U69" s="472"/>
      <c r="V69" s="478"/>
      <c r="W69" s="475"/>
      <c r="X69" s="2">
        <v>108</v>
      </c>
    </row>
    <row r="70" spans="1:24" x14ac:dyDescent="0.3">
      <c r="A70" s="544"/>
      <c r="B70" s="463"/>
      <c r="C70" s="463"/>
      <c r="D70" s="463"/>
      <c r="E70" s="463"/>
      <c r="F70" s="466"/>
      <c r="G70" s="469"/>
      <c r="H70" s="472"/>
      <c r="I70" s="481"/>
      <c r="J70" s="484"/>
      <c r="K70" s="487"/>
      <c r="L70" s="463"/>
      <c r="M70" s="463"/>
      <c r="N70" s="168" t="s">
        <v>257</v>
      </c>
      <c r="O70" s="466"/>
      <c r="P70" s="161">
        <v>270</v>
      </c>
      <c r="Q70" s="162" t="s">
        <v>259</v>
      </c>
      <c r="R70" s="163"/>
      <c r="S70" s="161"/>
      <c r="T70" s="161"/>
      <c r="U70" s="472"/>
      <c r="V70" s="478"/>
      <c r="W70" s="475"/>
      <c r="X70" s="2">
        <v>108</v>
      </c>
    </row>
    <row r="71" spans="1:24" x14ac:dyDescent="0.3">
      <c r="A71" s="544"/>
      <c r="B71" s="463"/>
      <c r="C71" s="463"/>
      <c r="D71" s="463"/>
      <c r="E71" s="463"/>
      <c r="F71" s="466"/>
      <c r="G71" s="469"/>
      <c r="H71" s="472"/>
      <c r="I71" s="481"/>
      <c r="J71" s="484"/>
      <c r="K71" s="487"/>
      <c r="L71" s="463"/>
      <c r="M71" s="463"/>
      <c r="N71" s="168" t="s">
        <v>257</v>
      </c>
      <c r="O71" s="466"/>
      <c r="P71" s="161">
        <v>847.8</v>
      </c>
      <c r="Q71" s="162" t="s">
        <v>259</v>
      </c>
      <c r="R71" s="163"/>
      <c r="S71" s="161"/>
      <c r="T71" s="161"/>
      <c r="U71" s="472"/>
      <c r="V71" s="478"/>
      <c r="W71" s="475"/>
      <c r="X71" s="2">
        <v>108</v>
      </c>
    </row>
    <row r="72" spans="1:24" x14ac:dyDescent="0.3">
      <c r="A72" s="544"/>
      <c r="B72" s="463"/>
      <c r="C72" s="463"/>
      <c r="D72" s="463"/>
      <c r="E72" s="463"/>
      <c r="F72" s="466"/>
      <c r="G72" s="469"/>
      <c r="H72" s="472"/>
      <c r="I72" s="481"/>
      <c r="J72" s="484"/>
      <c r="K72" s="487"/>
      <c r="L72" s="463"/>
      <c r="M72" s="463"/>
      <c r="N72" s="168" t="s">
        <v>312</v>
      </c>
      <c r="O72" s="466"/>
      <c r="P72" s="161">
        <v>1080</v>
      </c>
      <c r="Q72" s="162" t="s">
        <v>317</v>
      </c>
      <c r="R72" s="163"/>
      <c r="S72" s="161"/>
      <c r="T72" s="161"/>
      <c r="U72" s="472"/>
      <c r="V72" s="478"/>
      <c r="W72" s="475"/>
      <c r="X72" s="2">
        <v>108</v>
      </c>
    </row>
    <row r="73" spans="1:24" x14ac:dyDescent="0.3">
      <c r="A73" s="544"/>
      <c r="B73" s="463"/>
      <c r="C73" s="463"/>
      <c r="D73" s="463"/>
      <c r="E73" s="463"/>
      <c r="F73" s="466"/>
      <c r="G73" s="469"/>
      <c r="H73" s="472"/>
      <c r="I73" s="481"/>
      <c r="J73" s="484"/>
      <c r="K73" s="487"/>
      <c r="L73" s="463"/>
      <c r="M73" s="463"/>
      <c r="N73" s="168" t="s">
        <v>312</v>
      </c>
      <c r="O73" s="466"/>
      <c r="P73" s="161">
        <v>3373.2</v>
      </c>
      <c r="Q73" s="162" t="s">
        <v>317</v>
      </c>
      <c r="R73" s="163"/>
      <c r="S73" s="161"/>
      <c r="T73" s="161"/>
      <c r="U73" s="472"/>
      <c r="V73" s="478"/>
      <c r="W73" s="475"/>
      <c r="X73" s="2">
        <v>108</v>
      </c>
    </row>
    <row r="74" spans="1:24" x14ac:dyDescent="0.3">
      <c r="A74" s="544"/>
      <c r="B74" s="463"/>
      <c r="C74" s="463"/>
      <c r="D74" s="463"/>
      <c r="E74" s="463"/>
      <c r="F74" s="466"/>
      <c r="G74" s="469"/>
      <c r="H74" s="472"/>
      <c r="I74" s="481"/>
      <c r="J74" s="484"/>
      <c r="K74" s="487"/>
      <c r="L74" s="463"/>
      <c r="M74" s="463"/>
      <c r="N74" s="168" t="s">
        <v>312</v>
      </c>
      <c r="O74" s="466"/>
      <c r="P74" s="161">
        <v>1036.2</v>
      </c>
      <c r="Q74" s="162" t="s">
        <v>317</v>
      </c>
      <c r="R74" s="163"/>
      <c r="S74" s="161"/>
      <c r="T74" s="161"/>
      <c r="U74" s="472"/>
      <c r="V74" s="478"/>
      <c r="W74" s="475"/>
      <c r="X74" s="2">
        <v>108</v>
      </c>
    </row>
    <row r="75" spans="1:24" x14ac:dyDescent="0.3">
      <c r="A75" s="544"/>
      <c r="B75" s="463"/>
      <c r="C75" s="463"/>
      <c r="D75" s="463"/>
      <c r="E75" s="463"/>
      <c r="F75" s="466"/>
      <c r="G75" s="469"/>
      <c r="H75" s="472"/>
      <c r="I75" s="481"/>
      <c r="J75" s="484"/>
      <c r="K75" s="487"/>
      <c r="L75" s="463"/>
      <c r="M75" s="463"/>
      <c r="N75" s="168" t="s">
        <v>312</v>
      </c>
      <c r="O75" s="466"/>
      <c r="P75" s="161">
        <v>330</v>
      </c>
      <c r="Q75" s="162" t="s">
        <v>317</v>
      </c>
      <c r="R75" s="163"/>
      <c r="S75" s="161"/>
      <c r="T75" s="161"/>
      <c r="U75" s="472"/>
      <c r="V75" s="478"/>
      <c r="W75" s="475"/>
      <c r="X75" s="2">
        <v>108</v>
      </c>
    </row>
    <row r="76" spans="1:24" x14ac:dyDescent="0.3">
      <c r="A76" s="544"/>
      <c r="B76" s="463"/>
      <c r="C76" s="463"/>
      <c r="D76" s="463"/>
      <c r="E76" s="463"/>
      <c r="F76" s="466"/>
      <c r="G76" s="469"/>
      <c r="H76" s="472"/>
      <c r="I76" s="481"/>
      <c r="J76" s="484"/>
      <c r="K76" s="487"/>
      <c r="L76" s="463"/>
      <c r="M76" s="463"/>
      <c r="N76" s="168" t="s">
        <v>421</v>
      </c>
      <c r="O76" s="466"/>
      <c r="P76" s="161">
        <v>937</v>
      </c>
      <c r="Q76" s="162" t="s">
        <v>404</v>
      </c>
      <c r="R76" s="163"/>
      <c r="S76" s="161"/>
      <c r="T76" s="161"/>
      <c r="U76" s="472"/>
      <c r="V76" s="478"/>
      <c r="W76" s="475"/>
      <c r="X76" s="2">
        <v>108</v>
      </c>
    </row>
    <row r="77" spans="1:24" x14ac:dyDescent="0.3">
      <c r="A77" s="544"/>
      <c r="B77" s="463"/>
      <c r="C77" s="463"/>
      <c r="D77" s="463"/>
      <c r="E77" s="463"/>
      <c r="F77" s="466"/>
      <c r="G77" s="469"/>
      <c r="H77" s="472"/>
      <c r="I77" s="481"/>
      <c r="J77" s="484"/>
      <c r="K77" s="487"/>
      <c r="L77" s="463"/>
      <c r="M77" s="463"/>
      <c r="N77" s="168" t="s">
        <v>421</v>
      </c>
      <c r="O77" s="466"/>
      <c r="P77" s="161">
        <v>847.8</v>
      </c>
      <c r="Q77" s="162" t="s">
        <v>404</v>
      </c>
      <c r="R77" s="163"/>
      <c r="S77" s="161"/>
      <c r="T77" s="161"/>
      <c r="U77" s="472"/>
      <c r="V77" s="478"/>
      <c r="W77" s="475"/>
      <c r="X77" s="2">
        <v>108</v>
      </c>
    </row>
    <row r="78" spans="1:24" x14ac:dyDescent="0.3">
      <c r="A78" s="544"/>
      <c r="B78" s="463"/>
      <c r="C78" s="463"/>
      <c r="D78" s="463"/>
      <c r="E78" s="463"/>
      <c r="F78" s="466"/>
      <c r="G78" s="469"/>
      <c r="H78" s="472"/>
      <c r="I78" s="481"/>
      <c r="J78" s="484"/>
      <c r="K78" s="487"/>
      <c r="L78" s="463"/>
      <c r="M78" s="463"/>
      <c r="N78" s="168" t="s">
        <v>421</v>
      </c>
      <c r="O78" s="466"/>
      <c r="P78" s="161">
        <v>300</v>
      </c>
      <c r="Q78" s="162" t="s">
        <v>404</v>
      </c>
      <c r="R78" s="163"/>
      <c r="S78" s="161"/>
      <c r="T78" s="161"/>
      <c r="U78" s="472"/>
      <c r="V78" s="478"/>
      <c r="W78" s="475"/>
      <c r="X78" s="2">
        <v>108</v>
      </c>
    </row>
    <row r="79" spans="1:24" x14ac:dyDescent="0.3">
      <c r="A79" s="545"/>
      <c r="B79" s="464"/>
      <c r="C79" s="464"/>
      <c r="D79" s="464"/>
      <c r="E79" s="464"/>
      <c r="F79" s="467"/>
      <c r="G79" s="470"/>
      <c r="H79" s="473"/>
      <c r="I79" s="482"/>
      <c r="J79" s="485"/>
      <c r="K79" s="488"/>
      <c r="L79" s="464"/>
      <c r="M79" s="464"/>
      <c r="N79" s="169" t="s">
        <v>421</v>
      </c>
      <c r="O79" s="467"/>
      <c r="P79" s="164">
        <v>270</v>
      </c>
      <c r="Q79" s="165" t="s">
        <v>404</v>
      </c>
      <c r="R79" s="166"/>
      <c r="S79" s="164"/>
      <c r="T79" s="164"/>
      <c r="U79" s="473"/>
      <c r="V79" s="479"/>
      <c r="W79" s="476"/>
      <c r="X79" s="2">
        <v>108</v>
      </c>
    </row>
    <row r="80" spans="1:24" s="85" customFormat="1" ht="63" customHeight="1" x14ac:dyDescent="0.3">
      <c r="A80" s="543">
        <v>9</v>
      </c>
      <c r="B80" s="462" t="s">
        <v>56</v>
      </c>
      <c r="C80" s="462"/>
      <c r="D80" s="462"/>
      <c r="E80" s="462" t="s">
        <v>229</v>
      </c>
      <c r="F80" s="465" t="s">
        <v>212</v>
      </c>
      <c r="G80" s="468" t="s">
        <v>230</v>
      </c>
      <c r="H80" s="471">
        <v>70148.52</v>
      </c>
      <c r="I80" s="480">
        <f>IF(X80 = 109, H80 + SUM(S80:S85) - SUM(T80:T85) - SUM(P80:P85) - V80,0)</f>
        <v>7.2759576141834259E-12</v>
      </c>
      <c r="J80" s="483">
        <v>2353020735</v>
      </c>
      <c r="K80" s="486" t="s">
        <v>177</v>
      </c>
      <c r="L80" s="462"/>
      <c r="M80" s="462" t="s">
        <v>201</v>
      </c>
      <c r="N80" s="167" t="s">
        <v>257</v>
      </c>
      <c r="O80" s="465" t="s">
        <v>178</v>
      </c>
      <c r="P80" s="160">
        <v>3180</v>
      </c>
      <c r="Q80" s="159" t="s">
        <v>258</v>
      </c>
      <c r="R80" s="158"/>
      <c r="S80" s="160"/>
      <c r="T80" s="160"/>
      <c r="U80" s="471" t="s">
        <v>453</v>
      </c>
      <c r="V80" s="477">
        <v>32879.519999999997</v>
      </c>
      <c r="W80" s="474"/>
      <c r="X80" s="85">
        <v>109</v>
      </c>
    </row>
    <row r="81" spans="1:24" x14ac:dyDescent="0.3">
      <c r="A81" s="544"/>
      <c r="B81" s="463"/>
      <c r="C81" s="463"/>
      <c r="D81" s="463"/>
      <c r="E81" s="463"/>
      <c r="F81" s="466"/>
      <c r="G81" s="469"/>
      <c r="H81" s="472"/>
      <c r="I81" s="481"/>
      <c r="J81" s="484"/>
      <c r="K81" s="487"/>
      <c r="L81" s="463"/>
      <c r="M81" s="463"/>
      <c r="N81" s="168" t="s">
        <v>257</v>
      </c>
      <c r="O81" s="466"/>
      <c r="P81" s="161">
        <v>9858</v>
      </c>
      <c r="Q81" s="162" t="s">
        <v>258</v>
      </c>
      <c r="R81" s="163"/>
      <c r="S81" s="161"/>
      <c r="T81" s="161"/>
      <c r="U81" s="472"/>
      <c r="V81" s="478"/>
      <c r="W81" s="475"/>
      <c r="X81" s="2">
        <v>109</v>
      </c>
    </row>
    <row r="82" spans="1:24" x14ac:dyDescent="0.3">
      <c r="A82" s="544"/>
      <c r="B82" s="463"/>
      <c r="C82" s="463"/>
      <c r="D82" s="463"/>
      <c r="E82" s="463"/>
      <c r="F82" s="466"/>
      <c r="G82" s="469"/>
      <c r="H82" s="472"/>
      <c r="I82" s="481"/>
      <c r="J82" s="484"/>
      <c r="K82" s="487"/>
      <c r="L82" s="463"/>
      <c r="M82" s="463"/>
      <c r="N82" s="168" t="s">
        <v>312</v>
      </c>
      <c r="O82" s="466"/>
      <c r="P82" s="161">
        <v>3240</v>
      </c>
      <c r="Q82" s="162" t="s">
        <v>327</v>
      </c>
      <c r="R82" s="163"/>
      <c r="S82" s="161"/>
      <c r="T82" s="161"/>
      <c r="U82" s="472"/>
      <c r="V82" s="478"/>
      <c r="W82" s="475"/>
      <c r="X82" s="2">
        <v>109</v>
      </c>
    </row>
    <row r="83" spans="1:24" x14ac:dyDescent="0.3">
      <c r="A83" s="544"/>
      <c r="B83" s="463"/>
      <c r="C83" s="463"/>
      <c r="D83" s="463"/>
      <c r="E83" s="463"/>
      <c r="F83" s="466"/>
      <c r="G83" s="469"/>
      <c r="H83" s="472"/>
      <c r="I83" s="481"/>
      <c r="J83" s="484"/>
      <c r="K83" s="487"/>
      <c r="L83" s="463"/>
      <c r="M83" s="463"/>
      <c r="N83" s="168" t="s">
        <v>312</v>
      </c>
      <c r="O83" s="466"/>
      <c r="P83" s="161">
        <v>10044</v>
      </c>
      <c r="Q83" s="162" t="s">
        <v>327</v>
      </c>
      <c r="R83" s="163"/>
      <c r="S83" s="161"/>
      <c r="T83" s="161"/>
      <c r="U83" s="472"/>
      <c r="V83" s="478"/>
      <c r="W83" s="475"/>
      <c r="X83" s="2">
        <v>109</v>
      </c>
    </row>
    <row r="84" spans="1:24" x14ac:dyDescent="0.3">
      <c r="A84" s="544"/>
      <c r="B84" s="463"/>
      <c r="C84" s="463"/>
      <c r="D84" s="463"/>
      <c r="E84" s="463"/>
      <c r="F84" s="466"/>
      <c r="G84" s="469"/>
      <c r="H84" s="472"/>
      <c r="I84" s="481"/>
      <c r="J84" s="484"/>
      <c r="K84" s="487"/>
      <c r="L84" s="463"/>
      <c r="M84" s="463"/>
      <c r="N84" s="168" t="s">
        <v>421</v>
      </c>
      <c r="O84" s="466"/>
      <c r="P84" s="161">
        <v>2670</v>
      </c>
      <c r="Q84" s="162" t="s">
        <v>404</v>
      </c>
      <c r="R84" s="163"/>
      <c r="S84" s="161"/>
      <c r="T84" s="161"/>
      <c r="U84" s="472"/>
      <c r="V84" s="478"/>
      <c r="W84" s="475"/>
      <c r="X84" s="2">
        <v>109</v>
      </c>
    </row>
    <row r="85" spans="1:24" x14ac:dyDescent="0.3">
      <c r="A85" s="545"/>
      <c r="B85" s="464"/>
      <c r="C85" s="464"/>
      <c r="D85" s="464"/>
      <c r="E85" s="464"/>
      <c r="F85" s="467"/>
      <c r="G85" s="470"/>
      <c r="H85" s="473"/>
      <c r="I85" s="482"/>
      <c r="J85" s="485"/>
      <c r="K85" s="488"/>
      <c r="L85" s="464"/>
      <c r="M85" s="464"/>
      <c r="N85" s="169" t="s">
        <v>421</v>
      </c>
      <c r="O85" s="467"/>
      <c r="P85" s="164">
        <v>8277</v>
      </c>
      <c r="Q85" s="165" t="s">
        <v>404</v>
      </c>
      <c r="R85" s="166"/>
      <c r="S85" s="164"/>
      <c r="T85" s="164"/>
      <c r="U85" s="473"/>
      <c r="V85" s="479"/>
      <c r="W85" s="476"/>
      <c r="X85" s="2">
        <v>109</v>
      </c>
    </row>
    <row r="86" spans="1:24" s="85" customFormat="1" ht="78.599999999999994" customHeight="1" x14ac:dyDescent="0.3">
      <c r="A86" s="346">
        <v>10</v>
      </c>
      <c r="B86" s="352" t="s">
        <v>56</v>
      </c>
      <c r="C86" s="352"/>
      <c r="D86" s="352"/>
      <c r="E86" s="352" t="s">
        <v>224</v>
      </c>
      <c r="F86" s="348" t="s">
        <v>220</v>
      </c>
      <c r="G86" s="358" t="s">
        <v>171</v>
      </c>
      <c r="H86" s="350">
        <v>81000</v>
      </c>
      <c r="I86" s="360">
        <f>IF(X86 = 110, H86 + SUM(S86:S100) - SUM(T86:T100) - SUM(P86:P100) - V86,0)</f>
        <v>18080</v>
      </c>
      <c r="J86" s="423">
        <v>2353016552</v>
      </c>
      <c r="K86" s="426" t="s">
        <v>223</v>
      </c>
      <c r="L86" s="352"/>
      <c r="M86" s="352" t="s">
        <v>188</v>
      </c>
      <c r="N86" s="279" t="s">
        <v>257</v>
      </c>
      <c r="O86" s="348" t="s">
        <v>172</v>
      </c>
      <c r="P86" s="270">
        <v>3960</v>
      </c>
      <c r="Q86" s="271" t="s">
        <v>270</v>
      </c>
      <c r="R86" s="272"/>
      <c r="S86" s="270"/>
      <c r="T86" s="270"/>
      <c r="U86" s="350"/>
      <c r="V86" s="429"/>
      <c r="W86" s="356"/>
      <c r="X86" s="85">
        <v>110</v>
      </c>
    </row>
    <row r="87" spans="1:24" x14ac:dyDescent="0.3">
      <c r="A87" s="368"/>
      <c r="B87" s="362"/>
      <c r="C87" s="362"/>
      <c r="D87" s="362"/>
      <c r="E87" s="362"/>
      <c r="F87" s="365"/>
      <c r="G87" s="364"/>
      <c r="H87" s="366"/>
      <c r="I87" s="367"/>
      <c r="J87" s="424"/>
      <c r="K87" s="427"/>
      <c r="L87" s="362"/>
      <c r="M87" s="362"/>
      <c r="N87" s="280" t="s">
        <v>257</v>
      </c>
      <c r="O87" s="365"/>
      <c r="P87" s="273">
        <v>4620</v>
      </c>
      <c r="Q87" s="274" t="s">
        <v>270</v>
      </c>
      <c r="R87" s="275"/>
      <c r="S87" s="273"/>
      <c r="T87" s="273"/>
      <c r="U87" s="366"/>
      <c r="V87" s="430"/>
      <c r="W87" s="363"/>
      <c r="X87" s="2">
        <v>110</v>
      </c>
    </row>
    <row r="88" spans="1:24" x14ac:dyDescent="0.3">
      <c r="A88" s="368"/>
      <c r="B88" s="362"/>
      <c r="C88" s="362"/>
      <c r="D88" s="362"/>
      <c r="E88" s="362"/>
      <c r="F88" s="365"/>
      <c r="G88" s="364"/>
      <c r="H88" s="366"/>
      <c r="I88" s="367"/>
      <c r="J88" s="424"/>
      <c r="K88" s="427"/>
      <c r="L88" s="362"/>
      <c r="M88" s="362"/>
      <c r="N88" s="280" t="s">
        <v>312</v>
      </c>
      <c r="O88" s="365"/>
      <c r="P88" s="273">
        <v>5280</v>
      </c>
      <c r="Q88" s="274" t="s">
        <v>313</v>
      </c>
      <c r="R88" s="275"/>
      <c r="S88" s="273"/>
      <c r="T88" s="273"/>
      <c r="U88" s="366"/>
      <c r="V88" s="430"/>
      <c r="W88" s="363"/>
      <c r="X88" s="2">
        <v>110</v>
      </c>
    </row>
    <row r="89" spans="1:24" x14ac:dyDescent="0.3">
      <c r="A89" s="368"/>
      <c r="B89" s="362"/>
      <c r="C89" s="362"/>
      <c r="D89" s="362"/>
      <c r="E89" s="362"/>
      <c r="F89" s="365"/>
      <c r="G89" s="364"/>
      <c r="H89" s="366"/>
      <c r="I89" s="367"/>
      <c r="J89" s="424"/>
      <c r="K89" s="427"/>
      <c r="L89" s="362"/>
      <c r="M89" s="362"/>
      <c r="N89" s="280" t="s">
        <v>312</v>
      </c>
      <c r="O89" s="365"/>
      <c r="P89" s="273">
        <v>6160</v>
      </c>
      <c r="Q89" s="274" t="s">
        <v>313</v>
      </c>
      <c r="R89" s="275"/>
      <c r="S89" s="273"/>
      <c r="T89" s="273"/>
      <c r="U89" s="366"/>
      <c r="V89" s="430"/>
      <c r="W89" s="363"/>
      <c r="X89" s="2">
        <v>110</v>
      </c>
    </row>
    <row r="90" spans="1:24" x14ac:dyDescent="0.3">
      <c r="A90" s="368"/>
      <c r="B90" s="362"/>
      <c r="C90" s="362"/>
      <c r="D90" s="362"/>
      <c r="E90" s="362"/>
      <c r="F90" s="365"/>
      <c r="G90" s="364"/>
      <c r="H90" s="366"/>
      <c r="I90" s="367"/>
      <c r="J90" s="424"/>
      <c r="K90" s="427"/>
      <c r="L90" s="362"/>
      <c r="M90" s="362"/>
      <c r="N90" s="280" t="s">
        <v>402</v>
      </c>
      <c r="O90" s="365"/>
      <c r="P90" s="273">
        <v>4680</v>
      </c>
      <c r="Q90" s="274" t="s">
        <v>405</v>
      </c>
      <c r="R90" s="275"/>
      <c r="S90" s="273"/>
      <c r="T90" s="273"/>
      <c r="U90" s="366"/>
      <c r="V90" s="430"/>
      <c r="W90" s="363"/>
      <c r="X90" s="2">
        <v>110</v>
      </c>
    </row>
    <row r="91" spans="1:24" x14ac:dyDescent="0.3">
      <c r="A91" s="368"/>
      <c r="B91" s="362"/>
      <c r="C91" s="362"/>
      <c r="D91" s="362"/>
      <c r="E91" s="362"/>
      <c r="F91" s="365"/>
      <c r="G91" s="364"/>
      <c r="H91" s="366"/>
      <c r="I91" s="367"/>
      <c r="J91" s="424"/>
      <c r="K91" s="427"/>
      <c r="L91" s="362"/>
      <c r="M91" s="362"/>
      <c r="N91" s="280" t="s">
        <v>402</v>
      </c>
      <c r="O91" s="365"/>
      <c r="P91" s="273">
        <v>5460</v>
      </c>
      <c r="Q91" s="274" t="s">
        <v>405</v>
      </c>
      <c r="R91" s="275"/>
      <c r="S91" s="273"/>
      <c r="T91" s="273"/>
      <c r="U91" s="366"/>
      <c r="V91" s="430"/>
      <c r="W91" s="363"/>
      <c r="X91" s="2">
        <v>110</v>
      </c>
    </row>
    <row r="92" spans="1:24" x14ac:dyDescent="0.3">
      <c r="A92" s="368"/>
      <c r="B92" s="362"/>
      <c r="C92" s="362"/>
      <c r="D92" s="362"/>
      <c r="E92" s="362"/>
      <c r="F92" s="365"/>
      <c r="G92" s="364"/>
      <c r="H92" s="366"/>
      <c r="I92" s="367"/>
      <c r="J92" s="424"/>
      <c r="K92" s="427"/>
      <c r="L92" s="362"/>
      <c r="M92" s="362"/>
      <c r="N92" s="280" t="s">
        <v>454</v>
      </c>
      <c r="O92" s="365"/>
      <c r="P92" s="273">
        <v>5520</v>
      </c>
      <c r="Q92" s="274" t="s">
        <v>461</v>
      </c>
      <c r="R92" s="275"/>
      <c r="S92" s="273"/>
      <c r="T92" s="273"/>
      <c r="U92" s="366"/>
      <c r="V92" s="430"/>
      <c r="W92" s="363"/>
      <c r="X92" s="2">
        <v>110</v>
      </c>
    </row>
    <row r="93" spans="1:24" x14ac:dyDescent="0.3">
      <c r="A93" s="368"/>
      <c r="B93" s="362"/>
      <c r="C93" s="362"/>
      <c r="D93" s="362"/>
      <c r="E93" s="362"/>
      <c r="F93" s="365"/>
      <c r="G93" s="364"/>
      <c r="H93" s="366"/>
      <c r="I93" s="367"/>
      <c r="J93" s="424"/>
      <c r="K93" s="427"/>
      <c r="L93" s="362"/>
      <c r="M93" s="362"/>
      <c r="N93" s="280" t="s">
        <v>454</v>
      </c>
      <c r="O93" s="365"/>
      <c r="P93" s="273">
        <v>6440</v>
      </c>
      <c r="Q93" s="274" t="s">
        <v>461</v>
      </c>
      <c r="R93" s="275"/>
      <c r="S93" s="273"/>
      <c r="T93" s="273"/>
      <c r="U93" s="366"/>
      <c r="V93" s="430"/>
      <c r="W93" s="363"/>
      <c r="X93" s="2">
        <v>110</v>
      </c>
    </row>
    <row r="94" spans="1:24" x14ac:dyDescent="0.3">
      <c r="A94" s="368"/>
      <c r="B94" s="362"/>
      <c r="C94" s="362"/>
      <c r="D94" s="362"/>
      <c r="E94" s="362"/>
      <c r="F94" s="365"/>
      <c r="G94" s="364"/>
      <c r="H94" s="366"/>
      <c r="I94" s="367"/>
      <c r="J94" s="424"/>
      <c r="K94" s="427"/>
      <c r="L94" s="362"/>
      <c r="M94" s="362"/>
      <c r="N94" s="280" t="s">
        <v>468</v>
      </c>
      <c r="O94" s="365"/>
      <c r="P94" s="273">
        <v>4320</v>
      </c>
      <c r="Q94" s="274" t="s">
        <v>507</v>
      </c>
      <c r="R94" s="275"/>
      <c r="S94" s="273"/>
      <c r="T94" s="273"/>
      <c r="U94" s="366"/>
      <c r="V94" s="430"/>
      <c r="W94" s="363"/>
      <c r="X94" s="2">
        <v>110</v>
      </c>
    </row>
    <row r="95" spans="1:24" x14ac:dyDescent="0.3">
      <c r="A95" s="368"/>
      <c r="B95" s="362"/>
      <c r="C95" s="362"/>
      <c r="D95" s="362"/>
      <c r="E95" s="362"/>
      <c r="F95" s="365"/>
      <c r="G95" s="364"/>
      <c r="H95" s="366"/>
      <c r="I95" s="367"/>
      <c r="J95" s="424"/>
      <c r="K95" s="427"/>
      <c r="L95" s="362"/>
      <c r="M95" s="362"/>
      <c r="N95" s="280" t="s">
        <v>468</v>
      </c>
      <c r="O95" s="365"/>
      <c r="P95" s="273">
        <v>5040</v>
      </c>
      <c r="Q95" s="274" t="s">
        <v>507</v>
      </c>
      <c r="R95" s="275"/>
      <c r="S95" s="273"/>
      <c r="T95" s="273"/>
      <c r="U95" s="366"/>
      <c r="V95" s="430"/>
      <c r="W95" s="363"/>
      <c r="X95" s="2">
        <v>110</v>
      </c>
    </row>
    <row r="96" spans="1:24" x14ac:dyDescent="0.3">
      <c r="A96" s="368"/>
      <c r="B96" s="362"/>
      <c r="C96" s="362"/>
      <c r="D96" s="362"/>
      <c r="E96" s="362"/>
      <c r="F96" s="365"/>
      <c r="G96" s="364"/>
      <c r="H96" s="366"/>
      <c r="I96" s="367"/>
      <c r="J96" s="424"/>
      <c r="K96" s="427"/>
      <c r="L96" s="362"/>
      <c r="M96" s="362"/>
      <c r="N96" s="280">
        <v>45473</v>
      </c>
      <c r="O96" s="365"/>
      <c r="P96" s="273">
        <v>3480</v>
      </c>
      <c r="Q96" s="274">
        <v>45484</v>
      </c>
      <c r="R96" s="275"/>
      <c r="S96" s="273"/>
      <c r="T96" s="273"/>
      <c r="U96" s="366"/>
      <c r="V96" s="430"/>
      <c r="W96" s="363"/>
      <c r="X96" s="2">
        <v>110</v>
      </c>
    </row>
    <row r="97" spans="1:24" x14ac:dyDescent="0.3">
      <c r="A97" s="368"/>
      <c r="B97" s="362"/>
      <c r="C97" s="362"/>
      <c r="D97" s="362"/>
      <c r="E97" s="362"/>
      <c r="F97" s="365"/>
      <c r="G97" s="364"/>
      <c r="H97" s="366"/>
      <c r="I97" s="367"/>
      <c r="J97" s="424"/>
      <c r="K97" s="427"/>
      <c r="L97" s="362"/>
      <c r="M97" s="362"/>
      <c r="N97" s="280">
        <v>45473</v>
      </c>
      <c r="O97" s="365"/>
      <c r="P97" s="273">
        <v>4060</v>
      </c>
      <c r="Q97" s="274">
        <v>45484</v>
      </c>
      <c r="R97" s="275"/>
      <c r="S97" s="273"/>
      <c r="T97" s="273"/>
      <c r="U97" s="366"/>
      <c r="V97" s="430"/>
      <c r="W97" s="363"/>
      <c r="X97" s="2">
        <v>110</v>
      </c>
    </row>
    <row r="98" spans="1:24" x14ac:dyDescent="0.3">
      <c r="A98" s="368"/>
      <c r="B98" s="362"/>
      <c r="C98" s="362"/>
      <c r="D98" s="362"/>
      <c r="E98" s="362"/>
      <c r="F98" s="365"/>
      <c r="G98" s="364"/>
      <c r="H98" s="366"/>
      <c r="I98" s="367"/>
      <c r="J98" s="424"/>
      <c r="K98" s="427"/>
      <c r="L98" s="362"/>
      <c r="M98" s="362"/>
      <c r="N98" s="280">
        <v>45504</v>
      </c>
      <c r="O98" s="365"/>
      <c r="P98" s="273">
        <v>1820</v>
      </c>
      <c r="Q98" s="274">
        <v>45526</v>
      </c>
      <c r="R98" s="275"/>
      <c r="S98" s="273"/>
      <c r="T98" s="273"/>
      <c r="U98" s="366"/>
      <c r="V98" s="430"/>
      <c r="W98" s="363"/>
      <c r="X98" s="2">
        <v>110</v>
      </c>
    </row>
    <row r="99" spans="1:24" s="269" customFormat="1" x14ac:dyDescent="0.3">
      <c r="A99" s="368"/>
      <c r="B99" s="362"/>
      <c r="C99" s="362"/>
      <c r="D99" s="362"/>
      <c r="E99" s="362"/>
      <c r="F99" s="365"/>
      <c r="G99" s="364"/>
      <c r="H99" s="366"/>
      <c r="I99" s="367"/>
      <c r="J99" s="424"/>
      <c r="K99" s="427"/>
      <c r="L99" s="362"/>
      <c r="M99" s="362"/>
      <c r="N99" s="282">
        <v>45535</v>
      </c>
      <c r="O99" s="365"/>
      <c r="P99" s="283">
        <v>1120</v>
      </c>
      <c r="Q99" s="284">
        <v>45561</v>
      </c>
      <c r="R99" s="285"/>
      <c r="S99" s="283"/>
      <c r="T99" s="283"/>
      <c r="U99" s="366"/>
      <c r="V99" s="430"/>
      <c r="W99" s="363"/>
      <c r="X99" s="269">
        <v>110</v>
      </c>
    </row>
    <row r="100" spans="1:24" s="269" customFormat="1" x14ac:dyDescent="0.3">
      <c r="A100" s="347"/>
      <c r="B100" s="353"/>
      <c r="C100" s="353"/>
      <c r="D100" s="353"/>
      <c r="E100" s="353"/>
      <c r="F100" s="349"/>
      <c r="G100" s="359"/>
      <c r="H100" s="351"/>
      <c r="I100" s="361"/>
      <c r="J100" s="425"/>
      <c r="K100" s="428"/>
      <c r="L100" s="353"/>
      <c r="M100" s="353"/>
      <c r="N100" s="281">
        <v>45535</v>
      </c>
      <c r="O100" s="349"/>
      <c r="P100" s="276">
        <v>960</v>
      </c>
      <c r="Q100" s="277">
        <v>45561</v>
      </c>
      <c r="R100" s="278"/>
      <c r="S100" s="276"/>
      <c r="T100" s="276"/>
      <c r="U100" s="351"/>
      <c r="V100" s="431"/>
      <c r="W100" s="357"/>
      <c r="X100" s="269">
        <v>110</v>
      </c>
    </row>
    <row r="101" spans="1:24" s="85" customFormat="1" ht="77.400000000000006" customHeight="1" x14ac:dyDescent="0.3">
      <c r="A101" s="346">
        <v>11</v>
      </c>
      <c r="B101" s="352" t="s">
        <v>56</v>
      </c>
      <c r="C101" s="352"/>
      <c r="D101" s="352"/>
      <c r="E101" s="352" t="s">
        <v>231</v>
      </c>
      <c r="F101" s="348" t="s">
        <v>220</v>
      </c>
      <c r="G101" s="358" t="s">
        <v>232</v>
      </c>
      <c r="H101" s="350">
        <v>27406.080000000002</v>
      </c>
      <c r="I101" s="360">
        <f>IF(X101 = 111, H101 + SUM(S101:S108) - SUM(T101:T108) - SUM(P101:P108) - V101,0)</f>
        <v>9135.36</v>
      </c>
      <c r="J101" s="423">
        <v>2310163739</v>
      </c>
      <c r="K101" s="426" t="s">
        <v>149</v>
      </c>
      <c r="L101" s="352"/>
      <c r="M101" s="352" t="s">
        <v>188</v>
      </c>
      <c r="N101" s="279" t="s">
        <v>257</v>
      </c>
      <c r="O101" s="348" t="s">
        <v>233</v>
      </c>
      <c r="P101" s="270">
        <v>2283.84</v>
      </c>
      <c r="Q101" s="271" t="s">
        <v>316</v>
      </c>
      <c r="R101" s="272"/>
      <c r="S101" s="270"/>
      <c r="T101" s="270"/>
      <c r="U101" s="350"/>
      <c r="V101" s="429"/>
      <c r="W101" s="356"/>
      <c r="X101" s="85">
        <v>111</v>
      </c>
    </row>
    <row r="102" spans="1:24" x14ac:dyDescent="0.3">
      <c r="A102" s="368"/>
      <c r="B102" s="362"/>
      <c r="C102" s="362"/>
      <c r="D102" s="362"/>
      <c r="E102" s="362"/>
      <c r="F102" s="365"/>
      <c r="G102" s="364"/>
      <c r="H102" s="366"/>
      <c r="I102" s="367"/>
      <c r="J102" s="424"/>
      <c r="K102" s="427"/>
      <c r="L102" s="362"/>
      <c r="M102" s="362"/>
      <c r="N102" s="280" t="s">
        <v>312</v>
      </c>
      <c r="O102" s="365"/>
      <c r="P102" s="273">
        <v>2283.84</v>
      </c>
      <c r="Q102" s="274" t="s">
        <v>316</v>
      </c>
      <c r="R102" s="275"/>
      <c r="S102" s="273"/>
      <c r="T102" s="273"/>
      <c r="U102" s="366"/>
      <c r="V102" s="430"/>
      <c r="W102" s="363"/>
      <c r="X102" s="2">
        <v>111</v>
      </c>
    </row>
    <row r="103" spans="1:24" x14ac:dyDescent="0.3">
      <c r="A103" s="368"/>
      <c r="B103" s="362"/>
      <c r="C103" s="362"/>
      <c r="D103" s="362"/>
      <c r="E103" s="362"/>
      <c r="F103" s="365"/>
      <c r="G103" s="364"/>
      <c r="H103" s="366"/>
      <c r="I103" s="367"/>
      <c r="J103" s="424"/>
      <c r="K103" s="427"/>
      <c r="L103" s="362"/>
      <c r="M103" s="362"/>
      <c r="N103" s="280" t="s">
        <v>403</v>
      </c>
      <c r="O103" s="365"/>
      <c r="P103" s="273">
        <v>2283.84</v>
      </c>
      <c r="Q103" s="274" t="s">
        <v>401</v>
      </c>
      <c r="R103" s="275"/>
      <c r="S103" s="273"/>
      <c r="T103" s="273"/>
      <c r="U103" s="366"/>
      <c r="V103" s="430"/>
      <c r="W103" s="363"/>
      <c r="X103" s="2">
        <v>111</v>
      </c>
    </row>
    <row r="104" spans="1:24" x14ac:dyDescent="0.3">
      <c r="A104" s="368"/>
      <c r="B104" s="362"/>
      <c r="C104" s="362"/>
      <c r="D104" s="362"/>
      <c r="E104" s="362"/>
      <c r="F104" s="365"/>
      <c r="G104" s="364"/>
      <c r="H104" s="366"/>
      <c r="I104" s="367"/>
      <c r="J104" s="424"/>
      <c r="K104" s="427"/>
      <c r="L104" s="362"/>
      <c r="M104" s="362"/>
      <c r="N104" s="280" t="s">
        <v>412</v>
      </c>
      <c r="O104" s="365"/>
      <c r="P104" s="273">
        <v>2283.84</v>
      </c>
      <c r="Q104" s="274" t="s">
        <v>456</v>
      </c>
      <c r="R104" s="275"/>
      <c r="S104" s="273"/>
      <c r="T104" s="273"/>
      <c r="U104" s="366"/>
      <c r="V104" s="430"/>
      <c r="W104" s="363"/>
      <c r="X104" s="2">
        <v>111</v>
      </c>
    </row>
    <row r="105" spans="1:24" x14ac:dyDescent="0.3">
      <c r="A105" s="368"/>
      <c r="B105" s="362"/>
      <c r="C105" s="362"/>
      <c r="D105" s="362"/>
      <c r="E105" s="362"/>
      <c r="F105" s="365"/>
      <c r="G105" s="364"/>
      <c r="H105" s="366"/>
      <c r="I105" s="367"/>
      <c r="J105" s="424"/>
      <c r="K105" s="427"/>
      <c r="L105" s="362"/>
      <c r="M105" s="362"/>
      <c r="N105" s="280" t="s">
        <v>468</v>
      </c>
      <c r="O105" s="365"/>
      <c r="P105" s="273">
        <v>2283.84</v>
      </c>
      <c r="Q105" s="274" t="s">
        <v>507</v>
      </c>
      <c r="R105" s="275"/>
      <c r="S105" s="273"/>
      <c r="T105" s="273"/>
      <c r="U105" s="366"/>
      <c r="V105" s="430"/>
      <c r="W105" s="363"/>
      <c r="X105" s="2">
        <v>111</v>
      </c>
    </row>
    <row r="106" spans="1:24" x14ac:dyDescent="0.3">
      <c r="A106" s="368"/>
      <c r="B106" s="362"/>
      <c r="C106" s="362"/>
      <c r="D106" s="362"/>
      <c r="E106" s="362"/>
      <c r="F106" s="365"/>
      <c r="G106" s="364"/>
      <c r="H106" s="366"/>
      <c r="I106" s="367"/>
      <c r="J106" s="424"/>
      <c r="K106" s="427"/>
      <c r="L106" s="362"/>
      <c r="M106" s="362"/>
      <c r="N106" s="280">
        <v>45471</v>
      </c>
      <c r="O106" s="365"/>
      <c r="P106" s="273">
        <v>2283.84</v>
      </c>
      <c r="Q106" s="274">
        <v>45476</v>
      </c>
      <c r="R106" s="275"/>
      <c r="S106" s="273"/>
      <c r="T106" s="273"/>
      <c r="U106" s="366"/>
      <c r="V106" s="430"/>
      <c r="W106" s="363"/>
      <c r="X106" s="2">
        <v>111</v>
      </c>
    </row>
    <row r="107" spans="1:24" x14ac:dyDescent="0.3">
      <c r="A107" s="368"/>
      <c r="B107" s="362"/>
      <c r="C107" s="362"/>
      <c r="D107" s="362"/>
      <c r="E107" s="362"/>
      <c r="F107" s="365"/>
      <c r="G107" s="364"/>
      <c r="H107" s="366"/>
      <c r="I107" s="367"/>
      <c r="J107" s="424"/>
      <c r="K107" s="427"/>
      <c r="L107" s="362"/>
      <c r="M107" s="362"/>
      <c r="N107" s="280">
        <v>45504</v>
      </c>
      <c r="O107" s="365"/>
      <c r="P107" s="273">
        <v>2283.84</v>
      </c>
      <c r="Q107" s="274">
        <v>45511</v>
      </c>
      <c r="R107" s="275"/>
      <c r="S107" s="273"/>
      <c r="T107" s="273"/>
      <c r="U107" s="366"/>
      <c r="V107" s="430"/>
      <c r="W107" s="363"/>
      <c r="X107" s="2">
        <v>111</v>
      </c>
    </row>
    <row r="108" spans="1:24" s="269" customFormat="1" x14ac:dyDescent="0.3">
      <c r="A108" s="347"/>
      <c r="B108" s="353"/>
      <c r="C108" s="353"/>
      <c r="D108" s="353"/>
      <c r="E108" s="353"/>
      <c r="F108" s="349"/>
      <c r="G108" s="359"/>
      <c r="H108" s="351"/>
      <c r="I108" s="361"/>
      <c r="J108" s="425"/>
      <c r="K108" s="428"/>
      <c r="L108" s="353"/>
      <c r="M108" s="353"/>
      <c r="N108" s="281">
        <v>45534</v>
      </c>
      <c r="O108" s="349"/>
      <c r="P108" s="276">
        <v>2283.84</v>
      </c>
      <c r="Q108" s="277">
        <v>45544</v>
      </c>
      <c r="R108" s="278"/>
      <c r="S108" s="276"/>
      <c r="T108" s="276"/>
      <c r="U108" s="351"/>
      <c r="V108" s="431"/>
      <c r="W108" s="357"/>
      <c r="X108" s="269">
        <v>111</v>
      </c>
    </row>
    <row r="109" spans="1:24" s="85" customFormat="1" ht="54" customHeight="1" x14ac:dyDescent="0.3">
      <c r="A109" s="543">
        <v>12</v>
      </c>
      <c r="B109" s="462" t="s">
        <v>56</v>
      </c>
      <c r="C109" s="462"/>
      <c r="D109" s="462"/>
      <c r="E109" s="462" t="s">
        <v>182</v>
      </c>
      <c r="F109" s="465" t="s">
        <v>252</v>
      </c>
      <c r="G109" s="468" t="s">
        <v>226</v>
      </c>
      <c r="H109" s="471">
        <v>48651.199999999997</v>
      </c>
      <c r="I109" s="480">
        <f>IF(X109 = 112, H109 + SUM(S109:S114) - SUM(T109:T114) - SUM(P109:P114) - V109,0)</f>
        <v>0</v>
      </c>
      <c r="J109" s="483">
        <v>2353020735</v>
      </c>
      <c r="K109" s="486" t="s">
        <v>177</v>
      </c>
      <c r="L109" s="462"/>
      <c r="M109" s="462" t="s">
        <v>201</v>
      </c>
      <c r="N109" s="167" t="s">
        <v>257</v>
      </c>
      <c r="O109" s="465" t="s">
        <v>178</v>
      </c>
      <c r="P109" s="160">
        <v>5517</v>
      </c>
      <c r="Q109" s="159" t="s">
        <v>259</v>
      </c>
      <c r="R109" s="158"/>
      <c r="S109" s="160"/>
      <c r="T109" s="160"/>
      <c r="U109" s="471" t="s">
        <v>453</v>
      </c>
      <c r="V109" s="477">
        <v>26992</v>
      </c>
      <c r="W109" s="474"/>
      <c r="X109" s="85">
        <v>112</v>
      </c>
    </row>
    <row r="110" spans="1:24" x14ac:dyDescent="0.3">
      <c r="A110" s="544"/>
      <c r="B110" s="463"/>
      <c r="C110" s="463"/>
      <c r="D110" s="463"/>
      <c r="E110" s="463"/>
      <c r="F110" s="466"/>
      <c r="G110" s="469"/>
      <c r="H110" s="472"/>
      <c r="I110" s="481"/>
      <c r="J110" s="484"/>
      <c r="K110" s="487"/>
      <c r="L110" s="463"/>
      <c r="M110" s="463"/>
      <c r="N110" s="168" t="s">
        <v>257</v>
      </c>
      <c r="O110" s="466"/>
      <c r="P110" s="161">
        <v>2204.8000000000002</v>
      </c>
      <c r="Q110" s="162" t="s">
        <v>259</v>
      </c>
      <c r="R110" s="163"/>
      <c r="S110" s="161"/>
      <c r="T110" s="161"/>
      <c r="U110" s="472"/>
      <c r="V110" s="478"/>
      <c r="W110" s="475"/>
      <c r="X110" s="2">
        <v>112</v>
      </c>
    </row>
    <row r="111" spans="1:24" x14ac:dyDescent="0.3">
      <c r="A111" s="544"/>
      <c r="B111" s="463"/>
      <c r="C111" s="463"/>
      <c r="D111" s="463"/>
      <c r="E111" s="463"/>
      <c r="F111" s="466"/>
      <c r="G111" s="469"/>
      <c r="H111" s="472"/>
      <c r="I111" s="481"/>
      <c r="J111" s="484"/>
      <c r="K111" s="487"/>
      <c r="L111" s="463"/>
      <c r="M111" s="463"/>
      <c r="N111" s="168" t="s">
        <v>312</v>
      </c>
      <c r="O111" s="466"/>
      <c r="P111" s="161">
        <v>6201</v>
      </c>
      <c r="Q111" s="162" t="s">
        <v>327</v>
      </c>
      <c r="R111" s="163"/>
      <c r="S111" s="161"/>
      <c r="T111" s="161"/>
      <c r="U111" s="472"/>
      <c r="V111" s="478"/>
      <c r="W111" s="475"/>
      <c r="X111" s="2">
        <v>112</v>
      </c>
    </row>
    <row r="112" spans="1:24" x14ac:dyDescent="0.3">
      <c r="A112" s="544"/>
      <c r="B112" s="463"/>
      <c r="C112" s="463"/>
      <c r="D112" s="463"/>
      <c r="E112" s="463"/>
      <c r="F112" s="466"/>
      <c r="G112" s="469"/>
      <c r="H112" s="472"/>
      <c r="I112" s="481"/>
      <c r="J112" s="484"/>
      <c r="K112" s="487"/>
      <c r="L112" s="463"/>
      <c r="M112" s="463"/>
      <c r="N112" s="168" t="s">
        <v>312</v>
      </c>
      <c r="O112" s="466"/>
      <c r="P112" s="161">
        <v>2246.4</v>
      </c>
      <c r="Q112" s="162" t="s">
        <v>327</v>
      </c>
      <c r="R112" s="163"/>
      <c r="S112" s="161"/>
      <c r="T112" s="161"/>
      <c r="U112" s="472"/>
      <c r="V112" s="478"/>
      <c r="W112" s="475"/>
      <c r="X112" s="2">
        <v>112</v>
      </c>
    </row>
    <row r="113" spans="1:24" x14ac:dyDescent="0.3">
      <c r="A113" s="544"/>
      <c r="B113" s="463"/>
      <c r="C113" s="463"/>
      <c r="D113" s="463"/>
      <c r="E113" s="463"/>
      <c r="F113" s="466"/>
      <c r="G113" s="469"/>
      <c r="H113" s="472"/>
      <c r="I113" s="481"/>
      <c r="J113" s="484"/>
      <c r="K113" s="487"/>
      <c r="L113" s="463"/>
      <c r="M113" s="463"/>
      <c r="N113" s="168" t="s">
        <v>421</v>
      </c>
      <c r="O113" s="466"/>
      <c r="P113" s="161">
        <v>4086</v>
      </c>
      <c r="Q113" s="162" t="s">
        <v>404</v>
      </c>
      <c r="R113" s="163"/>
      <c r="S113" s="161"/>
      <c r="T113" s="161"/>
      <c r="U113" s="472"/>
      <c r="V113" s="478"/>
      <c r="W113" s="475"/>
      <c r="X113" s="2">
        <v>112</v>
      </c>
    </row>
    <row r="114" spans="1:24" x14ac:dyDescent="0.3">
      <c r="A114" s="545"/>
      <c r="B114" s="464"/>
      <c r="C114" s="464"/>
      <c r="D114" s="464"/>
      <c r="E114" s="464"/>
      <c r="F114" s="467"/>
      <c r="G114" s="470"/>
      <c r="H114" s="473"/>
      <c r="I114" s="482"/>
      <c r="J114" s="485"/>
      <c r="K114" s="488"/>
      <c r="L114" s="464"/>
      <c r="M114" s="464"/>
      <c r="N114" s="169" t="s">
        <v>421</v>
      </c>
      <c r="O114" s="467"/>
      <c r="P114" s="164">
        <v>1404</v>
      </c>
      <c r="Q114" s="165" t="s">
        <v>404</v>
      </c>
      <c r="R114" s="166"/>
      <c r="S114" s="164"/>
      <c r="T114" s="164"/>
      <c r="U114" s="473"/>
      <c r="V114" s="479"/>
      <c r="W114" s="476"/>
      <c r="X114" s="2">
        <v>112</v>
      </c>
    </row>
    <row r="115" spans="1:24" s="85" customFormat="1" ht="77.400000000000006" customHeight="1" x14ac:dyDescent="0.3">
      <c r="A115" s="113">
        <v>13</v>
      </c>
      <c r="B115" s="114" t="s">
        <v>56</v>
      </c>
      <c r="C115" s="114"/>
      <c r="D115" s="114"/>
      <c r="E115" s="114" t="s">
        <v>211</v>
      </c>
      <c r="F115" s="121" t="s">
        <v>185</v>
      </c>
      <c r="G115" s="115" t="s">
        <v>213</v>
      </c>
      <c r="H115" s="116">
        <v>56371.199999999997</v>
      </c>
      <c r="I115" s="117">
        <f>IF(X115 = 113, H115 + SUM(S115:S115) - SUM(T115:T115) - SUM(P115:P115) - V115,0)</f>
        <v>0</v>
      </c>
      <c r="J115" s="118">
        <v>235300578903</v>
      </c>
      <c r="K115" s="119" t="s">
        <v>147</v>
      </c>
      <c r="L115" s="114"/>
      <c r="M115" s="114" t="s">
        <v>273</v>
      </c>
      <c r="N115" s="121" t="s">
        <v>274</v>
      </c>
      <c r="O115" s="121" t="s">
        <v>180</v>
      </c>
      <c r="P115" s="116">
        <v>56371.199999999997</v>
      </c>
      <c r="Q115" s="115" t="s">
        <v>249</v>
      </c>
      <c r="R115" s="114"/>
      <c r="S115" s="116"/>
      <c r="T115" s="116"/>
      <c r="U115" s="116"/>
      <c r="V115" s="120"/>
      <c r="W115" s="112"/>
      <c r="X115" s="85">
        <v>113</v>
      </c>
    </row>
    <row r="116" spans="1:24" s="85" customFormat="1" ht="93.6" customHeight="1" x14ac:dyDescent="0.3">
      <c r="A116" s="113">
        <v>14</v>
      </c>
      <c r="B116" s="114" t="s">
        <v>56</v>
      </c>
      <c r="C116" s="114"/>
      <c r="D116" s="114"/>
      <c r="E116" s="114" t="s">
        <v>277</v>
      </c>
      <c r="F116" s="121" t="s">
        <v>278</v>
      </c>
      <c r="G116" s="115" t="s">
        <v>279</v>
      </c>
      <c r="H116" s="116">
        <v>9500</v>
      </c>
      <c r="I116" s="117">
        <f>IF(X116 = 114, H116 + SUM(S116:S116) - SUM(T116:T116) - SUM(P116:P116) - V116,0)</f>
        <v>0</v>
      </c>
      <c r="J116" s="118">
        <v>2353015365</v>
      </c>
      <c r="K116" s="119" t="s">
        <v>280</v>
      </c>
      <c r="L116" s="114"/>
      <c r="M116" s="114" t="s">
        <v>281</v>
      </c>
      <c r="N116" s="121" t="s">
        <v>320</v>
      </c>
      <c r="O116" s="121" t="s">
        <v>308</v>
      </c>
      <c r="P116" s="116">
        <v>9500</v>
      </c>
      <c r="Q116" s="115" t="s">
        <v>318</v>
      </c>
      <c r="R116" s="114"/>
      <c r="S116" s="116"/>
      <c r="T116" s="116"/>
      <c r="U116" s="116"/>
      <c r="V116" s="120"/>
      <c r="W116" s="112"/>
      <c r="X116" s="85">
        <v>114</v>
      </c>
    </row>
    <row r="117" spans="1:24" s="85" customFormat="1" ht="76.2" customHeight="1" x14ac:dyDescent="0.3">
      <c r="A117" s="370">
        <v>15</v>
      </c>
      <c r="B117" s="376" t="s">
        <v>56</v>
      </c>
      <c r="C117" s="376"/>
      <c r="D117" s="376"/>
      <c r="E117" s="376" t="s">
        <v>292</v>
      </c>
      <c r="F117" s="372" t="s">
        <v>293</v>
      </c>
      <c r="G117" s="382" t="s">
        <v>213</v>
      </c>
      <c r="H117" s="374">
        <v>532480</v>
      </c>
      <c r="I117" s="405">
        <f>IF(X117 = 117, H117 + SUM(S117:S120) - SUM(T117:T120) - SUM(P117:P120) - V117,0)</f>
        <v>164072</v>
      </c>
      <c r="J117" s="554">
        <v>235300578903</v>
      </c>
      <c r="K117" s="557" t="s">
        <v>147</v>
      </c>
      <c r="L117" s="376"/>
      <c r="M117" s="376" t="s">
        <v>294</v>
      </c>
      <c r="N117" s="235" t="s">
        <v>402</v>
      </c>
      <c r="O117" s="372" t="s">
        <v>180</v>
      </c>
      <c r="P117" s="226">
        <v>79872</v>
      </c>
      <c r="Q117" s="225" t="s">
        <v>404</v>
      </c>
      <c r="R117" s="224"/>
      <c r="S117" s="226"/>
      <c r="T117" s="226"/>
      <c r="U117" s="374"/>
      <c r="V117" s="548"/>
      <c r="W117" s="380"/>
      <c r="X117" s="85">
        <v>117</v>
      </c>
    </row>
    <row r="118" spans="1:24" x14ac:dyDescent="0.3">
      <c r="A118" s="521"/>
      <c r="B118" s="524"/>
      <c r="C118" s="524"/>
      <c r="D118" s="524"/>
      <c r="E118" s="524"/>
      <c r="F118" s="522"/>
      <c r="G118" s="552"/>
      <c r="H118" s="523"/>
      <c r="I118" s="553"/>
      <c r="J118" s="555"/>
      <c r="K118" s="558"/>
      <c r="L118" s="524"/>
      <c r="M118" s="524"/>
      <c r="N118" s="236" t="s">
        <v>454</v>
      </c>
      <c r="O118" s="522"/>
      <c r="P118" s="229">
        <v>109824</v>
      </c>
      <c r="Q118" s="230" t="s">
        <v>459</v>
      </c>
      <c r="R118" s="231"/>
      <c r="S118" s="229"/>
      <c r="T118" s="229"/>
      <c r="U118" s="523"/>
      <c r="V118" s="549"/>
      <c r="W118" s="551"/>
      <c r="X118" s="2">
        <v>117</v>
      </c>
    </row>
    <row r="119" spans="1:24" x14ac:dyDescent="0.3">
      <c r="A119" s="521"/>
      <c r="B119" s="524"/>
      <c r="C119" s="524"/>
      <c r="D119" s="524"/>
      <c r="E119" s="524"/>
      <c r="F119" s="522"/>
      <c r="G119" s="552"/>
      <c r="H119" s="523"/>
      <c r="I119" s="553"/>
      <c r="J119" s="555"/>
      <c r="K119" s="558"/>
      <c r="L119" s="524"/>
      <c r="M119" s="524"/>
      <c r="N119" s="236" t="s">
        <v>468</v>
      </c>
      <c r="O119" s="522"/>
      <c r="P119" s="229">
        <v>110336</v>
      </c>
      <c r="Q119" s="230" t="s">
        <v>507</v>
      </c>
      <c r="R119" s="231"/>
      <c r="S119" s="229"/>
      <c r="T119" s="229"/>
      <c r="U119" s="523"/>
      <c r="V119" s="549"/>
      <c r="W119" s="551"/>
      <c r="X119" s="2">
        <v>117</v>
      </c>
    </row>
    <row r="120" spans="1:24" x14ac:dyDescent="0.3">
      <c r="A120" s="371"/>
      <c r="B120" s="377"/>
      <c r="C120" s="377"/>
      <c r="D120" s="377"/>
      <c r="E120" s="377"/>
      <c r="F120" s="373"/>
      <c r="G120" s="383"/>
      <c r="H120" s="375"/>
      <c r="I120" s="406"/>
      <c r="J120" s="556"/>
      <c r="K120" s="559"/>
      <c r="L120" s="377"/>
      <c r="M120" s="377"/>
      <c r="N120" s="233">
        <v>45472</v>
      </c>
      <c r="O120" s="373"/>
      <c r="P120" s="232">
        <v>68376</v>
      </c>
      <c r="Q120" s="233">
        <v>45477</v>
      </c>
      <c r="R120" s="234"/>
      <c r="S120" s="232"/>
      <c r="T120" s="232"/>
      <c r="U120" s="375"/>
      <c r="V120" s="550"/>
      <c r="W120" s="381"/>
      <c r="X120" s="2">
        <v>117</v>
      </c>
    </row>
    <row r="121" spans="1:24" s="85" customFormat="1" ht="90" x14ac:dyDescent="0.3">
      <c r="A121" s="113">
        <v>16</v>
      </c>
      <c r="B121" s="114" t="s">
        <v>56</v>
      </c>
      <c r="C121" s="114"/>
      <c r="D121" s="114" t="s">
        <v>295</v>
      </c>
      <c r="E121" s="114" t="s">
        <v>57</v>
      </c>
      <c r="F121" s="121" t="s">
        <v>296</v>
      </c>
      <c r="G121" s="115" t="s">
        <v>297</v>
      </c>
      <c r="H121" s="116">
        <v>72125</v>
      </c>
      <c r="I121" s="117">
        <f>IF(X121 = 118, H121 + SUM(S121:S121) - SUM(T121:T121) - SUM(P121:P121) - V121,0)</f>
        <v>0</v>
      </c>
      <c r="J121" s="118">
        <v>2636040789</v>
      </c>
      <c r="K121" s="119" t="s">
        <v>298</v>
      </c>
      <c r="L121" s="114"/>
      <c r="M121" s="114" t="s">
        <v>299</v>
      </c>
      <c r="N121" s="121" t="s">
        <v>315</v>
      </c>
      <c r="O121" s="121" t="s">
        <v>300</v>
      </c>
      <c r="P121" s="116">
        <v>72125</v>
      </c>
      <c r="Q121" s="115" t="s">
        <v>317</v>
      </c>
      <c r="R121" s="114"/>
      <c r="S121" s="116"/>
      <c r="T121" s="116"/>
      <c r="U121" s="116"/>
      <c r="V121" s="120"/>
      <c r="W121" s="112"/>
      <c r="X121" s="85">
        <v>118</v>
      </c>
    </row>
    <row r="122" spans="1:24" s="85" customFormat="1" ht="54" customHeight="1" x14ac:dyDescent="0.3">
      <c r="A122" s="516">
        <v>17</v>
      </c>
      <c r="B122" s="492" t="s">
        <v>56</v>
      </c>
      <c r="C122" s="492"/>
      <c r="D122" s="492"/>
      <c r="E122" s="492" t="s">
        <v>354</v>
      </c>
      <c r="F122" s="495" t="s">
        <v>340</v>
      </c>
      <c r="G122" s="498" t="s">
        <v>372</v>
      </c>
      <c r="H122" s="501">
        <v>429932.3</v>
      </c>
      <c r="I122" s="504">
        <f>IF(X122 = 119, H122 + SUM(S122:S133) - SUM(T122:T133) - SUM(P122:P133) - V122,0)</f>
        <v>71135.919999999984</v>
      </c>
      <c r="J122" s="507">
        <v>2353020735</v>
      </c>
      <c r="K122" s="510" t="s">
        <v>177</v>
      </c>
      <c r="L122" s="492"/>
      <c r="M122" s="492" t="s">
        <v>362</v>
      </c>
      <c r="N122" s="212" t="s">
        <v>404</v>
      </c>
      <c r="O122" s="495" t="s">
        <v>178</v>
      </c>
      <c r="P122" s="205">
        <v>47651.85</v>
      </c>
      <c r="Q122" s="204" t="s">
        <v>423</v>
      </c>
      <c r="R122" s="203"/>
      <c r="S122" s="205"/>
      <c r="T122" s="205"/>
      <c r="U122" s="501"/>
      <c r="V122" s="513"/>
      <c r="W122" s="489"/>
      <c r="X122" s="85">
        <v>119</v>
      </c>
    </row>
    <row r="123" spans="1:24" x14ac:dyDescent="0.3">
      <c r="A123" s="517"/>
      <c r="B123" s="493"/>
      <c r="C123" s="493"/>
      <c r="D123" s="493"/>
      <c r="E123" s="493"/>
      <c r="F123" s="496"/>
      <c r="G123" s="499"/>
      <c r="H123" s="502"/>
      <c r="I123" s="505"/>
      <c r="J123" s="508"/>
      <c r="K123" s="511"/>
      <c r="L123" s="493"/>
      <c r="M123" s="493"/>
      <c r="N123" s="213" t="s">
        <v>404</v>
      </c>
      <c r="O123" s="496"/>
      <c r="P123" s="206">
        <v>3041.66</v>
      </c>
      <c r="Q123" s="207" t="s">
        <v>423</v>
      </c>
      <c r="R123" s="208"/>
      <c r="S123" s="206"/>
      <c r="T123" s="206"/>
      <c r="U123" s="502"/>
      <c r="V123" s="514"/>
      <c r="W123" s="490"/>
      <c r="X123" s="2">
        <v>119</v>
      </c>
    </row>
    <row r="124" spans="1:24" x14ac:dyDescent="0.3">
      <c r="A124" s="517"/>
      <c r="B124" s="493"/>
      <c r="C124" s="493"/>
      <c r="D124" s="493"/>
      <c r="E124" s="493"/>
      <c r="F124" s="496"/>
      <c r="G124" s="499"/>
      <c r="H124" s="502"/>
      <c r="I124" s="505"/>
      <c r="J124" s="508"/>
      <c r="K124" s="511"/>
      <c r="L124" s="493"/>
      <c r="M124" s="493"/>
      <c r="N124" s="213" t="s">
        <v>424</v>
      </c>
      <c r="O124" s="496"/>
      <c r="P124" s="206">
        <v>99267.520000000004</v>
      </c>
      <c r="Q124" s="207" t="s">
        <v>425</v>
      </c>
      <c r="R124" s="208"/>
      <c r="S124" s="206"/>
      <c r="T124" s="206"/>
      <c r="U124" s="502"/>
      <c r="V124" s="514"/>
      <c r="W124" s="490"/>
      <c r="X124" s="2">
        <v>119</v>
      </c>
    </row>
    <row r="125" spans="1:24" x14ac:dyDescent="0.3">
      <c r="A125" s="517"/>
      <c r="B125" s="493"/>
      <c r="C125" s="493"/>
      <c r="D125" s="493"/>
      <c r="E125" s="493"/>
      <c r="F125" s="496"/>
      <c r="G125" s="499"/>
      <c r="H125" s="502"/>
      <c r="I125" s="505"/>
      <c r="J125" s="508"/>
      <c r="K125" s="511"/>
      <c r="L125" s="493"/>
      <c r="M125" s="493"/>
      <c r="N125" s="213" t="s">
        <v>424</v>
      </c>
      <c r="O125" s="496"/>
      <c r="P125" s="206">
        <v>6336.32</v>
      </c>
      <c r="Q125" s="207" t="s">
        <v>425</v>
      </c>
      <c r="R125" s="208"/>
      <c r="S125" s="206"/>
      <c r="T125" s="206"/>
      <c r="U125" s="502"/>
      <c r="V125" s="514"/>
      <c r="W125" s="490"/>
      <c r="X125" s="2">
        <v>119</v>
      </c>
    </row>
    <row r="126" spans="1:24" x14ac:dyDescent="0.3">
      <c r="A126" s="517"/>
      <c r="B126" s="493"/>
      <c r="C126" s="493"/>
      <c r="D126" s="493"/>
      <c r="E126" s="493"/>
      <c r="F126" s="496"/>
      <c r="G126" s="499"/>
      <c r="H126" s="502"/>
      <c r="I126" s="505"/>
      <c r="J126" s="508"/>
      <c r="K126" s="511"/>
      <c r="L126" s="493"/>
      <c r="M126" s="493"/>
      <c r="N126" s="213" t="s">
        <v>412</v>
      </c>
      <c r="O126" s="496"/>
      <c r="P126" s="206">
        <v>55751.81</v>
      </c>
      <c r="Q126" s="207" t="s">
        <v>463</v>
      </c>
      <c r="R126" s="208"/>
      <c r="S126" s="206"/>
      <c r="T126" s="206"/>
      <c r="U126" s="502"/>
      <c r="V126" s="514"/>
      <c r="W126" s="490"/>
      <c r="X126" s="2">
        <v>119</v>
      </c>
    </row>
    <row r="127" spans="1:24" x14ac:dyDescent="0.3">
      <c r="A127" s="517"/>
      <c r="B127" s="493"/>
      <c r="C127" s="493"/>
      <c r="D127" s="493"/>
      <c r="E127" s="493"/>
      <c r="F127" s="496"/>
      <c r="G127" s="499"/>
      <c r="H127" s="502"/>
      <c r="I127" s="505"/>
      <c r="J127" s="508"/>
      <c r="K127" s="511"/>
      <c r="L127" s="493"/>
      <c r="M127" s="493"/>
      <c r="N127" s="213" t="s">
        <v>412</v>
      </c>
      <c r="O127" s="496"/>
      <c r="P127" s="206">
        <v>3558.68</v>
      </c>
      <c r="Q127" s="207" t="s">
        <v>463</v>
      </c>
      <c r="R127" s="208"/>
      <c r="S127" s="206"/>
      <c r="T127" s="206"/>
      <c r="U127" s="502"/>
      <c r="V127" s="514"/>
      <c r="W127" s="490"/>
      <c r="X127" s="2">
        <v>119</v>
      </c>
    </row>
    <row r="128" spans="1:24" x14ac:dyDescent="0.3">
      <c r="A128" s="517"/>
      <c r="B128" s="493"/>
      <c r="C128" s="493"/>
      <c r="D128" s="493"/>
      <c r="E128" s="493"/>
      <c r="F128" s="496"/>
      <c r="G128" s="499"/>
      <c r="H128" s="502"/>
      <c r="I128" s="505"/>
      <c r="J128" s="508"/>
      <c r="K128" s="511"/>
      <c r="L128" s="493"/>
      <c r="M128" s="493"/>
      <c r="N128" s="213" t="s">
        <v>455</v>
      </c>
      <c r="O128" s="496"/>
      <c r="P128" s="206">
        <v>18785</v>
      </c>
      <c r="Q128" s="207" t="s">
        <v>469</v>
      </c>
      <c r="R128" s="208"/>
      <c r="S128" s="206"/>
      <c r="T128" s="206"/>
      <c r="U128" s="502"/>
      <c r="V128" s="514"/>
      <c r="W128" s="490"/>
      <c r="X128" s="2">
        <v>119</v>
      </c>
    </row>
    <row r="129" spans="1:24" x14ac:dyDescent="0.3">
      <c r="A129" s="517"/>
      <c r="B129" s="493"/>
      <c r="C129" s="493"/>
      <c r="D129" s="493"/>
      <c r="E129" s="493"/>
      <c r="F129" s="496"/>
      <c r="G129" s="499"/>
      <c r="H129" s="502"/>
      <c r="I129" s="505"/>
      <c r="J129" s="508"/>
      <c r="K129" s="511"/>
      <c r="L129" s="493"/>
      <c r="M129" s="493"/>
      <c r="N129" s="213" t="s">
        <v>455</v>
      </c>
      <c r="O129" s="496"/>
      <c r="P129" s="206">
        <v>1199.06</v>
      </c>
      <c r="Q129" s="207" t="s">
        <v>469</v>
      </c>
      <c r="R129" s="208"/>
      <c r="S129" s="206"/>
      <c r="T129" s="206"/>
      <c r="U129" s="502"/>
      <c r="V129" s="514"/>
      <c r="W129" s="490"/>
      <c r="X129" s="2">
        <v>119</v>
      </c>
    </row>
    <row r="130" spans="1:24" x14ac:dyDescent="0.3">
      <c r="A130" s="517"/>
      <c r="B130" s="493"/>
      <c r="C130" s="493"/>
      <c r="D130" s="493"/>
      <c r="E130" s="493"/>
      <c r="F130" s="496"/>
      <c r="G130" s="499"/>
      <c r="H130" s="502"/>
      <c r="I130" s="505"/>
      <c r="J130" s="508"/>
      <c r="K130" s="511"/>
      <c r="L130" s="493"/>
      <c r="M130" s="493"/>
      <c r="N130" s="213" t="s">
        <v>463</v>
      </c>
      <c r="O130" s="496"/>
      <c r="P130" s="206">
        <v>65230.48</v>
      </c>
      <c r="Q130" s="207" t="s">
        <v>466</v>
      </c>
      <c r="R130" s="208"/>
      <c r="S130" s="206"/>
      <c r="T130" s="206"/>
      <c r="U130" s="502"/>
      <c r="V130" s="514"/>
      <c r="W130" s="490"/>
      <c r="X130" s="2">
        <v>119</v>
      </c>
    </row>
    <row r="131" spans="1:24" x14ac:dyDescent="0.3">
      <c r="A131" s="517"/>
      <c r="B131" s="493"/>
      <c r="C131" s="493"/>
      <c r="D131" s="493"/>
      <c r="E131" s="493"/>
      <c r="F131" s="496"/>
      <c r="G131" s="499"/>
      <c r="H131" s="502"/>
      <c r="I131" s="505"/>
      <c r="J131" s="508"/>
      <c r="K131" s="511"/>
      <c r="L131" s="493"/>
      <c r="M131" s="493"/>
      <c r="N131" s="213" t="s">
        <v>463</v>
      </c>
      <c r="O131" s="496"/>
      <c r="P131" s="206">
        <v>4163.71</v>
      </c>
      <c r="Q131" s="207" t="s">
        <v>466</v>
      </c>
      <c r="R131" s="208"/>
      <c r="S131" s="206"/>
      <c r="T131" s="206"/>
      <c r="U131" s="502"/>
      <c r="V131" s="514"/>
      <c r="W131" s="490"/>
      <c r="X131" s="2">
        <v>119</v>
      </c>
    </row>
    <row r="132" spans="1:24" x14ac:dyDescent="0.3">
      <c r="A132" s="517"/>
      <c r="B132" s="493"/>
      <c r="C132" s="493"/>
      <c r="D132" s="493"/>
      <c r="E132" s="493"/>
      <c r="F132" s="496"/>
      <c r="G132" s="499"/>
      <c r="H132" s="502"/>
      <c r="I132" s="505"/>
      <c r="J132" s="508"/>
      <c r="K132" s="511"/>
      <c r="L132" s="493"/>
      <c r="M132" s="493"/>
      <c r="N132" s="213" t="s">
        <v>465</v>
      </c>
      <c r="O132" s="496"/>
      <c r="P132" s="206">
        <v>50581.63</v>
      </c>
      <c r="Q132" s="207" t="s">
        <v>503</v>
      </c>
      <c r="R132" s="208"/>
      <c r="S132" s="206"/>
      <c r="T132" s="206"/>
      <c r="U132" s="502"/>
      <c r="V132" s="514"/>
      <c r="W132" s="490"/>
      <c r="X132" s="2">
        <v>119</v>
      </c>
    </row>
    <row r="133" spans="1:24" x14ac:dyDescent="0.3">
      <c r="A133" s="518"/>
      <c r="B133" s="494"/>
      <c r="C133" s="494"/>
      <c r="D133" s="494"/>
      <c r="E133" s="494"/>
      <c r="F133" s="497"/>
      <c r="G133" s="500"/>
      <c r="H133" s="503"/>
      <c r="I133" s="506"/>
      <c r="J133" s="509"/>
      <c r="K133" s="512"/>
      <c r="L133" s="494"/>
      <c r="M133" s="494"/>
      <c r="N133" s="214" t="s">
        <v>465</v>
      </c>
      <c r="O133" s="497"/>
      <c r="P133" s="209">
        <v>3228.66</v>
      </c>
      <c r="Q133" s="210" t="s">
        <v>503</v>
      </c>
      <c r="R133" s="211"/>
      <c r="S133" s="209"/>
      <c r="T133" s="209"/>
      <c r="U133" s="503"/>
      <c r="V133" s="515"/>
      <c r="W133" s="491"/>
      <c r="X133" s="2">
        <v>119</v>
      </c>
    </row>
    <row r="134" spans="1:24" s="85" customFormat="1" ht="54" customHeight="1" x14ac:dyDescent="0.3">
      <c r="A134" s="516">
        <v>18</v>
      </c>
      <c r="B134" s="492" t="s">
        <v>56</v>
      </c>
      <c r="C134" s="492"/>
      <c r="D134" s="492"/>
      <c r="E134" s="492" t="s">
        <v>181</v>
      </c>
      <c r="F134" s="495" t="s">
        <v>340</v>
      </c>
      <c r="G134" s="498" t="s">
        <v>373</v>
      </c>
      <c r="H134" s="501">
        <v>140700</v>
      </c>
      <c r="I134" s="504">
        <f>IF(X134 = 120, H134 + SUM(S134:S139) - SUM(T134:T139) - SUM(P134:P139) - V134,0)</f>
        <v>23280</v>
      </c>
      <c r="J134" s="507">
        <v>2353020735</v>
      </c>
      <c r="K134" s="510" t="s">
        <v>177</v>
      </c>
      <c r="L134" s="492"/>
      <c r="M134" s="492" t="s">
        <v>362</v>
      </c>
      <c r="N134" s="212" t="s">
        <v>404</v>
      </c>
      <c r="O134" s="495" t="s">
        <v>178</v>
      </c>
      <c r="P134" s="205">
        <v>16590</v>
      </c>
      <c r="Q134" s="204" t="s">
        <v>423</v>
      </c>
      <c r="R134" s="203"/>
      <c r="S134" s="205"/>
      <c r="T134" s="205"/>
      <c r="U134" s="501"/>
      <c r="V134" s="513"/>
      <c r="W134" s="489"/>
      <c r="X134" s="85">
        <v>120</v>
      </c>
    </row>
    <row r="135" spans="1:24" x14ac:dyDescent="0.3">
      <c r="A135" s="517"/>
      <c r="B135" s="493"/>
      <c r="C135" s="493"/>
      <c r="D135" s="493"/>
      <c r="E135" s="493"/>
      <c r="F135" s="496"/>
      <c r="G135" s="499"/>
      <c r="H135" s="502"/>
      <c r="I135" s="505"/>
      <c r="J135" s="508"/>
      <c r="K135" s="511"/>
      <c r="L135" s="493"/>
      <c r="M135" s="493"/>
      <c r="N135" s="213" t="s">
        <v>424</v>
      </c>
      <c r="O135" s="496"/>
      <c r="P135" s="206">
        <v>34560</v>
      </c>
      <c r="Q135" s="207" t="s">
        <v>425</v>
      </c>
      <c r="R135" s="208"/>
      <c r="S135" s="206"/>
      <c r="T135" s="206"/>
      <c r="U135" s="502"/>
      <c r="V135" s="514"/>
      <c r="W135" s="490"/>
      <c r="X135" s="2">
        <v>120</v>
      </c>
    </row>
    <row r="136" spans="1:24" x14ac:dyDescent="0.3">
      <c r="A136" s="517"/>
      <c r="B136" s="493"/>
      <c r="C136" s="493"/>
      <c r="D136" s="493"/>
      <c r="E136" s="493"/>
      <c r="F136" s="496"/>
      <c r="G136" s="499"/>
      <c r="H136" s="502"/>
      <c r="I136" s="505"/>
      <c r="J136" s="508"/>
      <c r="K136" s="511"/>
      <c r="L136" s="493"/>
      <c r="M136" s="493"/>
      <c r="N136" s="213" t="s">
        <v>412</v>
      </c>
      <c r="O136" s="496"/>
      <c r="P136" s="206">
        <v>19410</v>
      </c>
      <c r="Q136" s="207" t="s">
        <v>458</v>
      </c>
      <c r="R136" s="208"/>
      <c r="S136" s="206"/>
      <c r="T136" s="206"/>
      <c r="U136" s="502"/>
      <c r="V136" s="514"/>
      <c r="W136" s="490"/>
      <c r="X136" s="2">
        <v>120</v>
      </c>
    </row>
    <row r="137" spans="1:24" x14ac:dyDescent="0.3">
      <c r="A137" s="517"/>
      <c r="B137" s="493"/>
      <c r="C137" s="493"/>
      <c r="D137" s="493"/>
      <c r="E137" s="493"/>
      <c r="F137" s="496"/>
      <c r="G137" s="499"/>
      <c r="H137" s="502"/>
      <c r="I137" s="505"/>
      <c r="J137" s="508"/>
      <c r="K137" s="511"/>
      <c r="L137" s="493"/>
      <c r="M137" s="493"/>
      <c r="N137" s="213" t="s">
        <v>455</v>
      </c>
      <c r="O137" s="496"/>
      <c r="P137" s="206">
        <v>6540</v>
      </c>
      <c r="Q137" s="207" t="s">
        <v>469</v>
      </c>
      <c r="R137" s="208"/>
      <c r="S137" s="206"/>
      <c r="T137" s="206"/>
      <c r="U137" s="502"/>
      <c r="V137" s="514"/>
      <c r="W137" s="490"/>
      <c r="X137" s="2">
        <v>120</v>
      </c>
    </row>
    <row r="138" spans="1:24" x14ac:dyDescent="0.3">
      <c r="A138" s="517"/>
      <c r="B138" s="493"/>
      <c r="C138" s="493"/>
      <c r="D138" s="493"/>
      <c r="E138" s="493"/>
      <c r="F138" s="496"/>
      <c r="G138" s="499"/>
      <c r="H138" s="502"/>
      <c r="I138" s="505"/>
      <c r="J138" s="508"/>
      <c r="K138" s="511"/>
      <c r="L138" s="493"/>
      <c r="M138" s="493"/>
      <c r="N138" s="213" t="s">
        <v>463</v>
      </c>
      <c r="O138" s="496"/>
      <c r="P138" s="206">
        <v>22710</v>
      </c>
      <c r="Q138" s="207" t="s">
        <v>466</v>
      </c>
      <c r="R138" s="208"/>
      <c r="S138" s="206"/>
      <c r="T138" s="206"/>
      <c r="U138" s="502"/>
      <c r="V138" s="514"/>
      <c r="W138" s="490"/>
      <c r="X138" s="2">
        <v>120</v>
      </c>
    </row>
    <row r="139" spans="1:24" x14ac:dyDescent="0.3">
      <c r="A139" s="518"/>
      <c r="B139" s="494"/>
      <c r="C139" s="494"/>
      <c r="D139" s="494"/>
      <c r="E139" s="494"/>
      <c r="F139" s="497"/>
      <c r="G139" s="500"/>
      <c r="H139" s="503"/>
      <c r="I139" s="506"/>
      <c r="J139" s="509"/>
      <c r="K139" s="512"/>
      <c r="L139" s="494"/>
      <c r="M139" s="494"/>
      <c r="N139" s="214" t="s">
        <v>465</v>
      </c>
      <c r="O139" s="497"/>
      <c r="P139" s="209">
        <v>17610</v>
      </c>
      <c r="Q139" s="210" t="s">
        <v>503</v>
      </c>
      <c r="R139" s="211"/>
      <c r="S139" s="209"/>
      <c r="T139" s="209"/>
      <c r="U139" s="503"/>
      <c r="V139" s="515"/>
      <c r="W139" s="491"/>
      <c r="X139" s="2">
        <v>120</v>
      </c>
    </row>
    <row r="140" spans="1:24" s="85" customFormat="1" ht="54" customHeight="1" x14ac:dyDescent="0.3">
      <c r="A140" s="516">
        <v>19</v>
      </c>
      <c r="B140" s="492" t="s">
        <v>56</v>
      </c>
      <c r="C140" s="492"/>
      <c r="D140" s="492"/>
      <c r="E140" s="492" t="s">
        <v>182</v>
      </c>
      <c r="F140" s="495" t="s">
        <v>340</v>
      </c>
      <c r="G140" s="498" t="s">
        <v>363</v>
      </c>
      <c r="H140" s="501">
        <v>31486</v>
      </c>
      <c r="I140" s="504">
        <f>IF(X140 = 121, H140 + SUM(S140:S143) - SUM(T140:T143) - SUM(P140:P143) - V140,0)</f>
        <v>18838.599999999999</v>
      </c>
      <c r="J140" s="507">
        <v>2353020735</v>
      </c>
      <c r="K140" s="510" t="s">
        <v>177</v>
      </c>
      <c r="L140" s="492"/>
      <c r="M140" s="492" t="s">
        <v>362</v>
      </c>
      <c r="N140" s="212" t="s">
        <v>412</v>
      </c>
      <c r="O140" s="495" t="s">
        <v>178</v>
      </c>
      <c r="P140" s="205">
        <v>5670</v>
      </c>
      <c r="Q140" s="204" t="s">
        <v>458</v>
      </c>
      <c r="R140" s="203"/>
      <c r="S140" s="205"/>
      <c r="T140" s="205"/>
      <c r="U140" s="501"/>
      <c r="V140" s="513"/>
      <c r="W140" s="489"/>
      <c r="X140" s="85">
        <v>121</v>
      </c>
    </row>
    <row r="141" spans="1:24" x14ac:dyDescent="0.3">
      <c r="A141" s="517"/>
      <c r="B141" s="493"/>
      <c r="C141" s="493"/>
      <c r="D141" s="493"/>
      <c r="E141" s="493"/>
      <c r="F141" s="496"/>
      <c r="G141" s="499"/>
      <c r="H141" s="502"/>
      <c r="I141" s="505"/>
      <c r="J141" s="508"/>
      <c r="K141" s="511"/>
      <c r="L141" s="493"/>
      <c r="M141" s="493"/>
      <c r="N141" s="213" t="s">
        <v>412</v>
      </c>
      <c r="O141" s="496"/>
      <c r="P141" s="206">
        <v>2028</v>
      </c>
      <c r="Q141" s="207" t="s">
        <v>458</v>
      </c>
      <c r="R141" s="208"/>
      <c r="S141" s="206"/>
      <c r="T141" s="206"/>
      <c r="U141" s="502"/>
      <c r="V141" s="514"/>
      <c r="W141" s="490"/>
      <c r="X141" s="2">
        <v>121</v>
      </c>
    </row>
    <row r="142" spans="1:24" x14ac:dyDescent="0.3">
      <c r="A142" s="517"/>
      <c r="B142" s="493"/>
      <c r="C142" s="493"/>
      <c r="D142" s="493"/>
      <c r="E142" s="493"/>
      <c r="F142" s="496"/>
      <c r="G142" s="499"/>
      <c r="H142" s="502"/>
      <c r="I142" s="505"/>
      <c r="J142" s="508"/>
      <c r="K142" s="511"/>
      <c r="L142" s="493"/>
      <c r="M142" s="493"/>
      <c r="N142" s="213" t="s">
        <v>465</v>
      </c>
      <c r="O142" s="496"/>
      <c r="P142" s="206">
        <v>3483</v>
      </c>
      <c r="Q142" s="207" t="s">
        <v>503</v>
      </c>
      <c r="R142" s="208"/>
      <c r="S142" s="206"/>
      <c r="T142" s="206"/>
      <c r="U142" s="502"/>
      <c r="V142" s="514"/>
      <c r="W142" s="490"/>
      <c r="X142" s="2">
        <v>121</v>
      </c>
    </row>
    <row r="143" spans="1:24" x14ac:dyDescent="0.3">
      <c r="A143" s="518"/>
      <c r="B143" s="494"/>
      <c r="C143" s="494"/>
      <c r="D143" s="494"/>
      <c r="E143" s="494"/>
      <c r="F143" s="497"/>
      <c r="G143" s="500"/>
      <c r="H143" s="503"/>
      <c r="I143" s="506"/>
      <c r="J143" s="509"/>
      <c r="K143" s="512"/>
      <c r="L143" s="494"/>
      <c r="M143" s="494"/>
      <c r="N143" s="214" t="s">
        <v>465</v>
      </c>
      <c r="O143" s="497"/>
      <c r="P143" s="209">
        <v>1466.4</v>
      </c>
      <c r="Q143" s="210" t="s">
        <v>503</v>
      </c>
      <c r="R143" s="211"/>
      <c r="S143" s="209"/>
      <c r="T143" s="209"/>
      <c r="U143" s="503"/>
      <c r="V143" s="515"/>
      <c r="W143" s="491"/>
      <c r="X143" s="2">
        <v>121</v>
      </c>
    </row>
    <row r="144" spans="1:24" s="85" customFormat="1" ht="54" customHeight="1" x14ac:dyDescent="0.3">
      <c r="A144" s="516">
        <v>20</v>
      </c>
      <c r="B144" s="492" t="s">
        <v>56</v>
      </c>
      <c r="C144" s="492"/>
      <c r="D144" s="492"/>
      <c r="E144" s="492" t="s">
        <v>179</v>
      </c>
      <c r="F144" s="495" t="s">
        <v>340</v>
      </c>
      <c r="G144" s="498" t="s">
        <v>227</v>
      </c>
      <c r="H144" s="501">
        <v>82383</v>
      </c>
      <c r="I144" s="504">
        <f>IF(X144 = 122, H144 + SUM(S144:S155) - SUM(T144:T155) - SUM(P144:P155) - V144,0)</f>
        <v>33544.200000000004</v>
      </c>
      <c r="J144" s="507">
        <v>2353020735</v>
      </c>
      <c r="K144" s="510" t="s">
        <v>177</v>
      </c>
      <c r="L144" s="492"/>
      <c r="M144" s="492" t="s">
        <v>362</v>
      </c>
      <c r="N144" s="212" t="s">
        <v>412</v>
      </c>
      <c r="O144" s="495" t="s">
        <v>178</v>
      </c>
      <c r="P144" s="205">
        <v>6579.84</v>
      </c>
      <c r="Q144" s="204" t="s">
        <v>458</v>
      </c>
      <c r="R144" s="203"/>
      <c r="S144" s="205"/>
      <c r="T144" s="205"/>
      <c r="U144" s="501"/>
      <c r="V144" s="513"/>
      <c r="W144" s="489"/>
      <c r="X144" s="85">
        <v>122</v>
      </c>
    </row>
    <row r="145" spans="1:24" x14ac:dyDescent="0.3">
      <c r="A145" s="517"/>
      <c r="B145" s="493"/>
      <c r="C145" s="493"/>
      <c r="D145" s="493"/>
      <c r="E145" s="493"/>
      <c r="F145" s="496"/>
      <c r="G145" s="499"/>
      <c r="H145" s="502"/>
      <c r="I145" s="505"/>
      <c r="J145" s="508"/>
      <c r="K145" s="511"/>
      <c r="L145" s="493"/>
      <c r="M145" s="493"/>
      <c r="N145" s="213" t="s">
        <v>412</v>
      </c>
      <c r="O145" s="496"/>
      <c r="P145" s="206">
        <v>5383.56</v>
      </c>
      <c r="Q145" s="207" t="s">
        <v>458</v>
      </c>
      <c r="R145" s="208"/>
      <c r="S145" s="206"/>
      <c r="T145" s="206"/>
      <c r="U145" s="502"/>
      <c r="V145" s="514"/>
      <c r="W145" s="490"/>
      <c r="X145" s="2">
        <v>122</v>
      </c>
    </row>
    <row r="146" spans="1:24" x14ac:dyDescent="0.3">
      <c r="A146" s="517"/>
      <c r="B146" s="493"/>
      <c r="C146" s="493"/>
      <c r="D146" s="493"/>
      <c r="E146" s="493"/>
      <c r="F146" s="496"/>
      <c r="G146" s="499"/>
      <c r="H146" s="502"/>
      <c r="I146" s="505"/>
      <c r="J146" s="508"/>
      <c r="K146" s="511"/>
      <c r="L146" s="493"/>
      <c r="M146" s="493"/>
      <c r="N146" s="213" t="s">
        <v>412</v>
      </c>
      <c r="O146" s="496"/>
      <c r="P146" s="206">
        <v>3810</v>
      </c>
      <c r="Q146" s="207" t="s">
        <v>458</v>
      </c>
      <c r="R146" s="208"/>
      <c r="S146" s="206"/>
      <c r="T146" s="206"/>
      <c r="U146" s="502"/>
      <c r="V146" s="514"/>
      <c r="W146" s="490"/>
      <c r="X146" s="2">
        <v>122</v>
      </c>
    </row>
    <row r="147" spans="1:24" x14ac:dyDescent="0.3">
      <c r="A147" s="517"/>
      <c r="B147" s="493"/>
      <c r="C147" s="493"/>
      <c r="D147" s="493"/>
      <c r="E147" s="493"/>
      <c r="F147" s="496"/>
      <c r="G147" s="499"/>
      <c r="H147" s="502"/>
      <c r="I147" s="505"/>
      <c r="J147" s="508"/>
      <c r="K147" s="511"/>
      <c r="L147" s="493"/>
      <c r="M147" s="493"/>
      <c r="N147" s="213" t="s">
        <v>412</v>
      </c>
      <c r="O147" s="496"/>
      <c r="P147" s="206">
        <v>3480</v>
      </c>
      <c r="Q147" s="207" t="s">
        <v>458</v>
      </c>
      <c r="R147" s="208"/>
      <c r="S147" s="206"/>
      <c r="T147" s="206"/>
      <c r="U147" s="502"/>
      <c r="V147" s="514"/>
      <c r="W147" s="490"/>
      <c r="X147" s="2">
        <v>122</v>
      </c>
    </row>
    <row r="148" spans="1:24" x14ac:dyDescent="0.3">
      <c r="A148" s="517"/>
      <c r="B148" s="493"/>
      <c r="C148" s="493"/>
      <c r="D148" s="493"/>
      <c r="E148" s="493"/>
      <c r="F148" s="496"/>
      <c r="G148" s="499"/>
      <c r="H148" s="502"/>
      <c r="I148" s="505"/>
      <c r="J148" s="508"/>
      <c r="K148" s="511"/>
      <c r="L148" s="493"/>
      <c r="M148" s="493"/>
      <c r="N148" s="213" t="s">
        <v>412</v>
      </c>
      <c r="O148" s="496"/>
      <c r="P148" s="206">
        <v>5978.03</v>
      </c>
      <c r="Q148" s="207" t="s">
        <v>458</v>
      </c>
      <c r="R148" s="208"/>
      <c r="S148" s="206"/>
      <c r="T148" s="206"/>
      <c r="U148" s="502"/>
      <c r="V148" s="514"/>
      <c r="W148" s="490"/>
      <c r="X148" s="2">
        <v>122</v>
      </c>
    </row>
    <row r="149" spans="1:24" x14ac:dyDescent="0.3">
      <c r="A149" s="517"/>
      <c r="B149" s="493"/>
      <c r="C149" s="493"/>
      <c r="D149" s="493"/>
      <c r="E149" s="493"/>
      <c r="F149" s="496"/>
      <c r="G149" s="499"/>
      <c r="H149" s="502"/>
      <c r="I149" s="505"/>
      <c r="J149" s="508"/>
      <c r="K149" s="511"/>
      <c r="L149" s="493"/>
      <c r="M149" s="493"/>
      <c r="N149" s="213" t="s">
        <v>412</v>
      </c>
      <c r="O149" s="496"/>
      <c r="P149" s="206">
        <v>4891.17</v>
      </c>
      <c r="Q149" s="207" t="s">
        <v>458</v>
      </c>
      <c r="R149" s="208"/>
      <c r="S149" s="206"/>
      <c r="T149" s="206"/>
      <c r="U149" s="502"/>
      <c r="V149" s="514"/>
      <c r="W149" s="490"/>
      <c r="X149" s="2">
        <v>122</v>
      </c>
    </row>
    <row r="150" spans="1:24" x14ac:dyDescent="0.3">
      <c r="A150" s="517"/>
      <c r="B150" s="493"/>
      <c r="C150" s="493"/>
      <c r="D150" s="493"/>
      <c r="E150" s="493"/>
      <c r="F150" s="496"/>
      <c r="G150" s="499"/>
      <c r="H150" s="502"/>
      <c r="I150" s="505"/>
      <c r="J150" s="508"/>
      <c r="K150" s="511"/>
      <c r="L150" s="493"/>
      <c r="M150" s="493"/>
      <c r="N150" s="213" t="s">
        <v>465</v>
      </c>
      <c r="O150" s="496"/>
      <c r="P150" s="206">
        <v>2250</v>
      </c>
      <c r="Q150" s="207" t="s">
        <v>503</v>
      </c>
      <c r="R150" s="208"/>
      <c r="S150" s="206"/>
      <c r="T150" s="206"/>
      <c r="U150" s="502"/>
      <c r="V150" s="514"/>
      <c r="W150" s="490"/>
      <c r="X150" s="2">
        <v>122</v>
      </c>
    </row>
    <row r="151" spans="1:24" x14ac:dyDescent="0.3">
      <c r="A151" s="517"/>
      <c r="B151" s="493"/>
      <c r="C151" s="493"/>
      <c r="D151" s="493"/>
      <c r="E151" s="493"/>
      <c r="F151" s="496"/>
      <c r="G151" s="499"/>
      <c r="H151" s="502"/>
      <c r="I151" s="505"/>
      <c r="J151" s="508"/>
      <c r="K151" s="511"/>
      <c r="L151" s="493"/>
      <c r="M151" s="493"/>
      <c r="N151" s="213" t="s">
        <v>465</v>
      </c>
      <c r="O151" s="496"/>
      <c r="P151" s="206">
        <v>2280</v>
      </c>
      <c r="Q151" s="207" t="s">
        <v>503</v>
      </c>
      <c r="R151" s="208"/>
      <c r="S151" s="206"/>
      <c r="T151" s="206"/>
      <c r="U151" s="502"/>
      <c r="V151" s="514"/>
      <c r="W151" s="490"/>
      <c r="X151" s="2">
        <v>122</v>
      </c>
    </row>
    <row r="152" spans="1:24" x14ac:dyDescent="0.3">
      <c r="A152" s="517"/>
      <c r="B152" s="493"/>
      <c r="C152" s="493"/>
      <c r="D152" s="493"/>
      <c r="E152" s="493"/>
      <c r="F152" s="496"/>
      <c r="G152" s="499"/>
      <c r="H152" s="502"/>
      <c r="I152" s="505"/>
      <c r="J152" s="508"/>
      <c r="K152" s="511"/>
      <c r="L152" s="493"/>
      <c r="M152" s="493"/>
      <c r="N152" s="213" t="s">
        <v>465</v>
      </c>
      <c r="O152" s="496"/>
      <c r="P152" s="206">
        <v>3885.73</v>
      </c>
      <c r="Q152" s="207" t="s">
        <v>503</v>
      </c>
      <c r="R152" s="208"/>
      <c r="S152" s="206"/>
      <c r="T152" s="206"/>
      <c r="U152" s="502"/>
      <c r="V152" s="514"/>
      <c r="W152" s="490"/>
      <c r="X152" s="2">
        <v>122</v>
      </c>
    </row>
    <row r="153" spans="1:24" x14ac:dyDescent="0.3">
      <c r="A153" s="517"/>
      <c r="B153" s="493"/>
      <c r="C153" s="493"/>
      <c r="D153" s="493"/>
      <c r="E153" s="493"/>
      <c r="F153" s="496"/>
      <c r="G153" s="499"/>
      <c r="H153" s="502"/>
      <c r="I153" s="505"/>
      <c r="J153" s="508"/>
      <c r="K153" s="511"/>
      <c r="L153" s="493"/>
      <c r="M153" s="493"/>
      <c r="N153" s="213" t="s">
        <v>465</v>
      </c>
      <c r="O153" s="496"/>
      <c r="P153" s="206">
        <v>3179.27</v>
      </c>
      <c r="Q153" s="207" t="s">
        <v>503</v>
      </c>
      <c r="R153" s="208"/>
      <c r="S153" s="206"/>
      <c r="T153" s="206"/>
      <c r="U153" s="502"/>
      <c r="V153" s="514"/>
      <c r="W153" s="490"/>
      <c r="X153" s="2">
        <v>122</v>
      </c>
    </row>
    <row r="154" spans="1:24" x14ac:dyDescent="0.3">
      <c r="A154" s="517"/>
      <c r="B154" s="493"/>
      <c r="C154" s="493"/>
      <c r="D154" s="493"/>
      <c r="E154" s="493"/>
      <c r="F154" s="496"/>
      <c r="G154" s="499"/>
      <c r="H154" s="502"/>
      <c r="I154" s="505"/>
      <c r="J154" s="508"/>
      <c r="K154" s="511"/>
      <c r="L154" s="493"/>
      <c r="M154" s="493"/>
      <c r="N154" s="213" t="s">
        <v>465</v>
      </c>
      <c r="O154" s="496"/>
      <c r="P154" s="206">
        <v>3916.64</v>
      </c>
      <c r="Q154" s="207" t="s">
        <v>503</v>
      </c>
      <c r="R154" s="208"/>
      <c r="S154" s="206"/>
      <c r="T154" s="206"/>
      <c r="U154" s="502"/>
      <c r="V154" s="514"/>
      <c r="W154" s="490"/>
      <c r="X154" s="2">
        <v>122</v>
      </c>
    </row>
    <row r="155" spans="1:24" x14ac:dyDescent="0.3">
      <c r="A155" s="518"/>
      <c r="B155" s="494"/>
      <c r="C155" s="494"/>
      <c r="D155" s="494"/>
      <c r="E155" s="494"/>
      <c r="F155" s="497"/>
      <c r="G155" s="500"/>
      <c r="H155" s="503"/>
      <c r="I155" s="506"/>
      <c r="J155" s="509"/>
      <c r="K155" s="512"/>
      <c r="L155" s="494"/>
      <c r="M155" s="494"/>
      <c r="N155" s="214" t="s">
        <v>465</v>
      </c>
      <c r="O155" s="497"/>
      <c r="P155" s="209">
        <v>3204.56</v>
      </c>
      <c r="Q155" s="210" t="s">
        <v>503</v>
      </c>
      <c r="R155" s="211"/>
      <c r="S155" s="209"/>
      <c r="T155" s="209"/>
      <c r="U155" s="503"/>
      <c r="V155" s="515"/>
      <c r="W155" s="491"/>
      <c r="X155" s="2">
        <v>122</v>
      </c>
    </row>
    <row r="156" spans="1:24" s="85" customFormat="1" ht="54" customHeight="1" x14ac:dyDescent="0.3">
      <c r="A156" s="516">
        <v>21</v>
      </c>
      <c r="B156" s="492" t="s">
        <v>56</v>
      </c>
      <c r="C156" s="492"/>
      <c r="D156" s="492"/>
      <c r="E156" s="492" t="s">
        <v>361</v>
      </c>
      <c r="F156" s="495" t="s">
        <v>340</v>
      </c>
      <c r="G156" s="498" t="s">
        <v>228</v>
      </c>
      <c r="H156" s="501">
        <v>26012</v>
      </c>
      <c r="I156" s="504">
        <f>IF(X156 = 123, H156 + SUM(S156:S163) - SUM(T156:T163) - SUM(P156:P163) - V156,0)</f>
        <v>6821.0000000000036</v>
      </c>
      <c r="J156" s="507">
        <v>2353020735</v>
      </c>
      <c r="K156" s="510" t="s">
        <v>177</v>
      </c>
      <c r="L156" s="492"/>
      <c r="M156" s="492" t="s">
        <v>362</v>
      </c>
      <c r="N156" s="212" t="s">
        <v>412</v>
      </c>
      <c r="O156" s="495" t="s">
        <v>178</v>
      </c>
      <c r="P156" s="205">
        <v>1978.2</v>
      </c>
      <c r="Q156" s="204" t="s">
        <v>458</v>
      </c>
      <c r="R156" s="203"/>
      <c r="S156" s="205"/>
      <c r="T156" s="205"/>
      <c r="U156" s="501"/>
      <c r="V156" s="513"/>
      <c r="W156" s="489"/>
      <c r="X156" s="85">
        <v>123</v>
      </c>
    </row>
    <row r="157" spans="1:24" x14ac:dyDescent="0.3">
      <c r="A157" s="517"/>
      <c r="B157" s="493"/>
      <c r="C157" s="493"/>
      <c r="D157" s="493"/>
      <c r="E157" s="493"/>
      <c r="F157" s="496"/>
      <c r="G157" s="499"/>
      <c r="H157" s="502"/>
      <c r="I157" s="505"/>
      <c r="J157" s="508"/>
      <c r="K157" s="511"/>
      <c r="L157" s="493"/>
      <c r="M157" s="493"/>
      <c r="N157" s="213" t="s">
        <v>412</v>
      </c>
      <c r="O157" s="496"/>
      <c r="P157" s="206">
        <v>630</v>
      </c>
      <c r="Q157" s="207" t="s">
        <v>458</v>
      </c>
      <c r="R157" s="208"/>
      <c r="S157" s="206"/>
      <c r="T157" s="206"/>
      <c r="U157" s="502"/>
      <c r="V157" s="514"/>
      <c r="W157" s="490"/>
      <c r="X157" s="2">
        <v>123</v>
      </c>
    </row>
    <row r="158" spans="1:24" x14ac:dyDescent="0.3">
      <c r="A158" s="517"/>
      <c r="B158" s="493"/>
      <c r="C158" s="493"/>
      <c r="D158" s="493"/>
      <c r="E158" s="493"/>
      <c r="F158" s="496"/>
      <c r="G158" s="499"/>
      <c r="H158" s="502"/>
      <c r="I158" s="505"/>
      <c r="J158" s="508"/>
      <c r="K158" s="511"/>
      <c r="L158" s="493"/>
      <c r="M158" s="493"/>
      <c r="N158" s="213" t="s">
        <v>412</v>
      </c>
      <c r="O158" s="496"/>
      <c r="P158" s="206">
        <v>2160</v>
      </c>
      <c r="Q158" s="207" t="s">
        <v>458</v>
      </c>
      <c r="R158" s="208"/>
      <c r="S158" s="206"/>
      <c r="T158" s="206"/>
      <c r="U158" s="502"/>
      <c r="V158" s="514"/>
      <c r="W158" s="490"/>
      <c r="X158" s="2">
        <v>123</v>
      </c>
    </row>
    <row r="159" spans="1:24" x14ac:dyDescent="0.3">
      <c r="A159" s="517"/>
      <c r="B159" s="493"/>
      <c r="C159" s="493"/>
      <c r="D159" s="493"/>
      <c r="E159" s="493"/>
      <c r="F159" s="496"/>
      <c r="G159" s="499"/>
      <c r="H159" s="502"/>
      <c r="I159" s="505"/>
      <c r="J159" s="508"/>
      <c r="K159" s="511"/>
      <c r="L159" s="493"/>
      <c r="M159" s="493"/>
      <c r="N159" s="213" t="s">
        <v>412</v>
      </c>
      <c r="O159" s="496"/>
      <c r="P159" s="206">
        <v>6746.4</v>
      </c>
      <c r="Q159" s="207" t="s">
        <v>458</v>
      </c>
      <c r="R159" s="208"/>
      <c r="S159" s="206"/>
      <c r="T159" s="206"/>
      <c r="U159" s="502"/>
      <c r="V159" s="514"/>
      <c r="W159" s="490"/>
      <c r="X159" s="2">
        <v>123</v>
      </c>
    </row>
    <row r="160" spans="1:24" x14ac:dyDescent="0.3">
      <c r="A160" s="517"/>
      <c r="B160" s="493"/>
      <c r="C160" s="493"/>
      <c r="D160" s="493"/>
      <c r="E160" s="493"/>
      <c r="F160" s="496"/>
      <c r="G160" s="499"/>
      <c r="H160" s="502"/>
      <c r="I160" s="505"/>
      <c r="J160" s="508"/>
      <c r="K160" s="511"/>
      <c r="L160" s="493"/>
      <c r="M160" s="493"/>
      <c r="N160" s="213" t="s">
        <v>465</v>
      </c>
      <c r="O160" s="496"/>
      <c r="P160" s="206">
        <v>420</v>
      </c>
      <c r="Q160" s="207" t="s">
        <v>503</v>
      </c>
      <c r="R160" s="208"/>
      <c r="S160" s="206"/>
      <c r="T160" s="206"/>
      <c r="U160" s="502"/>
      <c r="V160" s="514"/>
      <c r="W160" s="490"/>
      <c r="X160" s="2">
        <v>123</v>
      </c>
    </row>
    <row r="161" spans="1:24" x14ac:dyDescent="0.3">
      <c r="A161" s="517"/>
      <c r="B161" s="493"/>
      <c r="C161" s="493"/>
      <c r="D161" s="493"/>
      <c r="E161" s="493"/>
      <c r="F161" s="496"/>
      <c r="G161" s="499"/>
      <c r="H161" s="502"/>
      <c r="I161" s="505"/>
      <c r="J161" s="508"/>
      <c r="K161" s="511"/>
      <c r="L161" s="493"/>
      <c r="M161" s="493"/>
      <c r="N161" s="213" t="s">
        <v>465</v>
      </c>
      <c r="O161" s="496"/>
      <c r="P161" s="206">
        <v>1440</v>
      </c>
      <c r="Q161" s="207" t="s">
        <v>503</v>
      </c>
      <c r="R161" s="208"/>
      <c r="S161" s="206"/>
      <c r="T161" s="206"/>
      <c r="U161" s="502"/>
      <c r="V161" s="514"/>
      <c r="W161" s="490"/>
      <c r="X161" s="2">
        <v>123</v>
      </c>
    </row>
    <row r="162" spans="1:24" x14ac:dyDescent="0.3">
      <c r="A162" s="517"/>
      <c r="B162" s="493"/>
      <c r="C162" s="493"/>
      <c r="D162" s="493"/>
      <c r="E162" s="493"/>
      <c r="F162" s="496"/>
      <c r="G162" s="499"/>
      <c r="H162" s="502"/>
      <c r="I162" s="505"/>
      <c r="J162" s="508"/>
      <c r="K162" s="511"/>
      <c r="L162" s="493"/>
      <c r="M162" s="493"/>
      <c r="N162" s="213" t="s">
        <v>465</v>
      </c>
      <c r="O162" s="496"/>
      <c r="P162" s="206">
        <v>4497.6000000000004</v>
      </c>
      <c r="Q162" s="207" t="s">
        <v>503</v>
      </c>
      <c r="R162" s="208"/>
      <c r="S162" s="206"/>
      <c r="T162" s="206"/>
      <c r="U162" s="502"/>
      <c r="V162" s="514"/>
      <c r="W162" s="490"/>
      <c r="X162" s="2">
        <v>123</v>
      </c>
    </row>
    <row r="163" spans="1:24" x14ac:dyDescent="0.3">
      <c r="A163" s="518"/>
      <c r="B163" s="494"/>
      <c r="C163" s="494"/>
      <c r="D163" s="494"/>
      <c r="E163" s="494"/>
      <c r="F163" s="497"/>
      <c r="G163" s="500"/>
      <c r="H163" s="503"/>
      <c r="I163" s="506"/>
      <c r="J163" s="509"/>
      <c r="K163" s="512"/>
      <c r="L163" s="494"/>
      <c r="M163" s="494"/>
      <c r="N163" s="214" t="s">
        <v>465</v>
      </c>
      <c r="O163" s="497"/>
      <c r="P163" s="209">
        <v>1318.8</v>
      </c>
      <c r="Q163" s="210" t="s">
        <v>503</v>
      </c>
      <c r="R163" s="211"/>
      <c r="S163" s="209"/>
      <c r="T163" s="209"/>
      <c r="U163" s="503"/>
      <c r="V163" s="515"/>
      <c r="W163" s="491"/>
      <c r="X163" s="2">
        <v>123</v>
      </c>
    </row>
    <row r="164" spans="1:24" s="85" customFormat="1" ht="61.8" customHeight="1" x14ac:dyDescent="0.3">
      <c r="A164" s="516">
        <v>22</v>
      </c>
      <c r="B164" s="492" t="s">
        <v>56</v>
      </c>
      <c r="C164" s="492"/>
      <c r="D164" s="492"/>
      <c r="E164" s="492" t="s">
        <v>229</v>
      </c>
      <c r="F164" s="495" t="s">
        <v>340</v>
      </c>
      <c r="G164" s="498" t="s">
        <v>230</v>
      </c>
      <c r="H164" s="501">
        <v>34440</v>
      </c>
      <c r="I164" s="504">
        <f>IF(X164 = 124, H164 + SUM(S164:S167) - SUM(T164:T167) - SUM(P164:P167) - V164,0)</f>
        <v>11931</v>
      </c>
      <c r="J164" s="507">
        <v>2353020735</v>
      </c>
      <c r="K164" s="510" t="s">
        <v>177</v>
      </c>
      <c r="L164" s="492"/>
      <c r="M164" s="492" t="s">
        <v>362</v>
      </c>
      <c r="N164" s="212" t="s">
        <v>412</v>
      </c>
      <c r="O164" s="495" t="s">
        <v>178</v>
      </c>
      <c r="P164" s="205">
        <v>3300</v>
      </c>
      <c r="Q164" s="204" t="s">
        <v>458</v>
      </c>
      <c r="R164" s="203"/>
      <c r="S164" s="205"/>
      <c r="T164" s="205"/>
      <c r="U164" s="501"/>
      <c r="V164" s="513"/>
      <c r="W164" s="489"/>
      <c r="X164" s="85">
        <v>124</v>
      </c>
    </row>
    <row r="165" spans="1:24" x14ac:dyDescent="0.3">
      <c r="A165" s="517"/>
      <c r="B165" s="493"/>
      <c r="C165" s="493"/>
      <c r="D165" s="493"/>
      <c r="E165" s="493"/>
      <c r="F165" s="496"/>
      <c r="G165" s="499"/>
      <c r="H165" s="502"/>
      <c r="I165" s="505"/>
      <c r="J165" s="508"/>
      <c r="K165" s="511"/>
      <c r="L165" s="493"/>
      <c r="M165" s="493"/>
      <c r="N165" s="213" t="s">
        <v>412</v>
      </c>
      <c r="O165" s="496"/>
      <c r="P165" s="206">
        <v>10230</v>
      </c>
      <c r="Q165" s="207" t="s">
        <v>458</v>
      </c>
      <c r="R165" s="208"/>
      <c r="S165" s="206"/>
      <c r="T165" s="206"/>
      <c r="U165" s="502"/>
      <c r="V165" s="514"/>
      <c r="W165" s="490"/>
      <c r="X165" s="2">
        <v>124</v>
      </c>
    </row>
    <row r="166" spans="1:24" x14ac:dyDescent="0.3">
      <c r="A166" s="517"/>
      <c r="B166" s="493"/>
      <c r="C166" s="493"/>
      <c r="D166" s="493"/>
      <c r="E166" s="493"/>
      <c r="F166" s="496"/>
      <c r="G166" s="499"/>
      <c r="H166" s="502"/>
      <c r="I166" s="505"/>
      <c r="J166" s="508"/>
      <c r="K166" s="511"/>
      <c r="L166" s="493"/>
      <c r="M166" s="493"/>
      <c r="N166" s="213" t="s">
        <v>465</v>
      </c>
      <c r="O166" s="496"/>
      <c r="P166" s="206">
        <v>6789</v>
      </c>
      <c r="Q166" s="207" t="s">
        <v>503</v>
      </c>
      <c r="R166" s="208"/>
      <c r="S166" s="206"/>
      <c r="T166" s="206"/>
      <c r="U166" s="502"/>
      <c r="V166" s="514"/>
      <c r="W166" s="490"/>
      <c r="X166" s="2">
        <v>124</v>
      </c>
    </row>
    <row r="167" spans="1:24" x14ac:dyDescent="0.3">
      <c r="A167" s="518"/>
      <c r="B167" s="494"/>
      <c r="C167" s="494"/>
      <c r="D167" s="494"/>
      <c r="E167" s="494"/>
      <c r="F167" s="497"/>
      <c r="G167" s="500"/>
      <c r="H167" s="503"/>
      <c r="I167" s="506"/>
      <c r="J167" s="509"/>
      <c r="K167" s="512"/>
      <c r="L167" s="494"/>
      <c r="M167" s="494"/>
      <c r="N167" s="214" t="s">
        <v>465</v>
      </c>
      <c r="O167" s="497"/>
      <c r="P167" s="209">
        <v>2190</v>
      </c>
      <c r="Q167" s="210" t="s">
        <v>503</v>
      </c>
      <c r="R167" s="211"/>
      <c r="S167" s="209"/>
      <c r="T167" s="209"/>
      <c r="U167" s="503"/>
      <c r="V167" s="515"/>
      <c r="W167" s="491"/>
      <c r="X167" s="2">
        <v>124</v>
      </c>
    </row>
    <row r="168" spans="1:24" s="85" customFormat="1" ht="108" x14ac:dyDescent="0.3">
      <c r="A168" s="140">
        <v>23</v>
      </c>
      <c r="B168" s="141" t="s">
        <v>56</v>
      </c>
      <c r="C168" s="141"/>
      <c r="D168" s="141"/>
      <c r="E168" s="141" t="s">
        <v>173</v>
      </c>
      <c r="F168" s="146" t="s">
        <v>355</v>
      </c>
      <c r="G168" s="142" t="s">
        <v>356</v>
      </c>
      <c r="H168" s="143">
        <v>10000</v>
      </c>
      <c r="I168" s="144">
        <f>IF(X168 = 125, H168 + SUM(S168:S168) - SUM(T168:T168) - SUM(P168:P168) - V168,0)</f>
        <v>0</v>
      </c>
      <c r="J168" s="147">
        <v>235302352147</v>
      </c>
      <c r="K168" s="148" t="s">
        <v>357</v>
      </c>
      <c r="L168" s="141"/>
      <c r="M168" s="141" t="s">
        <v>358</v>
      </c>
      <c r="N168" s="146" t="s">
        <v>404</v>
      </c>
      <c r="O168" s="146" t="s">
        <v>359</v>
      </c>
      <c r="P168" s="143">
        <v>10000</v>
      </c>
      <c r="Q168" s="142" t="s">
        <v>405</v>
      </c>
      <c r="R168" s="141"/>
      <c r="S168" s="143"/>
      <c r="T168" s="143"/>
      <c r="U168" s="143"/>
      <c r="V168" s="149"/>
      <c r="W168" s="139"/>
      <c r="X168" s="85">
        <v>125</v>
      </c>
    </row>
    <row r="169" spans="1:24" s="85" customFormat="1" ht="54" x14ac:dyDescent="0.3">
      <c r="A169" s="140">
        <v>24</v>
      </c>
      <c r="B169" s="141" t="s">
        <v>56</v>
      </c>
      <c r="C169" s="141"/>
      <c r="D169" s="141"/>
      <c r="E169" s="141" t="s">
        <v>384</v>
      </c>
      <c r="F169" s="146" t="s">
        <v>370</v>
      </c>
      <c r="G169" s="142" t="s">
        <v>385</v>
      </c>
      <c r="H169" s="143">
        <v>1974</v>
      </c>
      <c r="I169" s="144">
        <f>IF(X169 = 127, H169 + SUM(S169:S169) - SUM(T169:T169) - SUM(P169:P169) - V169,0)</f>
        <v>0</v>
      </c>
      <c r="J169" s="147">
        <v>2310132554</v>
      </c>
      <c r="K169" s="148" t="s">
        <v>386</v>
      </c>
      <c r="L169" s="141"/>
      <c r="M169" s="141" t="s">
        <v>387</v>
      </c>
      <c r="N169" s="146" t="s">
        <v>413</v>
      </c>
      <c r="O169" s="146" t="s">
        <v>388</v>
      </c>
      <c r="P169" s="143">
        <v>1974</v>
      </c>
      <c r="Q169" s="142" t="s">
        <v>412</v>
      </c>
      <c r="R169" s="141"/>
      <c r="S169" s="143"/>
      <c r="T169" s="143"/>
      <c r="U169" s="143"/>
      <c r="V169" s="149"/>
      <c r="W169" s="139"/>
      <c r="X169" s="85">
        <v>127</v>
      </c>
    </row>
    <row r="170" spans="1:24" s="85" customFormat="1" ht="90" x14ac:dyDescent="0.3">
      <c r="A170" s="170">
        <v>25</v>
      </c>
      <c r="B170" s="171" t="s">
        <v>56</v>
      </c>
      <c r="C170" s="171"/>
      <c r="D170" s="171"/>
      <c r="E170" s="171" t="s">
        <v>432</v>
      </c>
      <c r="F170" s="179" t="s">
        <v>433</v>
      </c>
      <c r="G170" s="173" t="s">
        <v>434</v>
      </c>
      <c r="H170" s="174">
        <v>3000</v>
      </c>
      <c r="I170" s="175">
        <f>IF(X170 = 128, H170 + SUM(S170:S170) - SUM(T170:T170) - SUM(P170:P170) - V170,0)</f>
        <v>0</v>
      </c>
      <c r="J170" s="176">
        <v>2311187588</v>
      </c>
      <c r="K170" s="177" t="s">
        <v>435</v>
      </c>
      <c r="L170" s="171"/>
      <c r="M170" s="171" t="s">
        <v>437</v>
      </c>
      <c r="N170" s="179" t="s">
        <v>461</v>
      </c>
      <c r="O170" s="179" t="s">
        <v>436</v>
      </c>
      <c r="P170" s="174">
        <v>3000</v>
      </c>
      <c r="Q170" s="173" t="s">
        <v>464</v>
      </c>
      <c r="R170" s="171"/>
      <c r="S170" s="174"/>
      <c r="T170" s="174"/>
      <c r="U170" s="174"/>
      <c r="V170" s="178"/>
      <c r="W170" s="172"/>
      <c r="X170" s="85">
        <v>128</v>
      </c>
    </row>
    <row r="171" spans="1:24" s="85" customFormat="1" ht="90" x14ac:dyDescent="0.3">
      <c r="A171" s="170">
        <v>26</v>
      </c>
      <c r="B171" s="171" t="s">
        <v>56</v>
      </c>
      <c r="C171" s="171"/>
      <c r="D171" s="171"/>
      <c r="E171" s="171" t="s">
        <v>438</v>
      </c>
      <c r="F171" s="179" t="s">
        <v>439</v>
      </c>
      <c r="G171" s="173" t="s">
        <v>440</v>
      </c>
      <c r="H171" s="174">
        <v>63990</v>
      </c>
      <c r="I171" s="175">
        <f>IF(X171 = 129, H171 + SUM(S171:S171) - SUM(T171:T171) - SUM(P171:P171) - V171,0)</f>
        <v>0</v>
      </c>
      <c r="J171" s="176">
        <v>235303483777</v>
      </c>
      <c r="K171" s="177" t="s">
        <v>441</v>
      </c>
      <c r="L171" s="171"/>
      <c r="M171" s="171" t="s">
        <v>442</v>
      </c>
      <c r="N171" s="179" t="s">
        <v>465</v>
      </c>
      <c r="O171" s="179" t="s">
        <v>443</v>
      </c>
      <c r="P171" s="174">
        <v>63990</v>
      </c>
      <c r="Q171" s="173" t="s">
        <v>466</v>
      </c>
      <c r="R171" s="171"/>
      <c r="S171" s="174"/>
      <c r="T171" s="174"/>
      <c r="U171" s="174"/>
      <c r="V171" s="178"/>
      <c r="W171" s="172"/>
      <c r="X171" s="85">
        <v>129</v>
      </c>
    </row>
    <row r="172" spans="1:24" s="85" customFormat="1" ht="54" x14ac:dyDescent="0.3">
      <c r="A172" s="170">
        <v>27</v>
      </c>
      <c r="B172" s="171" t="s">
        <v>56</v>
      </c>
      <c r="C172" s="171"/>
      <c r="D172" s="171"/>
      <c r="E172" s="171" t="s">
        <v>369</v>
      </c>
      <c r="F172" s="179" t="s">
        <v>478</v>
      </c>
      <c r="G172" s="173" t="s">
        <v>481</v>
      </c>
      <c r="H172" s="174">
        <v>89520</v>
      </c>
      <c r="I172" s="175">
        <f>IF(X172 = 130, H172 + SUM(S172:S172) - SUM(T172:T172) - SUM(P172:P172) - V172,0)</f>
        <v>89520</v>
      </c>
      <c r="J172" s="176">
        <v>2353020735</v>
      </c>
      <c r="K172" s="177" t="s">
        <v>177</v>
      </c>
      <c r="L172" s="171"/>
      <c r="M172" s="171" t="s">
        <v>371</v>
      </c>
      <c r="N172" s="179"/>
      <c r="O172" s="179" t="s">
        <v>178</v>
      </c>
      <c r="P172" s="174"/>
      <c r="Q172" s="173"/>
      <c r="R172" s="171"/>
      <c r="S172" s="174"/>
      <c r="T172" s="174"/>
      <c r="U172" s="174"/>
      <c r="V172" s="178"/>
      <c r="W172" s="172"/>
      <c r="X172" s="85">
        <v>130</v>
      </c>
    </row>
    <row r="173" spans="1:24" s="85" customFormat="1" ht="54" x14ac:dyDescent="0.3">
      <c r="A173" s="170">
        <v>28</v>
      </c>
      <c r="B173" s="171" t="s">
        <v>56</v>
      </c>
      <c r="C173" s="171"/>
      <c r="D173" s="171"/>
      <c r="E173" s="171" t="s">
        <v>477</v>
      </c>
      <c r="F173" s="179" t="s">
        <v>478</v>
      </c>
      <c r="G173" s="173" t="s">
        <v>482</v>
      </c>
      <c r="H173" s="174">
        <v>11190</v>
      </c>
      <c r="I173" s="175">
        <f>IF(X173 = 131, H173 + SUM(S173:S173) - SUM(T173:T173) - SUM(P173:P173) - V173,0)</f>
        <v>11190</v>
      </c>
      <c r="J173" s="176">
        <v>2353020735</v>
      </c>
      <c r="K173" s="177" t="s">
        <v>177</v>
      </c>
      <c r="L173" s="171"/>
      <c r="M173" s="171" t="s">
        <v>371</v>
      </c>
      <c r="N173" s="179"/>
      <c r="O173" s="179" t="s">
        <v>178</v>
      </c>
      <c r="P173" s="174"/>
      <c r="Q173" s="173"/>
      <c r="R173" s="171"/>
      <c r="S173" s="174"/>
      <c r="T173" s="174"/>
      <c r="U173" s="174"/>
      <c r="V173" s="178"/>
      <c r="W173" s="172"/>
      <c r="X173" s="85">
        <v>131</v>
      </c>
    </row>
    <row r="174" spans="1:24" s="85" customFormat="1" ht="97.8" customHeight="1" x14ac:dyDescent="0.3">
      <c r="A174" s="193">
        <v>29</v>
      </c>
      <c r="B174" s="194" t="s">
        <v>56</v>
      </c>
      <c r="C174" s="194"/>
      <c r="D174" s="194"/>
      <c r="E174" s="194" t="s">
        <v>444</v>
      </c>
      <c r="F174" s="199" t="s">
        <v>445</v>
      </c>
      <c r="G174" s="195" t="s">
        <v>446</v>
      </c>
      <c r="H174" s="196">
        <v>7000</v>
      </c>
      <c r="I174" s="197">
        <f>IF(X174 = 132, H174 + SUM(S174:S174) - SUM(T174:T174) - SUM(P174:P174) - V174,0)</f>
        <v>0</v>
      </c>
      <c r="J174" s="200">
        <v>2353018870</v>
      </c>
      <c r="K174" s="201" t="s">
        <v>152</v>
      </c>
      <c r="L174" s="194"/>
      <c r="M174" s="194" t="s">
        <v>447</v>
      </c>
      <c r="N174" s="199" t="s">
        <v>480</v>
      </c>
      <c r="O174" s="199" t="s">
        <v>443</v>
      </c>
      <c r="P174" s="196">
        <v>7000</v>
      </c>
      <c r="Q174" s="195" t="s">
        <v>479</v>
      </c>
      <c r="R174" s="194"/>
      <c r="S174" s="196"/>
      <c r="T174" s="196"/>
      <c r="U174" s="196"/>
      <c r="V174" s="202"/>
      <c r="W174" s="192"/>
      <c r="X174" s="85">
        <v>132</v>
      </c>
    </row>
    <row r="175" spans="1:24" s="85" customFormat="1" ht="65.400000000000006" customHeight="1" x14ac:dyDescent="0.3">
      <c r="A175" s="193">
        <v>30</v>
      </c>
      <c r="B175" s="194" t="s">
        <v>56</v>
      </c>
      <c r="C175" s="194"/>
      <c r="D175" s="194"/>
      <c r="E175" s="194" t="s">
        <v>159</v>
      </c>
      <c r="F175" s="199" t="s">
        <v>451</v>
      </c>
      <c r="G175" s="195" t="s">
        <v>160</v>
      </c>
      <c r="H175" s="196">
        <v>24254.1</v>
      </c>
      <c r="I175" s="197">
        <f>IF(X175 = 133, H175 + SUM(S175:S175) - SUM(T175:T175) - SUM(P175:P175) - V175,0)</f>
        <v>24254.1</v>
      </c>
      <c r="J175" s="200">
        <v>2308131994</v>
      </c>
      <c r="K175" s="201" t="s">
        <v>208</v>
      </c>
      <c r="L175" s="194"/>
      <c r="M175" s="194" t="s">
        <v>448</v>
      </c>
      <c r="N175" s="199"/>
      <c r="O175" s="199" t="s">
        <v>163</v>
      </c>
      <c r="P175" s="196"/>
      <c r="Q175" s="195"/>
      <c r="R175" s="194"/>
      <c r="S175" s="196"/>
      <c r="T175" s="196"/>
      <c r="U175" s="196"/>
      <c r="V175" s="202"/>
      <c r="W175" s="192"/>
      <c r="X175" s="85">
        <v>133</v>
      </c>
    </row>
    <row r="176" spans="1:24" s="85" customFormat="1" ht="90" x14ac:dyDescent="0.3">
      <c r="A176" s="193">
        <v>31</v>
      </c>
      <c r="B176" s="194" t="s">
        <v>56</v>
      </c>
      <c r="C176" s="194"/>
      <c r="D176" s="194"/>
      <c r="E176" s="194" t="s">
        <v>487</v>
      </c>
      <c r="F176" s="199" t="s">
        <v>488</v>
      </c>
      <c r="G176" s="195" t="s">
        <v>440</v>
      </c>
      <c r="H176" s="196">
        <v>17725</v>
      </c>
      <c r="I176" s="197">
        <f>IF(X176 = 134, H176 + SUM(S176:S176) - SUM(T176:T176) - SUM(P176:P176) - V176,0)</f>
        <v>0</v>
      </c>
      <c r="J176" s="200">
        <v>235303483777</v>
      </c>
      <c r="K176" s="201" t="s">
        <v>441</v>
      </c>
      <c r="L176" s="194"/>
      <c r="M176" s="194" t="s">
        <v>489</v>
      </c>
      <c r="N176" s="199" t="s">
        <v>510</v>
      </c>
      <c r="O176" s="199" t="s">
        <v>443</v>
      </c>
      <c r="P176" s="196">
        <v>17725</v>
      </c>
      <c r="Q176" s="195" t="s">
        <v>511</v>
      </c>
      <c r="R176" s="194"/>
      <c r="S176" s="196"/>
      <c r="T176" s="196"/>
      <c r="U176" s="196"/>
      <c r="V176" s="202"/>
      <c r="W176" s="192"/>
      <c r="X176" s="85">
        <v>134</v>
      </c>
    </row>
    <row r="177" spans="1:24" s="85" customFormat="1" ht="90" x14ac:dyDescent="0.3">
      <c r="A177" s="261">
        <v>32</v>
      </c>
      <c r="B177" s="260" t="s">
        <v>56</v>
      </c>
      <c r="C177" s="260"/>
      <c r="D177" s="260"/>
      <c r="E177" s="260" t="s">
        <v>549</v>
      </c>
      <c r="F177" s="286">
        <v>45525</v>
      </c>
      <c r="G177" s="264" t="s">
        <v>550</v>
      </c>
      <c r="H177" s="262">
        <v>578600</v>
      </c>
      <c r="I177" s="265">
        <f>IF(X177 = 135, H177 + SUM(S177:S177) - SUM(T177:T177) - SUM(P177:P177) - V177,0)</f>
        <v>0</v>
      </c>
      <c r="J177" s="267">
        <v>235310451286</v>
      </c>
      <c r="K177" s="268" t="s">
        <v>551</v>
      </c>
      <c r="L177" s="260"/>
      <c r="M177" s="260" t="s">
        <v>552</v>
      </c>
      <c r="N177" s="286">
        <v>45545</v>
      </c>
      <c r="O177" s="286" t="s">
        <v>443</v>
      </c>
      <c r="P177" s="262">
        <v>578600</v>
      </c>
      <c r="Q177" s="264">
        <v>45558</v>
      </c>
      <c r="R177" s="260"/>
      <c r="S177" s="262"/>
      <c r="T177" s="262"/>
      <c r="U177" s="262"/>
      <c r="V177" s="266"/>
      <c r="W177" s="263"/>
      <c r="X177" s="85">
        <v>135</v>
      </c>
    </row>
    <row r="178" spans="1:24" x14ac:dyDescent="0.3">
      <c r="X178" s="2">
        <v>136</v>
      </c>
    </row>
  </sheetData>
  <sheetProtection algorithmName="SHA-512" hashValue="lUubE3dCxYkQQvguRuGVRQckUCGCWqhsA1pkuRcWozdEtp21/gTbS4CMxFrvKAmlSKXmDoaUdwpm3LxpXfoDxQ==" saltValue="pYBKGkvg2VFiv9qWqRUdow==" spinCount="100000" sheet="1" objects="1" scenarios="1" formatCells="0" formatColumns="0" formatRows="0"/>
  <mergeCells count="292">
    <mergeCell ref="W117:W120"/>
    <mergeCell ref="D117:D120"/>
    <mergeCell ref="E117:E120"/>
    <mergeCell ref="F117:F120"/>
    <mergeCell ref="G117:G120"/>
    <mergeCell ref="H117:H120"/>
    <mergeCell ref="I117:I120"/>
    <mergeCell ref="J117:J120"/>
    <mergeCell ref="K117:K120"/>
    <mergeCell ref="L117:L120"/>
    <mergeCell ref="M117:M120"/>
    <mergeCell ref="A80:A85"/>
    <mergeCell ref="B80:B85"/>
    <mergeCell ref="C80:C85"/>
    <mergeCell ref="A109:A114"/>
    <mergeCell ref="B50:B67"/>
    <mergeCell ref="A46:A47"/>
    <mergeCell ref="B46:B47"/>
    <mergeCell ref="C46:C47"/>
    <mergeCell ref="V117:V120"/>
    <mergeCell ref="C117:C120"/>
    <mergeCell ref="A50:A67"/>
    <mergeCell ref="O50:O67"/>
    <mergeCell ref="A68:A79"/>
    <mergeCell ref="O68:O79"/>
    <mergeCell ref="C50:C67"/>
    <mergeCell ref="D109:D114"/>
    <mergeCell ref="E109:E114"/>
    <mergeCell ref="F109:F114"/>
    <mergeCell ref="B109:B114"/>
    <mergeCell ref="C122:C133"/>
    <mergeCell ref="E122:E133"/>
    <mergeCell ref="F122:F133"/>
    <mergeCell ref="G122:G133"/>
    <mergeCell ref="H122:H133"/>
    <mergeCell ref="I122:I133"/>
    <mergeCell ref="J122:J133"/>
    <mergeCell ref="K122:K133"/>
    <mergeCell ref="G109:G114"/>
    <mergeCell ref="H109:H114"/>
    <mergeCell ref="C109:C114"/>
    <mergeCell ref="A117:A120"/>
    <mergeCell ref="O117:O120"/>
    <mergeCell ref="U117:U120"/>
    <mergeCell ref="B117:B120"/>
    <mergeCell ref="W46:W47"/>
    <mergeCell ref="D46:D47"/>
    <mergeCell ref="E46:E47"/>
    <mergeCell ref="F46:F47"/>
    <mergeCell ref="G46:G47"/>
    <mergeCell ref="H46:H47"/>
    <mergeCell ref="I46:I47"/>
    <mergeCell ref="J46:J47"/>
    <mergeCell ref="K46:K47"/>
    <mergeCell ref="L46:L47"/>
    <mergeCell ref="O46:O47"/>
    <mergeCell ref="U46:U47"/>
    <mergeCell ref="V46:V47"/>
    <mergeCell ref="M46:M47"/>
    <mergeCell ref="I68:I79"/>
    <mergeCell ref="J68:J79"/>
    <mergeCell ref="K68:K79"/>
    <mergeCell ref="L68:L79"/>
    <mergeCell ref="M68:M79"/>
    <mergeCell ref="U50:U67"/>
    <mergeCell ref="V50:V67"/>
    <mergeCell ref="H50:H67"/>
    <mergeCell ref="I50:I67"/>
    <mergeCell ref="J50:J67"/>
    <mergeCell ref="K50:K67"/>
    <mergeCell ref="U68:U79"/>
    <mergeCell ref="S2:U2"/>
    <mergeCell ref="F2:G2"/>
    <mergeCell ref="N2:O2"/>
    <mergeCell ref="J38:J45"/>
    <mergeCell ref="K38:K45"/>
    <mergeCell ref="L38:L45"/>
    <mergeCell ref="M38:M45"/>
    <mergeCell ref="G50:G67"/>
    <mergeCell ref="L50:L67"/>
    <mergeCell ref="M50:M67"/>
    <mergeCell ref="M144:M155"/>
    <mergeCell ref="U140:U143"/>
    <mergeCell ref="D50:D67"/>
    <mergeCell ref="I109:I114"/>
    <mergeCell ref="J109:J114"/>
    <mergeCell ref="K109:K114"/>
    <mergeCell ref="M80:M85"/>
    <mergeCell ref="I140:I143"/>
    <mergeCell ref="J140:J143"/>
    <mergeCell ref="K140:K143"/>
    <mergeCell ref="L140:L143"/>
    <mergeCell ref="D140:D143"/>
    <mergeCell ref="E140:E143"/>
    <mergeCell ref="F140:F143"/>
    <mergeCell ref="G140:G143"/>
    <mergeCell ref="H140:H143"/>
    <mergeCell ref="O109:O114"/>
    <mergeCell ref="U109:U114"/>
    <mergeCell ref="L122:L133"/>
    <mergeCell ref="L109:L114"/>
    <mergeCell ref="A122:A133"/>
    <mergeCell ref="O122:O133"/>
    <mergeCell ref="B122:B133"/>
    <mergeCell ref="A140:A143"/>
    <mergeCell ref="O140:O143"/>
    <mergeCell ref="B140:B143"/>
    <mergeCell ref="C156:C163"/>
    <mergeCell ref="D122:D133"/>
    <mergeCell ref="W122:W133"/>
    <mergeCell ref="U134:U139"/>
    <mergeCell ref="V134:V139"/>
    <mergeCell ref="W134:W139"/>
    <mergeCell ref="U122:U133"/>
    <mergeCell ref="V122:V133"/>
    <mergeCell ref="M140:M143"/>
    <mergeCell ref="A144:A155"/>
    <mergeCell ref="O144:O155"/>
    <mergeCell ref="U144:U155"/>
    <mergeCell ref="B144:B155"/>
    <mergeCell ref="V144:V155"/>
    <mergeCell ref="C144:C155"/>
    <mergeCell ref="W144:W155"/>
    <mergeCell ref="D144:D155"/>
    <mergeCell ref="E144:E155"/>
    <mergeCell ref="A134:A139"/>
    <mergeCell ref="O134:O139"/>
    <mergeCell ref="B134:B139"/>
    <mergeCell ref="C134:C139"/>
    <mergeCell ref="D134:D139"/>
    <mergeCell ref="E134:E139"/>
    <mergeCell ref="F134:F139"/>
    <mergeCell ref="G134:G139"/>
    <mergeCell ref="H134:H139"/>
    <mergeCell ref="I134:I139"/>
    <mergeCell ref="J134:J139"/>
    <mergeCell ref="K134:K139"/>
    <mergeCell ref="L134:L139"/>
    <mergeCell ref="M134:M139"/>
    <mergeCell ref="C140:C143"/>
    <mergeCell ref="W140:W143"/>
    <mergeCell ref="A164:A167"/>
    <mergeCell ref="O164:O167"/>
    <mergeCell ref="U164:U167"/>
    <mergeCell ref="B164:B167"/>
    <mergeCell ref="V164:V167"/>
    <mergeCell ref="C164:C167"/>
    <mergeCell ref="W164:W167"/>
    <mergeCell ref="D164:D167"/>
    <mergeCell ref="E164:E167"/>
    <mergeCell ref="F164:F167"/>
    <mergeCell ref="G164:G167"/>
    <mergeCell ref="H164:H167"/>
    <mergeCell ref="I164:I167"/>
    <mergeCell ref="J164:J167"/>
    <mergeCell ref="K164:K167"/>
    <mergeCell ref="L164:L167"/>
    <mergeCell ref="A156:A163"/>
    <mergeCell ref="O156:O163"/>
    <mergeCell ref="U156:U163"/>
    <mergeCell ref="B156:B163"/>
    <mergeCell ref="V156:V163"/>
    <mergeCell ref="M164:M167"/>
    <mergeCell ref="V80:V85"/>
    <mergeCell ref="W109:W114"/>
    <mergeCell ref="M109:M114"/>
    <mergeCell ref="V109:V114"/>
    <mergeCell ref="W156:W163"/>
    <mergeCell ref="D156:D163"/>
    <mergeCell ref="E156:E163"/>
    <mergeCell ref="F156:F163"/>
    <mergeCell ref="G156:G163"/>
    <mergeCell ref="H156:H163"/>
    <mergeCell ref="I156:I163"/>
    <mergeCell ref="J156:J163"/>
    <mergeCell ref="K156:K163"/>
    <mergeCell ref="L156:L163"/>
    <mergeCell ref="M156:M163"/>
    <mergeCell ref="V140:V143"/>
    <mergeCell ref="M122:M133"/>
    <mergeCell ref="F144:F155"/>
    <mergeCell ref="G144:G155"/>
    <mergeCell ref="H144:H155"/>
    <mergeCell ref="I144:I155"/>
    <mergeCell ref="J144:J155"/>
    <mergeCell ref="K144:K155"/>
    <mergeCell ref="L144:L155"/>
    <mergeCell ref="D80:D85"/>
    <mergeCell ref="E80:E85"/>
    <mergeCell ref="F80:F85"/>
    <mergeCell ref="G80:G85"/>
    <mergeCell ref="H80:H85"/>
    <mergeCell ref="W50:W67"/>
    <mergeCell ref="E50:E67"/>
    <mergeCell ref="F50:F67"/>
    <mergeCell ref="B68:B79"/>
    <mergeCell ref="V68:V79"/>
    <mergeCell ref="C68:C79"/>
    <mergeCell ref="W68:W79"/>
    <mergeCell ref="D68:D79"/>
    <mergeCell ref="E68:E79"/>
    <mergeCell ref="F68:F79"/>
    <mergeCell ref="G68:G79"/>
    <mergeCell ref="H68:H79"/>
    <mergeCell ref="W80:W85"/>
    <mergeCell ref="I80:I85"/>
    <mergeCell ref="J80:J85"/>
    <mergeCell ref="K80:K85"/>
    <mergeCell ref="L80:L85"/>
    <mergeCell ref="O80:O85"/>
    <mergeCell ref="U80:U85"/>
    <mergeCell ref="A31:A37"/>
    <mergeCell ref="O31:O37"/>
    <mergeCell ref="U31:U37"/>
    <mergeCell ref="B31:B37"/>
    <mergeCell ref="V31:V37"/>
    <mergeCell ref="C31:C37"/>
    <mergeCell ref="W31:W37"/>
    <mergeCell ref="D31:D37"/>
    <mergeCell ref="E31:E37"/>
    <mergeCell ref="F31:F37"/>
    <mergeCell ref="G31:G37"/>
    <mergeCell ref="H31:H37"/>
    <mergeCell ref="I31:I37"/>
    <mergeCell ref="J31:J37"/>
    <mergeCell ref="K31:K37"/>
    <mergeCell ref="L31:L37"/>
    <mergeCell ref="M31:M37"/>
    <mergeCell ref="A38:A45"/>
    <mergeCell ref="O38:O45"/>
    <mergeCell ref="U38:U45"/>
    <mergeCell ref="B38:B45"/>
    <mergeCell ref="V38:V45"/>
    <mergeCell ref="C38:C45"/>
    <mergeCell ref="W38:W45"/>
    <mergeCell ref="D38:D45"/>
    <mergeCell ref="E38:E45"/>
    <mergeCell ref="F38:F45"/>
    <mergeCell ref="G38:G45"/>
    <mergeCell ref="H38:H45"/>
    <mergeCell ref="I38:I45"/>
    <mergeCell ref="A101:A108"/>
    <mergeCell ref="O101:O108"/>
    <mergeCell ref="U101:U108"/>
    <mergeCell ref="B101:B108"/>
    <mergeCell ref="V101:V108"/>
    <mergeCell ref="C101:C108"/>
    <mergeCell ref="W101:W108"/>
    <mergeCell ref="D101:D108"/>
    <mergeCell ref="E101:E108"/>
    <mergeCell ref="F101:F108"/>
    <mergeCell ref="G101:G108"/>
    <mergeCell ref="H101:H108"/>
    <mergeCell ref="I101:I108"/>
    <mergeCell ref="J101:J108"/>
    <mergeCell ref="K101:K108"/>
    <mergeCell ref="L101:L108"/>
    <mergeCell ref="M101:M108"/>
    <mergeCell ref="A86:A100"/>
    <mergeCell ref="O86:O100"/>
    <mergeCell ref="U86:U100"/>
    <mergeCell ref="B86:B100"/>
    <mergeCell ref="V86:V100"/>
    <mergeCell ref="C86:C100"/>
    <mergeCell ref="W86:W100"/>
    <mergeCell ref="A9:A30"/>
    <mergeCell ref="O9:O30"/>
    <mergeCell ref="U9:U30"/>
    <mergeCell ref="B9:B30"/>
    <mergeCell ref="V9:V30"/>
    <mergeCell ref="C9:C30"/>
    <mergeCell ref="W9:W30"/>
    <mergeCell ref="D9:D30"/>
    <mergeCell ref="E9:E30"/>
    <mergeCell ref="F9:F30"/>
    <mergeCell ref="G9:G30"/>
    <mergeCell ref="H9:H30"/>
    <mergeCell ref="I9:I30"/>
    <mergeCell ref="J9:J30"/>
    <mergeCell ref="K9:K30"/>
    <mergeCell ref="L9:L30"/>
    <mergeCell ref="M9:M30"/>
    <mergeCell ref="M86:M100"/>
    <mergeCell ref="D86:D100"/>
    <mergeCell ref="E86:E100"/>
    <mergeCell ref="F86:F100"/>
    <mergeCell ref="G86:G100"/>
    <mergeCell ref="H86:H100"/>
    <mergeCell ref="I86:I100"/>
    <mergeCell ref="J86:J100"/>
    <mergeCell ref="K86:K100"/>
    <mergeCell ref="L86:L100"/>
  </mergeCells>
  <pageMargins left="0.25" right="0.25" top="0.75" bottom="0.75" header="0.3" footer="0.3"/>
  <pageSetup paperSize="9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8">
    <tabColor rgb="FF00B050"/>
    <pageSetUpPr fitToPage="1"/>
  </sheetPr>
  <dimension ref="A1:V17"/>
  <sheetViews>
    <sheetView showGridLines="0" view="pageBreakPreview" topLeftCell="C1" zoomScale="60" zoomScaleNormal="50" workbookViewId="0">
      <pane ySplit="8" topLeftCell="A9" activePane="bottomLeft" state="frozen"/>
      <selection pane="bottomLeft" activeCell="O15" sqref="O15"/>
    </sheetView>
  </sheetViews>
  <sheetFormatPr defaultColWidth="0" defaultRowHeight="18" x14ac:dyDescent="0.3"/>
  <cols>
    <col min="1" max="1" width="14" style="3" customWidth="1"/>
    <col min="2" max="2" width="25.44140625" style="3" customWidth="1"/>
    <col min="3" max="3" width="39.5546875" style="3" bestFit="1" customWidth="1"/>
    <col min="4" max="4" width="23.88671875" style="3" customWidth="1"/>
    <col min="5" max="5" width="32.44140625" style="3" customWidth="1"/>
    <col min="6" max="6" width="27.44140625" style="11" customWidth="1"/>
    <col min="7" max="7" width="27.44140625" style="3" customWidth="1"/>
    <col min="8" max="8" width="33" style="3" customWidth="1"/>
    <col min="9" max="10" width="27.33203125" style="10" customWidth="1"/>
    <col min="11" max="11" width="26.5546875" style="3" customWidth="1"/>
    <col min="12" max="12" width="38.44140625" style="11" customWidth="1"/>
    <col min="13" max="13" width="37.5546875" style="3" customWidth="1"/>
    <col min="14" max="14" width="24.6640625" style="10" customWidth="1"/>
    <col min="15" max="15" width="24.44140625" style="11" customWidth="1"/>
    <col min="16" max="16" width="24.33203125" style="11" customWidth="1"/>
    <col min="17" max="17" width="27.44140625" style="11" customWidth="1"/>
    <col min="18" max="18" width="27.109375" style="11" customWidth="1"/>
    <col min="19" max="19" width="23.44140625" style="11" customWidth="1"/>
    <col min="20" max="20" width="22.88671875" style="10" customWidth="1"/>
    <col min="21" max="21" width="21.88671875" style="2" customWidth="1"/>
    <col min="22" max="16384" width="9.109375" style="2" hidden="1"/>
  </cols>
  <sheetData>
    <row r="1" spans="1:22" ht="18.600000000000001" thickBot="1" x14ac:dyDescent="0.35"/>
    <row r="2" spans="1:22" ht="39.9" customHeight="1" thickBot="1" x14ac:dyDescent="0.35">
      <c r="B2" s="68"/>
      <c r="C2" s="68"/>
      <c r="D2" s="68"/>
      <c r="E2" s="519" t="s">
        <v>24</v>
      </c>
      <c r="F2" s="520"/>
      <c r="G2" s="80">
        <f>SUM(G9:G9999)</f>
        <v>2375911.7600000002</v>
      </c>
      <c r="L2" s="560" t="s">
        <v>137</v>
      </c>
      <c r="M2" s="561"/>
      <c r="N2" s="69">
        <f>SUM(N9:N9999)</f>
        <v>2118812.4</v>
      </c>
      <c r="P2" s="68"/>
      <c r="Q2" s="399" t="s">
        <v>45</v>
      </c>
      <c r="R2" s="400"/>
      <c r="S2" s="401"/>
      <c r="T2" s="70">
        <f>SUM(T9:T9999)</f>
        <v>0</v>
      </c>
    </row>
    <row r="3" spans="1:22" x14ac:dyDescent="0.3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" customHeight="1" x14ac:dyDescent="0.3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44" x14ac:dyDescent="0.3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71" t="s">
        <v>46</v>
      </c>
      <c r="J6" s="71" t="s">
        <v>5</v>
      </c>
      <c r="K6" s="23" t="s">
        <v>39</v>
      </c>
      <c r="L6" s="22" t="s">
        <v>37</v>
      </c>
      <c r="M6" s="23" t="s">
        <v>6</v>
      </c>
      <c r="N6" s="71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71" t="s">
        <v>43</v>
      </c>
      <c r="U6" s="13" t="s">
        <v>42</v>
      </c>
    </row>
    <row r="7" spans="1:22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</row>
    <row r="8" spans="1:22" s="14" customFormat="1" ht="108" x14ac:dyDescent="0.3">
      <c r="A8" s="72" t="s">
        <v>36</v>
      </c>
      <c r="B8" s="72" t="s">
        <v>67</v>
      </c>
      <c r="C8" s="72" t="s">
        <v>66</v>
      </c>
      <c r="D8" s="72" t="s">
        <v>48</v>
      </c>
      <c r="E8" s="77">
        <v>43823</v>
      </c>
      <c r="F8" s="73" t="s">
        <v>65</v>
      </c>
      <c r="G8" s="74">
        <v>100000</v>
      </c>
      <c r="H8" s="74">
        <v>90000</v>
      </c>
      <c r="I8" s="78">
        <v>2308091759</v>
      </c>
      <c r="J8" s="72" t="s">
        <v>68</v>
      </c>
      <c r="K8" s="72" t="s">
        <v>69</v>
      </c>
      <c r="L8" s="73">
        <v>43801</v>
      </c>
      <c r="M8" s="72" t="s">
        <v>70</v>
      </c>
      <c r="N8" s="74">
        <v>10000</v>
      </c>
      <c r="O8" s="73">
        <v>43489</v>
      </c>
      <c r="P8" s="73"/>
      <c r="Q8" s="73"/>
      <c r="R8" s="73"/>
      <c r="S8" s="73"/>
      <c r="T8" s="74"/>
      <c r="U8" s="75" t="s">
        <v>64</v>
      </c>
    </row>
    <row r="9" spans="1:22" s="85" customFormat="1" ht="90" customHeight="1" x14ac:dyDescent="0.3">
      <c r="A9" s="407">
        <v>1</v>
      </c>
      <c r="B9" s="413"/>
      <c r="C9" s="413"/>
      <c r="D9" s="413" t="s">
        <v>153</v>
      </c>
      <c r="E9" s="409">
        <v>45300</v>
      </c>
      <c r="F9" s="419" t="s">
        <v>154</v>
      </c>
      <c r="G9" s="411">
        <v>1214926.1100000001</v>
      </c>
      <c r="H9" s="421">
        <f>IF(V9 = 6, G9 + SUM(Q9:Q12) - SUM(R9:R12) - SUM(N9:N12) - T9,0)</f>
        <v>257099.36000000022</v>
      </c>
      <c r="I9" s="569">
        <v>2312054894</v>
      </c>
      <c r="J9" s="413" t="s">
        <v>148</v>
      </c>
      <c r="K9" s="413" t="s">
        <v>248</v>
      </c>
      <c r="L9" s="189" t="s">
        <v>257</v>
      </c>
      <c r="M9" s="413" t="s">
        <v>164</v>
      </c>
      <c r="N9" s="183">
        <v>326741.28999999998</v>
      </c>
      <c r="O9" s="189" t="s">
        <v>265</v>
      </c>
      <c r="P9" s="182"/>
      <c r="Q9" s="183"/>
      <c r="R9" s="183"/>
      <c r="S9" s="419"/>
      <c r="T9" s="411"/>
      <c r="U9" s="417"/>
      <c r="V9" s="85">
        <v>6</v>
      </c>
    </row>
    <row r="10" spans="1:22" x14ac:dyDescent="0.3">
      <c r="A10" s="566"/>
      <c r="B10" s="562"/>
      <c r="C10" s="562"/>
      <c r="D10" s="562"/>
      <c r="E10" s="567"/>
      <c r="F10" s="563"/>
      <c r="G10" s="564"/>
      <c r="H10" s="568"/>
      <c r="I10" s="570"/>
      <c r="J10" s="562"/>
      <c r="K10" s="562"/>
      <c r="L10" s="190" t="s">
        <v>312</v>
      </c>
      <c r="M10" s="562"/>
      <c r="N10" s="184">
        <v>308745.11</v>
      </c>
      <c r="O10" s="190" t="s">
        <v>321</v>
      </c>
      <c r="P10" s="185"/>
      <c r="Q10" s="184"/>
      <c r="R10" s="184"/>
      <c r="S10" s="563"/>
      <c r="T10" s="564"/>
      <c r="U10" s="565"/>
      <c r="V10" s="2">
        <v>6</v>
      </c>
    </row>
    <row r="11" spans="1:22" x14ac:dyDescent="0.3">
      <c r="A11" s="566"/>
      <c r="B11" s="562"/>
      <c r="C11" s="562"/>
      <c r="D11" s="562"/>
      <c r="E11" s="567"/>
      <c r="F11" s="563"/>
      <c r="G11" s="564"/>
      <c r="H11" s="568"/>
      <c r="I11" s="570"/>
      <c r="J11" s="562"/>
      <c r="K11" s="562"/>
      <c r="L11" s="190" t="s">
        <v>402</v>
      </c>
      <c r="M11" s="562"/>
      <c r="N11" s="184">
        <v>236462.58</v>
      </c>
      <c r="O11" s="190" t="s">
        <v>400</v>
      </c>
      <c r="P11" s="185"/>
      <c r="Q11" s="184"/>
      <c r="R11" s="184"/>
      <c r="S11" s="563"/>
      <c r="T11" s="564"/>
      <c r="U11" s="565"/>
      <c r="V11" s="2">
        <v>6</v>
      </c>
    </row>
    <row r="12" spans="1:22" x14ac:dyDescent="0.3">
      <c r="A12" s="408"/>
      <c r="B12" s="414"/>
      <c r="C12" s="414"/>
      <c r="D12" s="414"/>
      <c r="E12" s="410"/>
      <c r="F12" s="420"/>
      <c r="G12" s="412"/>
      <c r="H12" s="422"/>
      <c r="I12" s="571"/>
      <c r="J12" s="414"/>
      <c r="K12" s="414"/>
      <c r="L12" s="191" t="s">
        <v>454</v>
      </c>
      <c r="M12" s="414"/>
      <c r="N12" s="186">
        <v>85877.77</v>
      </c>
      <c r="O12" s="191" t="s">
        <v>463</v>
      </c>
      <c r="P12" s="187"/>
      <c r="Q12" s="186"/>
      <c r="R12" s="186"/>
      <c r="S12" s="420"/>
      <c r="T12" s="412"/>
      <c r="U12" s="418"/>
      <c r="V12" s="2">
        <v>6</v>
      </c>
    </row>
    <row r="13" spans="1:22" s="85" customFormat="1" ht="135.6" customHeight="1" x14ac:dyDescent="0.3">
      <c r="A13" s="370">
        <v>2</v>
      </c>
      <c r="B13" s="376"/>
      <c r="C13" s="376"/>
      <c r="D13" s="376" t="s">
        <v>288</v>
      </c>
      <c r="E13" s="372">
        <v>45366</v>
      </c>
      <c r="F13" s="382" t="s">
        <v>289</v>
      </c>
      <c r="G13" s="374">
        <v>1042002.5</v>
      </c>
      <c r="H13" s="405">
        <f>IF(V13 = 7, G13 + SUM(Q13:Q14) - SUM(R13:R14) - SUM(N13:N14) - T13,0)</f>
        <v>0</v>
      </c>
      <c r="I13" s="572">
        <v>7715995942</v>
      </c>
      <c r="J13" s="376" t="s">
        <v>290</v>
      </c>
      <c r="K13" s="376" t="s">
        <v>325</v>
      </c>
      <c r="L13" s="235" t="s">
        <v>462</v>
      </c>
      <c r="M13" s="376" t="s">
        <v>291</v>
      </c>
      <c r="N13" s="226">
        <v>970120.25</v>
      </c>
      <c r="O13" s="235" t="s">
        <v>458</v>
      </c>
      <c r="P13" s="225"/>
      <c r="Q13" s="226"/>
      <c r="R13" s="226"/>
      <c r="S13" s="382"/>
      <c r="T13" s="374"/>
      <c r="U13" s="380"/>
      <c r="V13" s="85">
        <v>7</v>
      </c>
    </row>
    <row r="14" spans="1:22" x14ac:dyDescent="0.3">
      <c r="A14" s="371"/>
      <c r="B14" s="377"/>
      <c r="C14" s="377"/>
      <c r="D14" s="377"/>
      <c r="E14" s="373"/>
      <c r="F14" s="383"/>
      <c r="G14" s="375"/>
      <c r="H14" s="406"/>
      <c r="I14" s="573"/>
      <c r="J14" s="377"/>
      <c r="K14" s="377"/>
      <c r="L14" s="233">
        <v>45444</v>
      </c>
      <c r="M14" s="377"/>
      <c r="N14" s="232">
        <v>71882.25</v>
      </c>
      <c r="O14" s="237">
        <v>45477</v>
      </c>
      <c r="P14" s="233"/>
      <c r="Q14" s="232"/>
      <c r="R14" s="232"/>
      <c r="S14" s="383"/>
      <c r="T14" s="375"/>
      <c r="U14" s="381"/>
      <c r="V14" s="2">
        <v>7</v>
      </c>
    </row>
    <row r="15" spans="1:22" s="85" customFormat="1" ht="108" customHeight="1" x14ac:dyDescent="0.3">
      <c r="A15" s="223">
        <v>3</v>
      </c>
      <c r="B15" s="224"/>
      <c r="C15" s="224"/>
      <c r="D15" s="224" t="s">
        <v>322</v>
      </c>
      <c r="E15" s="235" t="s">
        <v>323</v>
      </c>
      <c r="F15" s="225" t="s">
        <v>289</v>
      </c>
      <c r="G15" s="226">
        <v>114292.75</v>
      </c>
      <c r="H15" s="227">
        <f>IF(V15 = 8, G15 + SUM(Q15:Q15) - SUM(R15:R15) - SUM(N15:N15) - T15,0)</f>
        <v>0</v>
      </c>
      <c r="I15" s="238">
        <v>7715995942</v>
      </c>
      <c r="J15" s="224" t="s">
        <v>290</v>
      </c>
      <c r="K15" s="224" t="s">
        <v>324</v>
      </c>
      <c r="L15" s="225">
        <v>45444</v>
      </c>
      <c r="M15" s="224" t="s">
        <v>291</v>
      </c>
      <c r="N15" s="226">
        <v>114292.75</v>
      </c>
      <c r="O15" s="235">
        <v>45477</v>
      </c>
      <c r="P15" s="225"/>
      <c r="Q15" s="226"/>
      <c r="R15" s="226"/>
      <c r="S15" s="225"/>
      <c r="T15" s="226"/>
      <c r="U15" s="228"/>
      <c r="V15" s="85">
        <v>8</v>
      </c>
    </row>
    <row r="16" spans="1:22" s="85" customFormat="1" ht="108" x14ac:dyDescent="0.3">
      <c r="A16" s="123">
        <v>4</v>
      </c>
      <c r="B16" s="124"/>
      <c r="C16" s="124"/>
      <c r="D16" s="124" t="s">
        <v>326</v>
      </c>
      <c r="E16" s="125" t="s">
        <v>323</v>
      </c>
      <c r="F16" s="126" t="s">
        <v>289</v>
      </c>
      <c r="G16" s="127">
        <v>4690.3999999999996</v>
      </c>
      <c r="H16" s="128">
        <f>IF(V16 = 9, G16 + SUM(Q16:Q16) - SUM(R16:R16) - SUM(N16:N16) - T16,0)</f>
        <v>0</v>
      </c>
      <c r="I16" s="129">
        <v>7715995942</v>
      </c>
      <c r="J16" s="124" t="s">
        <v>290</v>
      </c>
      <c r="K16" s="124" t="s">
        <v>324</v>
      </c>
      <c r="L16" s="125" t="s">
        <v>467</v>
      </c>
      <c r="M16" s="124" t="s">
        <v>291</v>
      </c>
      <c r="N16" s="127">
        <v>4690.3999999999996</v>
      </c>
      <c r="O16" s="125" t="s">
        <v>468</v>
      </c>
      <c r="P16" s="126"/>
      <c r="Q16" s="127"/>
      <c r="R16" s="127"/>
      <c r="S16" s="126"/>
      <c r="T16" s="127"/>
      <c r="U16" s="130"/>
      <c r="V16" s="85">
        <v>9</v>
      </c>
    </row>
    <row r="17" spans="22:22" x14ac:dyDescent="0.3">
      <c r="V17" s="2">
        <v>10</v>
      </c>
    </row>
  </sheetData>
  <sheetProtection algorithmName="SHA-512" hashValue="U4dai+Vi2cntFiX3597/QGeL7ZyR72Qp1XYee+xksV0N9fN5SbzlEMZhT17JETvIBlPbP4z0ekuoIzVX6XfTzw==" saltValue="/raV1HnGbbWLIzv5TQSdIA==" spinCount="100000" sheet="1" objects="1" scenarios="1" formatCells="0" formatColumns="0" formatRows="0"/>
  <mergeCells count="33">
    <mergeCell ref="U13:U14"/>
    <mergeCell ref="D13:D14"/>
    <mergeCell ref="E13:E14"/>
    <mergeCell ref="F13:F14"/>
    <mergeCell ref="G13:G14"/>
    <mergeCell ref="H13:H14"/>
    <mergeCell ref="I13:I14"/>
    <mergeCell ref="J13:J14"/>
    <mergeCell ref="K13:K14"/>
    <mergeCell ref="A13:A14"/>
    <mergeCell ref="M13:M14"/>
    <mergeCell ref="S13:S14"/>
    <mergeCell ref="B13:B14"/>
    <mergeCell ref="T13:T14"/>
    <mergeCell ref="C13:C14"/>
    <mergeCell ref="T9:T12"/>
    <mergeCell ref="U9:U12"/>
    <mergeCell ref="A9:A12"/>
    <mergeCell ref="B9:B12"/>
    <mergeCell ref="C9:C12"/>
    <mergeCell ref="D9:D12"/>
    <mergeCell ref="E9:E12"/>
    <mergeCell ref="F9:F12"/>
    <mergeCell ref="G9:G12"/>
    <mergeCell ref="H9:H12"/>
    <mergeCell ref="I9:I12"/>
    <mergeCell ref="J9:J12"/>
    <mergeCell ref="K9:K12"/>
    <mergeCell ref="Q2:S2"/>
    <mergeCell ref="E2:F2"/>
    <mergeCell ref="L2:M2"/>
    <mergeCell ref="M9:M12"/>
    <mergeCell ref="S9:S12"/>
  </mergeCells>
  <pageMargins left="0.70866141732283472" right="0.70866141732283472" top="0.74803149606299213" bottom="0.74803149606299213" header="0.31496062992125984" footer="0.31496062992125984"/>
  <pageSetup paperSize="9" scale="22" fitToHeight="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9">
    <tabColor theme="3" tint="0.39997558519241921"/>
  </sheetPr>
  <dimension ref="A1:AL11"/>
  <sheetViews>
    <sheetView showGridLines="0" topLeftCell="M1" zoomScale="50" zoomScaleNormal="50" workbookViewId="0">
      <pane ySplit="8" topLeftCell="A9" activePane="bottomLeft" state="frozen"/>
      <selection pane="bottomLeft" activeCell="V9" sqref="V9"/>
    </sheetView>
  </sheetViews>
  <sheetFormatPr defaultColWidth="0" defaultRowHeight="18" x14ac:dyDescent="0.3"/>
  <cols>
    <col min="1" max="1" width="9.109375" style="3" customWidth="1"/>
    <col min="2" max="2" width="44" style="3" customWidth="1"/>
    <col min="3" max="3" width="30.6640625" style="3" customWidth="1"/>
    <col min="4" max="6" width="33.6640625" style="3" customWidth="1"/>
    <col min="7" max="8" width="22.33203125" style="10" customWidth="1"/>
    <col min="9" max="9" width="24.33203125" style="29" customWidth="1"/>
    <col min="10" max="10" width="28.44140625" style="29" customWidth="1"/>
    <col min="11" max="12" width="19.5546875" style="3" customWidth="1"/>
    <col min="13" max="13" width="25.6640625" style="3" customWidth="1"/>
    <col min="14" max="14" width="24.44140625" style="11" bestFit="1" customWidth="1"/>
    <col min="15" max="15" width="24.44140625" style="3" customWidth="1"/>
    <col min="16" max="16" width="31.5546875" style="3" customWidth="1"/>
    <col min="17" max="18" width="21.88671875" style="10" customWidth="1"/>
    <col min="19" max="19" width="23.5546875" style="3" customWidth="1"/>
    <col min="20" max="20" width="31.33203125" style="11" customWidth="1"/>
    <col min="21" max="21" width="27.6640625" style="11" customWidth="1"/>
    <col min="22" max="22" width="25.44140625" style="10" customWidth="1"/>
    <col min="23" max="23" width="25" style="11" customWidth="1"/>
    <col min="24" max="24" width="24.5546875" style="3" customWidth="1"/>
    <col min="25" max="25" width="24.88671875" style="3" customWidth="1"/>
    <col min="26" max="26" width="24" style="3" customWidth="1"/>
    <col min="27" max="27" width="23.6640625" style="11" customWidth="1"/>
    <col min="28" max="28" width="19.109375" style="10" customWidth="1"/>
    <col min="29" max="29" width="23.109375" style="3" customWidth="1"/>
    <col min="30" max="30" width="9.109375" style="2" hidden="1" customWidth="1"/>
    <col min="31" max="31" width="8.5546875" style="2" hidden="1" customWidth="1"/>
    <col min="32" max="38" width="0" style="2" hidden="1" customWidth="1"/>
    <col min="39" max="16384" width="9.109375" style="2" hidden="1"/>
  </cols>
  <sheetData>
    <row r="1" spans="1:30" ht="18.600000000000001" thickBot="1" x14ac:dyDescent="0.35"/>
    <row r="2" spans="1:30" ht="39.9" customHeight="1" thickBot="1" x14ac:dyDescent="0.35">
      <c r="E2" s="519" t="s">
        <v>139</v>
      </c>
      <c r="F2" s="520"/>
      <c r="G2" s="82">
        <f>SUM(G9:G9999)</f>
        <v>0</v>
      </c>
      <c r="O2" s="519" t="s">
        <v>24</v>
      </c>
      <c r="P2" s="520"/>
      <c r="Q2" s="80">
        <f>SUM(Q9:Q9999)</f>
        <v>0</v>
      </c>
      <c r="T2" s="399" t="s">
        <v>137</v>
      </c>
      <c r="U2" s="401"/>
      <c r="V2" s="69">
        <f>SUM(V9:V9999)</f>
        <v>0</v>
      </c>
      <c r="X2" s="68"/>
      <c r="Y2" s="399" t="s">
        <v>45</v>
      </c>
      <c r="Z2" s="400"/>
      <c r="AA2" s="401"/>
      <c r="AB2" s="70">
        <f>SUM(AB9:AB9999)</f>
        <v>0</v>
      </c>
    </row>
    <row r="3" spans="1:30" x14ac:dyDescent="0.3">
      <c r="T3" s="2"/>
      <c r="U3" s="2"/>
      <c r="X3" s="2"/>
      <c r="Y3" s="2"/>
      <c r="Z3" s="2"/>
      <c r="AA3" s="2"/>
    </row>
    <row r="4" spans="1:30" ht="39.9" customHeight="1" x14ac:dyDescent="0.3">
      <c r="T4" s="2"/>
      <c r="U4" s="2"/>
      <c r="X4" s="2"/>
      <c r="Y4" s="2"/>
      <c r="Z4" s="2"/>
      <c r="AA4" s="2"/>
    </row>
    <row r="6" spans="1:30" ht="126" x14ac:dyDescent="0.3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25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18</v>
      </c>
      <c r="R6" s="25" t="s">
        <v>22</v>
      </c>
      <c r="S6" s="18" t="s">
        <v>19</v>
      </c>
      <c r="T6" s="24" t="s">
        <v>37</v>
      </c>
      <c r="U6" s="24" t="s">
        <v>20</v>
      </c>
      <c r="V6" s="25" t="s">
        <v>23</v>
      </c>
      <c r="W6" s="24" t="s">
        <v>9</v>
      </c>
      <c r="X6" s="23" t="s">
        <v>40</v>
      </c>
      <c r="Y6" s="23" t="s">
        <v>103</v>
      </c>
      <c r="Z6" s="23" t="s">
        <v>104</v>
      </c>
      <c r="AA6" s="22" t="s">
        <v>41</v>
      </c>
      <c r="AB6" s="25" t="s">
        <v>43</v>
      </c>
      <c r="AC6" s="18" t="s">
        <v>42</v>
      </c>
    </row>
    <row r="7" spans="1:30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2" x14ac:dyDescent="0.3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4"/>
      <c r="Z8" s="54"/>
      <c r="AA8" s="20"/>
      <c r="AB8" s="19"/>
      <c r="AC8" s="21" t="s">
        <v>64</v>
      </c>
    </row>
    <row r="9" spans="1:30" s="85" customFormat="1" ht="72" x14ac:dyDescent="0.3">
      <c r="A9" s="215">
        <v>1</v>
      </c>
      <c r="B9" s="217"/>
      <c r="C9" s="217" t="s">
        <v>515</v>
      </c>
      <c r="D9" s="217"/>
      <c r="E9" s="217"/>
      <c r="F9" s="217"/>
      <c r="G9" s="216"/>
      <c r="H9" s="221">
        <f>IF(AD9 = 1, G9 - Q9,0)</f>
        <v>0</v>
      </c>
      <c r="I9" s="216"/>
      <c r="J9" s="216"/>
      <c r="K9" s="217"/>
      <c r="L9" s="217"/>
      <c r="M9" s="217"/>
      <c r="N9" s="222">
        <v>45470</v>
      </c>
      <c r="O9" s="217" t="s">
        <v>543</v>
      </c>
      <c r="P9" s="217" t="s">
        <v>544</v>
      </c>
      <c r="Q9" s="216"/>
      <c r="R9" s="221">
        <f>IF(AD9 = 1, Q9 + SUM(Y9:Y9) - SUM(Z9:Z9) - SUM(V9:V9) - AB9,0)</f>
        <v>0</v>
      </c>
      <c r="S9" s="217" t="s">
        <v>546</v>
      </c>
      <c r="T9" s="222"/>
      <c r="U9" s="220" t="s">
        <v>545</v>
      </c>
      <c r="V9" s="216"/>
      <c r="W9" s="222"/>
      <c r="X9" s="217"/>
      <c r="Y9" s="216"/>
      <c r="Z9" s="216"/>
      <c r="AA9" s="220"/>
      <c r="AB9" s="216"/>
      <c r="AC9" s="217"/>
      <c r="AD9" s="85">
        <v>1</v>
      </c>
    </row>
    <row r="10" spans="1:30" s="85" customFormat="1" ht="72" x14ac:dyDescent="0.3">
      <c r="A10" s="215">
        <v>2</v>
      </c>
      <c r="B10" s="217"/>
      <c r="C10" s="217" t="s">
        <v>202</v>
      </c>
      <c r="D10" s="217"/>
      <c r="E10" s="217"/>
      <c r="F10" s="217"/>
      <c r="G10" s="216"/>
      <c r="H10" s="221">
        <f>IF(AD10 = 2, G10 - Q10,0)</f>
        <v>0</v>
      </c>
      <c r="I10" s="216"/>
      <c r="J10" s="216"/>
      <c r="K10" s="217"/>
      <c r="L10" s="217"/>
      <c r="M10" s="217"/>
      <c r="N10" s="222">
        <v>45652</v>
      </c>
      <c r="O10" s="217" t="s">
        <v>543</v>
      </c>
      <c r="P10" s="217" t="s">
        <v>544</v>
      </c>
      <c r="Q10" s="216"/>
      <c r="R10" s="221">
        <f>IF(AD10 = 2, Q10 + SUM(Y10:Y10) - SUM(Z10:Z10) - SUM(V10:V10) - AB10,0)</f>
        <v>0</v>
      </c>
      <c r="S10" s="217" t="s">
        <v>547</v>
      </c>
      <c r="T10" s="222"/>
      <c r="U10" s="220" t="s">
        <v>545</v>
      </c>
      <c r="V10" s="216"/>
      <c r="W10" s="222"/>
      <c r="X10" s="217"/>
      <c r="Y10" s="216"/>
      <c r="Z10" s="216"/>
      <c r="AA10" s="220"/>
      <c r="AB10" s="216"/>
      <c r="AC10" s="217"/>
      <c r="AD10" s="85">
        <v>2</v>
      </c>
    </row>
    <row r="11" spans="1:30" x14ac:dyDescent="0.3">
      <c r="AD11" s="2">
        <v>3</v>
      </c>
    </row>
  </sheetData>
  <sheetProtection algorithmName="SHA-512" hashValue="1z7Y6RqGe3KpyxWhJ+fxZW19HSXiolntoEb3ZAhff8ukN2TYubrUfUtG1fSjD16UqiJwnM5knabSDaE5piealg==" saltValue="DIR1nonzqI5HJ1XBd/pbbQ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20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" x14ac:dyDescent="0.3"/>
  <cols>
    <col min="1" max="1" width="9.109375" style="3" customWidth="1"/>
    <col min="2" max="2" width="47.109375" style="3" customWidth="1"/>
    <col min="3" max="3" width="34.44140625" style="3" customWidth="1"/>
    <col min="4" max="6" width="33.6640625" style="3" customWidth="1"/>
    <col min="7" max="7" width="22.33203125" style="10" customWidth="1"/>
    <col min="8" max="8" width="22.33203125" style="2" customWidth="1"/>
    <col min="9" max="9" width="24.33203125" style="29" customWidth="1"/>
    <col min="10" max="10" width="28.44140625" style="29" customWidth="1"/>
    <col min="11" max="12" width="19.5546875" style="3" customWidth="1"/>
    <col min="13" max="13" width="25.6640625" style="3" customWidth="1"/>
    <col min="14" max="14" width="24.44140625" style="11" bestFit="1" customWidth="1"/>
    <col min="15" max="15" width="24.44140625" style="3" customWidth="1"/>
    <col min="16" max="16" width="31.5546875" style="3" customWidth="1"/>
    <col min="17" max="17" width="27" style="10" customWidth="1"/>
    <col min="18" max="18" width="21.88671875" style="2" customWidth="1"/>
    <col min="19" max="19" width="23.5546875" style="2" customWidth="1"/>
    <col min="20" max="20" width="32.44140625" style="2" customWidth="1"/>
    <col min="21" max="21" width="27.6640625" style="2" customWidth="1"/>
    <col min="22" max="22" width="25.44140625" style="2" customWidth="1"/>
    <col min="23" max="23" width="25" style="2" customWidth="1"/>
    <col min="24" max="26" width="25.109375" style="2" customWidth="1"/>
    <col min="27" max="27" width="23.88671875" style="2" customWidth="1"/>
    <col min="28" max="28" width="20.33203125" style="2" customWidth="1"/>
    <col min="29" max="29" width="20" style="2" customWidth="1"/>
    <col min="30" max="38" width="0" style="2" hidden="1" customWidth="1"/>
    <col min="39" max="16384" width="9.109375" style="2" hidden="1"/>
  </cols>
  <sheetData>
    <row r="1" spans="1:30" ht="18.600000000000001" thickBot="1" x14ac:dyDescent="0.35"/>
    <row r="2" spans="1:30" ht="39.9" customHeight="1" thickBot="1" x14ac:dyDescent="0.35">
      <c r="E2" s="519" t="s">
        <v>139</v>
      </c>
      <c r="F2" s="520"/>
      <c r="G2" s="82">
        <f>SUM(G9:G9999)</f>
        <v>0</v>
      </c>
      <c r="H2" s="10"/>
      <c r="O2" s="519" t="s">
        <v>24</v>
      </c>
      <c r="P2" s="520"/>
      <c r="Q2" s="80">
        <f>SUM(Q9:Q9999)</f>
        <v>0</v>
      </c>
      <c r="T2" s="399" t="s">
        <v>137</v>
      </c>
      <c r="U2" s="401"/>
      <c r="V2" s="69">
        <f>SUM(V9:V9999)</f>
        <v>0</v>
      </c>
      <c r="X2" s="68"/>
      <c r="Y2" s="399" t="s">
        <v>45</v>
      </c>
      <c r="Z2" s="400"/>
      <c r="AA2" s="401"/>
      <c r="AB2" s="70">
        <f>SUM(AB9:AB9999)</f>
        <v>0</v>
      </c>
    </row>
    <row r="4" spans="1:30" ht="39.9" customHeight="1" x14ac:dyDescent="0.3"/>
    <row r="6" spans="1:30" ht="108" x14ac:dyDescent="0.3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2" x14ac:dyDescent="0.3">
      <c r="A8" s="54" t="s">
        <v>36</v>
      </c>
      <c r="B8" s="54"/>
      <c r="C8" s="54" t="s">
        <v>73</v>
      </c>
      <c r="D8" s="54" t="s">
        <v>74</v>
      </c>
      <c r="E8" s="54" t="s">
        <v>71</v>
      </c>
      <c r="F8" s="54" t="s">
        <v>72</v>
      </c>
      <c r="G8" s="56">
        <v>15500.01</v>
      </c>
      <c r="H8" s="56">
        <f t="shared" ref="H8" si="0">G8-Q8</f>
        <v>6725</v>
      </c>
      <c r="I8" s="79">
        <v>6</v>
      </c>
      <c r="J8" s="79">
        <v>0</v>
      </c>
      <c r="K8" s="54" t="s">
        <v>75</v>
      </c>
      <c r="L8" s="54" t="s">
        <v>76</v>
      </c>
      <c r="M8" s="54" t="s">
        <v>77</v>
      </c>
      <c r="N8" s="55">
        <v>43655</v>
      </c>
      <c r="O8" s="54" t="s">
        <v>79</v>
      </c>
      <c r="P8" s="54" t="s">
        <v>78</v>
      </c>
      <c r="Q8" s="56">
        <v>8775.01</v>
      </c>
      <c r="R8" s="56">
        <f>Q8-V8</f>
        <v>0</v>
      </c>
      <c r="S8" s="54" t="s">
        <v>80</v>
      </c>
      <c r="T8" s="55">
        <v>43677</v>
      </c>
      <c r="U8" s="54" t="s">
        <v>81</v>
      </c>
      <c r="V8" s="56">
        <v>8775.01</v>
      </c>
      <c r="W8" s="55">
        <v>43696</v>
      </c>
      <c r="X8" s="54"/>
      <c r="Y8" s="54"/>
      <c r="Z8" s="54"/>
      <c r="AA8" s="54"/>
      <c r="AB8" s="56"/>
      <c r="AC8" s="57" t="s">
        <v>64</v>
      </c>
    </row>
    <row r="9" spans="1:30" x14ac:dyDescent="0.3">
      <c r="AD9" s="2">
        <v>2</v>
      </c>
    </row>
  </sheetData>
  <sheetProtection algorithmName="SHA-512" hashValue="h8g3HjQGbQDQpD4a8ijwoJxiL53BM0ZL/3axiodcg24rzG3kvEjPr2wBaRZF3YtIbks/EPqf36KvIB7J2Ngzuw==" saltValue="T70M3T/lUQL+Js2vwqk/Ng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21">
    <tabColor theme="3" tint="0.39997558519241921"/>
  </sheetPr>
  <dimension ref="A1:AD49"/>
  <sheetViews>
    <sheetView showGridLines="0" tabSelected="1" zoomScale="50" zoomScaleNormal="50" workbookViewId="0">
      <pane ySplit="8" topLeftCell="A36" activePane="bottomLeft" state="frozen"/>
      <selection pane="bottomLeft" activeCell="X40" sqref="X40"/>
    </sheetView>
  </sheetViews>
  <sheetFormatPr defaultColWidth="0" defaultRowHeight="18" x14ac:dyDescent="0.3"/>
  <cols>
    <col min="1" max="1" width="9.109375" style="2" customWidth="1"/>
    <col min="2" max="2" width="47.109375" style="2" customWidth="1"/>
    <col min="3" max="3" width="33.33203125" style="2" customWidth="1"/>
    <col min="4" max="6" width="33.6640625" style="2" customWidth="1"/>
    <col min="7" max="8" width="22.33203125" style="2" customWidth="1"/>
    <col min="9" max="9" width="24.33203125" style="2" customWidth="1"/>
    <col min="10" max="10" width="28.44140625" style="2" customWidth="1"/>
    <col min="11" max="12" width="19.5546875" style="2" customWidth="1"/>
    <col min="13" max="13" width="27.6640625" style="2" customWidth="1"/>
    <col min="14" max="14" width="24.44140625" style="2" bestFit="1" customWidth="1"/>
    <col min="15" max="15" width="27.44140625" style="2" customWidth="1"/>
    <col min="16" max="16" width="31.5546875" style="2" customWidth="1"/>
    <col min="17" max="18" width="21.88671875" style="2" customWidth="1"/>
    <col min="19" max="19" width="23.5546875" style="2" customWidth="1"/>
    <col min="20" max="20" width="31.88671875" style="2" customWidth="1"/>
    <col min="21" max="21" width="27.6640625" style="2" customWidth="1"/>
    <col min="22" max="22" width="25.44140625" style="2" customWidth="1"/>
    <col min="23" max="23" width="25" style="2" customWidth="1"/>
    <col min="24" max="26" width="29.44140625" style="2" customWidth="1"/>
    <col min="27" max="27" width="26.33203125" style="2" customWidth="1"/>
    <col min="28" max="28" width="25.109375" style="2" customWidth="1"/>
    <col min="29" max="29" width="19.109375" style="2" customWidth="1"/>
    <col min="30" max="16384" width="9.109375" style="2" hidden="1"/>
  </cols>
  <sheetData>
    <row r="1" spans="1:30" ht="18.600000000000001" thickBot="1" x14ac:dyDescent="0.35"/>
    <row r="2" spans="1:30" ht="39.9" customHeight="1" thickBot="1" x14ac:dyDescent="0.35">
      <c r="E2" s="519" t="s">
        <v>139</v>
      </c>
      <c r="F2" s="520"/>
      <c r="G2" s="82">
        <f>SUM(G9:G10001)</f>
        <v>3760827</v>
      </c>
      <c r="H2" s="10"/>
      <c r="O2" s="519" t="s">
        <v>24</v>
      </c>
      <c r="P2" s="520"/>
      <c r="Q2" s="80">
        <f>SUM(Q9:Q10001)</f>
        <v>2379074.91</v>
      </c>
      <c r="T2" s="399" t="s">
        <v>137</v>
      </c>
      <c r="U2" s="401"/>
      <c r="V2" s="69">
        <f>SUM(V9:V10001)</f>
        <v>1178904.3799999999</v>
      </c>
      <c r="X2" s="68"/>
      <c r="Y2" s="399" t="s">
        <v>45</v>
      </c>
      <c r="Z2" s="400"/>
      <c r="AA2" s="401"/>
      <c r="AB2" s="70">
        <f>SUM(AB9:AB10001)</f>
        <v>73610.350000000006</v>
      </c>
    </row>
    <row r="4" spans="1:30" ht="39.9" customHeight="1" x14ac:dyDescent="0.3">
      <c r="P4" s="398"/>
      <c r="Q4" s="398"/>
      <c r="R4" s="398"/>
      <c r="T4" s="68"/>
      <c r="U4" s="68"/>
    </row>
    <row r="6" spans="1:30" ht="126" x14ac:dyDescent="0.3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3">
      <c r="A7" s="76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  <c r="P7" s="76">
        <v>16</v>
      </c>
      <c r="Q7" s="76">
        <v>17</v>
      </c>
      <c r="R7" s="76">
        <v>18</v>
      </c>
      <c r="S7" s="76">
        <v>19</v>
      </c>
      <c r="T7" s="76">
        <v>20</v>
      </c>
      <c r="U7" s="76">
        <v>21</v>
      </c>
      <c r="V7" s="76">
        <v>22</v>
      </c>
      <c r="W7" s="76">
        <v>23</v>
      </c>
      <c r="X7" s="76">
        <v>24</v>
      </c>
      <c r="Y7" s="76">
        <v>25</v>
      </c>
      <c r="Z7" s="76">
        <v>26</v>
      </c>
      <c r="AA7" s="76">
        <v>27</v>
      </c>
      <c r="AB7" s="76">
        <v>28</v>
      </c>
      <c r="AC7" s="76">
        <v>29</v>
      </c>
    </row>
    <row r="8" spans="1:30" ht="162" x14ac:dyDescent="0.3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4"/>
      <c r="Z8" s="54"/>
      <c r="AA8" s="21"/>
      <c r="AB8" s="19"/>
      <c r="AC8" s="12" t="s">
        <v>64</v>
      </c>
    </row>
    <row r="9" spans="1:30" s="85" customFormat="1" ht="88.8" customHeight="1" x14ac:dyDescent="0.3">
      <c r="A9" s="543">
        <v>1</v>
      </c>
      <c r="B9" s="462" t="s">
        <v>56</v>
      </c>
      <c r="C9" s="462" t="s">
        <v>198</v>
      </c>
      <c r="D9" s="462"/>
      <c r="E9" s="462" t="s">
        <v>199</v>
      </c>
      <c r="F9" s="462" t="s">
        <v>184</v>
      </c>
      <c r="G9" s="471">
        <v>700940.87</v>
      </c>
      <c r="H9" s="480">
        <f>IF(AD9 = 5, G9 - Q9,0)</f>
        <v>0</v>
      </c>
      <c r="I9" s="471"/>
      <c r="J9" s="471"/>
      <c r="K9" s="462"/>
      <c r="L9" s="462"/>
      <c r="M9" s="462" t="s">
        <v>197</v>
      </c>
      <c r="N9" s="465" t="s">
        <v>200</v>
      </c>
      <c r="O9" s="462">
        <v>2353020735</v>
      </c>
      <c r="P9" s="462" t="s">
        <v>177</v>
      </c>
      <c r="Q9" s="471">
        <v>700940.87</v>
      </c>
      <c r="R9" s="480">
        <f>IF(AD9 = 5, Q9 + SUM(Y9:Y29) - SUM(Z9:Z29) - SUM(V9:V29) - AB9,0)</f>
        <v>-2.9103830456733704E-11</v>
      </c>
      <c r="S9" s="462" t="s">
        <v>201</v>
      </c>
      <c r="T9" s="167" t="s">
        <v>260</v>
      </c>
      <c r="U9" s="462" t="s">
        <v>156</v>
      </c>
      <c r="V9" s="160">
        <v>29010</v>
      </c>
      <c r="W9" s="167" t="s">
        <v>259</v>
      </c>
      <c r="X9" s="158"/>
      <c r="Y9" s="160"/>
      <c r="Z9" s="160"/>
      <c r="AA9" s="462" t="s">
        <v>453</v>
      </c>
      <c r="AB9" s="471">
        <v>73610.350000000006</v>
      </c>
      <c r="AC9" s="474"/>
      <c r="AD9" s="85">
        <v>5</v>
      </c>
    </row>
    <row r="10" spans="1:30" x14ac:dyDescent="0.3">
      <c r="A10" s="544"/>
      <c r="B10" s="463"/>
      <c r="C10" s="463"/>
      <c r="D10" s="463"/>
      <c r="E10" s="463"/>
      <c r="F10" s="463"/>
      <c r="G10" s="472"/>
      <c r="H10" s="481"/>
      <c r="I10" s="472"/>
      <c r="J10" s="472"/>
      <c r="K10" s="463"/>
      <c r="L10" s="463"/>
      <c r="M10" s="463"/>
      <c r="N10" s="466"/>
      <c r="O10" s="463"/>
      <c r="P10" s="463"/>
      <c r="Q10" s="472"/>
      <c r="R10" s="481"/>
      <c r="S10" s="463"/>
      <c r="T10" s="168" t="s">
        <v>261</v>
      </c>
      <c r="U10" s="463"/>
      <c r="V10" s="161">
        <v>23040</v>
      </c>
      <c r="W10" s="168" t="s">
        <v>259</v>
      </c>
      <c r="X10" s="163"/>
      <c r="Y10" s="161"/>
      <c r="Z10" s="161"/>
      <c r="AA10" s="463"/>
      <c r="AB10" s="472"/>
      <c r="AC10" s="475"/>
      <c r="AD10" s="2">
        <v>5</v>
      </c>
    </row>
    <row r="11" spans="1:30" x14ac:dyDescent="0.3">
      <c r="A11" s="544"/>
      <c r="B11" s="463"/>
      <c r="C11" s="463"/>
      <c r="D11" s="463"/>
      <c r="E11" s="463"/>
      <c r="F11" s="463"/>
      <c r="G11" s="472"/>
      <c r="H11" s="481"/>
      <c r="I11" s="472"/>
      <c r="J11" s="472"/>
      <c r="K11" s="463"/>
      <c r="L11" s="463"/>
      <c r="M11" s="463"/>
      <c r="N11" s="466"/>
      <c r="O11" s="463"/>
      <c r="P11" s="463"/>
      <c r="Q11" s="472"/>
      <c r="R11" s="481"/>
      <c r="S11" s="463"/>
      <c r="T11" s="168" t="s">
        <v>262</v>
      </c>
      <c r="U11" s="463"/>
      <c r="V11" s="161">
        <v>2940</v>
      </c>
      <c r="W11" s="168" t="s">
        <v>259</v>
      </c>
      <c r="X11" s="163"/>
      <c r="Y11" s="161"/>
      <c r="Z11" s="161"/>
      <c r="AA11" s="463"/>
      <c r="AB11" s="472"/>
      <c r="AC11" s="475"/>
      <c r="AD11" s="2">
        <v>5</v>
      </c>
    </row>
    <row r="12" spans="1:30" x14ac:dyDescent="0.3">
      <c r="A12" s="544"/>
      <c r="B12" s="463"/>
      <c r="C12" s="463"/>
      <c r="D12" s="463"/>
      <c r="E12" s="463"/>
      <c r="F12" s="463"/>
      <c r="G12" s="472"/>
      <c r="H12" s="481"/>
      <c r="I12" s="472"/>
      <c r="J12" s="472"/>
      <c r="K12" s="463"/>
      <c r="L12" s="463"/>
      <c r="M12" s="463"/>
      <c r="N12" s="466"/>
      <c r="O12" s="463"/>
      <c r="P12" s="463"/>
      <c r="Q12" s="472"/>
      <c r="R12" s="481"/>
      <c r="S12" s="463"/>
      <c r="T12" s="168" t="s">
        <v>262</v>
      </c>
      <c r="U12" s="463"/>
      <c r="V12" s="161">
        <v>8444.6299999999992</v>
      </c>
      <c r="W12" s="168" t="s">
        <v>263</v>
      </c>
      <c r="X12" s="163"/>
      <c r="Y12" s="161"/>
      <c r="Z12" s="161"/>
      <c r="AA12" s="463"/>
      <c r="AB12" s="472"/>
      <c r="AC12" s="475"/>
      <c r="AD12" s="2">
        <v>5</v>
      </c>
    </row>
    <row r="13" spans="1:30" x14ac:dyDescent="0.3">
      <c r="A13" s="544"/>
      <c r="B13" s="463"/>
      <c r="C13" s="463"/>
      <c r="D13" s="463"/>
      <c r="E13" s="463"/>
      <c r="F13" s="463"/>
      <c r="G13" s="472"/>
      <c r="H13" s="481"/>
      <c r="I13" s="472"/>
      <c r="J13" s="472"/>
      <c r="K13" s="463"/>
      <c r="L13" s="463"/>
      <c r="M13" s="463"/>
      <c r="N13" s="466"/>
      <c r="O13" s="463"/>
      <c r="P13" s="463"/>
      <c r="Q13" s="472"/>
      <c r="R13" s="481"/>
      <c r="S13" s="463"/>
      <c r="T13" s="168" t="s">
        <v>262</v>
      </c>
      <c r="U13" s="463"/>
      <c r="V13" s="161">
        <v>539.03</v>
      </c>
      <c r="W13" s="168" t="s">
        <v>263</v>
      </c>
      <c r="X13" s="163"/>
      <c r="Y13" s="161"/>
      <c r="Z13" s="161"/>
      <c r="AA13" s="463"/>
      <c r="AB13" s="472"/>
      <c r="AC13" s="475"/>
      <c r="AD13" s="2">
        <v>5</v>
      </c>
    </row>
    <row r="14" spans="1:30" x14ac:dyDescent="0.3">
      <c r="A14" s="544"/>
      <c r="B14" s="463"/>
      <c r="C14" s="463"/>
      <c r="D14" s="463"/>
      <c r="E14" s="463"/>
      <c r="F14" s="463"/>
      <c r="G14" s="472"/>
      <c r="H14" s="481"/>
      <c r="I14" s="472"/>
      <c r="J14" s="472"/>
      <c r="K14" s="463"/>
      <c r="L14" s="463"/>
      <c r="M14" s="463"/>
      <c r="N14" s="466"/>
      <c r="O14" s="463"/>
      <c r="P14" s="463"/>
      <c r="Q14" s="472"/>
      <c r="R14" s="481"/>
      <c r="S14" s="463"/>
      <c r="T14" s="168" t="s">
        <v>261</v>
      </c>
      <c r="U14" s="463"/>
      <c r="V14" s="161">
        <v>66178.34</v>
      </c>
      <c r="W14" s="168" t="s">
        <v>263</v>
      </c>
      <c r="X14" s="163"/>
      <c r="Y14" s="161"/>
      <c r="Z14" s="161"/>
      <c r="AA14" s="463"/>
      <c r="AB14" s="472"/>
      <c r="AC14" s="475"/>
      <c r="AD14" s="2">
        <v>5</v>
      </c>
    </row>
    <row r="15" spans="1:30" x14ac:dyDescent="0.3">
      <c r="A15" s="544"/>
      <c r="B15" s="463"/>
      <c r="C15" s="463"/>
      <c r="D15" s="463"/>
      <c r="E15" s="463"/>
      <c r="F15" s="463"/>
      <c r="G15" s="472"/>
      <c r="H15" s="481"/>
      <c r="I15" s="472"/>
      <c r="J15" s="472"/>
      <c r="K15" s="463"/>
      <c r="L15" s="463"/>
      <c r="M15" s="463"/>
      <c r="N15" s="466"/>
      <c r="O15" s="463"/>
      <c r="P15" s="463"/>
      <c r="Q15" s="472"/>
      <c r="R15" s="481"/>
      <c r="S15" s="463"/>
      <c r="T15" s="168" t="s">
        <v>261</v>
      </c>
      <c r="U15" s="463"/>
      <c r="V15" s="161">
        <v>4224.22</v>
      </c>
      <c r="W15" s="168" t="s">
        <v>263</v>
      </c>
      <c r="X15" s="163"/>
      <c r="Y15" s="161"/>
      <c r="Z15" s="161"/>
      <c r="AA15" s="463"/>
      <c r="AB15" s="472"/>
      <c r="AC15" s="475"/>
      <c r="AD15" s="2">
        <v>5</v>
      </c>
    </row>
    <row r="16" spans="1:30" x14ac:dyDescent="0.3">
      <c r="A16" s="544"/>
      <c r="B16" s="463"/>
      <c r="C16" s="463"/>
      <c r="D16" s="463"/>
      <c r="E16" s="463"/>
      <c r="F16" s="463"/>
      <c r="G16" s="472"/>
      <c r="H16" s="481"/>
      <c r="I16" s="472"/>
      <c r="J16" s="472"/>
      <c r="K16" s="463"/>
      <c r="L16" s="463"/>
      <c r="M16" s="463"/>
      <c r="N16" s="466"/>
      <c r="O16" s="463"/>
      <c r="P16" s="463"/>
      <c r="Q16" s="472"/>
      <c r="R16" s="481"/>
      <c r="S16" s="463"/>
      <c r="T16" s="168" t="s">
        <v>260</v>
      </c>
      <c r="U16" s="463"/>
      <c r="V16" s="161">
        <v>83326.12</v>
      </c>
      <c r="W16" s="168" t="s">
        <v>263</v>
      </c>
      <c r="X16" s="163"/>
      <c r="Y16" s="161"/>
      <c r="Z16" s="161"/>
      <c r="AA16" s="463"/>
      <c r="AB16" s="472"/>
      <c r="AC16" s="475"/>
      <c r="AD16" s="2">
        <v>5</v>
      </c>
    </row>
    <row r="17" spans="1:30" x14ac:dyDescent="0.3">
      <c r="A17" s="544"/>
      <c r="B17" s="463"/>
      <c r="C17" s="463"/>
      <c r="D17" s="463"/>
      <c r="E17" s="463"/>
      <c r="F17" s="463"/>
      <c r="G17" s="472"/>
      <c r="H17" s="481"/>
      <c r="I17" s="472"/>
      <c r="J17" s="472"/>
      <c r="K17" s="463"/>
      <c r="L17" s="463"/>
      <c r="M17" s="463"/>
      <c r="N17" s="466"/>
      <c r="O17" s="463"/>
      <c r="P17" s="463"/>
      <c r="Q17" s="472"/>
      <c r="R17" s="481"/>
      <c r="S17" s="463"/>
      <c r="T17" s="168" t="s">
        <v>260</v>
      </c>
      <c r="U17" s="463"/>
      <c r="V17" s="161">
        <v>5318.77</v>
      </c>
      <c r="W17" s="168" t="s">
        <v>263</v>
      </c>
      <c r="X17" s="163"/>
      <c r="Y17" s="161"/>
      <c r="Z17" s="161"/>
      <c r="AA17" s="463"/>
      <c r="AB17" s="472"/>
      <c r="AC17" s="475"/>
      <c r="AD17" s="2">
        <v>5</v>
      </c>
    </row>
    <row r="18" spans="1:30" x14ac:dyDescent="0.3">
      <c r="A18" s="544"/>
      <c r="B18" s="463"/>
      <c r="C18" s="463"/>
      <c r="D18" s="463"/>
      <c r="E18" s="463"/>
      <c r="F18" s="463"/>
      <c r="G18" s="472"/>
      <c r="H18" s="481"/>
      <c r="I18" s="472"/>
      <c r="J18" s="472"/>
      <c r="K18" s="463"/>
      <c r="L18" s="463"/>
      <c r="M18" s="463"/>
      <c r="N18" s="466"/>
      <c r="O18" s="463"/>
      <c r="P18" s="463"/>
      <c r="Q18" s="472"/>
      <c r="R18" s="481"/>
      <c r="S18" s="463"/>
      <c r="T18" s="168" t="s">
        <v>265</v>
      </c>
      <c r="U18" s="463"/>
      <c r="V18" s="161">
        <v>74795.320000000007</v>
      </c>
      <c r="W18" s="168" t="s">
        <v>264</v>
      </c>
      <c r="X18" s="163"/>
      <c r="Y18" s="161"/>
      <c r="Z18" s="161"/>
      <c r="AA18" s="463"/>
      <c r="AB18" s="472"/>
      <c r="AC18" s="475"/>
      <c r="AD18" s="2">
        <v>5</v>
      </c>
    </row>
    <row r="19" spans="1:30" x14ac:dyDescent="0.3">
      <c r="A19" s="544"/>
      <c r="B19" s="463"/>
      <c r="C19" s="463"/>
      <c r="D19" s="463"/>
      <c r="E19" s="463"/>
      <c r="F19" s="463"/>
      <c r="G19" s="472"/>
      <c r="H19" s="481"/>
      <c r="I19" s="472"/>
      <c r="J19" s="472"/>
      <c r="K19" s="463"/>
      <c r="L19" s="463"/>
      <c r="M19" s="463"/>
      <c r="N19" s="466"/>
      <c r="O19" s="463"/>
      <c r="P19" s="463"/>
      <c r="Q19" s="472"/>
      <c r="R19" s="481"/>
      <c r="S19" s="463"/>
      <c r="T19" s="168" t="s">
        <v>265</v>
      </c>
      <c r="U19" s="463"/>
      <c r="V19" s="161">
        <v>4774.24</v>
      </c>
      <c r="W19" s="168" t="s">
        <v>264</v>
      </c>
      <c r="X19" s="163"/>
      <c r="Y19" s="161"/>
      <c r="Z19" s="161"/>
      <c r="AA19" s="463"/>
      <c r="AB19" s="472"/>
      <c r="AC19" s="475"/>
      <c r="AD19" s="2">
        <v>5</v>
      </c>
    </row>
    <row r="20" spans="1:30" x14ac:dyDescent="0.3">
      <c r="A20" s="544"/>
      <c r="B20" s="463"/>
      <c r="C20" s="463"/>
      <c r="D20" s="463"/>
      <c r="E20" s="463"/>
      <c r="F20" s="463"/>
      <c r="G20" s="472"/>
      <c r="H20" s="481"/>
      <c r="I20" s="472"/>
      <c r="J20" s="472"/>
      <c r="K20" s="463"/>
      <c r="L20" s="463"/>
      <c r="M20" s="463"/>
      <c r="N20" s="466"/>
      <c r="O20" s="463"/>
      <c r="P20" s="463"/>
      <c r="Q20" s="472"/>
      <c r="R20" s="481"/>
      <c r="S20" s="463"/>
      <c r="T20" s="168" t="s">
        <v>265</v>
      </c>
      <c r="U20" s="463"/>
      <c r="V20" s="161">
        <v>26040</v>
      </c>
      <c r="W20" s="168" t="s">
        <v>264</v>
      </c>
      <c r="X20" s="163"/>
      <c r="Y20" s="161"/>
      <c r="Z20" s="161"/>
      <c r="AA20" s="463"/>
      <c r="AB20" s="472"/>
      <c r="AC20" s="475"/>
      <c r="AD20" s="2">
        <v>5</v>
      </c>
    </row>
    <row r="21" spans="1:30" x14ac:dyDescent="0.3">
      <c r="A21" s="544"/>
      <c r="B21" s="463"/>
      <c r="C21" s="463"/>
      <c r="D21" s="463"/>
      <c r="E21" s="463"/>
      <c r="F21" s="463"/>
      <c r="G21" s="472"/>
      <c r="H21" s="481"/>
      <c r="I21" s="472"/>
      <c r="J21" s="472"/>
      <c r="K21" s="463"/>
      <c r="L21" s="463"/>
      <c r="M21" s="463"/>
      <c r="N21" s="466"/>
      <c r="O21" s="463"/>
      <c r="P21" s="463"/>
      <c r="Q21" s="472"/>
      <c r="R21" s="481"/>
      <c r="S21" s="463"/>
      <c r="T21" s="168" t="s">
        <v>314</v>
      </c>
      <c r="U21" s="463"/>
      <c r="V21" s="161">
        <v>4900.75</v>
      </c>
      <c r="W21" s="168" t="s">
        <v>311</v>
      </c>
      <c r="X21" s="163"/>
      <c r="Y21" s="161"/>
      <c r="Z21" s="161"/>
      <c r="AA21" s="463"/>
      <c r="AB21" s="472"/>
      <c r="AC21" s="475"/>
      <c r="AD21" s="2">
        <v>5</v>
      </c>
    </row>
    <row r="22" spans="1:30" x14ac:dyDescent="0.3">
      <c r="A22" s="544"/>
      <c r="B22" s="463"/>
      <c r="C22" s="463"/>
      <c r="D22" s="463"/>
      <c r="E22" s="463"/>
      <c r="F22" s="463"/>
      <c r="G22" s="472"/>
      <c r="H22" s="481"/>
      <c r="I22" s="472"/>
      <c r="J22" s="472"/>
      <c r="K22" s="463"/>
      <c r="L22" s="463"/>
      <c r="M22" s="463"/>
      <c r="N22" s="466"/>
      <c r="O22" s="463"/>
      <c r="P22" s="463"/>
      <c r="Q22" s="472"/>
      <c r="R22" s="481"/>
      <c r="S22" s="463"/>
      <c r="T22" s="168" t="s">
        <v>314</v>
      </c>
      <c r="U22" s="463"/>
      <c r="V22" s="161">
        <v>76777.22</v>
      </c>
      <c r="W22" s="168" t="s">
        <v>328</v>
      </c>
      <c r="X22" s="163"/>
      <c r="Y22" s="161"/>
      <c r="Z22" s="161"/>
      <c r="AA22" s="463"/>
      <c r="AB22" s="472"/>
      <c r="AC22" s="475"/>
      <c r="AD22" s="2">
        <v>5</v>
      </c>
    </row>
    <row r="23" spans="1:30" x14ac:dyDescent="0.3">
      <c r="A23" s="544"/>
      <c r="B23" s="463"/>
      <c r="C23" s="463"/>
      <c r="D23" s="463"/>
      <c r="E23" s="463"/>
      <c r="F23" s="463"/>
      <c r="G23" s="472"/>
      <c r="H23" s="481"/>
      <c r="I23" s="472"/>
      <c r="J23" s="472"/>
      <c r="K23" s="463"/>
      <c r="L23" s="463"/>
      <c r="M23" s="463"/>
      <c r="N23" s="466"/>
      <c r="O23" s="463"/>
      <c r="P23" s="463"/>
      <c r="Q23" s="472"/>
      <c r="R23" s="481"/>
      <c r="S23" s="463"/>
      <c r="T23" s="168" t="s">
        <v>328</v>
      </c>
      <c r="U23" s="463"/>
      <c r="V23" s="161">
        <v>31410</v>
      </c>
      <c r="W23" s="168" t="s">
        <v>329</v>
      </c>
      <c r="X23" s="163"/>
      <c r="Y23" s="161"/>
      <c r="Z23" s="161"/>
      <c r="AA23" s="463"/>
      <c r="AB23" s="472"/>
      <c r="AC23" s="475"/>
      <c r="AD23" s="2">
        <v>5</v>
      </c>
    </row>
    <row r="24" spans="1:30" x14ac:dyDescent="0.3">
      <c r="A24" s="544"/>
      <c r="B24" s="463"/>
      <c r="C24" s="463"/>
      <c r="D24" s="463"/>
      <c r="E24" s="463"/>
      <c r="F24" s="463"/>
      <c r="G24" s="472"/>
      <c r="H24" s="481"/>
      <c r="I24" s="472"/>
      <c r="J24" s="472"/>
      <c r="K24" s="463"/>
      <c r="L24" s="463"/>
      <c r="M24" s="463"/>
      <c r="N24" s="466"/>
      <c r="O24" s="463"/>
      <c r="P24" s="463"/>
      <c r="Q24" s="472"/>
      <c r="R24" s="481"/>
      <c r="S24" s="463"/>
      <c r="T24" s="168" t="s">
        <v>328</v>
      </c>
      <c r="U24" s="463"/>
      <c r="V24" s="161">
        <v>90219.7</v>
      </c>
      <c r="W24" s="168" t="s">
        <v>329</v>
      </c>
      <c r="X24" s="163"/>
      <c r="Y24" s="161"/>
      <c r="Z24" s="161"/>
      <c r="AA24" s="463"/>
      <c r="AB24" s="472"/>
      <c r="AC24" s="475"/>
      <c r="AD24" s="2">
        <v>5</v>
      </c>
    </row>
    <row r="25" spans="1:30" x14ac:dyDescent="0.3">
      <c r="A25" s="544"/>
      <c r="B25" s="463"/>
      <c r="C25" s="463"/>
      <c r="D25" s="463"/>
      <c r="E25" s="463"/>
      <c r="F25" s="463"/>
      <c r="G25" s="472"/>
      <c r="H25" s="481"/>
      <c r="I25" s="472"/>
      <c r="J25" s="472"/>
      <c r="K25" s="463"/>
      <c r="L25" s="463"/>
      <c r="M25" s="463"/>
      <c r="N25" s="466"/>
      <c r="O25" s="463"/>
      <c r="P25" s="463"/>
      <c r="Q25" s="472"/>
      <c r="R25" s="481"/>
      <c r="S25" s="463"/>
      <c r="T25" s="168" t="s">
        <v>328</v>
      </c>
      <c r="U25" s="463"/>
      <c r="V25" s="161">
        <v>5758.79</v>
      </c>
      <c r="W25" s="168" t="s">
        <v>329</v>
      </c>
      <c r="X25" s="163"/>
      <c r="Y25" s="161"/>
      <c r="Z25" s="161"/>
      <c r="AA25" s="463"/>
      <c r="AB25" s="472"/>
      <c r="AC25" s="475"/>
      <c r="AD25" s="2">
        <v>5</v>
      </c>
    </row>
    <row r="26" spans="1:30" x14ac:dyDescent="0.3">
      <c r="A26" s="544"/>
      <c r="B26" s="463"/>
      <c r="C26" s="463"/>
      <c r="D26" s="463"/>
      <c r="E26" s="463"/>
      <c r="F26" s="463"/>
      <c r="G26" s="472"/>
      <c r="H26" s="481"/>
      <c r="I26" s="472"/>
      <c r="J26" s="472"/>
      <c r="K26" s="463"/>
      <c r="L26" s="463"/>
      <c r="M26" s="463"/>
      <c r="N26" s="466"/>
      <c r="O26" s="463"/>
      <c r="P26" s="463"/>
      <c r="Q26" s="472"/>
      <c r="R26" s="481"/>
      <c r="S26" s="463"/>
      <c r="T26" s="168" t="s">
        <v>314</v>
      </c>
      <c r="U26" s="463"/>
      <c r="V26" s="161">
        <v>26730</v>
      </c>
      <c r="W26" s="168" t="s">
        <v>330</v>
      </c>
      <c r="X26" s="163"/>
      <c r="Y26" s="161"/>
      <c r="Z26" s="161"/>
      <c r="AA26" s="463"/>
      <c r="AB26" s="472"/>
      <c r="AC26" s="475"/>
      <c r="AD26" s="2">
        <v>5</v>
      </c>
    </row>
    <row r="27" spans="1:30" x14ac:dyDescent="0.3">
      <c r="A27" s="544"/>
      <c r="B27" s="463"/>
      <c r="C27" s="463"/>
      <c r="D27" s="463"/>
      <c r="E27" s="463"/>
      <c r="F27" s="463"/>
      <c r="G27" s="472"/>
      <c r="H27" s="481"/>
      <c r="I27" s="472"/>
      <c r="J27" s="472"/>
      <c r="K27" s="463"/>
      <c r="L27" s="463"/>
      <c r="M27" s="463"/>
      <c r="N27" s="466"/>
      <c r="O27" s="463"/>
      <c r="P27" s="463"/>
      <c r="Q27" s="472"/>
      <c r="R27" s="481"/>
      <c r="S27" s="463"/>
      <c r="T27" s="168" t="s">
        <v>422</v>
      </c>
      <c r="U27" s="463"/>
      <c r="V27" s="161">
        <v>44549.75</v>
      </c>
      <c r="W27" s="168" t="s">
        <v>404</v>
      </c>
      <c r="X27" s="163"/>
      <c r="Y27" s="161"/>
      <c r="Z27" s="161"/>
      <c r="AA27" s="463"/>
      <c r="AB27" s="472"/>
      <c r="AC27" s="475"/>
      <c r="AD27" s="2">
        <v>5</v>
      </c>
    </row>
    <row r="28" spans="1:30" x14ac:dyDescent="0.3">
      <c r="A28" s="544"/>
      <c r="B28" s="463"/>
      <c r="C28" s="463"/>
      <c r="D28" s="463"/>
      <c r="E28" s="463"/>
      <c r="F28" s="463"/>
      <c r="G28" s="472"/>
      <c r="H28" s="481"/>
      <c r="I28" s="472"/>
      <c r="J28" s="472"/>
      <c r="K28" s="463"/>
      <c r="L28" s="463"/>
      <c r="M28" s="463"/>
      <c r="N28" s="466"/>
      <c r="O28" s="463"/>
      <c r="P28" s="463"/>
      <c r="Q28" s="472"/>
      <c r="R28" s="481"/>
      <c r="S28" s="463"/>
      <c r="T28" s="168" t="s">
        <v>422</v>
      </c>
      <c r="U28" s="463"/>
      <c r="V28" s="161">
        <v>2843.64</v>
      </c>
      <c r="W28" s="168" t="s">
        <v>404</v>
      </c>
      <c r="X28" s="163"/>
      <c r="Y28" s="161"/>
      <c r="Z28" s="161"/>
      <c r="AA28" s="463"/>
      <c r="AB28" s="472"/>
      <c r="AC28" s="475"/>
      <c r="AD28" s="2">
        <v>5</v>
      </c>
    </row>
    <row r="29" spans="1:30" x14ac:dyDescent="0.3">
      <c r="A29" s="545"/>
      <c r="B29" s="464"/>
      <c r="C29" s="464"/>
      <c r="D29" s="464"/>
      <c r="E29" s="464"/>
      <c r="F29" s="464"/>
      <c r="G29" s="473"/>
      <c r="H29" s="482"/>
      <c r="I29" s="473"/>
      <c r="J29" s="473"/>
      <c r="K29" s="464"/>
      <c r="L29" s="464"/>
      <c r="M29" s="464"/>
      <c r="N29" s="467"/>
      <c r="O29" s="464"/>
      <c r="P29" s="464"/>
      <c r="Q29" s="473"/>
      <c r="R29" s="482"/>
      <c r="S29" s="464"/>
      <c r="T29" s="169" t="s">
        <v>422</v>
      </c>
      <c r="U29" s="464"/>
      <c r="V29" s="164">
        <v>15510</v>
      </c>
      <c r="W29" s="169" t="s">
        <v>404</v>
      </c>
      <c r="X29" s="166"/>
      <c r="Y29" s="164"/>
      <c r="Z29" s="164"/>
      <c r="AA29" s="464"/>
      <c r="AB29" s="473"/>
      <c r="AC29" s="476"/>
      <c r="AD29" s="2">
        <v>5</v>
      </c>
    </row>
    <row r="30" spans="1:30" s="85" customFormat="1" ht="100.8" customHeight="1" x14ac:dyDescent="0.3">
      <c r="A30" s="607">
        <v>2</v>
      </c>
      <c r="B30" s="595" t="s">
        <v>56</v>
      </c>
      <c r="C30" s="595" t="s">
        <v>202</v>
      </c>
      <c r="D30" s="595"/>
      <c r="E30" s="595" t="s">
        <v>204</v>
      </c>
      <c r="F30" s="595" t="s">
        <v>205</v>
      </c>
      <c r="G30" s="598">
        <v>1210368.93</v>
      </c>
      <c r="H30" s="601">
        <f>IF(AD30 = 6, G30 - Q30,0)</f>
        <v>817922.08999999985</v>
      </c>
      <c r="I30" s="598"/>
      <c r="J30" s="598"/>
      <c r="K30" s="595"/>
      <c r="L30" s="595"/>
      <c r="M30" s="595" t="s">
        <v>203</v>
      </c>
      <c r="N30" s="604" t="s">
        <v>200</v>
      </c>
      <c r="O30" s="595">
        <v>2304067057</v>
      </c>
      <c r="P30" s="595" t="s">
        <v>155</v>
      </c>
      <c r="Q30" s="598">
        <v>392446.84</v>
      </c>
      <c r="R30" s="601">
        <f>IF(AD30 = 6, Q30 + SUM(Y30:Y35) - SUM(Z30:Z35) - SUM(V30:V35) - AB30,0)</f>
        <v>5.8207660913467407E-11</v>
      </c>
      <c r="S30" s="595" t="s">
        <v>206</v>
      </c>
      <c r="T30" s="245" t="s">
        <v>266</v>
      </c>
      <c r="U30" s="595" t="s">
        <v>207</v>
      </c>
      <c r="V30" s="240">
        <v>68347.48</v>
      </c>
      <c r="W30" s="245" t="s">
        <v>271</v>
      </c>
      <c r="X30" s="239"/>
      <c r="Y30" s="240"/>
      <c r="Z30" s="240"/>
      <c r="AA30" s="595"/>
      <c r="AB30" s="598"/>
      <c r="AC30" s="592"/>
      <c r="AD30" s="85">
        <v>6</v>
      </c>
    </row>
    <row r="31" spans="1:30" x14ac:dyDescent="0.3">
      <c r="A31" s="608"/>
      <c r="B31" s="596"/>
      <c r="C31" s="596"/>
      <c r="D31" s="596"/>
      <c r="E31" s="596"/>
      <c r="F31" s="596"/>
      <c r="G31" s="599"/>
      <c r="H31" s="602"/>
      <c r="I31" s="599"/>
      <c r="J31" s="599"/>
      <c r="K31" s="596"/>
      <c r="L31" s="596"/>
      <c r="M31" s="596"/>
      <c r="N31" s="605"/>
      <c r="O31" s="596"/>
      <c r="P31" s="596"/>
      <c r="Q31" s="599"/>
      <c r="R31" s="602"/>
      <c r="S31" s="596"/>
      <c r="T31" s="246" t="s">
        <v>310</v>
      </c>
      <c r="U31" s="596"/>
      <c r="V31" s="241">
        <v>63937.97</v>
      </c>
      <c r="W31" s="246" t="s">
        <v>316</v>
      </c>
      <c r="X31" s="242"/>
      <c r="Y31" s="241"/>
      <c r="Z31" s="241"/>
      <c r="AA31" s="596"/>
      <c r="AB31" s="599"/>
      <c r="AC31" s="593"/>
      <c r="AD31" s="2">
        <v>6</v>
      </c>
    </row>
    <row r="32" spans="1:30" x14ac:dyDescent="0.3">
      <c r="A32" s="608"/>
      <c r="B32" s="596"/>
      <c r="C32" s="596"/>
      <c r="D32" s="596"/>
      <c r="E32" s="596"/>
      <c r="F32" s="596"/>
      <c r="G32" s="599"/>
      <c r="H32" s="602"/>
      <c r="I32" s="599"/>
      <c r="J32" s="599"/>
      <c r="K32" s="596"/>
      <c r="L32" s="596"/>
      <c r="M32" s="596"/>
      <c r="N32" s="605"/>
      <c r="O32" s="596"/>
      <c r="P32" s="596"/>
      <c r="Q32" s="599"/>
      <c r="R32" s="602"/>
      <c r="S32" s="596"/>
      <c r="T32" s="246" t="s">
        <v>401</v>
      </c>
      <c r="U32" s="596"/>
      <c r="V32" s="241">
        <v>68347.48</v>
      </c>
      <c r="W32" s="246" t="s">
        <v>404</v>
      </c>
      <c r="X32" s="242"/>
      <c r="Y32" s="241"/>
      <c r="Z32" s="241"/>
      <c r="AA32" s="596"/>
      <c r="AB32" s="599"/>
      <c r="AC32" s="593"/>
      <c r="AD32" s="2">
        <v>6</v>
      </c>
    </row>
    <row r="33" spans="1:30" x14ac:dyDescent="0.3">
      <c r="A33" s="608"/>
      <c r="B33" s="596"/>
      <c r="C33" s="596"/>
      <c r="D33" s="596"/>
      <c r="E33" s="596"/>
      <c r="F33" s="596"/>
      <c r="G33" s="599"/>
      <c r="H33" s="602"/>
      <c r="I33" s="599"/>
      <c r="J33" s="599"/>
      <c r="K33" s="596"/>
      <c r="L33" s="596"/>
      <c r="M33" s="596"/>
      <c r="N33" s="605"/>
      <c r="O33" s="596"/>
      <c r="P33" s="596"/>
      <c r="Q33" s="599"/>
      <c r="R33" s="602"/>
      <c r="S33" s="596"/>
      <c r="T33" s="246" t="s">
        <v>457</v>
      </c>
      <c r="U33" s="596"/>
      <c r="V33" s="241">
        <v>66142.73</v>
      </c>
      <c r="W33" s="246" t="s">
        <v>459</v>
      </c>
      <c r="X33" s="242"/>
      <c r="Y33" s="241"/>
      <c r="Z33" s="241"/>
      <c r="AA33" s="596"/>
      <c r="AB33" s="599"/>
      <c r="AC33" s="593"/>
      <c r="AD33" s="2">
        <v>6</v>
      </c>
    </row>
    <row r="34" spans="1:30" x14ac:dyDescent="0.3">
      <c r="A34" s="608"/>
      <c r="B34" s="596"/>
      <c r="C34" s="596"/>
      <c r="D34" s="596"/>
      <c r="E34" s="596"/>
      <c r="F34" s="596"/>
      <c r="G34" s="599"/>
      <c r="H34" s="602"/>
      <c r="I34" s="599"/>
      <c r="J34" s="599"/>
      <c r="K34" s="596"/>
      <c r="L34" s="596"/>
      <c r="M34" s="596"/>
      <c r="N34" s="605"/>
      <c r="O34" s="596"/>
      <c r="P34" s="596"/>
      <c r="Q34" s="599"/>
      <c r="R34" s="602"/>
      <c r="S34" s="596"/>
      <c r="T34" s="246" t="s">
        <v>514</v>
      </c>
      <c r="U34" s="596"/>
      <c r="V34" s="241">
        <v>68347.48</v>
      </c>
      <c r="W34" s="246" t="s">
        <v>507</v>
      </c>
      <c r="X34" s="242"/>
      <c r="Y34" s="241"/>
      <c r="Z34" s="241"/>
      <c r="AA34" s="596"/>
      <c r="AB34" s="599"/>
      <c r="AC34" s="593"/>
      <c r="AD34" s="2">
        <v>6</v>
      </c>
    </row>
    <row r="35" spans="1:30" x14ac:dyDescent="0.3">
      <c r="A35" s="609"/>
      <c r="B35" s="597"/>
      <c r="C35" s="597"/>
      <c r="D35" s="597"/>
      <c r="E35" s="597"/>
      <c r="F35" s="597"/>
      <c r="G35" s="600"/>
      <c r="H35" s="603"/>
      <c r="I35" s="600"/>
      <c r="J35" s="600"/>
      <c r="K35" s="597"/>
      <c r="L35" s="597"/>
      <c r="M35" s="597"/>
      <c r="N35" s="606"/>
      <c r="O35" s="597"/>
      <c r="P35" s="597"/>
      <c r="Q35" s="600"/>
      <c r="R35" s="603"/>
      <c r="S35" s="597"/>
      <c r="T35" s="247">
        <v>45470</v>
      </c>
      <c r="U35" s="597"/>
      <c r="V35" s="243">
        <v>57323.7</v>
      </c>
      <c r="W35" s="247">
        <v>45483</v>
      </c>
      <c r="X35" s="244"/>
      <c r="Y35" s="243"/>
      <c r="Z35" s="243"/>
      <c r="AA35" s="597"/>
      <c r="AB35" s="600"/>
      <c r="AC35" s="594"/>
      <c r="AD35" s="2">
        <v>6</v>
      </c>
    </row>
    <row r="36" spans="1:30" s="85" customFormat="1" ht="90" customHeight="1" x14ac:dyDescent="0.3">
      <c r="A36" s="432">
        <v>3</v>
      </c>
      <c r="B36" s="441" t="s">
        <v>56</v>
      </c>
      <c r="C36" s="441" t="s">
        <v>515</v>
      </c>
      <c r="D36" s="441"/>
      <c r="E36" s="441" t="s">
        <v>521</v>
      </c>
      <c r="F36" s="441" t="s">
        <v>205</v>
      </c>
      <c r="G36" s="438">
        <v>783977.2</v>
      </c>
      <c r="H36" s="453">
        <f>IF(AD36 = 7, G36 - Q36,0)</f>
        <v>563830</v>
      </c>
      <c r="I36" s="438"/>
      <c r="J36" s="438"/>
      <c r="K36" s="441"/>
      <c r="L36" s="441"/>
      <c r="M36" s="441" t="s">
        <v>517</v>
      </c>
      <c r="N36" s="435" t="s">
        <v>516</v>
      </c>
      <c r="O36" s="441">
        <v>2304067057</v>
      </c>
      <c r="P36" s="441" t="s">
        <v>155</v>
      </c>
      <c r="Q36" s="438">
        <v>220147.20000000001</v>
      </c>
      <c r="R36" s="453">
        <f>IF(AD36 = 7, Q36 + SUM(Y36:Y37) - SUM(Z36:Z37) - SUM(V36:V37) - AB36,0)</f>
        <v>135475.20000000001</v>
      </c>
      <c r="S36" s="441" t="s">
        <v>518</v>
      </c>
      <c r="T36" s="257">
        <v>45475</v>
      </c>
      <c r="U36" s="441" t="s">
        <v>207</v>
      </c>
      <c r="V36" s="250">
        <v>9676.7999999999993</v>
      </c>
      <c r="W36" s="257">
        <v>45488</v>
      </c>
      <c r="X36" s="248"/>
      <c r="Y36" s="250"/>
      <c r="Z36" s="250"/>
      <c r="AA36" s="441"/>
      <c r="AB36" s="438"/>
      <c r="AC36" s="447"/>
      <c r="AD36" s="85">
        <v>7</v>
      </c>
    </row>
    <row r="37" spans="1:30" x14ac:dyDescent="0.3">
      <c r="A37" s="434"/>
      <c r="B37" s="443"/>
      <c r="C37" s="443"/>
      <c r="D37" s="443"/>
      <c r="E37" s="443"/>
      <c r="F37" s="443"/>
      <c r="G37" s="440"/>
      <c r="H37" s="455"/>
      <c r="I37" s="440"/>
      <c r="J37" s="440"/>
      <c r="K37" s="443"/>
      <c r="L37" s="443"/>
      <c r="M37" s="443"/>
      <c r="N37" s="437"/>
      <c r="O37" s="443"/>
      <c r="P37" s="443"/>
      <c r="Q37" s="440"/>
      <c r="R37" s="455"/>
      <c r="S37" s="443"/>
      <c r="T37" s="259">
        <v>45505</v>
      </c>
      <c r="U37" s="443"/>
      <c r="V37" s="255">
        <v>74995.199999999997</v>
      </c>
      <c r="W37" s="259">
        <v>45512</v>
      </c>
      <c r="X37" s="256"/>
      <c r="Y37" s="255"/>
      <c r="Z37" s="255"/>
      <c r="AA37" s="443"/>
      <c r="AB37" s="440"/>
      <c r="AC37" s="449"/>
      <c r="AD37" s="2">
        <v>7</v>
      </c>
    </row>
    <row r="38" spans="1:30" s="85" customFormat="1" ht="72" customHeight="1" x14ac:dyDescent="0.3">
      <c r="A38" s="589">
        <v>4</v>
      </c>
      <c r="B38" s="577" t="s">
        <v>56</v>
      </c>
      <c r="C38" s="577" t="s">
        <v>522</v>
      </c>
      <c r="D38" s="577"/>
      <c r="E38" s="577" t="s">
        <v>523</v>
      </c>
      <c r="F38" s="577" t="s">
        <v>184</v>
      </c>
      <c r="G38" s="580">
        <v>1065540</v>
      </c>
      <c r="H38" s="583">
        <f>IF(AD38 = 8, G38 - Q38,0)</f>
        <v>0</v>
      </c>
      <c r="I38" s="580"/>
      <c r="J38" s="580"/>
      <c r="K38" s="577"/>
      <c r="L38" s="577"/>
      <c r="M38" s="577" t="s">
        <v>524</v>
      </c>
      <c r="N38" s="586" t="s">
        <v>519</v>
      </c>
      <c r="O38" s="577">
        <v>2353020735</v>
      </c>
      <c r="P38" s="577" t="s">
        <v>504</v>
      </c>
      <c r="Q38" s="580">
        <v>1065540</v>
      </c>
      <c r="R38" s="583">
        <f>IF(AD38 = 8, Q38 + SUM(Y38:Y40) - SUM(Z38:Z40) - SUM(V38:V40) - AB38,0)</f>
        <v>991084.98</v>
      </c>
      <c r="S38" s="577" t="s">
        <v>525</v>
      </c>
      <c r="T38" s="291">
        <v>45554</v>
      </c>
      <c r="U38" s="577" t="s">
        <v>156</v>
      </c>
      <c r="V38" s="287">
        <v>17315.12</v>
      </c>
      <c r="W38" s="291">
        <v>45560</v>
      </c>
      <c r="X38" s="288"/>
      <c r="Y38" s="287"/>
      <c r="Z38" s="287"/>
      <c r="AA38" s="577"/>
      <c r="AB38" s="580"/>
      <c r="AC38" s="574"/>
      <c r="AD38" s="85">
        <v>8</v>
      </c>
    </row>
    <row r="39" spans="1:30" s="269" customFormat="1" x14ac:dyDescent="0.3">
      <c r="A39" s="590"/>
      <c r="B39" s="578"/>
      <c r="C39" s="578"/>
      <c r="D39" s="578"/>
      <c r="E39" s="578"/>
      <c r="F39" s="578"/>
      <c r="G39" s="581"/>
      <c r="H39" s="584"/>
      <c r="I39" s="581"/>
      <c r="J39" s="581"/>
      <c r="K39" s="578"/>
      <c r="L39" s="578"/>
      <c r="M39" s="578"/>
      <c r="N39" s="587"/>
      <c r="O39" s="578"/>
      <c r="P39" s="578"/>
      <c r="Q39" s="581"/>
      <c r="R39" s="584"/>
      <c r="S39" s="578"/>
      <c r="T39" s="293">
        <v>45554</v>
      </c>
      <c r="U39" s="578"/>
      <c r="V39" s="294">
        <v>53711.69</v>
      </c>
      <c r="W39" s="293">
        <v>45560</v>
      </c>
      <c r="X39" s="295"/>
      <c r="Y39" s="294"/>
      <c r="Z39" s="294"/>
      <c r="AA39" s="578"/>
      <c r="AB39" s="581"/>
      <c r="AC39" s="575"/>
      <c r="AD39" s="269">
        <v>8</v>
      </c>
    </row>
    <row r="40" spans="1:30" s="269" customFormat="1" x14ac:dyDescent="0.3">
      <c r="A40" s="591"/>
      <c r="B40" s="579"/>
      <c r="C40" s="579"/>
      <c r="D40" s="579"/>
      <c r="E40" s="579"/>
      <c r="F40" s="579"/>
      <c r="G40" s="582"/>
      <c r="H40" s="585"/>
      <c r="I40" s="582"/>
      <c r="J40" s="582"/>
      <c r="K40" s="579"/>
      <c r="L40" s="579"/>
      <c r="M40" s="579"/>
      <c r="N40" s="588"/>
      <c r="O40" s="579"/>
      <c r="P40" s="579"/>
      <c r="Q40" s="582"/>
      <c r="R40" s="585"/>
      <c r="S40" s="579"/>
      <c r="T40" s="292">
        <v>45554</v>
      </c>
      <c r="U40" s="579"/>
      <c r="V40" s="289">
        <v>3428.21</v>
      </c>
      <c r="W40" s="292">
        <v>45560</v>
      </c>
      <c r="X40" s="290"/>
      <c r="Y40" s="289"/>
      <c r="Z40" s="289"/>
      <c r="AA40" s="579"/>
      <c r="AB40" s="582"/>
      <c r="AC40" s="576"/>
      <c r="AD40" s="269">
        <v>8</v>
      </c>
    </row>
    <row r="41" spans="1:30" x14ac:dyDescent="0.3">
      <c r="M41" s="3"/>
      <c r="AD41" s="2">
        <v>9</v>
      </c>
    </row>
    <row r="42" spans="1:30" x14ac:dyDescent="0.3">
      <c r="M42" s="3"/>
    </row>
    <row r="43" spans="1:30" x14ac:dyDescent="0.3">
      <c r="M43" s="3"/>
    </row>
    <row r="44" spans="1:30" x14ac:dyDescent="0.3">
      <c r="M44" s="3"/>
    </row>
    <row r="45" spans="1:30" x14ac:dyDescent="0.3">
      <c r="M45" s="3"/>
    </row>
    <row r="46" spans="1:30" x14ac:dyDescent="0.3">
      <c r="M46" s="3"/>
    </row>
    <row r="47" spans="1:30" x14ac:dyDescent="0.3">
      <c r="M47" s="3"/>
    </row>
    <row r="48" spans="1:30" x14ac:dyDescent="0.3">
      <c r="M48" s="3"/>
    </row>
    <row r="49" spans="13:13" x14ac:dyDescent="0.3">
      <c r="M49" s="3"/>
    </row>
  </sheetData>
  <sheetProtection algorithmName="SHA-512" hashValue="HbrPuUQu5dNgMxSBSe6xhVbdgCS18rSP1ui70saF+cakLtT+QN4fdD/qvoPOoGbp/qnHvM96OmyxLtN3D9jZmg==" saltValue="zD/Rv0G0fmmd6eq758c9LQ==" spinCount="100000" sheet="1" objects="1" scenarios="1" formatCells="0" formatColumns="0" formatRows="0"/>
  <mergeCells count="97">
    <mergeCell ref="AC9:AC29"/>
    <mergeCell ref="D9:D29"/>
    <mergeCell ref="E9:E29"/>
    <mergeCell ref="F9:F29"/>
    <mergeCell ref="G9:G29"/>
    <mergeCell ref="H9:H29"/>
    <mergeCell ref="I9:I29"/>
    <mergeCell ref="J9:J29"/>
    <mergeCell ref="K9:K29"/>
    <mergeCell ref="L9:L29"/>
    <mergeCell ref="M9:M29"/>
    <mergeCell ref="N9:N29"/>
    <mergeCell ref="O9:O29"/>
    <mergeCell ref="P9:P29"/>
    <mergeCell ref="Q9:Q29"/>
    <mergeCell ref="R9:R29"/>
    <mergeCell ref="A9:A29"/>
    <mergeCell ref="U9:U29"/>
    <mergeCell ref="AA9:AA29"/>
    <mergeCell ref="B9:B29"/>
    <mergeCell ref="AB9:AB29"/>
    <mergeCell ref="C9:C29"/>
    <mergeCell ref="S9:S29"/>
    <mergeCell ref="A30:A35"/>
    <mergeCell ref="U30:U35"/>
    <mergeCell ref="AA30:AA35"/>
    <mergeCell ref="B30:B35"/>
    <mergeCell ref="AB30:AB35"/>
    <mergeCell ref="C30:C35"/>
    <mergeCell ref="S30:S35"/>
    <mergeCell ref="P4:R4"/>
    <mergeCell ref="E2:F2"/>
    <mergeCell ref="O2:P2"/>
    <mergeCell ref="Y2:AA2"/>
    <mergeCell ref="T2:U2"/>
    <mergeCell ref="AC30:AC35"/>
    <mergeCell ref="D30:D35"/>
    <mergeCell ref="E30:E35"/>
    <mergeCell ref="F30:F35"/>
    <mergeCell ref="G30:G35"/>
    <mergeCell ref="H30:H35"/>
    <mergeCell ref="I30:I35"/>
    <mergeCell ref="J30:J35"/>
    <mergeCell ref="K30:K35"/>
    <mergeCell ref="L30:L35"/>
    <mergeCell ref="M30:M35"/>
    <mergeCell ref="N30:N35"/>
    <mergeCell ref="O30:O35"/>
    <mergeCell ref="P30:P35"/>
    <mergeCell ref="Q30:Q35"/>
    <mergeCell ref="R30:R35"/>
    <mergeCell ref="A36:A37"/>
    <mergeCell ref="U36:U37"/>
    <mergeCell ref="AA36:AA37"/>
    <mergeCell ref="B36:B37"/>
    <mergeCell ref="AB36:AB37"/>
    <mergeCell ref="C36:C37"/>
    <mergeCell ref="S36:S37"/>
    <mergeCell ref="AC36:AC37"/>
    <mergeCell ref="D36:D37"/>
    <mergeCell ref="E36:E37"/>
    <mergeCell ref="F36:F37"/>
    <mergeCell ref="G36:G37"/>
    <mergeCell ref="H36:H37"/>
    <mergeCell ref="I36:I37"/>
    <mergeCell ref="J36:J37"/>
    <mergeCell ref="K36:K37"/>
    <mergeCell ref="L36:L37"/>
    <mergeCell ref="M36:M37"/>
    <mergeCell ref="N36:N37"/>
    <mergeCell ref="O36:O37"/>
    <mergeCell ref="P36:P37"/>
    <mergeCell ref="Q36:Q37"/>
    <mergeCell ref="R36:R37"/>
    <mergeCell ref="A38:A40"/>
    <mergeCell ref="U38:U40"/>
    <mergeCell ref="AA38:AA40"/>
    <mergeCell ref="B38:B40"/>
    <mergeCell ref="AB38:AB40"/>
    <mergeCell ref="C38:C40"/>
    <mergeCell ref="S38:S40"/>
    <mergeCell ref="AC38:AC40"/>
    <mergeCell ref="D38:D40"/>
    <mergeCell ref="E38:E40"/>
    <mergeCell ref="F38:F40"/>
    <mergeCell ref="G38:G40"/>
    <mergeCell ref="H38:H40"/>
    <mergeCell ref="I38:I40"/>
    <mergeCell ref="J38:J40"/>
    <mergeCell ref="K38:K40"/>
    <mergeCell ref="L38:L40"/>
    <mergeCell ref="M38:M40"/>
    <mergeCell ref="N38:N40"/>
    <mergeCell ref="O38:O40"/>
    <mergeCell ref="P38:P40"/>
    <mergeCell ref="Q38:Q40"/>
    <mergeCell ref="R38:R40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09375" defaultRowHeight="15.6" x14ac:dyDescent="0.3"/>
  <cols>
    <col min="1" max="1" width="15.33203125" style="33" customWidth="1"/>
    <col min="2" max="2" width="17.44140625" style="33" customWidth="1"/>
    <col min="3" max="3" width="17.33203125" style="33" customWidth="1"/>
    <col min="4" max="4" width="38.88671875" style="33" customWidth="1"/>
    <col min="5" max="5" width="15.5546875" style="33" bestFit="1" customWidth="1"/>
    <col min="6" max="11" width="16.109375" style="33" customWidth="1"/>
    <col min="12" max="16384" width="9.109375" style="33"/>
  </cols>
  <sheetData>
    <row r="1" spans="1:11" x14ac:dyDescent="0.3">
      <c r="A1" s="47">
        <v>82</v>
      </c>
      <c r="B1" s="47">
        <v>34</v>
      </c>
      <c r="C1" s="47">
        <v>9</v>
      </c>
      <c r="D1" s="612" t="s">
        <v>50</v>
      </c>
      <c r="E1" s="32"/>
      <c r="F1" s="62" t="s">
        <v>108</v>
      </c>
      <c r="G1" s="66" t="s">
        <v>108</v>
      </c>
      <c r="H1" s="65" t="s">
        <v>108</v>
      </c>
      <c r="I1" s="64" t="s">
        <v>108</v>
      </c>
      <c r="J1" s="63" t="s">
        <v>108</v>
      </c>
      <c r="K1" s="67" t="s">
        <v>108</v>
      </c>
    </row>
    <row r="2" spans="1:11" x14ac:dyDescent="0.3">
      <c r="A2" s="48" t="s">
        <v>84</v>
      </c>
      <c r="B2" s="47" t="s">
        <v>85</v>
      </c>
      <c r="C2" s="47" t="s">
        <v>86</v>
      </c>
      <c r="D2" s="613"/>
      <c r="E2" s="32"/>
      <c r="F2" s="62">
        <v>137</v>
      </c>
      <c r="G2" s="66">
        <v>135</v>
      </c>
      <c r="H2" s="65">
        <v>9</v>
      </c>
      <c r="I2" s="64">
        <v>2</v>
      </c>
      <c r="J2" s="63">
        <v>0</v>
      </c>
      <c r="K2" s="67">
        <v>8</v>
      </c>
    </row>
    <row r="3" spans="1:11" x14ac:dyDescent="0.3">
      <c r="A3" s="34"/>
      <c r="B3" s="32"/>
      <c r="C3" s="32"/>
      <c r="D3" s="32"/>
      <c r="E3" s="32"/>
      <c r="F3" s="62" t="s">
        <v>109</v>
      </c>
      <c r="G3" s="66" t="s">
        <v>109</v>
      </c>
      <c r="H3" s="65" t="s">
        <v>109</v>
      </c>
      <c r="I3" s="64" t="s">
        <v>109</v>
      </c>
      <c r="J3" s="63" t="s">
        <v>109</v>
      </c>
      <c r="K3" s="67" t="s">
        <v>109</v>
      </c>
    </row>
    <row r="4" spans="1:11" x14ac:dyDescent="0.3">
      <c r="A4" s="43">
        <v>177</v>
      </c>
      <c r="B4" s="44">
        <v>32</v>
      </c>
      <c r="C4" s="44">
        <v>9</v>
      </c>
      <c r="D4" s="614" t="s">
        <v>102</v>
      </c>
      <c r="E4" s="32"/>
      <c r="F4" s="62">
        <v>138</v>
      </c>
      <c r="G4" s="66">
        <v>136</v>
      </c>
      <c r="H4" s="65">
        <v>10</v>
      </c>
      <c r="I4" s="64">
        <v>3</v>
      </c>
      <c r="J4" s="63">
        <v>0</v>
      </c>
      <c r="K4" s="67">
        <v>9</v>
      </c>
    </row>
    <row r="5" spans="1:11" x14ac:dyDescent="0.3">
      <c r="A5" s="43" t="s">
        <v>89</v>
      </c>
      <c r="B5" s="44" t="s">
        <v>88</v>
      </c>
      <c r="C5" s="44" t="s">
        <v>87</v>
      </c>
      <c r="D5" s="615"/>
      <c r="E5" s="32"/>
      <c r="F5" s="32"/>
      <c r="G5" s="32"/>
    </row>
    <row r="6" spans="1:11" x14ac:dyDescent="0.3">
      <c r="A6" s="34"/>
      <c r="B6" s="32"/>
      <c r="C6" s="32"/>
      <c r="D6" s="32"/>
      <c r="E6" s="32"/>
      <c r="F6" s="32"/>
      <c r="G6" s="32"/>
    </row>
    <row r="7" spans="1:11" x14ac:dyDescent="0.3">
      <c r="A7" s="45">
        <v>16</v>
      </c>
      <c r="B7" s="46">
        <v>4</v>
      </c>
      <c r="C7" s="46">
        <v>9</v>
      </c>
      <c r="D7" s="616" t="s">
        <v>52</v>
      </c>
      <c r="E7" s="32"/>
      <c r="F7" s="32"/>
      <c r="G7" s="32"/>
    </row>
    <row r="8" spans="1:11" x14ac:dyDescent="0.3">
      <c r="A8" s="45" t="s">
        <v>90</v>
      </c>
      <c r="B8" s="46" t="s">
        <v>91</v>
      </c>
      <c r="C8" s="46" t="s">
        <v>92</v>
      </c>
      <c r="D8" s="617"/>
      <c r="E8" s="32"/>
      <c r="F8" s="32"/>
      <c r="G8" s="32"/>
    </row>
    <row r="9" spans="1:11" x14ac:dyDescent="0.3">
      <c r="A9" s="34"/>
      <c r="B9" s="32"/>
      <c r="C9" s="32"/>
      <c r="D9" s="32"/>
      <c r="E9" s="32"/>
      <c r="F9" s="32"/>
      <c r="G9" s="32"/>
    </row>
    <row r="10" spans="1:11" x14ac:dyDescent="0.3">
      <c r="A10" s="41">
        <v>10</v>
      </c>
      <c r="B10" s="42">
        <v>2</v>
      </c>
      <c r="C10" s="42">
        <v>9</v>
      </c>
      <c r="D10" s="618" t="s">
        <v>31</v>
      </c>
      <c r="E10" s="32"/>
      <c r="F10" s="32"/>
      <c r="G10" s="32"/>
    </row>
    <row r="11" spans="1:11" x14ac:dyDescent="0.3">
      <c r="A11" s="41" t="s">
        <v>93</v>
      </c>
      <c r="B11" s="42" t="s">
        <v>94</v>
      </c>
      <c r="C11" s="42" t="s">
        <v>95</v>
      </c>
      <c r="D11" s="619"/>
      <c r="E11" s="32"/>
      <c r="F11" s="32"/>
      <c r="G11" s="32"/>
    </row>
    <row r="12" spans="1:11" x14ac:dyDescent="0.3">
      <c r="A12" s="34"/>
      <c r="B12" s="32"/>
      <c r="C12" s="32"/>
      <c r="D12" s="32"/>
      <c r="E12" s="32"/>
      <c r="F12" s="32"/>
      <c r="G12" s="32"/>
    </row>
    <row r="13" spans="1:11" x14ac:dyDescent="0.3">
      <c r="A13" s="39">
        <v>8</v>
      </c>
      <c r="B13" s="40">
        <v>0</v>
      </c>
      <c r="C13" s="40">
        <v>9</v>
      </c>
      <c r="D13" s="620" t="s">
        <v>49</v>
      </c>
      <c r="E13" s="32"/>
      <c r="F13" s="32"/>
      <c r="G13" s="32"/>
    </row>
    <row r="14" spans="1:11" x14ac:dyDescent="0.3">
      <c r="A14" s="39" t="s">
        <v>96</v>
      </c>
      <c r="B14" s="40" t="s">
        <v>97</v>
      </c>
      <c r="C14" s="40" t="s">
        <v>98</v>
      </c>
      <c r="D14" s="621"/>
      <c r="E14" s="32"/>
      <c r="F14" s="32"/>
      <c r="G14" s="32"/>
    </row>
    <row r="15" spans="1:11" x14ac:dyDescent="0.3">
      <c r="A15" s="34"/>
      <c r="B15" s="32"/>
      <c r="C15" s="32"/>
      <c r="D15" s="32"/>
      <c r="E15" s="32"/>
      <c r="F15" s="32"/>
      <c r="G15" s="32"/>
    </row>
    <row r="16" spans="1:11" x14ac:dyDescent="0.3">
      <c r="A16" s="37">
        <v>40</v>
      </c>
      <c r="B16" s="38">
        <v>4</v>
      </c>
      <c r="C16" s="38">
        <v>9</v>
      </c>
      <c r="D16" s="610" t="s">
        <v>83</v>
      </c>
      <c r="E16" s="32"/>
      <c r="F16" s="32"/>
      <c r="G16" s="32"/>
    </row>
    <row r="17" spans="1:4" x14ac:dyDescent="0.3">
      <c r="A17" s="37" t="s">
        <v>99</v>
      </c>
      <c r="B17" s="38" t="s">
        <v>100</v>
      </c>
      <c r="C17" s="38" t="s">
        <v>101</v>
      </c>
      <c r="D17" s="611"/>
    </row>
    <row r="18" spans="1:4" x14ac:dyDescent="0.3">
      <c r="A18" s="34"/>
    </row>
    <row r="19" spans="1:4" x14ac:dyDescent="0.3">
      <c r="A19" s="34"/>
    </row>
    <row r="20" spans="1:4" x14ac:dyDescent="0.3">
      <c r="A20" s="34"/>
    </row>
    <row r="21" spans="1:4" x14ac:dyDescent="0.3">
      <c r="A21" s="34"/>
    </row>
    <row r="22" spans="1:4" x14ac:dyDescent="0.3">
      <c r="A22" s="34"/>
    </row>
    <row r="23" spans="1:4" x14ac:dyDescent="0.3">
      <c r="A23" s="34"/>
    </row>
    <row r="24" spans="1:4" x14ac:dyDescent="0.3">
      <c r="A24" s="34"/>
    </row>
    <row r="25" spans="1:4" x14ac:dyDescent="0.3">
      <c r="A25" s="34"/>
    </row>
    <row r="26" spans="1:4" x14ac:dyDescent="0.3">
      <c r="A26" s="34"/>
    </row>
    <row r="27" spans="1:4" x14ac:dyDescent="0.3">
      <c r="A27" s="34"/>
    </row>
    <row r="28" spans="1:4" x14ac:dyDescent="0.3">
      <c r="A28" s="34"/>
    </row>
    <row r="29" spans="1:4" x14ac:dyDescent="0.3">
      <c r="A29" s="34"/>
    </row>
    <row r="30" spans="1:4" x14ac:dyDescent="0.3">
      <c r="A30" s="34"/>
    </row>
    <row r="31" spans="1:4" x14ac:dyDescent="0.3">
      <c r="A31" s="34"/>
    </row>
    <row r="32" spans="1:4" x14ac:dyDescent="0.3">
      <c r="A32" s="34"/>
    </row>
    <row r="33" spans="1:1" x14ac:dyDescent="0.3">
      <c r="A33" s="34"/>
    </row>
    <row r="34" spans="1:1" x14ac:dyDescent="0.3">
      <c r="A34" s="34"/>
    </row>
    <row r="35" spans="1:1" x14ac:dyDescent="0.3">
      <c r="A35" s="34"/>
    </row>
    <row r="36" spans="1:1" x14ac:dyDescent="0.3">
      <c r="A36" s="34"/>
    </row>
    <row r="37" spans="1:1" x14ac:dyDescent="0.3">
      <c r="A37" s="34"/>
    </row>
    <row r="38" spans="1:1" x14ac:dyDescent="0.3">
      <c r="A38" s="34"/>
    </row>
    <row r="39" spans="1:1" x14ac:dyDescent="0.3">
      <c r="A39" s="34"/>
    </row>
    <row r="40" spans="1:1" x14ac:dyDescent="0.3">
      <c r="A40" s="34"/>
    </row>
    <row r="41" spans="1:1" x14ac:dyDescent="0.3">
      <c r="A41" s="34"/>
    </row>
    <row r="42" spans="1:1" x14ac:dyDescent="0.3">
      <c r="A42" s="34"/>
    </row>
    <row r="43" spans="1:1" x14ac:dyDescent="0.3">
      <c r="A43" s="34"/>
    </row>
    <row r="44" spans="1:1" x14ac:dyDescent="0.3">
      <c r="A44" s="34"/>
    </row>
    <row r="45" spans="1:1" x14ac:dyDescent="0.3">
      <c r="A45" s="34"/>
    </row>
    <row r="81" spans="1:1" x14ac:dyDescent="0.3">
      <c r="A81" s="35"/>
    </row>
    <row r="82" spans="1:1" x14ac:dyDescent="0.3">
      <c r="A82" s="35"/>
    </row>
    <row r="83" spans="1:1" x14ac:dyDescent="0.3">
      <c r="A83" s="36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User</cp:lastModifiedBy>
  <cp:lastPrinted>2024-08-07T11:29:18Z</cp:lastPrinted>
  <dcterms:created xsi:type="dcterms:W3CDTF">2017-01-25T04:28:39Z</dcterms:created>
  <dcterms:modified xsi:type="dcterms:W3CDTF">2024-11-18T11:45:10Z</dcterms:modified>
</cp:coreProperties>
</file>