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390" yWindow="0" windowWidth="20730" windowHeight="11760" firstSheet="4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refMode="R1C1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H2" i="31"/>
  <c r="P2" i="31"/>
  <c r="V2" i="31"/>
  <c r="H2" i="27"/>
  <c r="P2" i="27"/>
  <c r="V2" i="27"/>
  <c r="G2" i="19"/>
  <c r="N2" i="19"/>
  <c r="T2" i="19"/>
  <c r="I161" i="27"/>
  <c r="I275" i="31"/>
  <c r="I274" i="31"/>
  <c r="I273" i="31"/>
  <c r="I272" i="31"/>
  <c r="I271" i="31"/>
  <c r="I203" i="31"/>
  <c r="I243" i="31"/>
  <c r="I239" i="31"/>
  <c r="I253" i="31"/>
  <c r="I150" i="27"/>
  <c r="I245" i="31"/>
  <c r="I220" i="31"/>
  <c r="I211" i="31"/>
  <c r="H28" i="20"/>
  <c r="R28" i="20"/>
  <c r="I148" i="27"/>
  <c r="I100" i="27"/>
  <c r="H9" i="19"/>
  <c r="I43" i="31"/>
  <c r="I59" i="27"/>
  <c r="I260" i="31"/>
  <c r="I101" i="31"/>
  <c r="I193" i="31"/>
  <c r="I140" i="27"/>
  <c r="I31" i="31"/>
  <c r="I105" i="31"/>
  <c r="I48" i="27"/>
  <c r="I13" i="27"/>
  <c r="I36" i="27"/>
  <c r="I24" i="27"/>
  <c r="I89" i="31"/>
  <c r="I55" i="31"/>
  <c r="I270" i="31"/>
  <c r="I160" i="27"/>
  <c r="I159" i="27"/>
  <c r="I269" i="31"/>
  <c r="I268" i="31"/>
  <c r="I267" i="31"/>
  <c r="I266" i="31"/>
  <c r="H77" i="20"/>
  <c r="R77" i="20"/>
  <c r="H76" i="20"/>
  <c r="R76" i="20"/>
  <c r="I158" i="27"/>
  <c r="I157" i="27"/>
  <c r="I265" i="31"/>
  <c r="I156" i="27"/>
  <c r="I155" i="27"/>
  <c r="I264" i="31"/>
  <c r="I263" i="31"/>
  <c r="I262" i="31"/>
  <c r="I154" i="27"/>
  <c r="I259" i="31"/>
  <c r="I153" i="27"/>
  <c r="I152" i="27"/>
  <c r="I145" i="27"/>
  <c r="I238" i="31"/>
  <c r="I147" i="27"/>
  <c r="I131" i="27"/>
  <c r="I9" i="27"/>
  <c r="H18" i="20"/>
  <c r="R18" i="20"/>
  <c r="I128" i="27"/>
  <c r="I237" i="31"/>
  <c r="I236" i="31"/>
  <c r="I235" i="31"/>
  <c r="I144" i="27"/>
  <c r="I143" i="27"/>
  <c r="I135" i="27"/>
  <c r="I133" i="27"/>
  <c r="I119" i="27"/>
  <c r="I139" i="27"/>
  <c r="I138" i="27"/>
  <c r="I137" i="27"/>
  <c r="H16" i="19"/>
  <c r="I130" i="27"/>
  <c r="I127" i="27"/>
  <c r="I121" i="27"/>
  <c r="I202" i="31"/>
  <c r="I201" i="31"/>
  <c r="I126" i="27"/>
  <c r="I125" i="27"/>
  <c r="I124" i="27"/>
  <c r="I123" i="27"/>
  <c r="I200" i="31"/>
  <c r="I199" i="31"/>
  <c r="I190" i="31"/>
  <c r="I127" i="31"/>
  <c r="I156" i="31"/>
  <c r="I74" i="27"/>
  <c r="I114" i="27"/>
  <c r="I192" i="31"/>
  <c r="I118" i="27"/>
  <c r="I117" i="27"/>
  <c r="I95" i="27"/>
  <c r="I64" i="27"/>
  <c r="I89" i="27"/>
  <c r="I84" i="27"/>
  <c r="I69" i="27"/>
  <c r="I179" i="31"/>
  <c r="I169" i="31"/>
  <c r="I116" i="27"/>
  <c r="I189" i="31"/>
  <c r="I188" i="31"/>
  <c r="I187" i="31"/>
  <c r="I186" i="31"/>
  <c r="I113" i="27"/>
  <c r="I112" i="27"/>
  <c r="I185" i="31"/>
  <c r="I184" i="31"/>
  <c r="I111" i="27"/>
  <c r="I110" i="27"/>
  <c r="I132" i="31"/>
  <c r="I105" i="27"/>
  <c r="I148" i="31"/>
  <c r="I109" i="27"/>
  <c r="I26" i="31"/>
  <c r="I108" i="27"/>
  <c r="I107" i="27"/>
  <c r="I168" i="31"/>
  <c r="I167" i="31" l="1"/>
  <c r="I166" i="31"/>
  <c r="I63" i="27"/>
  <c r="I9" i="31" l="1"/>
  <c r="H9" i="20"/>
  <c r="R9" i="20"/>
  <c r="I23" i="31" l="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<sst xmlns="http://schemas.openxmlformats.org/spreadsheetml/2006/main" count="2308" uniqueCount="865">
  <si>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</si>
  <si>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</si>
  <si>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</si>
  <si>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</si>
  <si>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</si>
  <si>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</si>
  <si>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</si>
  <si>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</si>
  <si>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</si>
  <si>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</si>
  <si>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</si>
  <si>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</si>
  <si>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</si>
  <si>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</si>
  <si>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</si>
  <si>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</si>
  <si>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</si>
  <si>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</si>
  <si>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</si>
  <si>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</si>
  <si>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</si>
  <si>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</si>
  <si>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</si>
  <si>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</si>
  <si>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</si>
  <si>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</si>
  <si>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</si>
  <si>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</si>
  <si>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</si>
  <si>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</si>
  <si>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</si>
  <si>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</si>
  <si>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</si>
  <si>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</si>
  <si>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</si>
  <si>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</si>
  <si>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</si>
  <si>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</si>
  <si>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</si>
  <si>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</si>
  <si>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</si>
  <si>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</si>
  <si>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</si>
  <si>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</si>
  <si>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</si>
  <si>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</si>
  <si>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</si>
  <si>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</si>
  <si>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</si>
  <si>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</si>
  <si>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</si>
  <si>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</si>
  <si>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</si>
  <si>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</si>
  <si>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</si>
  <si>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</si>
  <si>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</si>
  <si>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</si>
  <si>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</si>
  <si>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</si>
  <si>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</si>
  <si>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</si>
  <si>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</si>
  <si>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</si>
  <si>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</si>
  <si>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</si>
  <si>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</si>
  <si>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</si>
  <si>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</si>
  <si>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</si>
  <si>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</si>
  <si>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</si>
  <si>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</si>
  <si>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</si>
  <si>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</si>
  <si>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</si>
  <si>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</si>
  <si>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</si>
  <si>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</si>
  <si>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</si>
  <si>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</si>
  <si>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</si>
  <si>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</si>
  <si>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</si>
  <si>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</si>
  <si>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</si>
  <si>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</si>
  <si>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</si>
  <si>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</si>
  <si>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</si>
  <si>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</si>
  <si>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</si>
  <si>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</si>
  <si>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</si>
  <si>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</si>
  <si>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</si>
  <si>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</si>
  <si>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</si>
  <si>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</si>
  <si>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</si>
  <si>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</si>
  <si>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</si>
  <si>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</si>
  <si>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</si>
  <si>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</si>
  <si>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</si>
  <si>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</si>
  <si>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</si>
  <si>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</si>
  <si>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</si>
  <si>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</si>
  <si>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</si>
  <si>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</si>
  <si>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</si>
  <si>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</si>
  <si>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</si>
  <si>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</si>
  <si>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</si>
  <si>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</si>
  <si>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</si>
  <si>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</si>
  <si>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</si>
  <si>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</si>
  <si>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</si>
  <si>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</si>
  <si>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</si>
  <si>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</si>
  <si>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</si>
  <si>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</si>
  <si>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</si>
  <si>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</si>
  <si>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</si>
  <si>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</si>
  <si>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</si>
  <si>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</si>
  <si>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</si>
  <si>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</si>
  <si>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</si>
  <si>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</si>
  <si>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</si>
  <si>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</si>
  <si>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</si>
  <si>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</si>
  <si>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</si>
  <si>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</si>
  <si>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</si>
  <si>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</si>
  <si>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</si>
  <si>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</si>
  <si>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</si>
  <si>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</si>
  <si>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</si>
  <si>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</si>
  <si>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</si>
  <si>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</si>
  <si>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</si>
  <si>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</si>
  <si>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</si>
  <si>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</si>
  <si>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</si>
  <si>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</si>
  <si>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</si>
  <si>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</si>
  <si>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</si>
  <si>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</si>
  <si>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</si>
  <si>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</si>
  <si>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</si>
  <si>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</si>
  <si>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</si>
  <si>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</si>
  <si>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</si>
  <si>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</si>
  <si>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</si>
  <si>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</si>
  <si>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</si>
  <si>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</si>
  <si>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</si>
  <si>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</si>
  <si>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</si>
  <si>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</si>
  <si>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</si>
  <si>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</si>
  <si>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</si>
  <si>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</si>
  <si>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</si>
  <si>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</si>
  <si>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</si>
  <si>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</si>
  <si>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</si>
  <si>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</si>
  <si>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</si>
  <si>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</si>
  <si>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</si>
  <si>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</si>
  <si>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</si>
  <si>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</si>
  <si>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</si>
  <si>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</si>
  <si>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</si>
  <si>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</si>
  <si>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</si>
  <si>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</si>
  <si>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</si>
  <si>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</si>
  <si>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</si>
  <si>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</si>
  <si>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</si>
  <si>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</si>
  <si>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</si>
  <si>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</si>
  <si>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</si>
  <si>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</si>
  <si>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</si>
  <si>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</si>
  <si>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</si>
  <si>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</si>
  <si>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</si>
  <si>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</si>
  <si>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</si>
  <si>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</si>
  <si>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</si>
  <si>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</si>
  <si>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</si>
  <si>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</si>
  <si>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</si>
  <si>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</si>
  <si>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</si>
  <si>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</si>
  <si>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</si>
  <si>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</si>
  <si>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</si>
  <si>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</si>
  <si>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</si>
  <si>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</si>
  <si>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</si>
  <si>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</si>
  <si>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</si>
  <si>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</si>
  <si>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</si>
  <si>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</si>
  <si>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</si>
  <si>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</si>
  <si>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</si>
  <si>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</si>
  <si>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</si>
  <si>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</si>
  <si>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</si>
  <si>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</si>
  <si>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</si>
  <si>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</si>
  <si>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</si>
  <si>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</si>
  <si>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</si>
  <si>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</si>
  <si>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</si>
  <si>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</si>
  <si>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</si>
  <si>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</si>
  <si>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</si>
  <si>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</si>
  <si>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</si>
  <si>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</si>
  <si>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</si>
  <si>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</si>
  <si>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</si>
  <si>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</si>
  <si>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</si>
  <si>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</si>
  <si>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</si>
  <si>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</si>
  <si>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</si>
  <si>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</si>
  <si>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</si>
  <si>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</si>
  <si>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</si>
  <si>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</si>
  <si>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</si>
  <si>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</si>
  <si>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</si>
  <si>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</si>
  <si>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</si>
  <si>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</si>
  <si>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</si>
  <si>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</si>
  <si>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</si>
  <si>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</si>
  <si>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</si>
  <si>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</si>
  <si>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</si>
  <si>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</si>
  <si>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</si>
  <si>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</si>
  <si>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</si>
  <si>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</si>
  <si>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</si>
  <si>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</si>
  <si>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</si>
  <si>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</si>
  <si>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</si>
  <si>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</si>
  <si>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</si>
  <si>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</si>
  <si>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</si>
  <si>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</si>
  <si>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</si>
  <si>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</si>
  <si>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</si>
  <si>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</si>
  <si>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</si>
  <si>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</si>
  <si>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</si>
  <si>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</si>
  <si>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</si>
  <si>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</si>
  <si>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</si>
  <si>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</si>
  <si>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</si>
  <si>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</si>
  <si>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</si>
  <si>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</si>
  <si>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</si>
  <si>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</si>
  <si>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</si>
  <si>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</si>
  <si>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</si>
  <si>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</si>
  <si>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Услуги по предоставлению права использования программы для ЭВМ</t>
  </si>
  <si>
    <t>6663003127</t>
  </si>
  <si>
    <t>АО "ПФ "СКБ Контур"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</si>
  <si>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</si>
  <si>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</si>
  <si>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</si>
  <si>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</si>
  <si>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</si>
  <si>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</si>
  <si>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</si>
  <si>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</si>
  <si>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</si>
  <si>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</si>
  <si>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</si>
  <si>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</si>
  <si>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</si>
  <si>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</si>
  <si>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</si>
  <si>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</si>
  <si>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</si>
  <si>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</si>
  <si>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</si>
  <si>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</si>
  <si>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</si>
  <si>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</si>
  <si>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</si>
  <si>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</si>
  <si>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</si>
  <si>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</si>
  <si>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</si>
  <si>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</si>
  <si>
    <t>№ К062780/23</t>
  </si>
  <si>
    <t>04.04.2023г.</t>
  </si>
  <si>
    <t>с 04.04.2023г. по 04.04.2024г.</t>
  </si>
  <si>
    <t>Дополнительное соглашение № 1 от 06.03.2023г.</t>
  </si>
  <si>
    <t>03.04.2023г.</t>
  </si>
  <si>
    <t>с 03.04.2023г. по 19.05.2023г.</t>
  </si>
  <si>
    <t>№ 06-04/2023</t>
  </si>
  <si>
    <t>06.04.2023г.</t>
  </si>
  <si>
    <t>235303782209</t>
  </si>
  <si>
    <t>ИП Пастухов Б.П.</t>
  </si>
  <si>
    <t>с 06.04.2023г. по 17.04.2023г.</t>
  </si>
  <si>
    <t>в течение 10 рабочих дней с момента подписания Заказчиком документа о приемке оказанных услуг и представления Исполни-телем документа на оплату.</t>
  </si>
  <si>
    <t>04 апреля 2023г.</t>
  </si>
  <si>
    <t>31 марта 2023г.</t>
  </si>
  <si>
    <t>05 апреля 2023г.</t>
  </si>
  <si>
    <t>01 апреля 2023г.</t>
  </si>
  <si>
    <t>27 марта 2023г.</t>
  </si>
  <si>
    <t>06 апреля 2023г.</t>
  </si>
  <si>
    <t>07 апреля 2023г.</t>
  </si>
  <si>
    <t>03 апреля 2023г.</t>
  </si>
  <si>
    <t>10 апреля 2023г.</t>
  </si>
  <si>
    <t>13 апреля 2023г.</t>
  </si>
  <si>
    <t>14 апреля 2023г.</t>
  </si>
  <si>
    <t>21 апреля 2023г.</t>
  </si>
  <si>
    <t>30 марта 2023г.</t>
  </si>
  <si>
    <t>24 марта 2023г.</t>
  </si>
  <si>
    <t>18 апреля 2023г.</t>
  </si>
  <si>
    <t>№ СП007419/23</t>
  </si>
  <si>
    <t>19.04.2023г.</t>
  </si>
  <si>
    <t>Выдача сертификата и лицензии на программы для ЭВМ</t>
  </si>
  <si>
    <t>6673240328</t>
  </si>
  <si>
    <t>ООО "Сертум-Про"</t>
  </si>
  <si>
    <t xml:space="preserve">с 19.04.2023г. по 31.12.2023г. </t>
  </si>
  <si>
    <t>в течение 10 (десяти) рабочих дней после подписания акта сдачи-приемки и получения документов на оплату..</t>
  </si>
  <si>
    <t>№ 88</t>
  </si>
  <si>
    <t>21.04.2023г.</t>
  </si>
  <si>
    <t>Поставка учебно-наглядных пособий</t>
  </si>
  <si>
    <t>2350009645</t>
  </si>
  <si>
    <t>ООО "Художественный салон "Сокол"</t>
  </si>
  <si>
    <t>с 21.04.2023г. по 08.06.2023г.</t>
  </si>
  <si>
    <t>в течение 7 (семи) рабочих дней с момента подписания документов о приемке товара.</t>
  </si>
  <si>
    <t>№  99</t>
  </si>
  <si>
    <t>12.05.2023г.</t>
  </si>
  <si>
    <t>Поставка дез.средств, хоз.товаров</t>
  </si>
  <si>
    <t>с 12.05.2023г. по 31.12.2023г.</t>
  </si>
  <si>
    <t>№ 30</t>
  </si>
  <si>
    <t>17.05.2023г.</t>
  </si>
  <si>
    <t>Поставка шин</t>
  </si>
  <si>
    <t>ООО "Навигатор Плюс"</t>
  </si>
  <si>
    <t>с 17.05.2023г. по 27.05.2023г.</t>
  </si>
  <si>
    <t>не более 10 рабочих дней с момента подписания Заказчиком документа о приемке товара и представления Поставщиком документа на оплату.</t>
  </si>
  <si>
    <t>№ КС1/386-23</t>
  </si>
  <si>
    <t>Услуги по восстановлению доступа и технической поддержке корпоративных сервисов</t>
  </si>
  <si>
    <t>2312038420</t>
  </si>
  <si>
    <t>ФГБОУ ВО "КубГУ"</t>
  </si>
  <si>
    <t>в течение 10 рабочих дней с даты подписания Сторонами акта сдачи-приемки оказанных услуг и предоставления счета на оплату</t>
  </si>
  <si>
    <t>№ 82/23</t>
  </si>
  <si>
    <t>№ 82-1/23</t>
  </si>
  <si>
    <t>24.04.2023г.</t>
  </si>
  <si>
    <t>Услуги по проведению медосмотров сотрудников</t>
  </si>
  <si>
    <t>2353006498</t>
  </si>
  <si>
    <t>ГБУЗ "Тимашевская ЦРБ"</t>
  </si>
  <si>
    <t>с 24.04.2023г. по 30.12.2023г.</t>
  </si>
  <si>
    <t>в течение 10 рабочих дней с момента подписания обеими Сторонами акта  оказанных услуг</t>
  </si>
  <si>
    <t>в течение 10 рабочих дней с момента подписания обеими Сторонами акта оказанных услуг</t>
  </si>
  <si>
    <t>№ 2023.157503</t>
  </si>
  <si>
    <t>24.05.2023г.</t>
  </si>
  <si>
    <t>Поставка линолеума</t>
  </si>
  <si>
    <t>ООО "Интерактив-Сервис"</t>
  </si>
  <si>
    <t>с 24.05.2023г. по 31.12.2023г.</t>
  </si>
  <si>
    <t xml:space="preserve">не позднее 7 дней с момента подписания Заказчиком документа о поставке товара и представления Поставщиком документа на оплату </t>
  </si>
  <si>
    <t>№21/23</t>
  </si>
  <si>
    <t>18.05.2023г.</t>
  </si>
  <si>
    <t>Услуги по ассенизации</t>
  </si>
  <si>
    <t>2333011443</t>
  </si>
  <si>
    <t>ООО "Водоканал"</t>
  </si>
  <si>
    <t>с 18.05.2023г. по 31.12.2023г.</t>
  </si>
  <si>
    <t>№ 98</t>
  </si>
  <si>
    <t>19.05.2023г.</t>
  </si>
  <si>
    <t>Поставка посуды</t>
  </si>
  <si>
    <t>с 19.05.2023г. по 31.12.2023г.</t>
  </si>
  <si>
    <t>№ 14/23/2</t>
  </si>
  <si>
    <t>22.05.2023г.</t>
  </si>
  <si>
    <t>с 22.05.2023г. по 31.08.2023г.</t>
  </si>
  <si>
    <t>№ 14-Л</t>
  </si>
  <si>
    <t>Услуги по организации питания детей в летнем лагере (стоимость продуктов)</t>
  </si>
  <si>
    <t>с 29.05.2023г. по 18.06.2023г.</t>
  </si>
  <si>
    <t>№ 14-П</t>
  </si>
  <si>
    <t>25.05.2023г.</t>
  </si>
  <si>
    <t>Услуги по организации питания детей в летнем лагере (услуги по приготовлению)</t>
  </si>
  <si>
    <t>№ 4390/220</t>
  </si>
  <si>
    <t>31.05.2023г.</t>
  </si>
  <si>
    <t>Поставка периодических печатных изданий</t>
  </si>
  <si>
    <t>7724490000</t>
  </si>
  <si>
    <t>АО "Почта России"</t>
  </si>
  <si>
    <t>с 01.07.2023г. по 31.12.2023г.</t>
  </si>
  <si>
    <t>Авансовый платеж в размере 100% перечисляется в течение 7 рабочих дней с даты заключения контракта</t>
  </si>
  <si>
    <t>03 мая 2023г.</t>
  </si>
  <si>
    <t>01 мая 2023г.</t>
  </si>
  <si>
    <t>04 мая 2023г.</t>
  </si>
  <si>
    <t>19 пареля 2023г.</t>
  </si>
  <si>
    <t>28 апреля 2023г.</t>
  </si>
  <si>
    <t>30 апреля 2023г.</t>
  </si>
  <si>
    <t>29 апреля 2023г.</t>
  </si>
  <si>
    <t>05 мая 2023г.</t>
  </si>
  <si>
    <t>12 мая 2023г.</t>
  </si>
  <si>
    <t>16 мая 2023г.</t>
  </si>
  <si>
    <t>18 мая 2023г.</t>
  </si>
  <si>
    <t>22 мая 2023г.</t>
  </si>
  <si>
    <t>19 мая 2023г.</t>
  </si>
  <si>
    <t>23 мая 2023г.</t>
  </si>
  <si>
    <t>26 мая 2023г.</t>
  </si>
  <si>
    <t>31 мая 2023г.</t>
  </si>
  <si>
    <t>№ А0048571</t>
  </si>
  <si>
    <t>13.04.2023г.</t>
  </si>
  <si>
    <t>Поставка учебной литературы</t>
  </si>
  <si>
    <t>7715995942</t>
  </si>
  <si>
    <t>АО "Издательство "Просвещение"</t>
  </si>
  <si>
    <t>с 13.04.2023г. по 25.08.2023г.</t>
  </si>
  <si>
    <t>в течение 10 рабочих дней со дня подписания Заказчиком УПД (товарной накладной), сформированной Поставщиком в ЭДО.</t>
  </si>
  <si>
    <t>№ 23-10609</t>
  </si>
  <si>
    <t>18.04.2023г.</t>
  </si>
  <si>
    <t xml:space="preserve">Изготовление и поставка полиграфической продукции строгого учета </t>
  </si>
  <si>
    <t>7706526550</t>
  </si>
  <si>
    <t>ООО "СпецБланк-Москва"</t>
  </si>
  <si>
    <t>с 18.04.2023г. по 28.05.2023г.</t>
  </si>
  <si>
    <t>в течение 7-ми (семи) рабочих дней с момента получения Продукции, счета-фактуры, накладнй и акта сдачи-приемки.</t>
  </si>
  <si>
    <t>№ А0056464</t>
  </si>
  <si>
    <t>26.06.2023г.</t>
  </si>
  <si>
    <t xml:space="preserve">с 26.06.2023г. по         30.09.2023г. </t>
  </si>
  <si>
    <t>в течение 7 рабочих дней со дня подписания Заказчиком УПД (товарной накладной), сформированного Поставщиком в системе ЭДО.</t>
  </si>
  <si>
    <t>№ 18</t>
  </si>
  <si>
    <t>27.04.2023г.</t>
  </si>
  <si>
    <t>Поставка учебно-педагогической документации</t>
  </si>
  <si>
    <t>ООО "Краснодарский учколлектор"</t>
  </si>
  <si>
    <t>с 27.04.2023г. по 11.08.2023г.</t>
  </si>
  <si>
    <t>в течение 7 рабочих дней с момента подписания Сторонами документов</t>
  </si>
  <si>
    <t>№ 1408</t>
  </si>
  <si>
    <t>14.06.2023г.</t>
  </si>
  <si>
    <t>Услуги по проведению специальной оценки условий труда</t>
  </si>
  <si>
    <t>2310136750</t>
  </si>
  <si>
    <t>ООО "Карьера"</t>
  </si>
  <si>
    <t>с 14.06.2023г. по 06.09.2023г.</t>
  </si>
  <si>
    <t>Оплата 30% предоплаты в течение 5 рабочих дней со дня получения счета , окончательный расчет в течение 5 рабочих дней с момента подписания Заказчиком акта сдачи-приема услуг</t>
  </si>
  <si>
    <t>№ 24</t>
  </si>
  <si>
    <t>01.06.2023г.</t>
  </si>
  <si>
    <t>с 01.06.2023г. по 31.12.2023г.</t>
  </si>
  <si>
    <t>01 июня 2023г.</t>
  </si>
  <si>
    <t>25 мая 2023г.</t>
  </si>
  <si>
    <t>02 июня 2023г.</t>
  </si>
  <si>
    <t>05 июня 2023г.</t>
  </si>
  <si>
    <t>07 июня 2023г.</t>
  </si>
  <si>
    <t>15 июня 2023г.</t>
  </si>
  <si>
    <t>16 июня 2023г.</t>
  </si>
  <si>
    <t>19 июня 2023г.</t>
  </si>
  <si>
    <t>18 июня 2023г.</t>
  </si>
  <si>
    <t>27 июня 2023г.</t>
  </si>
  <si>
    <t>Дополнительное соглашение о расторжении б/н от 07.06.2023г.</t>
  </si>
  <si>
    <t xml:space="preserve">Дополнительное соглашение о расторжении б/н от 07.06.2023г. </t>
  </si>
  <si>
    <t>Дополнительное соглашение о расторжении б/н от 19.06.2023г.</t>
  </si>
  <si>
    <t>Дополнительное соглашение о расторжении б/н от 20.02.2023г.</t>
  </si>
  <si>
    <t>Дополнительное ссоглашение о расторжении б/н от 09.01.2023г.</t>
  </si>
  <si>
    <t>Дополнительное соглашение о расторжении б/н от 14.06.2023г.</t>
  </si>
  <si>
    <t>Дополнительное соглашение о расторжении б/н от 14.04.2023г.</t>
  </si>
  <si>
    <t>Дополнительное соглашение о расторжении б/н от  07.06.2023г.</t>
  </si>
  <si>
    <t>Дополнительное соглашение о расторжении б/н от 30.06.2023г.</t>
  </si>
  <si>
    <t>МБОУ СОШ № 14</t>
  </si>
  <si>
    <t>№ 31</t>
  </si>
  <si>
    <t>30.06.2023г.</t>
  </si>
  <si>
    <t xml:space="preserve"> с 30.06.2023г. по 14.07.2023г.</t>
  </si>
  <si>
    <t>№ 175</t>
  </si>
  <si>
    <t>12.07.2023г.</t>
  </si>
  <si>
    <t>Поставка краски, эмали</t>
  </si>
  <si>
    <t>с 12.07.2023г. по 31.12.2023г.</t>
  </si>
  <si>
    <t>23.06.2023г.</t>
  </si>
  <si>
    <t>с 23.06.2023г. по 30.12.2023г.</t>
  </si>
  <si>
    <t>21.07.2023г.</t>
  </si>
  <si>
    <t>24.07.2023г.</t>
  </si>
  <si>
    <t>Услуга по обследованию и опрессовке центрального отопления</t>
  </si>
  <si>
    <t>2315160361</t>
  </si>
  <si>
    <t>ООО "ГРЦ"</t>
  </si>
  <si>
    <t>с 21.07.2023г. по 31.08.2023г.</t>
  </si>
  <si>
    <t>в течение 10 рабочих дней с момента подписания акта выплненных работ и предоставления документов на оплату</t>
  </si>
  <si>
    <t>Право использования программы для ЭВМ и услуги по её сопровождению</t>
  </si>
  <si>
    <t xml:space="preserve">с 24.07.2023г. по 31.12.2023г. </t>
  </si>
  <si>
    <t>в течение 10 рабочих дней с момента выставления счета Оператором и подписания обеими Сторонами акта оказанных услуг</t>
  </si>
  <si>
    <t>ИП Быстров А.А.</t>
  </si>
  <si>
    <t>17.07.2023г.</t>
  </si>
  <si>
    <t>№ 30/Т</t>
  </si>
  <si>
    <t>№ К1038638/23</t>
  </si>
  <si>
    <t>№ ЦБ-505</t>
  </si>
  <si>
    <t>№ 111/23</t>
  </si>
  <si>
    <t>№ 111-1/23</t>
  </si>
  <si>
    <t>Поставка краски ВД</t>
  </si>
  <si>
    <t>235305536400</t>
  </si>
  <si>
    <t xml:space="preserve">с 17.07.2023г. по 31.12.2023г. </t>
  </si>
  <si>
    <t>в течение 10 (десяти) рабочих дней с момента подписания Заказчиком документа о приемке товара и представления Поставщиком документа на оплату.</t>
  </si>
  <si>
    <t>№ 185</t>
  </si>
  <si>
    <t>с 21.07.2023г. по 31.12.2023г.</t>
  </si>
  <si>
    <t>№ 204</t>
  </si>
  <si>
    <t>Поставка плинтуса</t>
  </si>
  <si>
    <t>03 июля 2023г.</t>
  </si>
  <si>
    <t>12 июля 2023г.</t>
  </si>
  <si>
    <t>04 июля 2023г.</t>
  </si>
  <si>
    <t>30 июня 2023г.</t>
  </si>
  <si>
    <t>4 июля 2023г.</t>
  </si>
  <si>
    <t>06 июля 2023г.</t>
  </si>
  <si>
    <t>01 июля 2023г.</t>
  </si>
  <si>
    <t>21 июля 2023г.</t>
  </si>
  <si>
    <t>05 июля 2023г.</t>
  </si>
  <si>
    <t>10 июля 2023г.</t>
  </si>
  <si>
    <t>11 июля 2023г.</t>
  </si>
  <si>
    <t>17 июля 2023г.</t>
  </si>
  <si>
    <t>19 июля 2023г.</t>
  </si>
  <si>
    <t>25 июля 2023г.</t>
  </si>
  <si>
    <t>27 июля 2023г.</t>
  </si>
  <si>
    <t>24 июля 2023г.</t>
  </si>
  <si>
    <t>28 июля 2023г.</t>
  </si>
  <si>
    <t>№ 81</t>
  </si>
  <si>
    <t>11.07.2023г.</t>
  </si>
  <si>
    <t>Поставка мебели ученической</t>
  </si>
  <si>
    <t>2308172990</t>
  </si>
  <si>
    <t>ООО "Лидер-Юг"</t>
  </si>
  <si>
    <t xml:space="preserve">с 11.07.2023г. по 31.12.2023г. </t>
  </si>
  <si>
    <t>№ А0074366</t>
  </si>
  <si>
    <t>09.08.2023г.</t>
  </si>
  <si>
    <t xml:space="preserve">с 09.08.2023г. по 30.10.2023г. </t>
  </si>
  <si>
    <t xml:space="preserve"> № 490</t>
  </si>
  <si>
    <t>17.08.2023г.</t>
  </si>
  <si>
    <t>Услуги по формированию карты водителя</t>
  </si>
  <si>
    <t xml:space="preserve">с 17.08.2023г. по 30.12.2023г. </t>
  </si>
  <si>
    <t>в течение 10 (десяти) рабочих дней с момента подписания Акта выполненных работ на основании выставленного счета.</t>
  </si>
  <si>
    <t>№ 1/2023/35</t>
  </si>
  <si>
    <t>23.08.2023г.</t>
  </si>
  <si>
    <t>ГБУК КК "КГИАМЗ им.Е.Д.Фелицына"</t>
  </si>
  <si>
    <t>с 23.08.2023г. по 23.12.2023г.</t>
  </si>
  <si>
    <t>Оплата 30% предоплаты в течение 5 рабочих дней со дня получения счета, окончательный расчет в течение 5 рабочих дней после получения акта окзанных услуг</t>
  </si>
  <si>
    <t>24.08.2023г.</t>
  </si>
  <si>
    <t>№ 2</t>
  </si>
  <si>
    <t>231107998282</t>
  </si>
  <si>
    <t>ИП Даценко И.Н.</t>
  </si>
  <si>
    <t>с 24.08.2023г. по 31.12.2023г.</t>
  </si>
  <si>
    <t>Поставка видеорегистратора, жесткого диска (антитеррор)</t>
  </si>
  <si>
    <t>Поставка USB-проигрывателя-тюнера-усилителя, рупорного громкоговорителя (противопожарная безопасность)</t>
  </si>
  <si>
    <t>31 июля 2023г.</t>
  </si>
  <si>
    <t>02 августа 2023г.</t>
  </si>
  <si>
    <t>04 августа 2023г.</t>
  </si>
  <si>
    <t>09 августа 2023г.</t>
  </si>
  <si>
    <t>31 августа 2023г.</t>
  </si>
  <si>
    <t>03 августа 2023г.</t>
  </si>
  <si>
    <t>01 августа 2023г.</t>
  </si>
  <si>
    <t>16 июля 2023г.</t>
  </si>
  <si>
    <t>08 августа 2023г.</t>
  </si>
  <si>
    <t>22 августа 2023г.</t>
  </si>
  <si>
    <t>15 августа 2023г.</t>
  </si>
  <si>
    <t>10 августа 2023г.</t>
  </si>
  <si>
    <t>17 августа 2023г.</t>
  </si>
  <si>
    <t>19 августа 2023г.</t>
  </si>
  <si>
    <t>25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</si>
  <si>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</si>
  <si>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</si>
  <si>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</si>
  <si>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</si>
  <si>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</si>
  <si>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№ 055-08/2023-ЭЛ</t>
  </si>
  <si>
    <t>07.09.2023г.</t>
  </si>
  <si>
    <t>Услуги по измерению сопротивления контуров заземления</t>
  </si>
  <si>
    <t>234702451800</t>
  </si>
  <si>
    <t>ИП Должиков С.С.</t>
  </si>
  <si>
    <t>с 07.09.2023г. по 31.12.2023г.</t>
  </si>
  <si>
    <t>в течение 10 (десяти) рабочих дней с момента подписания Заказчиком акта выполненных работ и представления Поставщиком документа на оплату.</t>
  </si>
  <si>
    <t>№ 08-09/2023-3</t>
  </si>
  <si>
    <t>Услуги по тех.обслуживанию и ремонту  автобуса</t>
  </si>
  <si>
    <t>с 08.09.2023г. по 31.12.2023г.</t>
  </si>
  <si>
    <t>08.09.2023г.</t>
  </si>
  <si>
    <t>в течение 10 (десяти) рабочих дней с момента подписания Заказчиком документа о приемке оказанных услуг и представления Исполнителем документа на оплату.</t>
  </si>
  <si>
    <t>01.09.2023г.</t>
  </si>
  <si>
    <t>Услуги по оранизации питания учащихся 5-11 кл.</t>
  </si>
  <si>
    <t>с 01.09.2023г. по 29.12.2023г.</t>
  </si>
  <si>
    <t>№ 25-09/2023</t>
  </si>
  <si>
    <t>25.09.2023г.</t>
  </si>
  <si>
    <t>с 25.09.2023г. по 31.12.2023г.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</si>
  <si>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</si>
  <si>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</si>
  <si>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</si>
  <si>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</si>
  <si>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31 августа 2023г</t>
  </si>
  <si>
    <t>04 сентября 2023г.</t>
  </si>
  <si>
    <t>03 сентября 2023г.</t>
  </si>
  <si>
    <t>05 сентября 2023г.</t>
  </si>
  <si>
    <t>06 сентября 2023г.</t>
  </si>
  <si>
    <t>08 сентября 2023г.</t>
  </si>
  <si>
    <t>15 сентября 2023г.</t>
  </si>
  <si>
    <t>11 сентября 2023г.</t>
  </si>
  <si>
    <t>19 сентября 2023г.</t>
  </si>
  <si>
    <t>28 августа 2023г.</t>
  </si>
  <si>
    <t>24 августа 2023г.</t>
  </si>
  <si>
    <t>21 сентября 2023г.</t>
  </si>
  <si>
    <t>10.10.2023г.</t>
  </si>
  <si>
    <t>Охранные услуги</t>
  </si>
  <si>
    <t>2304067057</t>
  </si>
  <si>
    <t>ООО ЧОО "Легион"</t>
  </si>
  <si>
    <t>с 20.10.2023г. по 31.12.2023г.</t>
  </si>
  <si>
    <t>в течение не более чем 7 (семь) рабочих дней с даты подписания Заказчиком документа о приемке.</t>
  </si>
  <si>
    <t>11.10.2023г.</t>
  </si>
  <si>
    <t>Услуги по заключению договора ОСАГО</t>
  </si>
  <si>
    <t>7710026574</t>
  </si>
  <si>
    <t>САО "ВСК"</t>
  </si>
  <si>
    <t>c 11.10.2023г. по 31.12.2023г.</t>
  </si>
  <si>
    <t>в течение 10 рабочих дней, со дня подписания акта выполненных работ на основании акта приема-передачи.</t>
  </si>
  <si>
    <t>№ 5092/220</t>
  </si>
  <si>
    <t>17.10.2023г.</t>
  </si>
  <si>
    <t>Услуги по подписке на периодические печатные издания</t>
  </si>
  <si>
    <t>с 17.10.2023г. по 30.09.2024г.</t>
  </si>
  <si>
    <t>авансовый платеж в размере 100% в течение 7 рабочих дней с даты заключения Контракта</t>
  </si>
  <si>
    <t>№ 247</t>
  </si>
  <si>
    <t>20.10.2023г.</t>
  </si>
  <si>
    <t>Услуги по поставке хоз.товаров</t>
  </si>
  <si>
    <t xml:space="preserve">в течение 10 (десяти) рабочих дней с момента подписания товарной накладной </t>
  </si>
  <si>
    <t>19.10.2023г.</t>
  </si>
  <si>
    <t>Услуги по ремонту техники</t>
  </si>
  <si>
    <t>ИП Рысин А.В.</t>
  </si>
  <si>
    <t>с 19.10.2023г. по 31.12.2023г.</t>
  </si>
  <si>
    <t>в течение 10 (десяти) рабочих дней с даты подписания Заказчиком акта о выполненных работах (оказанных услугах)</t>
  </si>
  <si>
    <t>№  32</t>
  </si>
  <si>
    <t>25.10.2023г.</t>
  </si>
  <si>
    <t>Услуги по поставке автошины</t>
  </si>
  <si>
    <t>с 25.10.2023г. по 31.12.2023г.</t>
  </si>
  <si>
    <t xml:space="preserve">не более 10 (десяти) рабочих дней с момента подписания Заказчиком документа о приемке товара и представления Поставщиком документа на оплату </t>
  </si>
  <si>
    <t>№ 31/23</t>
  </si>
  <si>
    <t>26.10.2023г.</t>
  </si>
  <si>
    <t>с 26.10.2023г. по 31.12.2023г.</t>
  </si>
  <si>
    <t>в течение 10 дней с момента принятия услуг от Исполнителя</t>
  </si>
  <si>
    <t>02 октября 2023г.</t>
  </si>
  <si>
    <t>25 сентября 2023г.</t>
  </si>
  <si>
    <t>01 октября 2023г.</t>
  </si>
  <si>
    <t>30 сентября 2023г.</t>
  </si>
  <si>
    <t>17 октября 2023г.</t>
  </si>
  <si>
    <t>16 сентября 2023г.</t>
  </si>
  <si>
    <t>03 октября 2023г.</t>
  </si>
  <si>
    <t>06 октября 2023г.</t>
  </si>
  <si>
    <t>09 октября 2023г.</t>
  </si>
  <si>
    <t>20 октября 2023г.</t>
  </si>
  <si>
    <t>24 октября 2023г.</t>
  </si>
  <si>
    <t>13 октября 2023г.</t>
  </si>
  <si>
    <t>18 октября 2023г.</t>
  </si>
  <si>
    <t>27 сентября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</si>
  <si>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</si>
  <si>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</si>
  <si>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</si>
  <si>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</si>
  <si>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</si>
  <si>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</si>
  <si>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</si>
  <si>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</si>
  <si>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03.11.2023Г.</t>
  </si>
  <si>
    <t>Экскурсионные услуги</t>
  </si>
  <si>
    <t>2353016418</t>
  </si>
  <si>
    <t>с 03.11.2023г. по 31.12.2023г.</t>
  </si>
  <si>
    <t>не позднее 10 календарных дней с момента подписания Заказчиком документа о приемке услуг и предоставления Исполнителем документов на оплату</t>
  </si>
  <si>
    <t>МРО Православный Приход храма Вознесения Господня г.Тимашевска Краснодарского края Ейской Епархии Русской Православной Церкви (Московский Патриархат)</t>
  </si>
  <si>
    <t>№ 1/2023/55</t>
  </si>
  <si>
    <t>13.11.2023г.</t>
  </si>
  <si>
    <t>Услуги по показу и экскурсионному обслуживанию музейных коллекций</t>
  </si>
  <si>
    <t>с 13.11.2023г по 20.12.2023г.</t>
  </si>
  <si>
    <t xml:space="preserve"> 30% предоплаты в течение 5 рабочих дней со дня получения счета, окончательный расчет в течение 5 рабочих дней после получения акта окзанных услуг</t>
  </si>
  <si>
    <t>№ б/н</t>
  </si>
  <si>
    <t>22.11.2023г.</t>
  </si>
  <si>
    <t>Услуги по поставке счетчика воды</t>
  </si>
  <si>
    <t>ИП Левин В.Р.</t>
  </si>
  <si>
    <t>с 22.11.2023г. по 31.12.2023г.</t>
  </si>
  <si>
    <t>в течение 10 (десяти) рабочих дней с момента подписания Заказчиком документа о приемке товара  и представления Поставщиком  документа на оплату.</t>
  </si>
  <si>
    <t>Муниципальная программа "Обеспечение безопасности населения и территорий Тимашевского района"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</si>
  <si>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</si>
  <si>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</si>
  <si>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</si>
  <si>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</si>
  <si>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</si>
  <si>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</si>
  <si>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26 октября 2023г.</t>
  </si>
  <si>
    <t>16 ноября 2023г.</t>
  </si>
  <si>
    <t>03 ноября 2023г.</t>
  </si>
  <si>
    <t>10 ноября 2023г.</t>
  </si>
  <si>
    <t>13 ноября 2023г.</t>
  </si>
  <si>
    <t>15 ноября 2023г.</t>
  </si>
  <si>
    <t>06 ноября 2023г.</t>
  </si>
  <si>
    <t>14 ноября 2023г.</t>
  </si>
  <si>
    <t>20 ноября 2023г.</t>
  </si>
  <si>
    <t>29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</si>
  <si>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</si>
  <si>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</si>
  <si>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</si>
  <si>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</si>
  <si>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</si>
  <si>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</si>
  <si>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Услуги по организации горячего питания обучающихся с ОВЗ</t>
  </si>
  <si>
    <t>Услуги по организации горячего питания обучающихся инвалидов</t>
  </si>
  <si>
    <t>с 01.12.2023г. по 29.12.2023г.</t>
  </si>
  <si>
    <t xml:space="preserve"> № 14 СВО</t>
  </si>
  <si>
    <t>№ 910</t>
  </si>
  <si>
    <t>04.12.2023г.</t>
  </si>
  <si>
    <t xml:space="preserve"> № 911</t>
  </si>
  <si>
    <t>Услуга по постановке объекта на государственный учет НВОС</t>
  </si>
  <si>
    <t>Услуга по подготовке декларации НВОС</t>
  </si>
  <si>
    <t>2353023292</t>
  </si>
  <si>
    <t>ООО "Экопроект"</t>
  </si>
  <si>
    <t>с 04.12.2023г. по 31.12.2023г.</t>
  </si>
  <si>
    <t>№ 33</t>
  </si>
  <si>
    <t>14.12.2023г.</t>
  </si>
  <si>
    <t>Услуги по поставке товаров</t>
  </si>
  <si>
    <t>с 14.12.2023г. по 31.12.2023г.</t>
  </si>
  <si>
    <t>в течение 10 рабочих дней с момента подписания Заказчиком документа о приемке товара и представления Поставщиком документа на оплату</t>
  </si>
  <si>
    <t>15.12.2023г.</t>
  </si>
  <si>
    <t>Услуги по заправке и ремонту картриджей</t>
  </si>
  <si>
    <t>235300809163</t>
  </si>
  <si>
    <t>ИП Коваленко Г.Н.</t>
  </si>
  <si>
    <t>с 15.12.2023г. по 31.12.2023г.</t>
  </si>
  <si>
    <t>в течение 10 рабочих дней с момента подписания Заказчиком документа об оказании услуг</t>
  </si>
  <si>
    <t>№ 237</t>
  </si>
  <si>
    <t>19.12.2023г.</t>
  </si>
  <si>
    <t>Услуги по поставке компьютерной оргтехники</t>
  </si>
  <si>
    <t>ООО "КОМПЬЮТЕР БИЗНЕС СЕРВИС СИБИЭС"</t>
  </si>
  <si>
    <t>с 19.12.2023г. по 31.12.2023г.</t>
  </si>
  <si>
    <t>№ 306</t>
  </si>
  <si>
    <t>№ 320</t>
  </si>
  <si>
    <t>№ 321</t>
  </si>
  <si>
    <t>Услуги по поставке посуды</t>
  </si>
  <si>
    <t>в течение 10 рабочих дней с момента подписания товарной накладной</t>
  </si>
  <si>
    <t>Услуги по поставке хозтоваров</t>
  </si>
  <si>
    <t>Услуги по поставке канцтоваров</t>
  </si>
  <si>
    <t>№ 20-12/2023</t>
  </si>
  <si>
    <t>20.12.2023г.</t>
  </si>
  <si>
    <t>Услуги по ремонту автобуса</t>
  </si>
  <si>
    <t>с 20.12.2023г. по 31.12.2023г.</t>
  </si>
  <si>
    <t>в течение 10 рабочих дней с момента подписания Заказчиком документа о приемке оказанных услуг и представления Исполнителем  документа на оплату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</si>
  <si>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</si>
  <si>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</si>
  <si>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</si>
  <si>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</si>
  <si>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</si>
  <si>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</si>
  <si>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</si>
  <si>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</si>
  <si>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</si>
  <si>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</si>
  <si>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</si>
  <si>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</si>
  <si>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</si>
  <si>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</si>
  <si>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</si>
  <si>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</si>
  <si>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</si>
  <si>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</si>
  <si>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</si>
  <si>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</si>
  <si>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</si>
  <si>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</si>
  <si>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</si>
  <si>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</si>
  <si>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</si>
  <si>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</si>
  <si>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</si>
  <si>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</si>
  <si>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</si>
  <si>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</si>
  <si>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</si>
  <si>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</si>
  <si>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</si>
  <si>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</si>
  <si>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</si>
  <si>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</si>
  <si>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</si>
  <si>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</si>
  <si>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</si>
  <si>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</si>
  <si>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</si>
  <si>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</si>
  <si>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</si>
  <si>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20 декабря 2023г.</t>
  </si>
  <si>
    <t>27 декабря 2023г.</t>
  </si>
  <si>
    <t>19 декабря 2023г.</t>
  </si>
  <si>
    <t>04 декабря 2023г.</t>
  </si>
  <si>
    <t>05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</si>
  <si>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</si>
  <si>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</si>
  <si>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</si>
  <si>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</si>
  <si>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</si>
  <si>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</si>
  <si>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</si>
  <si>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25 декабр2023г.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</si>
  <si>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</si>
  <si>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</si>
  <si>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</si>
  <si>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</si>
  <si>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</si>
  <si>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</si>
  <si>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</si>
  <si>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</si>
  <si>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</si>
  <si>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</si>
  <si>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</si>
  <si>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</si>
  <si>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</si>
  <si>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</si>
  <si>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</si>
  <si>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в течение 10 рабочих дней со дня подписания акта оказанныхуслуг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</si>
</sst>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7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>
      <alignment horizontal="center" vertical="center" wrapText="1"/>
    </xf>
    <xf numFmtId="168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Border="1" applyAlignment="1" applyProtection="1">
      <alignment horizontal="center" vertical="center" wrapText="1"/>
      <protection locked="0"/>
    </xf>
    <xf numFmtId="4" fontId="1" fillId="0" borderId="57" xfId="0" applyNumberFormat="1" applyFont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Border="1" applyAlignment="1" applyProtection="1">
      <alignment horizontal="center" vertical="center" wrapText="1"/>
      <protection locked="0"/>
    </xf>
    <xf numFmtId="4" fontId="1" fillId="0" borderId="64" xfId="0" applyNumberFormat="1" applyFont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>
      <alignment horizontal="center" vertical="center" wrapText="1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Border="1" applyAlignment="1" applyProtection="1">
      <alignment horizontal="center" vertical="center" wrapText="1"/>
      <protection locked="0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4" xfId="0" applyNumberFormat="1" applyFont="1" applyBorder="1" applyAlignment="1" applyProtection="1">
      <alignment horizontal="center" vertical="center" wrapText="1"/>
      <protection locked="0"/>
    </xf>
    <xf numFmtId="165" fontId="1" fillId="0" borderId="74" xfId="0" applyNumberFormat="1" applyFont="1" applyBorder="1" applyAlignment="1" applyProtection="1">
      <alignment horizontal="center" vertical="center" wrapText="1"/>
      <protection locked="0"/>
    </xf>
    <xf numFmtId="49" fontId="1" fillId="0" borderId="74" xfId="0" applyNumberFormat="1" applyFont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>
      <alignment horizontal="center" vertical="center" wrapText="1"/>
    </xf>
    <xf numFmtId="165" fontId="16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>
      <alignment horizontal="center" vertical="center" wrapText="1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>
      <alignment horizontal="center" vertical="center" wrapText="1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>
      <alignment horizontal="center" vertical="center" wrapText="1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1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2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4" zoomScale="70" zoomScaleNormal="70" workbookViewId="0">
      <selection activeCell="M4" sqref="M4:N4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356" t="s">
        <v>141</v>
      </c>
      <c r="B1" s="357"/>
      <c r="C1" s="357"/>
      <c r="D1" s="357"/>
      <c r="E1" s="356" t="s">
        <v>524</v>
      </c>
      <c r="F1" s="357"/>
      <c r="G1" s="357"/>
      <c r="H1" s="357"/>
      <c r="I1" s="357"/>
      <c r="J1" s="357"/>
      <c r="K1" s="357"/>
      <c r="L1" s="357"/>
      <c r="M1" s="357"/>
      <c r="N1" s="358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392" t="s">
        <v>25</v>
      </c>
      <c r="B4" s="393"/>
      <c r="C4" s="4">
        <v>9085279.0600000005</v>
      </c>
      <c r="D4" s="5"/>
      <c r="E4" s="394" t="s">
        <v>140</v>
      </c>
      <c r="F4" s="395"/>
      <c r="G4" s="396"/>
      <c r="H4" s="397">
        <v>2000000</v>
      </c>
      <c r="I4" s="398"/>
      <c r="J4" s="399"/>
      <c r="K4" s="17"/>
      <c r="L4" s="81" t="s">
        <v>55</v>
      </c>
      <c r="M4" s="394">
        <v>6027330.5700000003</v>
      </c>
      <c r="N4" s="396"/>
    </row>
    <row r="5" spans="1:14" ht="30.75" customHeight="1" thickBot="1" x14ac:dyDescent="0.3">
      <c r="A5" s="392" t="s">
        <v>26</v>
      </c>
      <c r="B5" s="393"/>
      <c r="C5" s="6">
        <f>C4-G15+J15</f>
        <v>-4014555.5700000008</v>
      </c>
      <c r="D5" s="5"/>
      <c r="E5" s="394" t="s">
        <v>53</v>
      </c>
      <c r="F5" s="395"/>
      <c r="G5" s="396"/>
      <c r="H5" s="387">
        <f>H4-G12</f>
        <v>308155.42000000016</v>
      </c>
      <c r="I5" s="388"/>
      <c r="J5" s="389"/>
      <c r="K5" s="17"/>
      <c r="L5" s="81" t="s">
        <v>54</v>
      </c>
      <c r="M5" s="390">
        <f>M4-G13</f>
        <v>-537850.18999999948</v>
      </c>
      <c r="N5" s="391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400" t="s">
        <v>27</v>
      </c>
      <c r="B8" s="401"/>
      <c r="C8" s="402"/>
      <c r="D8" s="400" t="s">
        <v>28</v>
      </c>
      <c r="E8" s="401"/>
      <c r="F8" s="402"/>
      <c r="G8" s="403" t="s">
        <v>29</v>
      </c>
      <c r="H8" s="404"/>
      <c r="I8" s="405"/>
      <c r="J8" s="403" t="s">
        <v>142</v>
      </c>
      <c r="K8" s="404"/>
      <c r="L8" s="405"/>
      <c r="M8" s="400" t="s">
        <v>30</v>
      </c>
      <c r="N8" s="402"/>
    </row>
    <row r="9" spans="1:14" ht="41.25" customHeight="1" thickBot="1" x14ac:dyDescent="0.3">
      <c r="A9" s="378" t="s">
        <v>31</v>
      </c>
      <c r="B9" s="379"/>
      <c r="C9" s="380"/>
      <c r="D9" s="377">
        <f>'Состоявшиеся аукционы'!G2</f>
        <v>0</v>
      </c>
      <c r="E9" s="377"/>
      <c r="F9" s="377"/>
      <c r="G9" s="377">
        <f>'Состоявшиеся аукционы'!Q2</f>
        <v>0</v>
      </c>
      <c r="H9" s="377"/>
      <c r="I9" s="377"/>
      <c r="J9" s="374">
        <f>'Состоявшиеся аукционы'!AB2</f>
        <v>0</v>
      </c>
      <c r="K9" s="375"/>
      <c r="L9" s="376"/>
      <c r="M9" s="377">
        <f t="shared" ref="M9:M15" si="0">D9-G9</f>
        <v>0</v>
      </c>
      <c r="N9" s="377"/>
    </row>
    <row r="10" spans="1:14" ht="78.75" customHeight="1" thickBot="1" x14ac:dyDescent="0.3">
      <c r="A10" s="378" t="s">
        <v>49</v>
      </c>
      <c r="B10" s="379"/>
      <c r="C10" s="380"/>
      <c r="D10" s="377">
        <f>'Несостоявшиеся аукционы'!G2</f>
        <v>0</v>
      </c>
      <c r="E10" s="377"/>
      <c r="F10" s="377"/>
      <c r="G10" s="377">
        <f>'Несостоявшиеся аукционы'!Q2</f>
        <v>0</v>
      </c>
      <c r="H10" s="377"/>
      <c r="I10" s="377"/>
      <c r="J10" s="374">
        <f>'Несостоявшиеся аукционы'!AB2</f>
        <v>0</v>
      </c>
      <c r="K10" s="375"/>
      <c r="L10" s="376"/>
      <c r="M10" s="377">
        <f t="shared" si="0"/>
        <v>0</v>
      </c>
      <c r="N10" s="377"/>
    </row>
    <row r="11" spans="1:14" ht="40.5" customHeight="1" thickBot="1" x14ac:dyDescent="0.3">
      <c r="A11" s="378" t="s">
        <v>83</v>
      </c>
      <c r="B11" s="379"/>
      <c r="C11" s="380"/>
      <c r="D11" s="374">
        <f>'Иные конкурентные закупки'!G2</f>
        <v>4363279.9799999995</v>
      </c>
      <c r="E11" s="375"/>
      <c r="F11" s="376"/>
      <c r="G11" s="374">
        <f>'Иные конкурентные закупки'!Q2</f>
        <v>3419390.05</v>
      </c>
      <c r="H11" s="375"/>
      <c r="I11" s="376"/>
      <c r="J11" s="374">
        <f>'Иные конкурентные закупки'!AB2</f>
        <v>8112</v>
      </c>
      <c r="K11" s="375"/>
      <c r="L11" s="376"/>
      <c r="M11" s="374">
        <f t="shared" si="0"/>
        <v>943889.9299999997</v>
      </c>
      <c r="N11" s="376"/>
    </row>
    <row r="12" spans="1:14" ht="54.75" customHeight="1" thickBot="1" x14ac:dyDescent="0.3">
      <c r="A12" s="381" t="s">
        <v>50</v>
      </c>
      <c r="B12" s="382"/>
      <c r="C12" s="383"/>
      <c r="D12" s="377">
        <f>'Ед. поставщик п.4 ч.1'!H2</f>
        <v>1691844.5799999998</v>
      </c>
      <c r="E12" s="377"/>
      <c r="F12" s="377"/>
      <c r="G12" s="377">
        <f>D12</f>
        <v>1691844.5799999998</v>
      </c>
      <c r="H12" s="377"/>
      <c r="I12" s="377"/>
      <c r="J12" s="374">
        <f>'Ед. поставщик п.4 ч.1'!V2</f>
        <v>108591.51999999999</v>
      </c>
      <c r="K12" s="375"/>
      <c r="L12" s="376"/>
      <c r="M12" s="377">
        <f t="shared" si="0"/>
        <v>0</v>
      </c>
      <c r="N12" s="377"/>
    </row>
    <row r="13" spans="1:14" ht="45.75" customHeight="1" thickBot="1" x14ac:dyDescent="0.3">
      <c r="A13" s="381" t="s">
        <v>51</v>
      </c>
      <c r="B13" s="382"/>
      <c r="C13" s="383"/>
      <c r="D13" s="377">
        <f>'Ед. поставщик п.5 ч.1'!H2</f>
        <v>6565180.7599999998</v>
      </c>
      <c r="E13" s="377"/>
      <c r="F13" s="377"/>
      <c r="G13" s="377">
        <f>D13</f>
        <v>6565180.7599999998</v>
      </c>
      <c r="H13" s="377"/>
      <c r="I13" s="377"/>
      <c r="J13" s="374">
        <f>'Ед. поставщик п.5 ч.1'!V2</f>
        <v>349657.29</v>
      </c>
      <c r="K13" s="375"/>
      <c r="L13" s="376"/>
      <c r="M13" s="377">
        <f t="shared" si="0"/>
        <v>0</v>
      </c>
      <c r="N13" s="377"/>
    </row>
    <row r="14" spans="1:14" ht="45.75" customHeight="1" thickBot="1" x14ac:dyDescent="0.3">
      <c r="A14" s="371" t="s">
        <v>52</v>
      </c>
      <c r="B14" s="372"/>
      <c r="C14" s="373"/>
      <c r="D14" s="374">
        <f>'Ед.поставщик за искл. п.4,5 ч.1'!G2</f>
        <v>1889780.05</v>
      </c>
      <c r="E14" s="375"/>
      <c r="F14" s="376"/>
      <c r="G14" s="374">
        <f>D14</f>
        <v>1889780.05</v>
      </c>
      <c r="H14" s="375"/>
      <c r="I14" s="376"/>
      <c r="J14" s="374">
        <f>'Ед.поставщик за искл. п.4,5 ч.1'!T2</f>
        <v>0</v>
      </c>
      <c r="K14" s="375"/>
      <c r="L14" s="376"/>
      <c r="M14" s="377">
        <f t="shared" si="0"/>
        <v>0</v>
      </c>
      <c r="N14" s="377"/>
    </row>
    <row r="15" spans="1:14" ht="21" thickBot="1" x14ac:dyDescent="0.3">
      <c r="A15" s="384" t="s">
        <v>143</v>
      </c>
      <c r="B15" s="385"/>
      <c r="C15" s="386"/>
      <c r="D15" s="377">
        <f>SUM(D9:D14)</f>
        <v>14510085.370000001</v>
      </c>
      <c r="E15" s="377"/>
      <c r="F15" s="377"/>
      <c r="G15" s="374">
        <f>SUM(G9:G14)</f>
        <v>13566195.440000001</v>
      </c>
      <c r="H15" s="375"/>
      <c r="I15" s="376"/>
      <c r="J15" s="374">
        <f>SUM(J9:J14)</f>
        <v>466360.80999999994</v>
      </c>
      <c r="K15" s="375"/>
      <c r="L15" s="376"/>
      <c r="M15" s="377">
        <f t="shared" si="0"/>
        <v>943889.9299999997</v>
      </c>
      <c r="N15" s="377"/>
    </row>
    <row r="18" spans="1:12" thickBot="1" x14ac:dyDescent="0.35"/>
    <row r="19" spans="1:12" ht="23.25" customHeight="1" x14ac:dyDescent="0.25">
      <c r="A19" s="359" t="s">
        <v>35</v>
      </c>
      <c r="B19" s="360"/>
      <c r="C19" s="361"/>
      <c r="D19" s="365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10185029.340000002</v>
      </c>
      <c r="E19" s="366"/>
      <c r="F19" s="366"/>
      <c r="G19" s="367"/>
      <c r="I19" s="15"/>
      <c r="J19" s="15"/>
      <c r="K19" s="15"/>
      <c r="L19" s="15"/>
    </row>
    <row r="20" spans="1:12" ht="24" customHeight="1" thickBot="1" x14ac:dyDescent="0.3">
      <c r="A20" s="362"/>
      <c r="B20" s="363"/>
      <c r="C20" s="364"/>
      <c r="D20" s="368"/>
      <c r="E20" s="369"/>
      <c r="F20" s="369"/>
      <c r="G20" s="370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162"/>
  <sheetViews>
    <sheetView showGridLines="0" topLeftCell="C1" zoomScale="50" zoomScaleNormal="50" workbookViewId="0">
      <pane ySplit="8" topLeftCell="A159" activePane="bottomLeft" state="frozen"/>
      <selection activeCell="I1" sqref="I1"/>
      <selection pane="bottomLeft" activeCell="O162" sqref="O162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1691844.5799999998</v>
      </c>
      <c r="K2" s="549"/>
      <c r="L2" s="549"/>
      <c r="M2" s="549"/>
      <c r="N2" s="550" t="s">
        <v>137</v>
      </c>
      <c r="O2" s="552"/>
      <c r="P2" s="69">
        <f>SUM(P9:P9999)</f>
        <v>1417169.0099999998</v>
      </c>
      <c r="R2" s="68"/>
      <c r="S2" s="550" t="s">
        <v>45</v>
      </c>
      <c r="T2" s="551"/>
      <c r="U2" s="552"/>
      <c r="V2" s="70">
        <f>SUM(V9:V9999)</f>
        <v>108591.51999999999</v>
      </c>
    </row>
    <row r="3" spans="1:24" ht="18" x14ac:dyDescent="0.3">
      <c r="A3" s="549"/>
      <c r="B3" s="549"/>
      <c r="C3" s="549"/>
      <c r="D3" s="549"/>
      <c r="E3" s="549"/>
      <c r="N3" s="68"/>
    </row>
    <row r="4" spans="1:24" ht="39.950000000000003" customHeight="1" x14ac:dyDescent="0.3">
      <c r="J4" s="553"/>
      <c r="K4" s="553"/>
      <c r="M4" s="553"/>
      <c r="N4" s="553"/>
      <c r="O4" s="553"/>
      <c r="P4" s="553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9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436">
        <v>1</v>
      </c>
      <c r="B9" s="433" t="s">
        <v>56</v>
      </c>
      <c r="C9" s="433"/>
      <c r="D9" s="433"/>
      <c r="E9" s="440" t="s">
        <v>210</v>
      </c>
      <c r="F9" s="438" t="s">
        <v>211</v>
      </c>
      <c r="G9" s="433" t="s">
        <v>212</v>
      </c>
      <c r="H9" s="444">
        <v>1000</v>
      </c>
      <c r="I9" s="447">
        <f>IF(X9 = 49, H9 + SUM(S9:S12) - SUM(T9:T12) - SUM(P9:P12) - V9,0)</f>
        <v>689.71</v>
      </c>
      <c r="J9" s="433" t="s">
        <v>213</v>
      </c>
      <c r="K9" s="433" t="s">
        <v>157</v>
      </c>
      <c r="L9" s="433"/>
      <c r="M9" s="433" t="s">
        <v>214</v>
      </c>
      <c r="N9" s="292" t="s">
        <v>562</v>
      </c>
      <c r="O9" s="438" t="s">
        <v>215</v>
      </c>
      <c r="P9" s="285">
        <v>79.56</v>
      </c>
      <c r="Q9" s="284" t="s">
        <v>564</v>
      </c>
      <c r="R9" s="283"/>
      <c r="S9" s="285"/>
      <c r="T9" s="285"/>
      <c r="U9" s="444"/>
      <c r="V9" s="458"/>
      <c r="W9" s="508"/>
      <c r="X9" s="85">
        <v>49</v>
      </c>
    </row>
    <row r="10" spans="1:24" x14ac:dyDescent="0.25">
      <c r="A10" s="539"/>
      <c r="B10" s="434"/>
      <c r="C10" s="434"/>
      <c r="D10" s="434"/>
      <c r="E10" s="441"/>
      <c r="F10" s="443"/>
      <c r="G10" s="434"/>
      <c r="H10" s="445"/>
      <c r="I10" s="448"/>
      <c r="J10" s="434"/>
      <c r="K10" s="434"/>
      <c r="L10" s="434"/>
      <c r="M10" s="434"/>
      <c r="N10" s="293" t="s">
        <v>602</v>
      </c>
      <c r="O10" s="443"/>
      <c r="P10" s="286">
        <v>19.63</v>
      </c>
      <c r="Q10" s="287" t="s">
        <v>605</v>
      </c>
      <c r="R10" s="288"/>
      <c r="S10" s="286"/>
      <c r="T10" s="286"/>
      <c r="U10" s="445"/>
      <c r="V10" s="459"/>
      <c r="W10" s="548"/>
      <c r="X10" s="2">
        <v>49</v>
      </c>
    </row>
    <row r="11" spans="1:24" x14ac:dyDescent="0.25">
      <c r="A11" s="539"/>
      <c r="B11" s="434"/>
      <c r="C11" s="434"/>
      <c r="D11" s="434"/>
      <c r="E11" s="441"/>
      <c r="F11" s="443"/>
      <c r="G11" s="434"/>
      <c r="H11" s="445"/>
      <c r="I11" s="448"/>
      <c r="J11" s="434"/>
      <c r="K11" s="434"/>
      <c r="L11" s="434"/>
      <c r="M11" s="434"/>
      <c r="N11" s="293" t="s">
        <v>606</v>
      </c>
      <c r="O11" s="443"/>
      <c r="P11" s="286">
        <v>36.96</v>
      </c>
      <c r="Q11" s="287" t="s">
        <v>647</v>
      </c>
      <c r="R11" s="288"/>
      <c r="S11" s="286"/>
      <c r="T11" s="286"/>
      <c r="U11" s="445"/>
      <c r="V11" s="459"/>
      <c r="W11" s="548"/>
      <c r="X11" s="2">
        <v>49</v>
      </c>
    </row>
    <row r="12" spans="1:24" x14ac:dyDescent="0.25">
      <c r="A12" s="437"/>
      <c r="B12" s="435"/>
      <c r="C12" s="435"/>
      <c r="D12" s="435"/>
      <c r="E12" s="442"/>
      <c r="F12" s="439"/>
      <c r="G12" s="435"/>
      <c r="H12" s="446"/>
      <c r="I12" s="449"/>
      <c r="J12" s="435"/>
      <c r="K12" s="435"/>
      <c r="L12" s="435"/>
      <c r="M12" s="435"/>
      <c r="N12" s="294" t="s">
        <v>694</v>
      </c>
      <c r="O12" s="439"/>
      <c r="P12" s="289">
        <v>174.14</v>
      </c>
      <c r="Q12" s="290" t="s">
        <v>702</v>
      </c>
      <c r="R12" s="291"/>
      <c r="S12" s="289"/>
      <c r="T12" s="289"/>
      <c r="U12" s="446"/>
      <c r="V12" s="460"/>
      <c r="W12" s="509"/>
      <c r="X12" s="2">
        <v>49</v>
      </c>
    </row>
    <row r="13" spans="1:24" s="85" customFormat="1" ht="72" customHeight="1" x14ac:dyDescent="0.25">
      <c r="A13" s="406">
        <v>2</v>
      </c>
      <c r="B13" s="412" t="s">
        <v>56</v>
      </c>
      <c r="C13" s="412"/>
      <c r="D13" s="412"/>
      <c r="E13" s="430" t="s">
        <v>158</v>
      </c>
      <c r="F13" s="408" t="s">
        <v>211</v>
      </c>
      <c r="G13" s="412" t="s">
        <v>212</v>
      </c>
      <c r="H13" s="410">
        <v>9400</v>
      </c>
      <c r="I13" s="420">
        <f>IF(X13 = 50, H13 + SUM(S13:S23) - SUM(T13:T23) - SUM(P13:P23) - V13,0)</f>
        <v>328.82999999999993</v>
      </c>
      <c r="J13" s="412" t="s">
        <v>213</v>
      </c>
      <c r="K13" s="412" t="s">
        <v>157</v>
      </c>
      <c r="L13" s="412"/>
      <c r="M13" s="412" t="s">
        <v>214</v>
      </c>
      <c r="N13" s="351" t="s">
        <v>307</v>
      </c>
      <c r="O13" s="408" t="s">
        <v>215</v>
      </c>
      <c r="P13" s="335">
        <v>867.14</v>
      </c>
      <c r="Q13" s="334" t="s">
        <v>310</v>
      </c>
      <c r="R13" s="333"/>
      <c r="S13" s="335"/>
      <c r="T13" s="335"/>
      <c r="U13" s="410"/>
      <c r="V13" s="414"/>
      <c r="W13" s="416"/>
      <c r="X13" s="85">
        <v>50</v>
      </c>
    </row>
    <row r="14" spans="1:24" x14ac:dyDescent="0.25">
      <c r="A14" s="429"/>
      <c r="B14" s="422"/>
      <c r="C14" s="422"/>
      <c r="D14" s="422"/>
      <c r="E14" s="431"/>
      <c r="F14" s="424"/>
      <c r="G14" s="422"/>
      <c r="H14" s="425"/>
      <c r="I14" s="426"/>
      <c r="J14" s="422"/>
      <c r="K14" s="422"/>
      <c r="L14" s="422"/>
      <c r="M14" s="422"/>
      <c r="N14" s="352" t="s">
        <v>345</v>
      </c>
      <c r="O14" s="424"/>
      <c r="P14" s="336">
        <v>858.19</v>
      </c>
      <c r="Q14" s="337" t="s">
        <v>348</v>
      </c>
      <c r="R14" s="338"/>
      <c r="S14" s="336"/>
      <c r="T14" s="336"/>
      <c r="U14" s="425"/>
      <c r="V14" s="427"/>
      <c r="W14" s="428"/>
      <c r="X14" s="2">
        <v>50</v>
      </c>
    </row>
    <row r="15" spans="1:24" x14ac:dyDescent="0.25">
      <c r="A15" s="429"/>
      <c r="B15" s="422"/>
      <c r="C15" s="422"/>
      <c r="D15" s="422"/>
      <c r="E15" s="431"/>
      <c r="F15" s="424"/>
      <c r="G15" s="422"/>
      <c r="H15" s="425"/>
      <c r="I15" s="426"/>
      <c r="J15" s="422"/>
      <c r="K15" s="422"/>
      <c r="L15" s="422"/>
      <c r="M15" s="422"/>
      <c r="N15" s="352" t="s">
        <v>371</v>
      </c>
      <c r="O15" s="424"/>
      <c r="P15" s="336">
        <v>825.3</v>
      </c>
      <c r="Q15" s="337" t="s">
        <v>376</v>
      </c>
      <c r="R15" s="338"/>
      <c r="S15" s="336"/>
      <c r="T15" s="336"/>
      <c r="U15" s="425"/>
      <c r="V15" s="427"/>
      <c r="W15" s="428"/>
      <c r="X15" s="2">
        <v>50</v>
      </c>
    </row>
    <row r="16" spans="1:24" x14ac:dyDescent="0.25">
      <c r="A16" s="429"/>
      <c r="B16" s="422"/>
      <c r="C16" s="422"/>
      <c r="D16" s="422"/>
      <c r="E16" s="431"/>
      <c r="F16" s="424"/>
      <c r="G16" s="422"/>
      <c r="H16" s="425"/>
      <c r="I16" s="426"/>
      <c r="J16" s="422"/>
      <c r="K16" s="422"/>
      <c r="L16" s="422"/>
      <c r="M16" s="422"/>
      <c r="N16" s="352" t="s">
        <v>460</v>
      </c>
      <c r="O16" s="424"/>
      <c r="P16" s="336">
        <v>846.54</v>
      </c>
      <c r="Q16" s="337" t="s">
        <v>468</v>
      </c>
      <c r="R16" s="338"/>
      <c r="S16" s="336"/>
      <c r="T16" s="336"/>
      <c r="U16" s="425"/>
      <c r="V16" s="427"/>
      <c r="W16" s="428"/>
      <c r="X16" s="2">
        <v>50</v>
      </c>
    </row>
    <row r="17" spans="1:24" x14ac:dyDescent="0.25">
      <c r="A17" s="429"/>
      <c r="B17" s="422"/>
      <c r="C17" s="422"/>
      <c r="D17" s="422"/>
      <c r="E17" s="431"/>
      <c r="F17" s="424"/>
      <c r="G17" s="422"/>
      <c r="H17" s="425"/>
      <c r="I17" s="426"/>
      <c r="J17" s="422"/>
      <c r="K17" s="422"/>
      <c r="L17" s="422"/>
      <c r="M17" s="422"/>
      <c r="N17" s="352" t="s">
        <v>470</v>
      </c>
      <c r="O17" s="424"/>
      <c r="P17" s="336">
        <v>816.37</v>
      </c>
      <c r="Q17" s="337" t="s">
        <v>509</v>
      </c>
      <c r="R17" s="338"/>
      <c r="S17" s="336"/>
      <c r="T17" s="336"/>
      <c r="U17" s="425"/>
      <c r="V17" s="427"/>
      <c r="W17" s="428"/>
      <c r="X17" s="2">
        <v>50</v>
      </c>
    </row>
    <row r="18" spans="1:24" x14ac:dyDescent="0.25">
      <c r="A18" s="429"/>
      <c r="B18" s="422"/>
      <c r="C18" s="422"/>
      <c r="D18" s="422"/>
      <c r="E18" s="431"/>
      <c r="F18" s="424"/>
      <c r="G18" s="422"/>
      <c r="H18" s="425"/>
      <c r="I18" s="426"/>
      <c r="J18" s="422"/>
      <c r="K18" s="422"/>
      <c r="L18" s="422"/>
      <c r="M18" s="422"/>
      <c r="N18" s="352" t="s">
        <v>562</v>
      </c>
      <c r="O18" s="424"/>
      <c r="P18" s="336">
        <v>805.55</v>
      </c>
      <c r="Q18" s="337" t="s">
        <v>564</v>
      </c>
      <c r="R18" s="338"/>
      <c r="S18" s="336"/>
      <c r="T18" s="336"/>
      <c r="U18" s="425"/>
      <c r="V18" s="427"/>
      <c r="W18" s="428"/>
      <c r="X18" s="2">
        <v>50</v>
      </c>
    </row>
    <row r="19" spans="1:24" x14ac:dyDescent="0.25">
      <c r="A19" s="429"/>
      <c r="B19" s="422"/>
      <c r="C19" s="422"/>
      <c r="D19" s="422"/>
      <c r="E19" s="431"/>
      <c r="F19" s="424"/>
      <c r="G19" s="422"/>
      <c r="H19" s="425"/>
      <c r="I19" s="426"/>
      <c r="J19" s="422"/>
      <c r="K19" s="422"/>
      <c r="L19" s="422"/>
      <c r="M19" s="422"/>
      <c r="N19" s="352" t="s">
        <v>602</v>
      </c>
      <c r="O19" s="424"/>
      <c r="P19" s="336">
        <v>930.61</v>
      </c>
      <c r="Q19" s="337" t="s">
        <v>605</v>
      </c>
      <c r="R19" s="338"/>
      <c r="S19" s="336"/>
      <c r="T19" s="336"/>
      <c r="U19" s="425"/>
      <c r="V19" s="427"/>
      <c r="W19" s="428"/>
      <c r="X19" s="2">
        <v>50</v>
      </c>
    </row>
    <row r="20" spans="1:24" x14ac:dyDescent="0.25">
      <c r="A20" s="429"/>
      <c r="B20" s="422"/>
      <c r="C20" s="422"/>
      <c r="D20" s="422"/>
      <c r="E20" s="431"/>
      <c r="F20" s="424"/>
      <c r="G20" s="422"/>
      <c r="H20" s="425"/>
      <c r="I20" s="426"/>
      <c r="J20" s="422"/>
      <c r="K20" s="422"/>
      <c r="L20" s="422"/>
      <c r="M20" s="422"/>
      <c r="N20" s="352" t="s">
        <v>606</v>
      </c>
      <c r="O20" s="424"/>
      <c r="P20" s="336">
        <v>746.09</v>
      </c>
      <c r="Q20" s="337" t="s">
        <v>647</v>
      </c>
      <c r="R20" s="338"/>
      <c r="S20" s="336"/>
      <c r="T20" s="336"/>
      <c r="U20" s="425"/>
      <c r="V20" s="427"/>
      <c r="W20" s="428"/>
      <c r="X20" s="2">
        <v>50</v>
      </c>
    </row>
    <row r="21" spans="1:24" x14ac:dyDescent="0.25">
      <c r="A21" s="429"/>
      <c r="B21" s="422"/>
      <c r="C21" s="422"/>
      <c r="D21" s="422"/>
      <c r="E21" s="431"/>
      <c r="F21" s="424"/>
      <c r="G21" s="422"/>
      <c r="H21" s="425"/>
      <c r="I21" s="426"/>
      <c r="J21" s="422"/>
      <c r="K21" s="422"/>
      <c r="L21" s="422"/>
      <c r="M21" s="422"/>
      <c r="N21" s="352" t="s">
        <v>694</v>
      </c>
      <c r="O21" s="424"/>
      <c r="P21" s="336">
        <v>831.67</v>
      </c>
      <c r="Q21" s="337" t="s">
        <v>703</v>
      </c>
      <c r="R21" s="338"/>
      <c r="S21" s="336"/>
      <c r="T21" s="336"/>
      <c r="U21" s="425"/>
      <c r="V21" s="427"/>
      <c r="W21" s="428"/>
      <c r="X21" s="2">
        <v>50</v>
      </c>
    </row>
    <row r="22" spans="1:24" x14ac:dyDescent="0.25">
      <c r="A22" s="429"/>
      <c r="B22" s="422"/>
      <c r="C22" s="422"/>
      <c r="D22" s="422"/>
      <c r="E22" s="431"/>
      <c r="F22" s="424"/>
      <c r="G22" s="422"/>
      <c r="H22" s="425"/>
      <c r="I22" s="426"/>
      <c r="J22" s="422"/>
      <c r="K22" s="422"/>
      <c r="L22" s="422"/>
      <c r="M22" s="422"/>
      <c r="N22" s="352" t="s">
        <v>734</v>
      </c>
      <c r="O22" s="424"/>
      <c r="P22" s="336">
        <v>777.88</v>
      </c>
      <c r="Q22" s="337" t="s">
        <v>741</v>
      </c>
      <c r="R22" s="338"/>
      <c r="S22" s="336"/>
      <c r="T22" s="336"/>
      <c r="U22" s="425"/>
      <c r="V22" s="427"/>
      <c r="W22" s="428"/>
      <c r="X22" s="2">
        <v>50</v>
      </c>
    </row>
    <row r="23" spans="1:24" x14ac:dyDescent="0.25">
      <c r="A23" s="407"/>
      <c r="B23" s="413"/>
      <c r="C23" s="413"/>
      <c r="D23" s="413"/>
      <c r="E23" s="432"/>
      <c r="F23" s="409"/>
      <c r="G23" s="413"/>
      <c r="H23" s="411"/>
      <c r="I23" s="421"/>
      <c r="J23" s="413"/>
      <c r="K23" s="413"/>
      <c r="L23" s="413"/>
      <c r="M23" s="413"/>
      <c r="N23" s="353" t="s">
        <v>834</v>
      </c>
      <c r="O23" s="409"/>
      <c r="P23" s="346">
        <v>765.83</v>
      </c>
      <c r="Q23" s="347" t="s">
        <v>841</v>
      </c>
      <c r="R23" s="348"/>
      <c r="S23" s="346"/>
      <c r="T23" s="346"/>
      <c r="U23" s="411"/>
      <c r="V23" s="415"/>
      <c r="W23" s="417"/>
      <c r="X23" s="2">
        <v>50</v>
      </c>
    </row>
    <row r="24" spans="1:24" s="85" customFormat="1" ht="94.9" customHeight="1" x14ac:dyDescent="0.25">
      <c r="A24" s="406">
        <v>3</v>
      </c>
      <c r="B24" s="412" t="s">
        <v>56</v>
      </c>
      <c r="C24" s="412"/>
      <c r="D24" s="412"/>
      <c r="E24" s="430" t="s">
        <v>152</v>
      </c>
      <c r="F24" s="408" t="s">
        <v>236</v>
      </c>
      <c r="G24" s="412" t="s">
        <v>237</v>
      </c>
      <c r="H24" s="410">
        <v>36000</v>
      </c>
      <c r="I24" s="420">
        <f>IF(X24 = 51, H24 + SUM(S24:S35) - SUM(T24:T35) - SUM(P24:P35) - V24,0)</f>
        <v>0</v>
      </c>
      <c r="J24" s="412" t="s">
        <v>238</v>
      </c>
      <c r="K24" s="412" t="s">
        <v>153</v>
      </c>
      <c r="L24" s="412"/>
      <c r="M24" s="412" t="s">
        <v>214</v>
      </c>
      <c r="N24" s="351" t="s">
        <v>307</v>
      </c>
      <c r="O24" s="408" t="s">
        <v>239</v>
      </c>
      <c r="P24" s="335">
        <v>3000</v>
      </c>
      <c r="Q24" s="334" t="s">
        <v>308</v>
      </c>
      <c r="R24" s="333"/>
      <c r="S24" s="335"/>
      <c r="T24" s="335"/>
      <c r="U24" s="410"/>
      <c r="V24" s="414"/>
      <c r="W24" s="416"/>
      <c r="X24" s="85">
        <v>51</v>
      </c>
    </row>
    <row r="25" spans="1:24" x14ac:dyDescent="0.25">
      <c r="A25" s="429"/>
      <c r="B25" s="422"/>
      <c r="C25" s="422"/>
      <c r="D25" s="422"/>
      <c r="E25" s="431"/>
      <c r="F25" s="424"/>
      <c r="G25" s="422"/>
      <c r="H25" s="425"/>
      <c r="I25" s="426"/>
      <c r="J25" s="422"/>
      <c r="K25" s="422"/>
      <c r="L25" s="422"/>
      <c r="M25" s="422"/>
      <c r="N25" s="352" t="s">
        <v>345</v>
      </c>
      <c r="O25" s="424"/>
      <c r="P25" s="336">
        <v>3000</v>
      </c>
      <c r="Q25" s="337" t="s">
        <v>344</v>
      </c>
      <c r="R25" s="338"/>
      <c r="S25" s="336"/>
      <c r="T25" s="336"/>
      <c r="U25" s="425"/>
      <c r="V25" s="427"/>
      <c r="W25" s="428"/>
      <c r="X25" s="2">
        <v>51</v>
      </c>
    </row>
    <row r="26" spans="1:24" x14ac:dyDescent="0.25">
      <c r="A26" s="429"/>
      <c r="B26" s="422"/>
      <c r="C26" s="422"/>
      <c r="D26" s="422"/>
      <c r="E26" s="431"/>
      <c r="F26" s="424"/>
      <c r="G26" s="422"/>
      <c r="H26" s="425"/>
      <c r="I26" s="426"/>
      <c r="J26" s="422"/>
      <c r="K26" s="422"/>
      <c r="L26" s="422"/>
      <c r="M26" s="422"/>
      <c r="N26" s="352" t="s">
        <v>371</v>
      </c>
      <c r="O26" s="424"/>
      <c r="P26" s="336">
        <v>3000</v>
      </c>
      <c r="Q26" s="337" t="s">
        <v>372</v>
      </c>
      <c r="R26" s="338"/>
      <c r="S26" s="336"/>
      <c r="T26" s="336"/>
      <c r="U26" s="425"/>
      <c r="V26" s="427"/>
      <c r="W26" s="428"/>
      <c r="X26" s="2">
        <v>51</v>
      </c>
    </row>
    <row r="27" spans="1:24" x14ac:dyDescent="0.25">
      <c r="A27" s="429"/>
      <c r="B27" s="422"/>
      <c r="C27" s="422"/>
      <c r="D27" s="422"/>
      <c r="E27" s="431"/>
      <c r="F27" s="424"/>
      <c r="G27" s="422"/>
      <c r="H27" s="425"/>
      <c r="I27" s="426"/>
      <c r="J27" s="422"/>
      <c r="K27" s="422"/>
      <c r="L27" s="422"/>
      <c r="M27" s="422"/>
      <c r="N27" s="352" t="s">
        <v>460</v>
      </c>
      <c r="O27" s="424"/>
      <c r="P27" s="336">
        <v>3000</v>
      </c>
      <c r="Q27" s="337" t="s">
        <v>457</v>
      </c>
      <c r="R27" s="338"/>
      <c r="S27" s="336"/>
      <c r="T27" s="336"/>
      <c r="U27" s="425"/>
      <c r="V27" s="427"/>
      <c r="W27" s="428"/>
      <c r="X27" s="2">
        <v>51</v>
      </c>
    </row>
    <row r="28" spans="1:24" x14ac:dyDescent="0.25">
      <c r="A28" s="429"/>
      <c r="B28" s="422"/>
      <c r="C28" s="422"/>
      <c r="D28" s="422"/>
      <c r="E28" s="431"/>
      <c r="F28" s="424"/>
      <c r="G28" s="422"/>
      <c r="H28" s="425"/>
      <c r="I28" s="426"/>
      <c r="J28" s="422"/>
      <c r="K28" s="422"/>
      <c r="L28" s="422"/>
      <c r="M28" s="422"/>
      <c r="N28" s="352" t="s">
        <v>470</v>
      </c>
      <c r="O28" s="424"/>
      <c r="P28" s="336">
        <v>3000</v>
      </c>
      <c r="Q28" s="337" t="s">
        <v>507</v>
      </c>
      <c r="R28" s="338"/>
      <c r="S28" s="336"/>
      <c r="T28" s="336"/>
      <c r="U28" s="425"/>
      <c r="V28" s="427"/>
      <c r="W28" s="428"/>
      <c r="X28" s="2">
        <v>51</v>
      </c>
    </row>
    <row r="29" spans="1:24" x14ac:dyDescent="0.25">
      <c r="A29" s="429"/>
      <c r="B29" s="422"/>
      <c r="C29" s="422"/>
      <c r="D29" s="422"/>
      <c r="E29" s="431"/>
      <c r="F29" s="424"/>
      <c r="G29" s="422"/>
      <c r="H29" s="425"/>
      <c r="I29" s="426"/>
      <c r="J29" s="422"/>
      <c r="K29" s="422"/>
      <c r="L29" s="422"/>
      <c r="M29" s="422"/>
      <c r="N29" s="352" t="s">
        <v>562</v>
      </c>
      <c r="O29" s="424"/>
      <c r="P29" s="336">
        <v>3000</v>
      </c>
      <c r="Q29" s="337" t="s">
        <v>564</v>
      </c>
      <c r="R29" s="338"/>
      <c r="S29" s="336"/>
      <c r="T29" s="336"/>
      <c r="U29" s="425"/>
      <c r="V29" s="427"/>
      <c r="W29" s="428"/>
      <c r="X29" s="2">
        <v>51</v>
      </c>
    </row>
    <row r="30" spans="1:24" x14ac:dyDescent="0.25">
      <c r="A30" s="429"/>
      <c r="B30" s="422"/>
      <c r="C30" s="422"/>
      <c r="D30" s="422"/>
      <c r="E30" s="431"/>
      <c r="F30" s="424"/>
      <c r="G30" s="422"/>
      <c r="H30" s="425"/>
      <c r="I30" s="426"/>
      <c r="J30" s="422"/>
      <c r="K30" s="422"/>
      <c r="L30" s="422"/>
      <c r="M30" s="422"/>
      <c r="N30" s="352" t="s">
        <v>602</v>
      </c>
      <c r="O30" s="424"/>
      <c r="P30" s="336">
        <v>3000</v>
      </c>
      <c r="Q30" s="337" t="s">
        <v>603</v>
      </c>
      <c r="R30" s="338"/>
      <c r="S30" s="336"/>
      <c r="T30" s="336"/>
      <c r="U30" s="425"/>
      <c r="V30" s="427"/>
      <c r="W30" s="428"/>
      <c r="X30" s="2">
        <v>51</v>
      </c>
    </row>
    <row r="31" spans="1:24" x14ac:dyDescent="0.25">
      <c r="A31" s="429"/>
      <c r="B31" s="422"/>
      <c r="C31" s="422"/>
      <c r="D31" s="422"/>
      <c r="E31" s="431"/>
      <c r="F31" s="424"/>
      <c r="G31" s="422"/>
      <c r="H31" s="425"/>
      <c r="I31" s="426"/>
      <c r="J31" s="422"/>
      <c r="K31" s="422"/>
      <c r="L31" s="422"/>
      <c r="M31" s="422"/>
      <c r="N31" s="352" t="s">
        <v>606</v>
      </c>
      <c r="O31" s="424"/>
      <c r="P31" s="336">
        <v>3000</v>
      </c>
      <c r="Q31" s="337" t="s">
        <v>647</v>
      </c>
      <c r="R31" s="338"/>
      <c r="S31" s="336"/>
      <c r="T31" s="336"/>
      <c r="U31" s="425"/>
      <c r="V31" s="427"/>
      <c r="W31" s="428"/>
      <c r="X31" s="2">
        <v>51</v>
      </c>
    </row>
    <row r="32" spans="1:24" x14ac:dyDescent="0.25">
      <c r="A32" s="429"/>
      <c r="B32" s="422"/>
      <c r="C32" s="422"/>
      <c r="D32" s="422"/>
      <c r="E32" s="431"/>
      <c r="F32" s="424"/>
      <c r="G32" s="422"/>
      <c r="H32" s="425"/>
      <c r="I32" s="426"/>
      <c r="J32" s="422"/>
      <c r="K32" s="422"/>
      <c r="L32" s="422"/>
      <c r="M32" s="422"/>
      <c r="N32" s="352" t="s">
        <v>694</v>
      </c>
      <c r="O32" s="424"/>
      <c r="P32" s="336">
        <v>3000</v>
      </c>
      <c r="Q32" s="337" t="s">
        <v>702</v>
      </c>
      <c r="R32" s="338"/>
      <c r="S32" s="336"/>
      <c r="T32" s="336"/>
      <c r="U32" s="425"/>
      <c r="V32" s="427"/>
      <c r="W32" s="428"/>
      <c r="X32" s="2">
        <v>51</v>
      </c>
    </row>
    <row r="33" spans="1:24" x14ac:dyDescent="0.25">
      <c r="A33" s="429"/>
      <c r="B33" s="422"/>
      <c r="C33" s="422"/>
      <c r="D33" s="422"/>
      <c r="E33" s="431"/>
      <c r="F33" s="424"/>
      <c r="G33" s="422"/>
      <c r="H33" s="425"/>
      <c r="I33" s="426"/>
      <c r="J33" s="422"/>
      <c r="K33" s="422"/>
      <c r="L33" s="422"/>
      <c r="M33" s="422"/>
      <c r="N33" s="352" t="s">
        <v>734</v>
      </c>
      <c r="O33" s="424"/>
      <c r="P33" s="336">
        <v>3000</v>
      </c>
      <c r="Q33" s="337" t="s">
        <v>735</v>
      </c>
      <c r="R33" s="338"/>
      <c r="S33" s="336"/>
      <c r="T33" s="336"/>
      <c r="U33" s="425"/>
      <c r="V33" s="427"/>
      <c r="W33" s="428"/>
      <c r="X33" s="2">
        <v>51</v>
      </c>
    </row>
    <row r="34" spans="1:24" x14ac:dyDescent="0.25">
      <c r="A34" s="429"/>
      <c r="B34" s="422"/>
      <c r="C34" s="422"/>
      <c r="D34" s="422"/>
      <c r="E34" s="431"/>
      <c r="F34" s="424"/>
      <c r="G34" s="422"/>
      <c r="H34" s="425"/>
      <c r="I34" s="426"/>
      <c r="J34" s="422"/>
      <c r="K34" s="422"/>
      <c r="L34" s="422"/>
      <c r="M34" s="422"/>
      <c r="N34" s="352" t="s">
        <v>834</v>
      </c>
      <c r="O34" s="424"/>
      <c r="P34" s="336">
        <v>3000</v>
      </c>
      <c r="Q34" s="337" t="s">
        <v>832</v>
      </c>
      <c r="R34" s="338"/>
      <c r="S34" s="336"/>
      <c r="T34" s="336"/>
      <c r="U34" s="425"/>
      <c r="V34" s="427"/>
      <c r="W34" s="428"/>
      <c r="X34" s="2">
        <v>51</v>
      </c>
    </row>
    <row r="35" spans="1:24" x14ac:dyDescent="0.25">
      <c r="A35" s="407"/>
      <c r="B35" s="413"/>
      <c r="C35" s="413"/>
      <c r="D35" s="413"/>
      <c r="E35" s="432"/>
      <c r="F35" s="409"/>
      <c r="G35" s="413"/>
      <c r="H35" s="411"/>
      <c r="I35" s="421"/>
      <c r="J35" s="413"/>
      <c r="K35" s="413"/>
      <c r="L35" s="413"/>
      <c r="M35" s="413"/>
      <c r="N35" s="353" t="s">
        <v>838</v>
      </c>
      <c r="O35" s="409"/>
      <c r="P35" s="346">
        <v>3000</v>
      </c>
      <c r="Q35" s="347" t="s">
        <v>837</v>
      </c>
      <c r="R35" s="348"/>
      <c r="S35" s="346"/>
      <c r="T35" s="346"/>
      <c r="U35" s="411"/>
      <c r="V35" s="415"/>
      <c r="W35" s="417"/>
      <c r="X35" s="2">
        <v>51</v>
      </c>
    </row>
    <row r="36" spans="1:24" s="85" customFormat="1" ht="90" customHeight="1" x14ac:dyDescent="0.25">
      <c r="A36" s="406">
        <v>4</v>
      </c>
      <c r="B36" s="412" t="s">
        <v>56</v>
      </c>
      <c r="C36" s="412"/>
      <c r="D36" s="412"/>
      <c r="E36" s="430" t="s">
        <v>240</v>
      </c>
      <c r="F36" s="408" t="s">
        <v>236</v>
      </c>
      <c r="G36" s="412" t="s">
        <v>241</v>
      </c>
      <c r="H36" s="410">
        <v>24000</v>
      </c>
      <c r="I36" s="420">
        <f>IF(X36 = 52, H36 + SUM(S36:S47) - SUM(T36:T47) - SUM(P36:P47) - V36,0)</f>
        <v>0</v>
      </c>
      <c r="J36" s="412" t="s">
        <v>238</v>
      </c>
      <c r="K36" s="412" t="s">
        <v>153</v>
      </c>
      <c r="L36" s="412"/>
      <c r="M36" s="412" t="s">
        <v>214</v>
      </c>
      <c r="N36" s="351" t="s">
        <v>307</v>
      </c>
      <c r="O36" s="408" t="s">
        <v>239</v>
      </c>
      <c r="P36" s="335">
        <v>2000</v>
      </c>
      <c r="Q36" s="334" t="s">
        <v>306</v>
      </c>
      <c r="R36" s="333"/>
      <c r="S36" s="335"/>
      <c r="T36" s="335"/>
      <c r="U36" s="410"/>
      <c r="V36" s="414"/>
      <c r="W36" s="416"/>
      <c r="X36" s="85">
        <v>52</v>
      </c>
    </row>
    <row r="37" spans="1:24" x14ac:dyDescent="0.25">
      <c r="A37" s="429"/>
      <c r="B37" s="422"/>
      <c r="C37" s="422"/>
      <c r="D37" s="422"/>
      <c r="E37" s="431"/>
      <c r="F37" s="424"/>
      <c r="G37" s="422"/>
      <c r="H37" s="425"/>
      <c r="I37" s="426"/>
      <c r="J37" s="422"/>
      <c r="K37" s="422"/>
      <c r="L37" s="422"/>
      <c r="M37" s="422"/>
      <c r="N37" s="352" t="s">
        <v>345</v>
      </c>
      <c r="O37" s="424"/>
      <c r="P37" s="336">
        <v>2000</v>
      </c>
      <c r="Q37" s="337" t="s">
        <v>344</v>
      </c>
      <c r="R37" s="338"/>
      <c r="S37" s="336"/>
      <c r="T37" s="336"/>
      <c r="U37" s="425"/>
      <c r="V37" s="427"/>
      <c r="W37" s="428"/>
      <c r="X37" s="2">
        <v>52</v>
      </c>
    </row>
    <row r="38" spans="1:24" x14ac:dyDescent="0.25">
      <c r="A38" s="429"/>
      <c r="B38" s="422"/>
      <c r="C38" s="422"/>
      <c r="D38" s="422"/>
      <c r="E38" s="431"/>
      <c r="F38" s="424"/>
      <c r="G38" s="422"/>
      <c r="H38" s="425"/>
      <c r="I38" s="426"/>
      <c r="J38" s="422"/>
      <c r="K38" s="422"/>
      <c r="L38" s="422"/>
      <c r="M38" s="422"/>
      <c r="N38" s="352" t="s">
        <v>371</v>
      </c>
      <c r="O38" s="424"/>
      <c r="P38" s="336">
        <v>2000</v>
      </c>
      <c r="Q38" s="337" t="s">
        <v>372</v>
      </c>
      <c r="R38" s="338"/>
      <c r="S38" s="336"/>
      <c r="T38" s="336"/>
      <c r="U38" s="425"/>
      <c r="V38" s="427"/>
      <c r="W38" s="428"/>
      <c r="X38" s="2">
        <v>52</v>
      </c>
    </row>
    <row r="39" spans="1:24" x14ac:dyDescent="0.25">
      <c r="A39" s="429"/>
      <c r="B39" s="422"/>
      <c r="C39" s="422"/>
      <c r="D39" s="422"/>
      <c r="E39" s="431"/>
      <c r="F39" s="424"/>
      <c r="G39" s="422"/>
      <c r="H39" s="425"/>
      <c r="I39" s="426"/>
      <c r="J39" s="422"/>
      <c r="K39" s="422"/>
      <c r="L39" s="422"/>
      <c r="M39" s="422"/>
      <c r="N39" s="352" t="s">
        <v>460</v>
      </c>
      <c r="O39" s="424"/>
      <c r="P39" s="336">
        <v>2000</v>
      </c>
      <c r="Q39" s="337" t="s">
        <v>457</v>
      </c>
      <c r="R39" s="338"/>
      <c r="S39" s="336"/>
      <c r="T39" s="336"/>
      <c r="U39" s="425"/>
      <c r="V39" s="427"/>
      <c r="W39" s="428"/>
      <c r="X39" s="2">
        <v>52</v>
      </c>
    </row>
    <row r="40" spans="1:24" x14ac:dyDescent="0.25">
      <c r="A40" s="429"/>
      <c r="B40" s="422"/>
      <c r="C40" s="422"/>
      <c r="D40" s="422"/>
      <c r="E40" s="431"/>
      <c r="F40" s="424"/>
      <c r="G40" s="422"/>
      <c r="H40" s="425"/>
      <c r="I40" s="426"/>
      <c r="J40" s="422"/>
      <c r="K40" s="422"/>
      <c r="L40" s="422"/>
      <c r="M40" s="422"/>
      <c r="N40" s="352" t="s">
        <v>470</v>
      </c>
      <c r="O40" s="424"/>
      <c r="P40" s="336">
        <v>2000</v>
      </c>
      <c r="Q40" s="337" t="s">
        <v>507</v>
      </c>
      <c r="R40" s="338"/>
      <c r="S40" s="336"/>
      <c r="T40" s="336"/>
      <c r="U40" s="425"/>
      <c r="V40" s="427"/>
      <c r="W40" s="428"/>
      <c r="X40" s="2">
        <v>52</v>
      </c>
    </row>
    <row r="41" spans="1:24" x14ac:dyDescent="0.25">
      <c r="A41" s="429"/>
      <c r="B41" s="422"/>
      <c r="C41" s="422"/>
      <c r="D41" s="422"/>
      <c r="E41" s="431"/>
      <c r="F41" s="424"/>
      <c r="G41" s="422"/>
      <c r="H41" s="425"/>
      <c r="I41" s="426"/>
      <c r="J41" s="422"/>
      <c r="K41" s="422"/>
      <c r="L41" s="422"/>
      <c r="M41" s="422"/>
      <c r="N41" s="352" t="s">
        <v>562</v>
      </c>
      <c r="O41" s="424"/>
      <c r="P41" s="336">
        <v>2000</v>
      </c>
      <c r="Q41" s="337" t="s">
        <v>564</v>
      </c>
      <c r="R41" s="338"/>
      <c r="S41" s="336"/>
      <c r="T41" s="336"/>
      <c r="U41" s="425"/>
      <c r="V41" s="427"/>
      <c r="W41" s="428"/>
      <c r="X41" s="2">
        <v>52</v>
      </c>
    </row>
    <row r="42" spans="1:24" x14ac:dyDescent="0.25">
      <c r="A42" s="429"/>
      <c r="B42" s="422"/>
      <c r="C42" s="422"/>
      <c r="D42" s="422"/>
      <c r="E42" s="431"/>
      <c r="F42" s="424"/>
      <c r="G42" s="422"/>
      <c r="H42" s="425"/>
      <c r="I42" s="426"/>
      <c r="J42" s="422"/>
      <c r="K42" s="422"/>
      <c r="L42" s="422"/>
      <c r="M42" s="422"/>
      <c r="N42" s="352" t="s">
        <v>602</v>
      </c>
      <c r="O42" s="424"/>
      <c r="P42" s="336">
        <v>2000</v>
      </c>
      <c r="Q42" s="337" t="s">
        <v>603</v>
      </c>
      <c r="R42" s="338"/>
      <c r="S42" s="336"/>
      <c r="T42" s="336"/>
      <c r="U42" s="425"/>
      <c r="V42" s="427"/>
      <c r="W42" s="428"/>
      <c r="X42" s="2">
        <v>52</v>
      </c>
    </row>
    <row r="43" spans="1:24" x14ac:dyDescent="0.25">
      <c r="A43" s="429"/>
      <c r="B43" s="422"/>
      <c r="C43" s="422"/>
      <c r="D43" s="422"/>
      <c r="E43" s="431"/>
      <c r="F43" s="424"/>
      <c r="G43" s="422"/>
      <c r="H43" s="425"/>
      <c r="I43" s="426"/>
      <c r="J43" s="422"/>
      <c r="K43" s="422"/>
      <c r="L43" s="422"/>
      <c r="M43" s="422"/>
      <c r="N43" s="352" t="s">
        <v>606</v>
      </c>
      <c r="O43" s="424"/>
      <c r="P43" s="336">
        <v>2000</v>
      </c>
      <c r="Q43" s="337" t="s">
        <v>647</v>
      </c>
      <c r="R43" s="338"/>
      <c r="S43" s="336"/>
      <c r="T43" s="336"/>
      <c r="U43" s="425"/>
      <c r="V43" s="427"/>
      <c r="W43" s="428"/>
      <c r="X43" s="2">
        <v>52</v>
      </c>
    </row>
    <row r="44" spans="1:24" x14ac:dyDescent="0.25">
      <c r="A44" s="429"/>
      <c r="B44" s="422"/>
      <c r="C44" s="422"/>
      <c r="D44" s="422"/>
      <c r="E44" s="431"/>
      <c r="F44" s="424"/>
      <c r="G44" s="422"/>
      <c r="H44" s="425"/>
      <c r="I44" s="426"/>
      <c r="J44" s="422"/>
      <c r="K44" s="422"/>
      <c r="L44" s="422"/>
      <c r="M44" s="422"/>
      <c r="N44" s="352" t="s">
        <v>694</v>
      </c>
      <c r="O44" s="424"/>
      <c r="P44" s="336">
        <v>2000</v>
      </c>
      <c r="Q44" s="337" t="s">
        <v>702</v>
      </c>
      <c r="R44" s="338"/>
      <c r="S44" s="336"/>
      <c r="T44" s="336"/>
      <c r="U44" s="425"/>
      <c r="V44" s="427"/>
      <c r="W44" s="428"/>
      <c r="X44" s="2">
        <v>52</v>
      </c>
    </row>
    <row r="45" spans="1:24" x14ac:dyDescent="0.25">
      <c r="A45" s="429"/>
      <c r="B45" s="422"/>
      <c r="C45" s="422"/>
      <c r="D45" s="422"/>
      <c r="E45" s="431"/>
      <c r="F45" s="424"/>
      <c r="G45" s="422"/>
      <c r="H45" s="425"/>
      <c r="I45" s="426"/>
      <c r="J45" s="422"/>
      <c r="K45" s="422"/>
      <c r="L45" s="422"/>
      <c r="M45" s="422"/>
      <c r="N45" s="352" t="s">
        <v>734</v>
      </c>
      <c r="O45" s="424"/>
      <c r="P45" s="336">
        <v>2000</v>
      </c>
      <c r="Q45" s="337" t="s">
        <v>735</v>
      </c>
      <c r="R45" s="338"/>
      <c r="S45" s="336"/>
      <c r="T45" s="336"/>
      <c r="U45" s="425"/>
      <c r="V45" s="427"/>
      <c r="W45" s="428"/>
      <c r="X45" s="2">
        <v>52</v>
      </c>
    </row>
    <row r="46" spans="1:24" x14ac:dyDescent="0.25">
      <c r="A46" s="429"/>
      <c r="B46" s="422"/>
      <c r="C46" s="422"/>
      <c r="D46" s="422"/>
      <c r="E46" s="431"/>
      <c r="F46" s="424"/>
      <c r="G46" s="422"/>
      <c r="H46" s="425"/>
      <c r="I46" s="426"/>
      <c r="J46" s="422"/>
      <c r="K46" s="422"/>
      <c r="L46" s="422"/>
      <c r="M46" s="422"/>
      <c r="N46" s="352" t="s">
        <v>834</v>
      </c>
      <c r="O46" s="424"/>
      <c r="P46" s="336">
        <v>2000</v>
      </c>
      <c r="Q46" s="337" t="s">
        <v>832</v>
      </c>
      <c r="R46" s="338"/>
      <c r="S46" s="336"/>
      <c r="T46" s="336"/>
      <c r="U46" s="425"/>
      <c r="V46" s="427"/>
      <c r="W46" s="428"/>
      <c r="X46" s="2">
        <v>52</v>
      </c>
    </row>
    <row r="47" spans="1:24" x14ac:dyDescent="0.25">
      <c r="A47" s="407"/>
      <c r="B47" s="413"/>
      <c r="C47" s="413"/>
      <c r="D47" s="413"/>
      <c r="E47" s="432"/>
      <c r="F47" s="409"/>
      <c r="G47" s="413"/>
      <c r="H47" s="411"/>
      <c r="I47" s="421"/>
      <c r="J47" s="413"/>
      <c r="K47" s="413"/>
      <c r="L47" s="413"/>
      <c r="M47" s="413"/>
      <c r="N47" s="353" t="s">
        <v>838</v>
      </c>
      <c r="O47" s="409"/>
      <c r="P47" s="346">
        <v>2000</v>
      </c>
      <c r="Q47" s="347" t="s">
        <v>836</v>
      </c>
      <c r="R47" s="348"/>
      <c r="S47" s="346"/>
      <c r="T47" s="346"/>
      <c r="U47" s="411"/>
      <c r="V47" s="415"/>
      <c r="W47" s="417"/>
      <c r="X47" s="2">
        <v>52</v>
      </c>
    </row>
    <row r="48" spans="1:24" s="85" customFormat="1" ht="90" customHeight="1" x14ac:dyDescent="0.25">
      <c r="A48" s="406">
        <v>5</v>
      </c>
      <c r="B48" s="412" t="s">
        <v>56</v>
      </c>
      <c r="C48" s="412"/>
      <c r="D48" s="412"/>
      <c r="E48" s="430" t="s">
        <v>57</v>
      </c>
      <c r="F48" s="408" t="s">
        <v>236</v>
      </c>
      <c r="G48" s="412" t="s">
        <v>242</v>
      </c>
      <c r="H48" s="410">
        <v>72000</v>
      </c>
      <c r="I48" s="420">
        <f>IF(X48 = 53, H48 + SUM(S48:S58) - SUM(T48:T58) - SUM(P48:P58) - V48,0)</f>
        <v>6000</v>
      </c>
      <c r="J48" s="412" t="s">
        <v>243</v>
      </c>
      <c r="K48" s="412" t="s">
        <v>166</v>
      </c>
      <c r="L48" s="412"/>
      <c r="M48" s="412" t="s">
        <v>214</v>
      </c>
      <c r="N48" s="351" t="s">
        <v>307</v>
      </c>
      <c r="O48" s="408" t="s">
        <v>239</v>
      </c>
      <c r="P48" s="335">
        <v>6000</v>
      </c>
      <c r="Q48" s="334" t="s">
        <v>314</v>
      </c>
      <c r="R48" s="333"/>
      <c r="S48" s="335"/>
      <c r="T48" s="335"/>
      <c r="U48" s="410"/>
      <c r="V48" s="414"/>
      <c r="W48" s="416"/>
      <c r="X48" s="85">
        <v>53</v>
      </c>
    </row>
    <row r="49" spans="1:24" x14ac:dyDescent="0.25">
      <c r="A49" s="429"/>
      <c r="B49" s="422"/>
      <c r="C49" s="422"/>
      <c r="D49" s="422"/>
      <c r="E49" s="431"/>
      <c r="F49" s="424"/>
      <c r="G49" s="422"/>
      <c r="H49" s="425"/>
      <c r="I49" s="426"/>
      <c r="J49" s="422"/>
      <c r="K49" s="422"/>
      <c r="L49" s="422"/>
      <c r="M49" s="422"/>
      <c r="N49" s="352" t="s">
        <v>345</v>
      </c>
      <c r="O49" s="424"/>
      <c r="P49" s="336">
        <v>6000</v>
      </c>
      <c r="Q49" s="337" t="s">
        <v>349</v>
      </c>
      <c r="R49" s="338"/>
      <c r="S49" s="336"/>
      <c r="T49" s="336"/>
      <c r="U49" s="425"/>
      <c r="V49" s="427"/>
      <c r="W49" s="428"/>
      <c r="X49" s="2">
        <v>53</v>
      </c>
    </row>
    <row r="50" spans="1:24" x14ac:dyDescent="0.25">
      <c r="A50" s="429"/>
      <c r="B50" s="422"/>
      <c r="C50" s="422"/>
      <c r="D50" s="422"/>
      <c r="E50" s="431"/>
      <c r="F50" s="424"/>
      <c r="G50" s="422"/>
      <c r="H50" s="425"/>
      <c r="I50" s="426"/>
      <c r="J50" s="422"/>
      <c r="K50" s="422"/>
      <c r="L50" s="422"/>
      <c r="M50" s="422"/>
      <c r="N50" s="352" t="s">
        <v>371</v>
      </c>
      <c r="O50" s="424"/>
      <c r="P50" s="336">
        <v>6000</v>
      </c>
      <c r="Q50" s="337" t="s">
        <v>376</v>
      </c>
      <c r="R50" s="338"/>
      <c r="S50" s="336"/>
      <c r="T50" s="336"/>
      <c r="U50" s="425"/>
      <c r="V50" s="427"/>
      <c r="W50" s="428"/>
      <c r="X50" s="2">
        <v>53</v>
      </c>
    </row>
    <row r="51" spans="1:24" x14ac:dyDescent="0.25">
      <c r="A51" s="429"/>
      <c r="B51" s="422"/>
      <c r="C51" s="422"/>
      <c r="D51" s="422"/>
      <c r="E51" s="431"/>
      <c r="F51" s="424"/>
      <c r="G51" s="422"/>
      <c r="H51" s="425"/>
      <c r="I51" s="426"/>
      <c r="J51" s="422"/>
      <c r="K51" s="422"/>
      <c r="L51" s="422"/>
      <c r="M51" s="422"/>
      <c r="N51" s="352" t="s">
        <v>460</v>
      </c>
      <c r="O51" s="424"/>
      <c r="P51" s="336">
        <v>6000</v>
      </c>
      <c r="Q51" s="337" t="s">
        <v>464</v>
      </c>
      <c r="R51" s="338"/>
      <c r="S51" s="336"/>
      <c r="T51" s="336"/>
      <c r="U51" s="425"/>
      <c r="V51" s="427"/>
      <c r="W51" s="428"/>
      <c r="X51" s="2">
        <v>53</v>
      </c>
    </row>
    <row r="52" spans="1:24" x14ac:dyDescent="0.25">
      <c r="A52" s="429"/>
      <c r="B52" s="422"/>
      <c r="C52" s="422"/>
      <c r="D52" s="422"/>
      <c r="E52" s="431"/>
      <c r="F52" s="424"/>
      <c r="G52" s="422"/>
      <c r="H52" s="425"/>
      <c r="I52" s="426"/>
      <c r="J52" s="422"/>
      <c r="K52" s="422"/>
      <c r="L52" s="422"/>
      <c r="M52" s="422"/>
      <c r="N52" s="352" t="s">
        <v>470</v>
      </c>
      <c r="O52" s="424"/>
      <c r="P52" s="336">
        <v>6000</v>
      </c>
      <c r="Q52" s="337" t="s">
        <v>509</v>
      </c>
      <c r="R52" s="338"/>
      <c r="S52" s="336"/>
      <c r="T52" s="336"/>
      <c r="U52" s="425"/>
      <c r="V52" s="427"/>
      <c r="W52" s="428"/>
      <c r="X52" s="2">
        <v>53</v>
      </c>
    </row>
    <row r="53" spans="1:24" x14ac:dyDescent="0.25">
      <c r="A53" s="429"/>
      <c r="B53" s="422"/>
      <c r="C53" s="422"/>
      <c r="D53" s="422"/>
      <c r="E53" s="431"/>
      <c r="F53" s="424"/>
      <c r="G53" s="422"/>
      <c r="H53" s="425"/>
      <c r="I53" s="426"/>
      <c r="J53" s="422"/>
      <c r="K53" s="422"/>
      <c r="L53" s="422"/>
      <c r="M53" s="422"/>
      <c r="N53" s="352" t="s">
        <v>562</v>
      </c>
      <c r="O53" s="424"/>
      <c r="P53" s="336">
        <v>6000</v>
      </c>
      <c r="Q53" s="337" t="s">
        <v>564</v>
      </c>
      <c r="R53" s="338"/>
      <c r="S53" s="336"/>
      <c r="T53" s="336"/>
      <c r="U53" s="425"/>
      <c r="V53" s="427"/>
      <c r="W53" s="428"/>
      <c r="X53" s="2">
        <v>53</v>
      </c>
    </row>
    <row r="54" spans="1:24" x14ac:dyDescent="0.25">
      <c r="A54" s="429"/>
      <c r="B54" s="422"/>
      <c r="C54" s="422"/>
      <c r="D54" s="422"/>
      <c r="E54" s="431"/>
      <c r="F54" s="424"/>
      <c r="G54" s="422"/>
      <c r="H54" s="425"/>
      <c r="I54" s="426"/>
      <c r="J54" s="422"/>
      <c r="K54" s="422"/>
      <c r="L54" s="422"/>
      <c r="M54" s="422"/>
      <c r="N54" s="352" t="s">
        <v>602</v>
      </c>
      <c r="O54" s="424"/>
      <c r="P54" s="336">
        <v>6000</v>
      </c>
      <c r="Q54" s="337" t="s">
        <v>604</v>
      </c>
      <c r="R54" s="338"/>
      <c r="S54" s="336"/>
      <c r="T54" s="336"/>
      <c r="U54" s="425"/>
      <c r="V54" s="427"/>
      <c r="W54" s="428"/>
      <c r="X54" s="2">
        <v>53</v>
      </c>
    </row>
    <row r="55" spans="1:24" x14ac:dyDescent="0.25">
      <c r="A55" s="429"/>
      <c r="B55" s="422"/>
      <c r="C55" s="422"/>
      <c r="D55" s="422"/>
      <c r="E55" s="431"/>
      <c r="F55" s="424"/>
      <c r="G55" s="422"/>
      <c r="H55" s="425"/>
      <c r="I55" s="426"/>
      <c r="J55" s="422"/>
      <c r="K55" s="422"/>
      <c r="L55" s="422"/>
      <c r="M55" s="422"/>
      <c r="N55" s="352" t="s">
        <v>606</v>
      </c>
      <c r="O55" s="424"/>
      <c r="P55" s="336">
        <v>6000</v>
      </c>
      <c r="Q55" s="337" t="s">
        <v>649</v>
      </c>
      <c r="R55" s="338"/>
      <c r="S55" s="336"/>
      <c r="T55" s="336"/>
      <c r="U55" s="425"/>
      <c r="V55" s="427"/>
      <c r="W55" s="428"/>
      <c r="X55" s="2">
        <v>53</v>
      </c>
    </row>
    <row r="56" spans="1:24" x14ac:dyDescent="0.25">
      <c r="A56" s="429"/>
      <c r="B56" s="422"/>
      <c r="C56" s="422"/>
      <c r="D56" s="422"/>
      <c r="E56" s="431"/>
      <c r="F56" s="424"/>
      <c r="G56" s="422"/>
      <c r="H56" s="425"/>
      <c r="I56" s="426"/>
      <c r="J56" s="422"/>
      <c r="K56" s="422"/>
      <c r="L56" s="422"/>
      <c r="M56" s="422"/>
      <c r="N56" s="352" t="s">
        <v>694</v>
      </c>
      <c r="O56" s="424"/>
      <c r="P56" s="336">
        <v>6000</v>
      </c>
      <c r="Q56" s="337" t="s">
        <v>698</v>
      </c>
      <c r="R56" s="338"/>
      <c r="S56" s="336"/>
      <c r="T56" s="336"/>
      <c r="U56" s="425"/>
      <c r="V56" s="427"/>
      <c r="W56" s="428"/>
      <c r="X56" s="2">
        <v>53</v>
      </c>
    </row>
    <row r="57" spans="1:24" x14ac:dyDescent="0.25">
      <c r="A57" s="429"/>
      <c r="B57" s="422"/>
      <c r="C57" s="422"/>
      <c r="D57" s="422"/>
      <c r="E57" s="431"/>
      <c r="F57" s="424"/>
      <c r="G57" s="422"/>
      <c r="H57" s="425"/>
      <c r="I57" s="426"/>
      <c r="J57" s="422"/>
      <c r="K57" s="422"/>
      <c r="L57" s="422"/>
      <c r="M57" s="422"/>
      <c r="N57" s="352" t="s">
        <v>734</v>
      </c>
      <c r="O57" s="424"/>
      <c r="P57" s="336">
        <v>6000</v>
      </c>
      <c r="Q57" s="337" t="s">
        <v>741</v>
      </c>
      <c r="R57" s="338"/>
      <c r="S57" s="336"/>
      <c r="T57" s="336"/>
      <c r="U57" s="425"/>
      <c r="V57" s="427"/>
      <c r="W57" s="428"/>
      <c r="X57" s="2">
        <v>53</v>
      </c>
    </row>
    <row r="58" spans="1:24" x14ac:dyDescent="0.25">
      <c r="A58" s="407"/>
      <c r="B58" s="413"/>
      <c r="C58" s="413"/>
      <c r="D58" s="413"/>
      <c r="E58" s="432"/>
      <c r="F58" s="409"/>
      <c r="G58" s="413"/>
      <c r="H58" s="411"/>
      <c r="I58" s="421"/>
      <c r="J58" s="413"/>
      <c r="K58" s="413"/>
      <c r="L58" s="413"/>
      <c r="M58" s="413"/>
      <c r="N58" s="353" t="s">
        <v>834</v>
      </c>
      <c r="O58" s="409"/>
      <c r="P58" s="346">
        <v>6000</v>
      </c>
      <c r="Q58" s="347" t="s">
        <v>842</v>
      </c>
      <c r="R58" s="348"/>
      <c r="S58" s="346"/>
      <c r="T58" s="346"/>
      <c r="U58" s="411"/>
      <c r="V58" s="415"/>
      <c r="W58" s="417"/>
      <c r="X58" s="2">
        <v>53</v>
      </c>
    </row>
    <row r="59" spans="1:24" s="85" customFormat="1" ht="90" customHeight="1" x14ac:dyDescent="0.25">
      <c r="A59" s="406">
        <v>6</v>
      </c>
      <c r="B59" s="412" t="s">
        <v>56</v>
      </c>
      <c r="C59" s="412"/>
      <c r="D59" s="412"/>
      <c r="E59" s="418" t="s">
        <v>244</v>
      </c>
      <c r="F59" s="408" t="s">
        <v>236</v>
      </c>
      <c r="G59" s="412" t="s">
        <v>245</v>
      </c>
      <c r="H59" s="410">
        <v>7200</v>
      </c>
      <c r="I59" s="420">
        <f>IF(X59 = 54, H59 + SUM(S59:S62) - SUM(T59:T62) - SUM(P59:P62) - V59,0)</f>
        <v>0</v>
      </c>
      <c r="J59" s="412" t="s">
        <v>246</v>
      </c>
      <c r="K59" s="412" t="s">
        <v>247</v>
      </c>
      <c r="L59" s="412"/>
      <c r="M59" s="412" t="s">
        <v>214</v>
      </c>
      <c r="N59" s="351" t="s">
        <v>371</v>
      </c>
      <c r="O59" s="408" t="s">
        <v>239</v>
      </c>
      <c r="P59" s="335">
        <v>1800</v>
      </c>
      <c r="Q59" s="334" t="s">
        <v>370</v>
      </c>
      <c r="R59" s="333"/>
      <c r="S59" s="335"/>
      <c r="T59" s="335"/>
      <c r="U59" s="410"/>
      <c r="V59" s="414"/>
      <c r="W59" s="416"/>
      <c r="X59" s="85">
        <v>54</v>
      </c>
    </row>
    <row r="60" spans="1:24" x14ac:dyDescent="0.25">
      <c r="A60" s="429"/>
      <c r="B60" s="422"/>
      <c r="C60" s="422"/>
      <c r="D60" s="422"/>
      <c r="E60" s="423"/>
      <c r="F60" s="424"/>
      <c r="G60" s="422"/>
      <c r="H60" s="425"/>
      <c r="I60" s="426"/>
      <c r="J60" s="422"/>
      <c r="K60" s="422"/>
      <c r="L60" s="422"/>
      <c r="M60" s="422"/>
      <c r="N60" s="352" t="s">
        <v>562</v>
      </c>
      <c r="O60" s="424"/>
      <c r="P60" s="336">
        <v>1800</v>
      </c>
      <c r="Q60" s="337" t="s">
        <v>563</v>
      </c>
      <c r="R60" s="338"/>
      <c r="S60" s="336"/>
      <c r="T60" s="336"/>
      <c r="U60" s="425"/>
      <c r="V60" s="427"/>
      <c r="W60" s="428"/>
      <c r="X60" s="2">
        <v>54</v>
      </c>
    </row>
    <row r="61" spans="1:24" x14ac:dyDescent="0.25">
      <c r="A61" s="429"/>
      <c r="B61" s="422"/>
      <c r="C61" s="422"/>
      <c r="D61" s="422"/>
      <c r="E61" s="423"/>
      <c r="F61" s="424"/>
      <c r="G61" s="422"/>
      <c r="H61" s="425"/>
      <c r="I61" s="426"/>
      <c r="J61" s="422"/>
      <c r="K61" s="422"/>
      <c r="L61" s="422"/>
      <c r="M61" s="422"/>
      <c r="N61" s="352" t="s">
        <v>694</v>
      </c>
      <c r="O61" s="424"/>
      <c r="P61" s="336">
        <v>1800</v>
      </c>
      <c r="Q61" s="337" t="s">
        <v>697</v>
      </c>
      <c r="R61" s="338"/>
      <c r="S61" s="336"/>
      <c r="T61" s="336"/>
      <c r="U61" s="425"/>
      <c r="V61" s="427"/>
      <c r="W61" s="428"/>
      <c r="X61" s="2">
        <v>54</v>
      </c>
    </row>
    <row r="62" spans="1:24" x14ac:dyDescent="0.25">
      <c r="A62" s="407"/>
      <c r="B62" s="413"/>
      <c r="C62" s="413"/>
      <c r="D62" s="413"/>
      <c r="E62" s="419"/>
      <c r="F62" s="409"/>
      <c r="G62" s="413"/>
      <c r="H62" s="411"/>
      <c r="I62" s="421"/>
      <c r="J62" s="413"/>
      <c r="K62" s="413"/>
      <c r="L62" s="413"/>
      <c r="M62" s="413"/>
      <c r="N62" s="353" t="s">
        <v>846</v>
      </c>
      <c r="O62" s="409"/>
      <c r="P62" s="346">
        <v>1800</v>
      </c>
      <c r="Q62" s="347" t="s">
        <v>847</v>
      </c>
      <c r="R62" s="348"/>
      <c r="S62" s="346"/>
      <c r="T62" s="346"/>
      <c r="U62" s="411"/>
      <c r="V62" s="415"/>
      <c r="W62" s="417"/>
      <c r="X62" s="2">
        <v>54</v>
      </c>
    </row>
    <row r="63" spans="1:24" s="85" customFormat="1" ht="75" x14ac:dyDescent="0.25">
      <c r="A63" s="116">
        <v>7</v>
      </c>
      <c r="B63" s="112" t="s">
        <v>56</v>
      </c>
      <c r="C63" s="112"/>
      <c r="D63" s="112"/>
      <c r="E63" s="117" t="s">
        <v>277</v>
      </c>
      <c r="F63" s="121" t="s">
        <v>236</v>
      </c>
      <c r="G63" s="112" t="s">
        <v>278</v>
      </c>
      <c r="H63" s="113">
        <v>8000</v>
      </c>
      <c r="I63" s="118">
        <f>IF(X63 = 55, H63 + SUM(S63:S63) - SUM(T63:T63) - SUM(P63:P63) - V63,0)</f>
        <v>0</v>
      </c>
      <c r="J63" s="112" t="s">
        <v>279</v>
      </c>
      <c r="K63" s="112" t="s">
        <v>280</v>
      </c>
      <c r="L63" s="112"/>
      <c r="M63" s="112" t="s">
        <v>214</v>
      </c>
      <c r="N63" s="121" t="s">
        <v>312</v>
      </c>
      <c r="O63" s="121" t="s">
        <v>281</v>
      </c>
      <c r="P63" s="113">
        <v>8000</v>
      </c>
      <c r="Q63" s="117" t="s">
        <v>311</v>
      </c>
      <c r="R63" s="112"/>
      <c r="S63" s="113"/>
      <c r="T63" s="113"/>
      <c r="U63" s="113"/>
      <c r="V63" s="134"/>
      <c r="W63" s="115"/>
      <c r="X63" s="85">
        <v>55</v>
      </c>
    </row>
    <row r="64" spans="1:24" s="85" customFormat="1" ht="72" customHeight="1" x14ac:dyDescent="0.25">
      <c r="A64" s="527">
        <v>8</v>
      </c>
      <c r="B64" s="461" t="s">
        <v>56</v>
      </c>
      <c r="C64" s="461"/>
      <c r="D64" s="461"/>
      <c r="E64" s="531" t="s">
        <v>282</v>
      </c>
      <c r="F64" s="464" t="s">
        <v>283</v>
      </c>
      <c r="G64" s="461" t="s">
        <v>284</v>
      </c>
      <c r="H64" s="467">
        <v>28761.599999999999</v>
      </c>
      <c r="I64" s="516">
        <f>IF(X64 = 56, H64 + SUM(S64:S68) - SUM(T64:T68) - SUM(P64:P68) - V64,0)</f>
        <v>0</v>
      </c>
      <c r="J64" s="461" t="s">
        <v>285</v>
      </c>
      <c r="K64" s="461" t="s">
        <v>286</v>
      </c>
      <c r="L64" s="461"/>
      <c r="M64" s="461" t="s">
        <v>287</v>
      </c>
      <c r="N64" s="194" t="s">
        <v>307</v>
      </c>
      <c r="O64" s="464" t="s">
        <v>288</v>
      </c>
      <c r="P64" s="187">
        <v>2568</v>
      </c>
      <c r="Q64" s="186" t="s">
        <v>311</v>
      </c>
      <c r="R64" s="185"/>
      <c r="S64" s="187"/>
      <c r="T64" s="187"/>
      <c r="U64" s="467" t="s">
        <v>515</v>
      </c>
      <c r="V64" s="522">
        <v>15921.6</v>
      </c>
      <c r="W64" s="519"/>
      <c r="X64" s="85">
        <v>56</v>
      </c>
    </row>
    <row r="65" spans="1:24" x14ac:dyDescent="0.25">
      <c r="A65" s="528"/>
      <c r="B65" s="462"/>
      <c r="C65" s="462"/>
      <c r="D65" s="462"/>
      <c r="E65" s="532"/>
      <c r="F65" s="465"/>
      <c r="G65" s="462"/>
      <c r="H65" s="468"/>
      <c r="I65" s="517"/>
      <c r="J65" s="462"/>
      <c r="K65" s="462"/>
      <c r="L65" s="462"/>
      <c r="M65" s="462"/>
      <c r="N65" s="195" t="s">
        <v>345</v>
      </c>
      <c r="O65" s="465"/>
      <c r="P65" s="188">
        <v>2910.4</v>
      </c>
      <c r="Q65" s="189" t="s">
        <v>355</v>
      </c>
      <c r="R65" s="190"/>
      <c r="S65" s="188"/>
      <c r="T65" s="188"/>
      <c r="U65" s="468"/>
      <c r="V65" s="523"/>
      <c r="W65" s="520"/>
      <c r="X65" s="2">
        <v>56</v>
      </c>
    </row>
    <row r="66" spans="1:24" x14ac:dyDescent="0.25">
      <c r="A66" s="528"/>
      <c r="B66" s="462"/>
      <c r="C66" s="462"/>
      <c r="D66" s="462"/>
      <c r="E66" s="532"/>
      <c r="F66" s="465"/>
      <c r="G66" s="462"/>
      <c r="H66" s="468"/>
      <c r="I66" s="517"/>
      <c r="J66" s="462"/>
      <c r="K66" s="462"/>
      <c r="L66" s="462"/>
      <c r="M66" s="462"/>
      <c r="N66" s="195" t="s">
        <v>383</v>
      </c>
      <c r="O66" s="465"/>
      <c r="P66" s="188">
        <v>2568</v>
      </c>
      <c r="Q66" s="189" t="s">
        <v>376</v>
      </c>
      <c r="R66" s="190"/>
      <c r="S66" s="188"/>
      <c r="T66" s="188"/>
      <c r="U66" s="468"/>
      <c r="V66" s="523"/>
      <c r="W66" s="520"/>
      <c r="X66" s="2">
        <v>56</v>
      </c>
    </row>
    <row r="67" spans="1:24" x14ac:dyDescent="0.25">
      <c r="A67" s="528"/>
      <c r="B67" s="462"/>
      <c r="C67" s="462"/>
      <c r="D67" s="462"/>
      <c r="E67" s="532"/>
      <c r="F67" s="465"/>
      <c r="G67" s="462"/>
      <c r="H67" s="468"/>
      <c r="I67" s="517"/>
      <c r="J67" s="462"/>
      <c r="K67" s="462"/>
      <c r="L67" s="462"/>
      <c r="M67" s="462"/>
      <c r="N67" s="195" t="s">
        <v>459</v>
      </c>
      <c r="O67" s="465"/>
      <c r="P67" s="188">
        <v>2739.2</v>
      </c>
      <c r="Q67" s="189" t="s">
        <v>463</v>
      </c>
      <c r="R67" s="190"/>
      <c r="S67" s="188"/>
      <c r="T67" s="188"/>
      <c r="U67" s="468"/>
      <c r="V67" s="523"/>
      <c r="W67" s="520"/>
      <c r="X67" s="2">
        <v>56</v>
      </c>
    </row>
    <row r="68" spans="1:24" x14ac:dyDescent="0.25">
      <c r="A68" s="529"/>
      <c r="B68" s="463"/>
      <c r="C68" s="463"/>
      <c r="D68" s="463"/>
      <c r="E68" s="533"/>
      <c r="F68" s="466"/>
      <c r="G68" s="463"/>
      <c r="H68" s="469"/>
      <c r="I68" s="518"/>
      <c r="J68" s="463"/>
      <c r="K68" s="463"/>
      <c r="L68" s="463"/>
      <c r="M68" s="463"/>
      <c r="N68" s="196" t="s">
        <v>467</v>
      </c>
      <c r="O68" s="466"/>
      <c r="P68" s="191">
        <v>2054.4</v>
      </c>
      <c r="Q68" s="192" t="s">
        <v>470</v>
      </c>
      <c r="R68" s="193"/>
      <c r="S68" s="191"/>
      <c r="T68" s="191"/>
      <c r="U68" s="469"/>
      <c r="V68" s="524"/>
      <c r="W68" s="521"/>
      <c r="X68" s="2">
        <v>56</v>
      </c>
    </row>
    <row r="69" spans="1:24" s="85" customFormat="1" ht="72" customHeight="1" x14ac:dyDescent="0.25">
      <c r="A69" s="527">
        <v>9</v>
      </c>
      <c r="B69" s="461" t="s">
        <v>56</v>
      </c>
      <c r="C69" s="461"/>
      <c r="D69" s="461"/>
      <c r="E69" s="531" t="s">
        <v>289</v>
      </c>
      <c r="F69" s="464" t="s">
        <v>283</v>
      </c>
      <c r="G69" s="461" t="s">
        <v>290</v>
      </c>
      <c r="H69" s="467">
        <v>8400</v>
      </c>
      <c r="I69" s="516">
        <f>IF(X69 = 57, H69 + SUM(S69:S73) - SUM(T69:T73) - SUM(P69:P73) - V69,0)</f>
        <v>0</v>
      </c>
      <c r="J69" s="461" t="s">
        <v>285</v>
      </c>
      <c r="K69" s="461" t="s">
        <v>286</v>
      </c>
      <c r="L69" s="461"/>
      <c r="M69" s="461" t="s">
        <v>287</v>
      </c>
      <c r="N69" s="194" t="s">
        <v>307</v>
      </c>
      <c r="O69" s="464" t="s">
        <v>288</v>
      </c>
      <c r="P69" s="187">
        <v>750</v>
      </c>
      <c r="Q69" s="186" t="s">
        <v>313</v>
      </c>
      <c r="R69" s="185"/>
      <c r="S69" s="187"/>
      <c r="T69" s="187"/>
      <c r="U69" s="467" t="s">
        <v>516</v>
      </c>
      <c r="V69" s="522">
        <v>4650</v>
      </c>
      <c r="W69" s="519"/>
      <c r="X69" s="85">
        <v>57</v>
      </c>
    </row>
    <row r="70" spans="1:24" x14ac:dyDescent="0.25">
      <c r="A70" s="528"/>
      <c r="B70" s="462"/>
      <c r="C70" s="462"/>
      <c r="D70" s="462"/>
      <c r="E70" s="532"/>
      <c r="F70" s="465"/>
      <c r="G70" s="462"/>
      <c r="H70" s="468"/>
      <c r="I70" s="517"/>
      <c r="J70" s="462"/>
      <c r="K70" s="462"/>
      <c r="L70" s="462"/>
      <c r="M70" s="462"/>
      <c r="N70" s="195" t="s">
        <v>345</v>
      </c>
      <c r="O70" s="465"/>
      <c r="P70" s="188">
        <v>850</v>
      </c>
      <c r="Q70" s="189" t="s">
        <v>355</v>
      </c>
      <c r="R70" s="190"/>
      <c r="S70" s="188"/>
      <c r="T70" s="188"/>
      <c r="U70" s="468"/>
      <c r="V70" s="523"/>
      <c r="W70" s="520"/>
      <c r="X70" s="2">
        <v>57</v>
      </c>
    </row>
    <row r="71" spans="1:24" x14ac:dyDescent="0.25">
      <c r="A71" s="528"/>
      <c r="B71" s="462"/>
      <c r="C71" s="462"/>
      <c r="D71" s="462"/>
      <c r="E71" s="532"/>
      <c r="F71" s="465"/>
      <c r="G71" s="462"/>
      <c r="H71" s="468"/>
      <c r="I71" s="517"/>
      <c r="J71" s="462"/>
      <c r="K71" s="462"/>
      <c r="L71" s="462"/>
      <c r="M71" s="462"/>
      <c r="N71" s="195" t="s">
        <v>383</v>
      </c>
      <c r="O71" s="465"/>
      <c r="P71" s="188">
        <v>750</v>
      </c>
      <c r="Q71" s="189" t="s">
        <v>377</v>
      </c>
      <c r="R71" s="190"/>
      <c r="S71" s="188"/>
      <c r="T71" s="188"/>
      <c r="U71" s="468"/>
      <c r="V71" s="523"/>
      <c r="W71" s="520"/>
      <c r="X71" s="2">
        <v>57</v>
      </c>
    </row>
    <row r="72" spans="1:24" x14ac:dyDescent="0.25">
      <c r="A72" s="528"/>
      <c r="B72" s="462"/>
      <c r="C72" s="462"/>
      <c r="D72" s="462"/>
      <c r="E72" s="532"/>
      <c r="F72" s="465"/>
      <c r="G72" s="462"/>
      <c r="H72" s="468"/>
      <c r="I72" s="517"/>
      <c r="J72" s="462"/>
      <c r="K72" s="462"/>
      <c r="L72" s="462"/>
      <c r="M72" s="462"/>
      <c r="N72" s="195" t="s">
        <v>459</v>
      </c>
      <c r="O72" s="465"/>
      <c r="P72" s="188">
        <v>800</v>
      </c>
      <c r="Q72" s="189" t="s">
        <v>463</v>
      </c>
      <c r="R72" s="190"/>
      <c r="S72" s="188"/>
      <c r="T72" s="188"/>
      <c r="U72" s="468"/>
      <c r="V72" s="523"/>
      <c r="W72" s="520"/>
      <c r="X72" s="2">
        <v>57</v>
      </c>
    </row>
    <row r="73" spans="1:24" x14ac:dyDescent="0.25">
      <c r="A73" s="529"/>
      <c r="B73" s="463"/>
      <c r="C73" s="463"/>
      <c r="D73" s="463"/>
      <c r="E73" s="533"/>
      <c r="F73" s="466"/>
      <c r="G73" s="463"/>
      <c r="H73" s="469"/>
      <c r="I73" s="518"/>
      <c r="J73" s="463"/>
      <c r="K73" s="463"/>
      <c r="L73" s="463"/>
      <c r="M73" s="463"/>
      <c r="N73" s="196" t="s">
        <v>467</v>
      </c>
      <c r="O73" s="466"/>
      <c r="P73" s="191">
        <v>600</v>
      </c>
      <c r="Q73" s="192" t="s">
        <v>470</v>
      </c>
      <c r="R73" s="193"/>
      <c r="S73" s="191"/>
      <c r="T73" s="191"/>
      <c r="U73" s="469"/>
      <c r="V73" s="524"/>
      <c r="W73" s="521"/>
      <c r="X73" s="2">
        <v>57</v>
      </c>
    </row>
    <row r="74" spans="1:24" s="85" customFormat="1" ht="72" customHeight="1" x14ac:dyDescent="0.25">
      <c r="A74" s="473">
        <v>10</v>
      </c>
      <c r="B74" s="470" t="s">
        <v>56</v>
      </c>
      <c r="C74" s="470"/>
      <c r="D74" s="470"/>
      <c r="E74" s="554" t="s">
        <v>291</v>
      </c>
      <c r="F74" s="484" t="s">
        <v>283</v>
      </c>
      <c r="G74" s="470" t="s">
        <v>292</v>
      </c>
      <c r="H74" s="486">
        <v>157474.79999999999</v>
      </c>
      <c r="I74" s="556">
        <f>IF(X74 = 58, H74 + SUM(S74:S83) - SUM(T74:T83) - SUM(P74:P83) - V74,0)</f>
        <v>-7.2759576141834259E-12</v>
      </c>
      <c r="J74" s="470" t="s">
        <v>285</v>
      </c>
      <c r="K74" s="470" t="s">
        <v>286</v>
      </c>
      <c r="L74" s="470"/>
      <c r="M74" s="470" t="s">
        <v>287</v>
      </c>
      <c r="N74" s="214" t="s">
        <v>307</v>
      </c>
      <c r="O74" s="484" t="s">
        <v>288</v>
      </c>
      <c r="P74" s="210">
        <v>11269.73</v>
      </c>
      <c r="Q74" s="209" t="s">
        <v>311</v>
      </c>
      <c r="R74" s="208"/>
      <c r="S74" s="210"/>
      <c r="T74" s="210"/>
      <c r="U74" s="486" t="s">
        <v>517</v>
      </c>
      <c r="V74" s="525">
        <v>53294.239999999998</v>
      </c>
      <c r="W74" s="534"/>
      <c r="X74" s="85">
        <v>58</v>
      </c>
    </row>
    <row r="75" spans="1:24" x14ac:dyDescent="0.25">
      <c r="A75" s="474"/>
      <c r="B75" s="471"/>
      <c r="C75" s="471"/>
      <c r="D75" s="471"/>
      <c r="E75" s="558"/>
      <c r="F75" s="538"/>
      <c r="G75" s="471"/>
      <c r="H75" s="530"/>
      <c r="I75" s="559"/>
      <c r="J75" s="471"/>
      <c r="K75" s="471"/>
      <c r="L75" s="471"/>
      <c r="M75" s="471"/>
      <c r="N75" s="219" t="s">
        <v>307</v>
      </c>
      <c r="O75" s="538"/>
      <c r="P75" s="216">
        <v>9220.69</v>
      </c>
      <c r="Q75" s="217" t="s">
        <v>311</v>
      </c>
      <c r="R75" s="218"/>
      <c r="S75" s="216"/>
      <c r="T75" s="216"/>
      <c r="U75" s="530"/>
      <c r="V75" s="537"/>
      <c r="W75" s="535"/>
      <c r="X75" s="2">
        <v>58</v>
      </c>
    </row>
    <row r="76" spans="1:24" x14ac:dyDescent="0.25">
      <c r="A76" s="474"/>
      <c r="B76" s="471"/>
      <c r="C76" s="471"/>
      <c r="D76" s="471"/>
      <c r="E76" s="558"/>
      <c r="F76" s="538"/>
      <c r="G76" s="471"/>
      <c r="H76" s="530"/>
      <c r="I76" s="559"/>
      <c r="J76" s="471"/>
      <c r="K76" s="471"/>
      <c r="L76" s="471"/>
      <c r="M76" s="471"/>
      <c r="N76" s="219" t="s">
        <v>345</v>
      </c>
      <c r="O76" s="538"/>
      <c r="P76" s="216">
        <v>10634.23</v>
      </c>
      <c r="Q76" s="217" t="s">
        <v>355</v>
      </c>
      <c r="R76" s="218"/>
      <c r="S76" s="216"/>
      <c r="T76" s="216"/>
      <c r="U76" s="530"/>
      <c r="V76" s="537"/>
      <c r="W76" s="535"/>
      <c r="X76" s="2">
        <v>58</v>
      </c>
    </row>
    <row r="77" spans="1:24" x14ac:dyDescent="0.25">
      <c r="A77" s="474"/>
      <c r="B77" s="471"/>
      <c r="C77" s="471"/>
      <c r="D77" s="471"/>
      <c r="E77" s="558"/>
      <c r="F77" s="538"/>
      <c r="G77" s="471"/>
      <c r="H77" s="530"/>
      <c r="I77" s="559"/>
      <c r="J77" s="471"/>
      <c r="K77" s="471"/>
      <c r="L77" s="471"/>
      <c r="M77" s="471"/>
      <c r="N77" s="219" t="s">
        <v>345</v>
      </c>
      <c r="O77" s="538"/>
      <c r="P77" s="216">
        <v>8700.74</v>
      </c>
      <c r="Q77" s="217" t="s">
        <v>355</v>
      </c>
      <c r="R77" s="218"/>
      <c r="S77" s="216"/>
      <c r="T77" s="216"/>
      <c r="U77" s="530"/>
      <c r="V77" s="537"/>
      <c r="W77" s="535"/>
      <c r="X77" s="2">
        <v>58</v>
      </c>
    </row>
    <row r="78" spans="1:24" x14ac:dyDescent="0.25">
      <c r="A78" s="474"/>
      <c r="B78" s="471"/>
      <c r="C78" s="471"/>
      <c r="D78" s="471"/>
      <c r="E78" s="558"/>
      <c r="F78" s="538"/>
      <c r="G78" s="471"/>
      <c r="H78" s="530"/>
      <c r="I78" s="559"/>
      <c r="J78" s="471"/>
      <c r="K78" s="471"/>
      <c r="L78" s="471"/>
      <c r="M78" s="471"/>
      <c r="N78" s="219" t="s">
        <v>383</v>
      </c>
      <c r="O78" s="538"/>
      <c r="P78" s="216">
        <v>11999.06</v>
      </c>
      <c r="Q78" s="217" t="s">
        <v>375</v>
      </c>
      <c r="R78" s="218"/>
      <c r="S78" s="216"/>
      <c r="T78" s="216"/>
      <c r="U78" s="530"/>
      <c r="V78" s="537"/>
      <c r="W78" s="535"/>
      <c r="X78" s="2">
        <v>58</v>
      </c>
    </row>
    <row r="79" spans="1:24" x14ac:dyDescent="0.25">
      <c r="A79" s="474"/>
      <c r="B79" s="471"/>
      <c r="C79" s="471"/>
      <c r="D79" s="471"/>
      <c r="E79" s="558"/>
      <c r="F79" s="538"/>
      <c r="G79" s="471"/>
      <c r="H79" s="530"/>
      <c r="I79" s="559"/>
      <c r="J79" s="471"/>
      <c r="K79" s="471"/>
      <c r="L79" s="471"/>
      <c r="M79" s="471"/>
      <c r="N79" s="219" t="s">
        <v>383</v>
      </c>
      <c r="O79" s="538"/>
      <c r="P79" s="216">
        <v>9817.41</v>
      </c>
      <c r="Q79" s="217" t="s">
        <v>375</v>
      </c>
      <c r="R79" s="218"/>
      <c r="S79" s="216"/>
      <c r="T79" s="216"/>
      <c r="U79" s="530"/>
      <c r="V79" s="537"/>
      <c r="W79" s="535"/>
      <c r="X79" s="2">
        <v>58</v>
      </c>
    </row>
    <row r="80" spans="1:24" x14ac:dyDescent="0.25">
      <c r="A80" s="474"/>
      <c r="B80" s="471"/>
      <c r="C80" s="471"/>
      <c r="D80" s="471"/>
      <c r="E80" s="558"/>
      <c r="F80" s="538"/>
      <c r="G80" s="471"/>
      <c r="H80" s="530"/>
      <c r="I80" s="559"/>
      <c r="J80" s="471"/>
      <c r="K80" s="471"/>
      <c r="L80" s="471"/>
      <c r="M80" s="471"/>
      <c r="N80" s="219" t="s">
        <v>459</v>
      </c>
      <c r="O80" s="538"/>
      <c r="P80" s="216">
        <v>14127.21</v>
      </c>
      <c r="Q80" s="217" t="s">
        <v>463</v>
      </c>
      <c r="R80" s="218"/>
      <c r="S80" s="216"/>
      <c r="T80" s="216"/>
      <c r="U80" s="530"/>
      <c r="V80" s="537"/>
      <c r="W80" s="535"/>
      <c r="X80" s="2">
        <v>58</v>
      </c>
    </row>
    <row r="81" spans="1:24" x14ac:dyDescent="0.25">
      <c r="A81" s="474"/>
      <c r="B81" s="471"/>
      <c r="C81" s="471"/>
      <c r="D81" s="471"/>
      <c r="E81" s="558"/>
      <c r="F81" s="538"/>
      <c r="G81" s="471"/>
      <c r="H81" s="530"/>
      <c r="I81" s="559"/>
      <c r="J81" s="471"/>
      <c r="K81" s="471"/>
      <c r="L81" s="471"/>
      <c r="M81" s="471"/>
      <c r="N81" s="219" t="s">
        <v>459</v>
      </c>
      <c r="O81" s="538"/>
      <c r="P81" s="216">
        <v>11558.62</v>
      </c>
      <c r="Q81" s="217" t="s">
        <v>463</v>
      </c>
      <c r="R81" s="218"/>
      <c r="S81" s="216"/>
      <c r="T81" s="216"/>
      <c r="U81" s="530"/>
      <c r="V81" s="537"/>
      <c r="W81" s="535"/>
      <c r="X81" s="2">
        <v>58</v>
      </c>
    </row>
    <row r="82" spans="1:24" x14ac:dyDescent="0.25">
      <c r="A82" s="474"/>
      <c r="B82" s="471"/>
      <c r="C82" s="471"/>
      <c r="D82" s="471"/>
      <c r="E82" s="558"/>
      <c r="F82" s="538"/>
      <c r="G82" s="471"/>
      <c r="H82" s="530"/>
      <c r="I82" s="559"/>
      <c r="J82" s="471"/>
      <c r="K82" s="471"/>
      <c r="L82" s="471"/>
      <c r="M82" s="471"/>
      <c r="N82" s="219" t="s">
        <v>467</v>
      </c>
      <c r="O82" s="538"/>
      <c r="P82" s="216">
        <v>9269.08</v>
      </c>
      <c r="Q82" s="217" t="s">
        <v>509</v>
      </c>
      <c r="R82" s="218"/>
      <c r="S82" s="216"/>
      <c r="T82" s="216"/>
      <c r="U82" s="530"/>
      <c r="V82" s="537"/>
      <c r="W82" s="535"/>
      <c r="X82" s="2">
        <v>58</v>
      </c>
    </row>
    <row r="83" spans="1:24" x14ac:dyDescent="0.25">
      <c r="A83" s="475"/>
      <c r="B83" s="472"/>
      <c r="C83" s="472"/>
      <c r="D83" s="472"/>
      <c r="E83" s="555"/>
      <c r="F83" s="485"/>
      <c r="G83" s="472"/>
      <c r="H83" s="487"/>
      <c r="I83" s="557"/>
      <c r="J83" s="472"/>
      <c r="K83" s="472"/>
      <c r="L83" s="472"/>
      <c r="M83" s="472"/>
      <c r="N83" s="215" t="s">
        <v>467</v>
      </c>
      <c r="O83" s="485"/>
      <c r="P83" s="211">
        <v>7583.79</v>
      </c>
      <c r="Q83" s="212" t="s">
        <v>509</v>
      </c>
      <c r="R83" s="213"/>
      <c r="S83" s="211"/>
      <c r="T83" s="211"/>
      <c r="U83" s="487"/>
      <c r="V83" s="526"/>
      <c r="W83" s="536"/>
      <c r="X83" s="2">
        <v>58</v>
      </c>
    </row>
    <row r="84" spans="1:24" s="85" customFormat="1" ht="72" customHeight="1" x14ac:dyDescent="0.25">
      <c r="A84" s="527">
        <v>11</v>
      </c>
      <c r="B84" s="461" t="s">
        <v>56</v>
      </c>
      <c r="C84" s="461"/>
      <c r="D84" s="461"/>
      <c r="E84" s="531" t="s">
        <v>293</v>
      </c>
      <c r="F84" s="464" t="s">
        <v>283</v>
      </c>
      <c r="G84" s="461" t="s">
        <v>294</v>
      </c>
      <c r="H84" s="467">
        <v>46200</v>
      </c>
      <c r="I84" s="516">
        <f>IF(X84 = 59, H84 + SUM(S84:S88) - SUM(T84:T88) - SUM(P84:P88) - V84,0)</f>
        <v>0</v>
      </c>
      <c r="J84" s="461" t="s">
        <v>285</v>
      </c>
      <c r="K84" s="461" t="s">
        <v>286</v>
      </c>
      <c r="L84" s="461"/>
      <c r="M84" s="461" t="s">
        <v>287</v>
      </c>
      <c r="N84" s="194" t="s">
        <v>307</v>
      </c>
      <c r="O84" s="464" t="s">
        <v>288</v>
      </c>
      <c r="P84" s="187">
        <v>5800</v>
      </c>
      <c r="Q84" s="186" t="s">
        <v>313</v>
      </c>
      <c r="R84" s="185"/>
      <c r="S84" s="187"/>
      <c r="T84" s="187"/>
      <c r="U84" s="467" t="s">
        <v>515</v>
      </c>
      <c r="V84" s="522">
        <v>16750</v>
      </c>
      <c r="W84" s="519"/>
      <c r="X84" s="85">
        <v>59</v>
      </c>
    </row>
    <row r="85" spans="1:24" x14ac:dyDescent="0.25">
      <c r="A85" s="528"/>
      <c r="B85" s="462"/>
      <c r="C85" s="462"/>
      <c r="D85" s="462"/>
      <c r="E85" s="532"/>
      <c r="F85" s="465"/>
      <c r="G85" s="462"/>
      <c r="H85" s="468"/>
      <c r="I85" s="517"/>
      <c r="J85" s="462"/>
      <c r="K85" s="462"/>
      <c r="L85" s="462"/>
      <c r="M85" s="462"/>
      <c r="N85" s="195" t="s">
        <v>345</v>
      </c>
      <c r="O85" s="465"/>
      <c r="P85" s="188">
        <v>5475</v>
      </c>
      <c r="Q85" s="189" t="s">
        <v>355</v>
      </c>
      <c r="R85" s="190"/>
      <c r="S85" s="188"/>
      <c r="T85" s="188"/>
      <c r="U85" s="468"/>
      <c r="V85" s="523"/>
      <c r="W85" s="520"/>
      <c r="X85" s="2">
        <v>59</v>
      </c>
    </row>
    <row r="86" spans="1:24" x14ac:dyDescent="0.25">
      <c r="A86" s="528"/>
      <c r="B86" s="462"/>
      <c r="C86" s="462"/>
      <c r="D86" s="462"/>
      <c r="E86" s="532"/>
      <c r="F86" s="465"/>
      <c r="G86" s="462"/>
      <c r="H86" s="468"/>
      <c r="I86" s="517"/>
      <c r="J86" s="462"/>
      <c r="K86" s="462"/>
      <c r="L86" s="462"/>
      <c r="M86" s="462"/>
      <c r="N86" s="195" t="s">
        <v>383</v>
      </c>
      <c r="O86" s="465"/>
      <c r="P86" s="188">
        <v>6125</v>
      </c>
      <c r="Q86" s="189" t="s">
        <v>375</v>
      </c>
      <c r="R86" s="190"/>
      <c r="S86" s="188"/>
      <c r="T86" s="188"/>
      <c r="U86" s="468"/>
      <c r="V86" s="523"/>
      <c r="W86" s="520"/>
      <c r="X86" s="2">
        <v>59</v>
      </c>
    </row>
    <row r="87" spans="1:24" x14ac:dyDescent="0.25">
      <c r="A87" s="528"/>
      <c r="B87" s="462"/>
      <c r="C87" s="462"/>
      <c r="D87" s="462"/>
      <c r="E87" s="532"/>
      <c r="F87" s="465"/>
      <c r="G87" s="462"/>
      <c r="H87" s="468"/>
      <c r="I87" s="517"/>
      <c r="J87" s="462"/>
      <c r="K87" s="462"/>
      <c r="L87" s="462"/>
      <c r="M87" s="462"/>
      <c r="N87" s="195" t="s">
        <v>459</v>
      </c>
      <c r="O87" s="465"/>
      <c r="P87" s="188">
        <v>7275</v>
      </c>
      <c r="Q87" s="189" t="s">
        <v>463</v>
      </c>
      <c r="R87" s="190"/>
      <c r="S87" s="188"/>
      <c r="T87" s="188"/>
      <c r="U87" s="468"/>
      <c r="V87" s="523"/>
      <c r="W87" s="520"/>
      <c r="X87" s="2">
        <v>59</v>
      </c>
    </row>
    <row r="88" spans="1:24" x14ac:dyDescent="0.25">
      <c r="A88" s="529"/>
      <c r="B88" s="463"/>
      <c r="C88" s="463"/>
      <c r="D88" s="463"/>
      <c r="E88" s="533"/>
      <c r="F88" s="466"/>
      <c r="G88" s="463"/>
      <c r="H88" s="469"/>
      <c r="I88" s="518"/>
      <c r="J88" s="463"/>
      <c r="K88" s="463"/>
      <c r="L88" s="463"/>
      <c r="M88" s="463"/>
      <c r="N88" s="196" t="s">
        <v>467</v>
      </c>
      <c r="O88" s="466"/>
      <c r="P88" s="191">
        <v>4775</v>
      </c>
      <c r="Q88" s="192" t="s">
        <v>470</v>
      </c>
      <c r="R88" s="193"/>
      <c r="S88" s="191"/>
      <c r="T88" s="191"/>
      <c r="U88" s="469"/>
      <c r="V88" s="524"/>
      <c r="W88" s="521"/>
      <c r="X88" s="2">
        <v>59</v>
      </c>
    </row>
    <row r="89" spans="1:24" s="85" customFormat="1" ht="72" customHeight="1" x14ac:dyDescent="0.25">
      <c r="A89" s="527">
        <v>12</v>
      </c>
      <c r="B89" s="461" t="s">
        <v>56</v>
      </c>
      <c r="C89" s="461"/>
      <c r="D89" s="461"/>
      <c r="E89" s="531" t="s">
        <v>320</v>
      </c>
      <c r="F89" s="464" t="s">
        <v>283</v>
      </c>
      <c r="G89" s="461" t="s">
        <v>319</v>
      </c>
      <c r="H89" s="467">
        <v>10500</v>
      </c>
      <c r="I89" s="516">
        <f>IF(X89 = 60, H89 + SUM(S89:S94) - SUM(T89:T94) - SUM(P89:P94) - V89,0)</f>
        <v>0</v>
      </c>
      <c r="J89" s="461" t="s">
        <v>285</v>
      </c>
      <c r="K89" s="461" t="s">
        <v>286</v>
      </c>
      <c r="L89" s="461"/>
      <c r="M89" s="461" t="s">
        <v>287</v>
      </c>
      <c r="N89" s="194" t="s">
        <v>345</v>
      </c>
      <c r="O89" s="464" t="s">
        <v>288</v>
      </c>
      <c r="P89" s="187">
        <v>1375</v>
      </c>
      <c r="Q89" s="186" t="s">
        <v>349</v>
      </c>
      <c r="R89" s="185"/>
      <c r="S89" s="187"/>
      <c r="T89" s="187"/>
      <c r="U89" s="467" t="s">
        <v>515</v>
      </c>
      <c r="V89" s="522">
        <v>3700</v>
      </c>
      <c r="W89" s="519"/>
      <c r="X89" s="85">
        <v>60</v>
      </c>
    </row>
    <row r="90" spans="1:24" x14ac:dyDescent="0.25">
      <c r="A90" s="528"/>
      <c r="B90" s="462"/>
      <c r="C90" s="462"/>
      <c r="D90" s="462"/>
      <c r="E90" s="532"/>
      <c r="F90" s="465"/>
      <c r="G90" s="462"/>
      <c r="H90" s="468"/>
      <c r="I90" s="517"/>
      <c r="J90" s="462"/>
      <c r="K90" s="462"/>
      <c r="L90" s="462"/>
      <c r="M90" s="462"/>
      <c r="N90" s="195" t="s">
        <v>345</v>
      </c>
      <c r="O90" s="465"/>
      <c r="P90" s="188">
        <v>1375</v>
      </c>
      <c r="Q90" s="189" t="s">
        <v>349</v>
      </c>
      <c r="R90" s="190"/>
      <c r="S90" s="188"/>
      <c r="T90" s="188"/>
      <c r="U90" s="468"/>
      <c r="V90" s="523"/>
      <c r="W90" s="520"/>
      <c r="X90" s="2">
        <v>60</v>
      </c>
    </row>
    <row r="91" spans="1:24" x14ac:dyDescent="0.25">
      <c r="A91" s="528"/>
      <c r="B91" s="462"/>
      <c r="C91" s="462"/>
      <c r="D91" s="462"/>
      <c r="E91" s="532"/>
      <c r="F91" s="465"/>
      <c r="G91" s="462"/>
      <c r="H91" s="468"/>
      <c r="I91" s="517"/>
      <c r="J91" s="462"/>
      <c r="K91" s="462"/>
      <c r="L91" s="462"/>
      <c r="M91" s="462"/>
      <c r="N91" s="195" t="s">
        <v>345</v>
      </c>
      <c r="O91" s="465"/>
      <c r="P91" s="188">
        <v>-25</v>
      </c>
      <c r="Q91" s="189" t="s">
        <v>382</v>
      </c>
      <c r="R91" s="190"/>
      <c r="S91" s="188"/>
      <c r="T91" s="188"/>
      <c r="U91" s="468"/>
      <c r="V91" s="523"/>
      <c r="W91" s="520"/>
      <c r="X91" s="2">
        <v>60</v>
      </c>
    </row>
    <row r="92" spans="1:24" x14ac:dyDescent="0.25">
      <c r="A92" s="528"/>
      <c r="B92" s="462"/>
      <c r="C92" s="462"/>
      <c r="D92" s="462"/>
      <c r="E92" s="532"/>
      <c r="F92" s="465"/>
      <c r="G92" s="462"/>
      <c r="H92" s="468"/>
      <c r="I92" s="517"/>
      <c r="J92" s="462"/>
      <c r="K92" s="462"/>
      <c r="L92" s="462"/>
      <c r="M92" s="462"/>
      <c r="N92" s="195" t="s">
        <v>383</v>
      </c>
      <c r="O92" s="465"/>
      <c r="P92" s="188">
        <v>1425</v>
      </c>
      <c r="Q92" s="189" t="s">
        <v>377</v>
      </c>
      <c r="R92" s="190"/>
      <c r="S92" s="188"/>
      <c r="T92" s="188"/>
      <c r="U92" s="468"/>
      <c r="V92" s="523"/>
      <c r="W92" s="520"/>
      <c r="X92" s="2">
        <v>60</v>
      </c>
    </row>
    <row r="93" spans="1:24" x14ac:dyDescent="0.25">
      <c r="A93" s="528"/>
      <c r="B93" s="462"/>
      <c r="C93" s="462"/>
      <c r="D93" s="462"/>
      <c r="E93" s="532"/>
      <c r="F93" s="465"/>
      <c r="G93" s="462"/>
      <c r="H93" s="468"/>
      <c r="I93" s="517"/>
      <c r="J93" s="462"/>
      <c r="K93" s="462"/>
      <c r="L93" s="462"/>
      <c r="M93" s="462"/>
      <c r="N93" s="195" t="s">
        <v>459</v>
      </c>
      <c r="O93" s="465"/>
      <c r="P93" s="188">
        <v>1825</v>
      </c>
      <c r="Q93" s="189" t="s">
        <v>463</v>
      </c>
      <c r="R93" s="190"/>
      <c r="S93" s="188"/>
      <c r="T93" s="188"/>
      <c r="U93" s="468"/>
      <c r="V93" s="523"/>
      <c r="W93" s="520"/>
      <c r="X93" s="2">
        <v>60</v>
      </c>
    </row>
    <row r="94" spans="1:24" x14ac:dyDescent="0.25">
      <c r="A94" s="529"/>
      <c r="B94" s="463"/>
      <c r="C94" s="463"/>
      <c r="D94" s="463"/>
      <c r="E94" s="533"/>
      <c r="F94" s="466"/>
      <c r="G94" s="463"/>
      <c r="H94" s="469"/>
      <c r="I94" s="518"/>
      <c r="J94" s="463"/>
      <c r="K94" s="463"/>
      <c r="L94" s="463"/>
      <c r="M94" s="463"/>
      <c r="N94" s="196" t="s">
        <v>467</v>
      </c>
      <c r="O94" s="466"/>
      <c r="P94" s="191">
        <v>825</v>
      </c>
      <c r="Q94" s="192" t="s">
        <v>470</v>
      </c>
      <c r="R94" s="193"/>
      <c r="S94" s="191"/>
      <c r="T94" s="191"/>
      <c r="U94" s="469"/>
      <c r="V94" s="524"/>
      <c r="W94" s="521"/>
      <c r="X94" s="2">
        <v>60</v>
      </c>
    </row>
    <row r="95" spans="1:24" s="85" customFormat="1" ht="72" customHeight="1" x14ac:dyDescent="0.25">
      <c r="A95" s="527">
        <v>13</v>
      </c>
      <c r="B95" s="461" t="s">
        <v>56</v>
      </c>
      <c r="C95" s="461"/>
      <c r="D95" s="461"/>
      <c r="E95" s="531" t="s">
        <v>318</v>
      </c>
      <c r="F95" s="464" t="s">
        <v>283</v>
      </c>
      <c r="G95" s="461" t="s">
        <v>321</v>
      </c>
      <c r="H95" s="467">
        <v>40017.599999999999</v>
      </c>
      <c r="I95" s="516">
        <f>IF(X95 = 61, H95 + SUM(S95:S99) - SUM(T95:T99) - SUM(P95:P99) - V95,0)</f>
        <v>0</v>
      </c>
      <c r="J95" s="461" t="s">
        <v>285</v>
      </c>
      <c r="K95" s="461" t="s">
        <v>286</v>
      </c>
      <c r="L95" s="461"/>
      <c r="M95" s="461" t="s">
        <v>287</v>
      </c>
      <c r="N95" s="194" t="s">
        <v>345</v>
      </c>
      <c r="O95" s="464" t="s">
        <v>288</v>
      </c>
      <c r="P95" s="187">
        <v>5240.3999999999996</v>
      </c>
      <c r="Q95" s="186" t="s">
        <v>357</v>
      </c>
      <c r="R95" s="185"/>
      <c r="S95" s="187"/>
      <c r="T95" s="187"/>
      <c r="U95" s="467" t="s">
        <v>515</v>
      </c>
      <c r="V95" s="522">
        <v>14275.68</v>
      </c>
      <c r="W95" s="519"/>
      <c r="X95" s="85">
        <v>61</v>
      </c>
    </row>
    <row r="96" spans="1:24" ht="16.899999999999999" customHeight="1" x14ac:dyDescent="0.25">
      <c r="A96" s="528"/>
      <c r="B96" s="462"/>
      <c r="C96" s="462"/>
      <c r="D96" s="462"/>
      <c r="E96" s="532"/>
      <c r="F96" s="465"/>
      <c r="G96" s="462"/>
      <c r="H96" s="468"/>
      <c r="I96" s="517"/>
      <c r="J96" s="462"/>
      <c r="K96" s="462"/>
      <c r="L96" s="462"/>
      <c r="M96" s="462"/>
      <c r="N96" s="195" t="s">
        <v>345</v>
      </c>
      <c r="O96" s="465"/>
      <c r="P96" s="188">
        <v>4970.88</v>
      </c>
      <c r="Q96" s="189" t="s">
        <v>357</v>
      </c>
      <c r="R96" s="190"/>
      <c r="S96" s="188"/>
      <c r="T96" s="188"/>
      <c r="U96" s="468"/>
      <c r="V96" s="523"/>
      <c r="W96" s="520"/>
      <c r="X96" s="2">
        <v>61</v>
      </c>
    </row>
    <row r="97" spans="1:24" ht="22.9" customHeight="1" x14ac:dyDescent="0.25">
      <c r="A97" s="528"/>
      <c r="B97" s="462"/>
      <c r="C97" s="462"/>
      <c r="D97" s="462"/>
      <c r="E97" s="532"/>
      <c r="F97" s="465"/>
      <c r="G97" s="462"/>
      <c r="H97" s="468"/>
      <c r="I97" s="517"/>
      <c r="J97" s="462"/>
      <c r="K97" s="462"/>
      <c r="L97" s="462"/>
      <c r="M97" s="462"/>
      <c r="N97" s="195" t="s">
        <v>383</v>
      </c>
      <c r="O97" s="465"/>
      <c r="P97" s="188">
        <v>5430.96</v>
      </c>
      <c r="Q97" s="189" t="s">
        <v>376</v>
      </c>
      <c r="R97" s="190"/>
      <c r="S97" s="188"/>
      <c r="T97" s="188"/>
      <c r="U97" s="468"/>
      <c r="V97" s="523"/>
      <c r="W97" s="520"/>
      <c r="X97" s="2">
        <v>61</v>
      </c>
    </row>
    <row r="98" spans="1:24" x14ac:dyDescent="0.25">
      <c r="A98" s="528"/>
      <c r="B98" s="462"/>
      <c r="C98" s="462"/>
      <c r="D98" s="462"/>
      <c r="E98" s="532"/>
      <c r="F98" s="465"/>
      <c r="G98" s="462"/>
      <c r="H98" s="468"/>
      <c r="I98" s="517"/>
      <c r="J98" s="462"/>
      <c r="K98" s="462"/>
      <c r="L98" s="462"/>
      <c r="M98" s="462"/>
      <c r="N98" s="195" t="s">
        <v>459</v>
      </c>
      <c r="O98" s="465"/>
      <c r="P98" s="188">
        <v>6955.44</v>
      </c>
      <c r="Q98" s="189" t="s">
        <v>463</v>
      </c>
      <c r="R98" s="190"/>
      <c r="S98" s="188"/>
      <c r="T98" s="188"/>
      <c r="U98" s="468"/>
      <c r="V98" s="523"/>
      <c r="W98" s="520"/>
      <c r="X98" s="2">
        <v>61</v>
      </c>
    </row>
    <row r="99" spans="1:24" x14ac:dyDescent="0.25">
      <c r="A99" s="529"/>
      <c r="B99" s="463"/>
      <c r="C99" s="463"/>
      <c r="D99" s="463"/>
      <c r="E99" s="533"/>
      <c r="F99" s="466"/>
      <c r="G99" s="463"/>
      <c r="H99" s="469"/>
      <c r="I99" s="518"/>
      <c r="J99" s="463"/>
      <c r="K99" s="463"/>
      <c r="L99" s="463"/>
      <c r="M99" s="463"/>
      <c r="N99" s="196" t="s">
        <v>467</v>
      </c>
      <c r="O99" s="466"/>
      <c r="P99" s="191">
        <v>3144.24</v>
      </c>
      <c r="Q99" s="192" t="s">
        <v>470</v>
      </c>
      <c r="R99" s="193"/>
      <c r="S99" s="191"/>
      <c r="T99" s="191"/>
      <c r="U99" s="469"/>
      <c r="V99" s="524"/>
      <c r="W99" s="521"/>
      <c r="X99" s="2">
        <v>61</v>
      </c>
    </row>
    <row r="100" spans="1:24" s="85" customFormat="1" ht="118.9" customHeight="1" x14ac:dyDescent="0.25">
      <c r="A100" s="406">
        <v>14</v>
      </c>
      <c r="B100" s="412" t="s">
        <v>56</v>
      </c>
      <c r="C100" s="412"/>
      <c r="D100" s="412"/>
      <c r="E100" s="418" t="s">
        <v>409</v>
      </c>
      <c r="F100" s="408" t="s">
        <v>256</v>
      </c>
      <c r="G100" s="412" t="s">
        <v>410</v>
      </c>
      <c r="H100" s="410">
        <v>12096</v>
      </c>
      <c r="I100" s="420">
        <f>IF(X100 = 62, H100 + SUM(S100:S104) - SUM(T100:T104) - SUM(P100:P104) - V100,0)</f>
        <v>0</v>
      </c>
      <c r="J100" s="412" t="s">
        <v>411</v>
      </c>
      <c r="K100" s="412" t="s">
        <v>412</v>
      </c>
      <c r="L100" s="412"/>
      <c r="M100" s="412" t="s">
        <v>214</v>
      </c>
      <c r="N100" s="351" t="s">
        <v>315</v>
      </c>
      <c r="O100" s="408" t="s">
        <v>413</v>
      </c>
      <c r="P100" s="335">
        <v>6048</v>
      </c>
      <c r="Q100" s="334" t="s">
        <v>466</v>
      </c>
      <c r="R100" s="333"/>
      <c r="S100" s="335"/>
      <c r="T100" s="335"/>
      <c r="U100" s="410"/>
      <c r="V100" s="414"/>
      <c r="W100" s="416"/>
      <c r="X100" s="85">
        <v>62</v>
      </c>
    </row>
    <row r="101" spans="1:24" x14ac:dyDescent="0.25">
      <c r="A101" s="429"/>
      <c r="B101" s="422"/>
      <c r="C101" s="422"/>
      <c r="D101" s="422"/>
      <c r="E101" s="423"/>
      <c r="F101" s="424"/>
      <c r="G101" s="422"/>
      <c r="H101" s="425"/>
      <c r="I101" s="426"/>
      <c r="J101" s="422"/>
      <c r="K101" s="422"/>
      <c r="L101" s="422"/>
      <c r="M101" s="422"/>
      <c r="N101" s="352" t="s">
        <v>371</v>
      </c>
      <c r="O101" s="424"/>
      <c r="P101" s="336">
        <v>1512</v>
      </c>
      <c r="Q101" s="337" t="s">
        <v>466</v>
      </c>
      <c r="R101" s="338"/>
      <c r="S101" s="336"/>
      <c r="T101" s="336"/>
      <c r="U101" s="425"/>
      <c r="V101" s="427"/>
      <c r="W101" s="428"/>
      <c r="X101" s="2">
        <v>62</v>
      </c>
    </row>
    <row r="102" spans="1:24" x14ac:dyDescent="0.25">
      <c r="A102" s="429"/>
      <c r="B102" s="422"/>
      <c r="C102" s="422"/>
      <c r="D102" s="422"/>
      <c r="E102" s="423"/>
      <c r="F102" s="424"/>
      <c r="G102" s="422"/>
      <c r="H102" s="425"/>
      <c r="I102" s="426"/>
      <c r="J102" s="422"/>
      <c r="K102" s="422"/>
      <c r="L102" s="422"/>
      <c r="M102" s="422"/>
      <c r="N102" s="352" t="s">
        <v>562</v>
      </c>
      <c r="O102" s="424"/>
      <c r="P102" s="336">
        <v>1512</v>
      </c>
      <c r="Q102" s="337" t="s">
        <v>569</v>
      </c>
      <c r="R102" s="338"/>
      <c r="S102" s="336"/>
      <c r="T102" s="336"/>
      <c r="U102" s="425"/>
      <c r="V102" s="427"/>
      <c r="W102" s="428"/>
      <c r="X102" s="2">
        <v>62</v>
      </c>
    </row>
    <row r="103" spans="1:24" x14ac:dyDescent="0.25">
      <c r="A103" s="429"/>
      <c r="B103" s="422"/>
      <c r="C103" s="422"/>
      <c r="D103" s="422"/>
      <c r="E103" s="423"/>
      <c r="F103" s="424"/>
      <c r="G103" s="422"/>
      <c r="H103" s="425"/>
      <c r="I103" s="426"/>
      <c r="J103" s="422"/>
      <c r="K103" s="422"/>
      <c r="L103" s="422"/>
      <c r="M103" s="422"/>
      <c r="N103" s="352" t="s">
        <v>694</v>
      </c>
      <c r="O103" s="424"/>
      <c r="P103" s="336">
        <v>1512</v>
      </c>
      <c r="Q103" s="337" t="s">
        <v>698</v>
      </c>
      <c r="R103" s="338"/>
      <c r="S103" s="336"/>
      <c r="T103" s="336"/>
      <c r="U103" s="425"/>
      <c r="V103" s="427"/>
      <c r="W103" s="428"/>
      <c r="X103" s="2">
        <v>62</v>
      </c>
    </row>
    <row r="104" spans="1:24" x14ac:dyDescent="0.25">
      <c r="A104" s="407"/>
      <c r="B104" s="413"/>
      <c r="C104" s="413"/>
      <c r="D104" s="413"/>
      <c r="E104" s="419"/>
      <c r="F104" s="409"/>
      <c r="G104" s="413"/>
      <c r="H104" s="411"/>
      <c r="I104" s="421"/>
      <c r="J104" s="413"/>
      <c r="K104" s="413"/>
      <c r="L104" s="413"/>
      <c r="M104" s="413"/>
      <c r="N104" s="353" t="s">
        <v>849</v>
      </c>
      <c r="O104" s="409"/>
      <c r="P104" s="346">
        <v>1512</v>
      </c>
      <c r="Q104" s="347" t="s">
        <v>849</v>
      </c>
      <c r="R104" s="348"/>
      <c r="S104" s="346"/>
      <c r="T104" s="346"/>
      <c r="U104" s="411"/>
      <c r="V104" s="415"/>
      <c r="W104" s="417"/>
      <c r="X104" s="2">
        <v>62</v>
      </c>
    </row>
    <row r="105" spans="1:24" s="85" customFormat="1" ht="144" customHeight="1" x14ac:dyDescent="0.25">
      <c r="A105" s="476">
        <v>15</v>
      </c>
      <c r="B105" s="482" t="s">
        <v>56</v>
      </c>
      <c r="C105" s="482"/>
      <c r="D105" s="482"/>
      <c r="E105" s="544" t="s">
        <v>331</v>
      </c>
      <c r="F105" s="478" t="s">
        <v>332</v>
      </c>
      <c r="G105" s="482" t="s">
        <v>333</v>
      </c>
      <c r="H105" s="480">
        <v>2800</v>
      </c>
      <c r="I105" s="546">
        <f>IF(X105 = 63, H105 + SUM(S105:S106) - SUM(T105:T106) - SUM(P105:P106) - V105,0)</f>
        <v>0</v>
      </c>
      <c r="J105" s="482" t="s">
        <v>334</v>
      </c>
      <c r="K105" s="482" t="s">
        <v>335</v>
      </c>
      <c r="L105" s="482"/>
      <c r="M105" s="482" t="s">
        <v>336</v>
      </c>
      <c r="N105" s="163" t="s">
        <v>356</v>
      </c>
      <c r="O105" s="478" t="s">
        <v>343</v>
      </c>
      <c r="P105" s="156">
        <v>840</v>
      </c>
      <c r="Q105" s="155" t="s">
        <v>352</v>
      </c>
      <c r="R105" s="154"/>
      <c r="S105" s="156"/>
      <c r="T105" s="156"/>
      <c r="U105" s="480"/>
      <c r="V105" s="540"/>
      <c r="W105" s="542"/>
      <c r="X105" s="85">
        <v>63</v>
      </c>
    </row>
    <row r="106" spans="1:24" x14ac:dyDescent="0.25">
      <c r="A106" s="477"/>
      <c r="B106" s="483"/>
      <c r="C106" s="483"/>
      <c r="D106" s="483"/>
      <c r="E106" s="545"/>
      <c r="F106" s="479"/>
      <c r="G106" s="483"/>
      <c r="H106" s="481"/>
      <c r="I106" s="547"/>
      <c r="J106" s="483"/>
      <c r="K106" s="483"/>
      <c r="L106" s="483"/>
      <c r="M106" s="483"/>
      <c r="N106" s="165" t="s">
        <v>371</v>
      </c>
      <c r="O106" s="479"/>
      <c r="P106" s="160">
        <v>1960</v>
      </c>
      <c r="Q106" s="161" t="s">
        <v>370</v>
      </c>
      <c r="R106" s="162"/>
      <c r="S106" s="160"/>
      <c r="T106" s="160"/>
      <c r="U106" s="481"/>
      <c r="V106" s="541"/>
      <c r="W106" s="543"/>
      <c r="X106" s="2">
        <v>63</v>
      </c>
    </row>
    <row r="107" spans="1:24" s="85" customFormat="1" ht="112.5" x14ac:dyDescent="0.25">
      <c r="A107" s="135">
        <v>16</v>
      </c>
      <c r="B107" s="137" t="s">
        <v>56</v>
      </c>
      <c r="C107" s="137"/>
      <c r="D107" s="137"/>
      <c r="E107" s="140" t="s">
        <v>337</v>
      </c>
      <c r="F107" s="142" t="s">
        <v>338</v>
      </c>
      <c r="G107" s="137" t="s">
        <v>339</v>
      </c>
      <c r="H107" s="136">
        <v>40920</v>
      </c>
      <c r="I107" s="141">
        <f>IF(X107 = 64, H107 + SUM(S107:S107) - SUM(T107:T107) - SUM(P107:P107) - V107,0)</f>
        <v>0</v>
      </c>
      <c r="J107" s="137" t="s">
        <v>340</v>
      </c>
      <c r="K107" s="137" t="s">
        <v>341</v>
      </c>
      <c r="L107" s="137"/>
      <c r="M107" s="137" t="s">
        <v>342</v>
      </c>
      <c r="N107" s="142" t="s">
        <v>353</v>
      </c>
      <c r="O107" s="121" t="s">
        <v>330</v>
      </c>
      <c r="P107" s="136">
        <v>40920</v>
      </c>
      <c r="Q107" s="140" t="s">
        <v>352</v>
      </c>
      <c r="R107" s="137"/>
      <c r="S107" s="136"/>
      <c r="T107" s="136"/>
      <c r="U107" s="136"/>
      <c r="V107" s="138"/>
      <c r="W107" s="139"/>
      <c r="X107" s="85">
        <v>64</v>
      </c>
    </row>
    <row r="108" spans="1:24" s="85" customFormat="1" ht="96" customHeight="1" x14ac:dyDescent="0.25">
      <c r="A108" s="152">
        <v>17</v>
      </c>
      <c r="B108" s="147" t="s">
        <v>56</v>
      </c>
      <c r="C108" s="147"/>
      <c r="D108" s="147"/>
      <c r="E108" s="149" t="s">
        <v>358</v>
      </c>
      <c r="F108" s="153" t="s">
        <v>359</v>
      </c>
      <c r="G108" s="137" t="s">
        <v>327</v>
      </c>
      <c r="H108" s="150">
        <v>1900</v>
      </c>
      <c r="I108" s="151">
        <f>IF(X108 = 65, H108 + SUM(S108:S108) - SUM(T108:T108) - SUM(P108:P108) - V108,0)</f>
        <v>0</v>
      </c>
      <c r="J108" s="137" t="s">
        <v>328</v>
      </c>
      <c r="K108" s="137" t="s">
        <v>329</v>
      </c>
      <c r="L108" s="147"/>
      <c r="M108" s="137" t="s">
        <v>360</v>
      </c>
      <c r="N108" s="153" t="s">
        <v>370</v>
      </c>
      <c r="O108" s="121" t="s">
        <v>330</v>
      </c>
      <c r="P108" s="150">
        <v>1900</v>
      </c>
      <c r="Q108" s="149" t="s">
        <v>375</v>
      </c>
      <c r="R108" s="147"/>
      <c r="S108" s="150"/>
      <c r="T108" s="150"/>
      <c r="U108" s="150"/>
      <c r="V108" s="146"/>
      <c r="W108" s="148"/>
      <c r="X108" s="85">
        <v>65</v>
      </c>
    </row>
    <row r="109" spans="1:24" s="85" customFormat="1" ht="144" customHeight="1" x14ac:dyDescent="0.25">
      <c r="A109" s="166">
        <v>18</v>
      </c>
      <c r="B109" s="167" t="s">
        <v>56</v>
      </c>
      <c r="C109" s="167"/>
      <c r="D109" s="167"/>
      <c r="E109" s="168" t="s">
        <v>364</v>
      </c>
      <c r="F109" s="172" t="s">
        <v>365</v>
      </c>
      <c r="G109" s="167" t="s">
        <v>339</v>
      </c>
      <c r="H109" s="169">
        <v>9656</v>
      </c>
      <c r="I109" s="170">
        <f>IF(X109 = 66, H109 + SUM(S109:S109) - SUM(T109:T109) - SUM(P109:P109) - V109,0)</f>
        <v>0</v>
      </c>
      <c r="J109" s="167" t="s">
        <v>366</v>
      </c>
      <c r="K109" s="167" t="s">
        <v>367</v>
      </c>
      <c r="L109" s="167"/>
      <c r="M109" s="167" t="s">
        <v>368</v>
      </c>
      <c r="N109" s="172" t="s">
        <v>376</v>
      </c>
      <c r="O109" s="172" t="s">
        <v>369</v>
      </c>
      <c r="P109" s="169">
        <v>9656</v>
      </c>
      <c r="Q109" s="168" t="s">
        <v>380</v>
      </c>
      <c r="R109" s="167"/>
      <c r="S109" s="169"/>
      <c r="T109" s="169"/>
      <c r="U109" s="169"/>
      <c r="V109" s="173"/>
      <c r="W109" s="171"/>
      <c r="X109" s="85">
        <v>66</v>
      </c>
    </row>
    <row r="110" spans="1:24" s="85" customFormat="1" ht="93.75" x14ac:dyDescent="0.25">
      <c r="A110" s="175">
        <v>19</v>
      </c>
      <c r="B110" s="176" t="s">
        <v>56</v>
      </c>
      <c r="C110" s="176"/>
      <c r="D110" s="176"/>
      <c r="E110" s="177" t="s">
        <v>385</v>
      </c>
      <c r="F110" s="181" t="s">
        <v>386</v>
      </c>
      <c r="G110" s="176" t="s">
        <v>387</v>
      </c>
      <c r="H110" s="178">
        <v>4000</v>
      </c>
      <c r="I110" s="179">
        <f>IF(X110 = 67, H110 + SUM(S110:S110) - SUM(T110:T110) - SUM(P110:P110) - V110,0)</f>
        <v>0</v>
      </c>
      <c r="J110" s="176" t="s">
        <v>388</v>
      </c>
      <c r="K110" s="176" t="s">
        <v>389</v>
      </c>
      <c r="L110" s="176"/>
      <c r="M110" s="176" t="s">
        <v>390</v>
      </c>
      <c r="N110" s="181" t="s">
        <v>458</v>
      </c>
      <c r="O110" s="172" t="s">
        <v>391</v>
      </c>
      <c r="P110" s="178">
        <v>4000</v>
      </c>
      <c r="Q110" s="177" t="s">
        <v>457</v>
      </c>
      <c r="R110" s="176"/>
      <c r="S110" s="178"/>
      <c r="T110" s="178"/>
      <c r="U110" s="178"/>
      <c r="V110" s="180"/>
      <c r="W110" s="174"/>
      <c r="X110" s="85">
        <v>67</v>
      </c>
    </row>
    <row r="111" spans="1:24" s="85" customFormat="1" ht="93.75" x14ac:dyDescent="0.25">
      <c r="A111" s="175">
        <v>20</v>
      </c>
      <c r="B111" s="176" t="s">
        <v>56</v>
      </c>
      <c r="C111" s="176"/>
      <c r="D111" s="176"/>
      <c r="E111" s="177" t="s">
        <v>392</v>
      </c>
      <c r="F111" s="181" t="s">
        <v>393</v>
      </c>
      <c r="G111" s="176" t="s">
        <v>394</v>
      </c>
      <c r="H111" s="178">
        <v>7500</v>
      </c>
      <c r="I111" s="179">
        <f>IF(X111 = 68, H111 + SUM(S111:S111) - SUM(T111:T111) - SUM(P111:P111) - V111,0)</f>
        <v>0</v>
      </c>
      <c r="J111" s="176" t="s">
        <v>395</v>
      </c>
      <c r="K111" s="176" t="s">
        <v>396</v>
      </c>
      <c r="L111" s="176"/>
      <c r="M111" s="176" t="s">
        <v>397</v>
      </c>
      <c r="N111" s="181" t="s">
        <v>462</v>
      </c>
      <c r="O111" s="181" t="s">
        <v>398</v>
      </c>
      <c r="P111" s="178">
        <v>7500</v>
      </c>
      <c r="Q111" s="177" t="s">
        <v>463</v>
      </c>
      <c r="R111" s="176"/>
      <c r="S111" s="178"/>
      <c r="T111" s="178"/>
      <c r="U111" s="178"/>
      <c r="V111" s="180"/>
      <c r="W111" s="174"/>
      <c r="X111" s="85">
        <v>68</v>
      </c>
    </row>
    <row r="112" spans="1:24" s="85" customFormat="1" ht="93.75" x14ac:dyDescent="0.25">
      <c r="A112" s="175">
        <v>21</v>
      </c>
      <c r="B112" s="176" t="s">
        <v>56</v>
      </c>
      <c r="C112" s="176"/>
      <c r="D112" s="176"/>
      <c r="E112" s="177" t="s">
        <v>414</v>
      </c>
      <c r="F112" s="181" t="s">
        <v>416</v>
      </c>
      <c r="G112" s="176" t="s">
        <v>417</v>
      </c>
      <c r="H112" s="178">
        <v>26589</v>
      </c>
      <c r="I112" s="179">
        <f>IF(X112 = 69, H112 + SUM(S112:S112) - SUM(T112:T112) - SUM(P112:P112) - V112,0)</f>
        <v>0</v>
      </c>
      <c r="J112" s="176" t="s">
        <v>418</v>
      </c>
      <c r="K112" s="176" t="s">
        <v>419</v>
      </c>
      <c r="L112" s="176"/>
      <c r="M112" s="176" t="s">
        <v>420</v>
      </c>
      <c r="N112" s="181" t="s">
        <v>467</v>
      </c>
      <c r="O112" s="121" t="s">
        <v>421</v>
      </c>
      <c r="P112" s="178">
        <v>26589</v>
      </c>
      <c r="Q112" s="177" t="s">
        <v>469</v>
      </c>
      <c r="R112" s="176"/>
      <c r="S112" s="178"/>
      <c r="T112" s="178"/>
      <c r="U112" s="178"/>
      <c r="V112" s="180"/>
      <c r="W112" s="174"/>
      <c r="X112" s="85">
        <v>69</v>
      </c>
    </row>
    <row r="113" spans="1:24" s="85" customFormat="1" ht="93.75" x14ac:dyDescent="0.25">
      <c r="A113" s="175">
        <v>22</v>
      </c>
      <c r="B113" s="176" t="s">
        <v>56</v>
      </c>
      <c r="C113" s="176"/>
      <c r="D113" s="176"/>
      <c r="E113" s="177" t="s">
        <v>415</v>
      </c>
      <c r="F113" s="181" t="s">
        <v>416</v>
      </c>
      <c r="G113" s="176" t="s">
        <v>417</v>
      </c>
      <c r="H113" s="178">
        <v>10227</v>
      </c>
      <c r="I113" s="179">
        <f>IF(X113 = 70, H113 + SUM(S113:S113) - SUM(T113:T113) - SUM(P113:P113) - V113,0)</f>
        <v>0</v>
      </c>
      <c r="J113" s="176" t="s">
        <v>418</v>
      </c>
      <c r="K113" s="176" t="s">
        <v>419</v>
      </c>
      <c r="L113" s="176"/>
      <c r="M113" s="176" t="s">
        <v>420</v>
      </c>
      <c r="N113" s="181" t="s">
        <v>467</v>
      </c>
      <c r="O113" s="121" t="s">
        <v>422</v>
      </c>
      <c r="P113" s="178">
        <v>10227</v>
      </c>
      <c r="Q113" s="177" t="s">
        <v>469</v>
      </c>
      <c r="R113" s="176"/>
      <c r="S113" s="178"/>
      <c r="T113" s="178"/>
      <c r="U113" s="178"/>
      <c r="V113" s="180"/>
      <c r="W113" s="174"/>
      <c r="X113" s="85">
        <v>70</v>
      </c>
    </row>
    <row r="114" spans="1:24" s="85" customFormat="1" ht="90" customHeight="1" x14ac:dyDescent="0.25">
      <c r="A114" s="473">
        <v>23</v>
      </c>
      <c r="B114" s="470" t="s">
        <v>56</v>
      </c>
      <c r="C114" s="470"/>
      <c r="D114" s="470"/>
      <c r="E114" s="554" t="s">
        <v>429</v>
      </c>
      <c r="F114" s="484" t="s">
        <v>430</v>
      </c>
      <c r="G114" s="470" t="s">
        <v>431</v>
      </c>
      <c r="H114" s="486">
        <v>9760</v>
      </c>
      <c r="I114" s="556">
        <f>IF(X114 = 71, H114 + SUM(S114:S115) - SUM(T114:T115) - SUM(P114:P115) - V114,0)</f>
        <v>0</v>
      </c>
      <c r="J114" s="470" t="s">
        <v>432</v>
      </c>
      <c r="K114" s="470" t="s">
        <v>433</v>
      </c>
      <c r="L114" s="470"/>
      <c r="M114" s="470" t="s">
        <v>434</v>
      </c>
      <c r="N114" s="214" t="s">
        <v>465</v>
      </c>
      <c r="O114" s="484" t="s">
        <v>422</v>
      </c>
      <c r="P114" s="210">
        <v>6328</v>
      </c>
      <c r="Q114" s="209" t="s">
        <v>505</v>
      </c>
      <c r="R114" s="208"/>
      <c r="S114" s="210"/>
      <c r="T114" s="210"/>
      <c r="U114" s="486"/>
      <c r="V114" s="525"/>
      <c r="W114" s="534"/>
      <c r="X114" s="85">
        <v>71</v>
      </c>
    </row>
    <row r="115" spans="1:24" x14ac:dyDescent="0.25">
      <c r="A115" s="475"/>
      <c r="B115" s="472"/>
      <c r="C115" s="472"/>
      <c r="D115" s="472"/>
      <c r="E115" s="555"/>
      <c r="F115" s="485"/>
      <c r="G115" s="472"/>
      <c r="H115" s="487"/>
      <c r="I115" s="557"/>
      <c r="J115" s="472"/>
      <c r="K115" s="472"/>
      <c r="L115" s="472"/>
      <c r="M115" s="472"/>
      <c r="N115" s="215" t="s">
        <v>465</v>
      </c>
      <c r="O115" s="485"/>
      <c r="P115" s="211">
        <v>3432</v>
      </c>
      <c r="Q115" s="212" t="s">
        <v>505</v>
      </c>
      <c r="R115" s="213"/>
      <c r="S115" s="211"/>
      <c r="T115" s="211"/>
      <c r="U115" s="487"/>
      <c r="V115" s="526"/>
      <c r="W115" s="536"/>
      <c r="X115" s="2">
        <v>71</v>
      </c>
    </row>
    <row r="116" spans="1:24" s="85" customFormat="1" ht="112.5" x14ac:dyDescent="0.25">
      <c r="A116" s="175">
        <v>24</v>
      </c>
      <c r="B116" s="176" t="s">
        <v>56</v>
      </c>
      <c r="C116" s="176"/>
      <c r="D116" s="176"/>
      <c r="E116" s="177" t="s">
        <v>448</v>
      </c>
      <c r="F116" s="181" t="s">
        <v>449</v>
      </c>
      <c r="G116" s="176" t="s">
        <v>450</v>
      </c>
      <c r="H116" s="178">
        <v>14119.47</v>
      </c>
      <c r="I116" s="179">
        <f>IF(X116 = 72, H116 + SUM(S116:S116) - SUM(T116:T116) - SUM(P116:P116) - V116,0)</f>
        <v>0</v>
      </c>
      <c r="J116" s="176" t="s">
        <v>451</v>
      </c>
      <c r="K116" s="176" t="s">
        <v>452</v>
      </c>
      <c r="L116" s="176"/>
      <c r="M116" s="176" t="s">
        <v>453</v>
      </c>
      <c r="N116" s="181" t="s">
        <v>505</v>
      </c>
      <c r="O116" s="181" t="s">
        <v>454</v>
      </c>
      <c r="P116" s="178">
        <v>14119.47</v>
      </c>
      <c r="Q116" s="177" t="s">
        <v>507</v>
      </c>
      <c r="R116" s="176"/>
      <c r="S116" s="178"/>
      <c r="T116" s="178"/>
      <c r="U116" s="178"/>
      <c r="V116" s="180"/>
      <c r="W116" s="174"/>
      <c r="X116" s="85">
        <v>72</v>
      </c>
    </row>
    <row r="117" spans="1:24" s="85" customFormat="1" ht="131.25" x14ac:dyDescent="0.25">
      <c r="A117" s="198">
        <v>25</v>
      </c>
      <c r="B117" s="199" t="s">
        <v>56</v>
      </c>
      <c r="C117" s="199"/>
      <c r="D117" s="199"/>
      <c r="E117" s="200" t="s">
        <v>471</v>
      </c>
      <c r="F117" s="204" t="s">
        <v>472</v>
      </c>
      <c r="G117" s="199" t="s">
        <v>473</v>
      </c>
      <c r="H117" s="201">
        <v>151641.60000000001</v>
      </c>
      <c r="I117" s="202">
        <f>IF(X117 = 73, H117 + SUM(S117:S117) - SUM(T117:T117) - SUM(P117:P117) - V117,0)</f>
        <v>0</v>
      </c>
      <c r="J117" s="199" t="s">
        <v>474</v>
      </c>
      <c r="K117" s="199" t="s">
        <v>475</v>
      </c>
      <c r="L117" s="199"/>
      <c r="M117" s="199" t="s">
        <v>476</v>
      </c>
      <c r="N117" s="204" t="s">
        <v>560</v>
      </c>
      <c r="O117" s="204" t="s">
        <v>477</v>
      </c>
      <c r="P117" s="201">
        <v>151641.60000000001</v>
      </c>
      <c r="Q117" s="200" t="s">
        <v>573</v>
      </c>
      <c r="R117" s="199"/>
      <c r="S117" s="201"/>
      <c r="T117" s="201"/>
      <c r="U117" s="201"/>
      <c r="V117" s="203"/>
      <c r="W117" s="197"/>
      <c r="X117" s="85">
        <v>73</v>
      </c>
    </row>
    <row r="118" spans="1:24" s="85" customFormat="1" ht="112.5" x14ac:dyDescent="0.25">
      <c r="A118" s="198">
        <v>26</v>
      </c>
      <c r="B118" s="199" t="s">
        <v>56</v>
      </c>
      <c r="C118" s="199"/>
      <c r="D118" s="199"/>
      <c r="E118" s="200" t="s">
        <v>478</v>
      </c>
      <c r="F118" s="204" t="s">
        <v>479</v>
      </c>
      <c r="G118" s="199" t="s">
        <v>480</v>
      </c>
      <c r="H118" s="201">
        <v>14402</v>
      </c>
      <c r="I118" s="202">
        <f>IF(X118 = 74, H118 + SUM(S118:S118) - SUM(T118:T118) - SUM(P118:P118) - V118,0)</f>
        <v>0</v>
      </c>
      <c r="J118" s="199" t="s">
        <v>481</v>
      </c>
      <c r="K118" s="199" t="s">
        <v>482</v>
      </c>
      <c r="L118" s="199"/>
      <c r="M118" s="199" t="s">
        <v>483</v>
      </c>
      <c r="N118" s="204" t="s">
        <v>463</v>
      </c>
      <c r="O118" s="204" t="s">
        <v>484</v>
      </c>
      <c r="P118" s="201">
        <v>14402</v>
      </c>
      <c r="Q118" s="200" t="s">
        <v>561</v>
      </c>
      <c r="R118" s="199"/>
      <c r="S118" s="201"/>
      <c r="T118" s="201"/>
      <c r="U118" s="201"/>
      <c r="V118" s="203"/>
      <c r="W118" s="197"/>
      <c r="X118" s="85">
        <v>74</v>
      </c>
    </row>
    <row r="119" spans="1:24" s="85" customFormat="1" ht="160.9" customHeight="1" x14ac:dyDescent="0.25">
      <c r="A119" s="488">
        <v>27</v>
      </c>
      <c r="B119" s="450" t="s">
        <v>56</v>
      </c>
      <c r="C119" s="450"/>
      <c r="D119" s="450"/>
      <c r="E119" s="452" t="s">
        <v>495</v>
      </c>
      <c r="F119" s="454" t="s">
        <v>496</v>
      </c>
      <c r="G119" s="450" t="s">
        <v>497</v>
      </c>
      <c r="H119" s="456">
        <v>28000</v>
      </c>
      <c r="I119" s="494">
        <f>IF(X119 = 75, H119 + SUM(S119:S120) - SUM(T119:T120) - SUM(P119:P120) - V119,0)</f>
        <v>0</v>
      </c>
      <c r="J119" s="450" t="s">
        <v>498</v>
      </c>
      <c r="K119" s="450" t="s">
        <v>499</v>
      </c>
      <c r="L119" s="450"/>
      <c r="M119" s="450" t="s">
        <v>500</v>
      </c>
      <c r="N119" s="270" t="s">
        <v>645</v>
      </c>
      <c r="O119" s="454" t="s">
        <v>501</v>
      </c>
      <c r="P119" s="266">
        <v>17334.16</v>
      </c>
      <c r="Q119" s="265" t="s">
        <v>645</v>
      </c>
      <c r="R119" s="264"/>
      <c r="S119" s="266"/>
      <c r="T119" s="266"/>
      <c r="U119" s="456"/>
      <c r="V119" s="490"/>
      <c r="W119" s="492"/>
      <c r="X119" s="85">
        <v>75</v>
      </c>
    </row>
    <row r="120" spans="1:24" x14ac:dyDescent="0.25">
      <c r="A120" s="489"/>
      <c r="B120" s="451"/>
      <c r="C120" s="451"/>
      <c r="D120" s="451"/>
      <c r="E120" s="453"/>
      <c r="F120" s="455"/>
      <c r="G120" s="451"/>
      <c r="H120" s="457"/>
      <c r="I120" s="495"/>
      <c r="J120" s="451"/>
      <c r="K120" s="451"/>
      <c r="L120" s="451"/>
      <c r="M120" s="451"/>
      <c r="N120" s="271" t="s">
        <v>645</v>
      </c>
      <c r="O120" s="455"/>
      <c r="P120" s="267">
        <v>10665.84</v>
      </c>
      <c r="Q120" s="268" t="s">
        <v>645</v>
      </c>
      <c r="R120" s="269"/>
      <c r="S120" s="267"/>
      <c r="T120" s="267"/>
      <c r="U120" s="457"/>
      <c r="V120" s="491"/>
      <c r="W120" s="493"/>
      <c r="X120" s="2">
        <v>75</v>
      </c>
    </row>
    <row r="121" spans="1:24" s="85" customFormat="1" ht="90" customHeight="1" x14ac:dyDescent="0.25">
      <c r="A121" s="498">
        <v>28</v>
      </c>
      <c r="B121" s="504" t="s">
        <v>56</v>
      </c>
      <c r="C121" s="504"/>
      <c r="D121" s="504"/>
      <c r="E121" s="512" t="s">
        <v>549</v>
      </c>
      <c r="F121" s="500" t="s">
        <v>532</v>
      </c>
      <c r="G121" s="504" t="s">
        <v>417</v>
      </c>
      <c r="H121" s="502">
        <v>102925</v>
      </c>
      <c r="I121" s="514">
        <f>IF(X121 = 76, H121 + SUM(S121:S122) - SUM(T121:T122) - SUM(P121:P122) - V121,0)</f>
        <v>0</v>
      </c>
      <c r="J121" s="504" t="s">
        <v>418</v>
      </c>
      <c r="K121" s="504" t="s">
        <v>419</v>
      </c>
      <c r="L121" s="504"/>
      <c r="M121" s="504" t="s">
        <v>533</v>
      </c>
      <c r="N121" s="237" t="s">
        <v>574</v>
      </c>
      <c r="O121" s="500" t="s">
        <v>422</v>
      </c>
      <c r="P121" s="233">
        <v>1823</v>
      </c>
      <c r="Q121" s="232" t="s">
        <v>575</v>
      </c>
      <c r="R121" s="231"/>
      <c r="S121" s="233"/>
      <c r="T121" s="233"/>
      <c r="U121" s="502"/>
      <c r="V121" s="506"/>
      <c r="W121" s="510"/>
      <c r="X121" s="85">
        <v>76</v>
      </c>
    </row>
    <row r="122" spans="1:24" x14ac:dyDescent="0.25">
      <c r="A122" s="499"/>
      <c r="B122" s="505"/>
      <c r="C122" s="505"/>
      <c r="D122" s="505"/>
      <c r="E122" s="513"/>
      <c r="F122" s="501"/>
      <c r="G122" s="505"/>
      <c r="H122" s="503"/>
      <c r="I122" s="515"/>
      <c r="J122" s="505"/>
      <c r="K122" s="505"/>
      <c r="L122" s="505"/>
      <c r="M122" s="505"/>
      <c r="N122" s="238" t="s">
        <v>574</v>
      </c>
      <c r="O122" s="501"/>
      <c r="P122" s="234">
        <v>101102</v>
      </c>
      <c r="Q122" s="235" t="s">
        <v>575</v>
      </c>
      <c r="R122" s="236"/>
      <c r="S122" s="234"/>
      <c r="T122" s="234"/>
      <c r="U122" s="503"/>
      <c r="V122" s="507"/>
      <c r="W122" s="511"/>
      <c r="X122" s="2">
        <v>76</v>
      </c>
    </row>
    <row r="123" spans="1:24" s="85" customFormat="1" ht="93.75" x14ac:dyDescent="0.25">
      <c r="A123" s="221">
        <v>29</v>
      </c>
      <c r="B123" s="222" t="s">
        <v>56</v>
      </c>
      <c r="C123" s="222"/>
      <c r="D123" s="222"/>
      <c r="E123" s="223" t="s">
        <v>550</v>
      </c>
      <c r="F123" s="229" t="s">
        <v>532</v>
      </c>
      <c r="G123" s="176" t="s">
        <v>417</v>
      </c>
      <c r="H123" s="224">
        <v>2950</v>
      </c>
      <c r="I123" s="225">
        <f>IF(X123 = 77, H123 + SUM(S123:S123) - SUM(T123:T123) - SUM(P123:P123) - V123,0)</f>
        <v>0</v>
      </c>
      <c r="J123" s="176" t="s">
        <v>418</v>
      </c>
      <c r="K123" s="176" t="s">
        <v>419</v>
      </c>
      <c r="L123" s="222"/>
      <c r="M123" s="176" t="s">
        <v>533</v>
      </c>
      <c r="N123" s="229" t="s">
        <v>574</v>
      </c>
      <c r="O123" s="121" t="s">
        <v>422</v>
      </c>
      <c r="P123" s="224">
        <v>2950</v>
      </c>
      <c r="Q123" s="223" t="s">
        <v>575</v>
      </c>
      <c r="R123" s="222"/>
      <c r="S123" s="224"/>
      <c r="T123" s="224"/>
      <c r="U123" s="224"/>
      <c r="V123" s="230"/>
      <c r="W123" s="220"/>
      <c r="X123" s="85">
        <v>77</v>
      </c>
    </row>
    <row r="124" spans="1:24" s="85" customFormat="1" ht="112.5" x14ac:dyDescent="0.25">
      <c r="A124" s="221">
        <v>30</v>
      </c>
      <c r="B124" s="222" t="s">
        <v>56</v>
      </c>
      <c r="C124" s="222"/>
      <c r="D124" s="222"/>
      <c r="E124" s="223" t="s">
        <v>546</v>
      </c>
      <c r="F124" s="229" t="s">
        <v>534</v>
      </c>
      <c r="G124" s="222" t="s">
        <v>536</v>
      </c>
      <c r="H124" s="224">
        <v>19000</v>
      </c>
      <c r="I124" s="225">
        <f>IF(X124 = 78, H124 + SUM(S124:S124) - SUM(T124:T124) - SUM(P124:P124) - V124,0)</f>
        <v>0</v>
      </c>
      <c r="J124" s="222" t="s">
        <v>537</v>
      </c>
      <c r="K124" s="222" t="s">
        <v>538</v>
      </c>
      <c r="L124" s="222"/>
      <c r="M124" s="222" t="s">
        <v>539</v>
      </c>
      <c r="N124" s="229" t="s">
        <v>574</v>
      </c>
      <c r="O124" s="121" t="s">
        <v>540</v>
      </c>
      <c r="P124" s="224">
        <v>19000</v>
      </c>
      <c r="Q124" s="223" t="s">
        <v>575</v>
      </c>
      <c r="R124" s="222"/>
      <c r="S124" s="224"/>
      <c r="T124" s="224"/>
      <c r="U124" s="224"/>
      <c r="V124" s="230"/>
      <c r="W124" s="220"/>
      <c r="X124" s="85">
        <v>78</v>
      </c>
    </row>
    <row r="125" spans="1:24" s="85" customFormat="1" ht="131.25" x14ac:dyDescent="0.25">
      <c r="A125" s="221">
        <v>31</v>
      </c>
      <c r="B125" s="222" t="s">
        <v>56</v>
      </c>
      <c r="C125" s="222"/>
      <c r="D125" s="222"/>
      <c r="E125" s="223" t="s">
        <v>547</v>
      </c>
      <c r="F125" s="229" t="s">
        <v>535</v>
      </c>
      <c r="G125" s="222" t="s">
        <v>541</v>
      </c>
      <c r="H125" s="224">
        <v>6000</v>
      </c>
      <c r="I125" s="225">
        <f>IF(X125 = 79, H125 + SUM(S125:S125) - SUM(T125:T125) - SUM(P125:P125) - V125,0)</f>
        <v>0</v>
      </c>
      <c r="J125" s="222" t="s">
        <v>328</v>
      </c>
      <c r="K125" s="222" t="s">
        <v>329</v>
      </c>
      <c r="L125" s="222"/>
      <c r="M125" s="222" t="s">
        <v>542</v>
      </c>
      <c r="N125" s="229" t="s">
        <v>574</v>
      </c>
      <c r="O125" s="121" t="s">
        <v>543</v>
      </c>
      <c r="P125" s="224">
        <v>6000</v>
      </c>
      <c r="Q125" s="223" t="s">
        <v>575</v>
      </c>
      <c r="R125" s="222"/>
      <c r="S125" s="224"/>
      <c r="T125" s="224"/>
      <c r="U125" s="224"/>
      <c r="V125" s="230"/>
      <c r="W125" s="220"/>
      <c r="X125" s="85">
        <v>79</v>
      </c>
    </row>
    <row r="126" spans="1:24" s="85" customFormat="1" ht="150" x14ac:dyDescent="0.25">
      <c r="A126" s="221">
        <v>32</v>
      </c>
      <c r="B126" s="222" t="s">
        <v>56</v>
      </c>
      <c r="C126" s="222"/>
      <c r="D126" s="222"/>
      <c r="E126" s="223" t="s">
        <v>548</v>
      </c>
      <c r="F126" s="229" t="s">
        <v>545</v>
      </c>
      <c r="G126" s="222" t="s">
        <v>551</v>
      </c>
      <c r="H126" s="224">
        <v>20000</v>
      </c>
      <c r="I126" s="225">
        <f>IF(X126 = 80, H126 + SUM(S126:S126) - SUM(T126:T126) - SUM(P126:P126) - V126,0)</f>
        <v>0</v>
      </c>
      <c r="J126" s="222" t="s">
        <v>552</v>
      </c>
      <c r="K126" s="222" t="s">
        <v>544</v>
      </c>
      <c r="L126" s="222"/>
      <c r="M126" s="222" t="s">
        <v>553</v>
      </c>
      <c r="N126" s="229" t="s">
        <v>574</v>
      </c>
      <c r="O126" s="172" t="s">
        <v>554</v>
      </c>
      <c r="P126" s="224">
        <v>20000</v>
      </c>
      <c r="Q126" s="223" t="s">
        <v>575</v>
      </c>
      <c r="R126" s="222"/>
      <c r="S126" s="224"/>
      <c r="T126" s="224"/>
      <c r="U126" s="224"/>
      <c r="V126" s="230"/>
      <c r="W126" s="220"/>
      <c r="X126" s="85">
        <v>80</v>
      </c>
    </row>
    <row r="127" spans="1:24" s="85" customFormat="1" ht="150" x14ac:dyDescent="0.25">
      <c r="A127" s="240">
        <v>33</v>
      </c>
      <c r="B127" s="241" t="s">
        <v>56</v>
      </c>
      <c r="C127" s="241"/>
      <c r="D127" s="241"/>
      <c r="E127" s="242" t="s">
        <v>576</v>
      </c>
      <c r="F127" s="246" t="s">
        <v>577</v>
      </c>
      <c r="G127" s="241" t="s">
        <v>578</v>
      </c>
      <c r="H127" s="243">
        <v>100000</v>
      </c>
      <c r="I127" s="244">
        <f>IF(X127 = 81, H127 + SUM(S127:S127) - SUM(T127:T127) - SUM(P127:P127) - V127,0)</f>
        <v>0</v>
      </c>
      <c r="J127" s="241" t="s">
        <v>579</v>
      </c>
      <c r="K127" s="241" t="s">
        <v>580</v>
      </c>
      <c r="L127" s="241"/>
      <c r="M127" s="222" t="s">
        <v>581</v>
      </c>
      <c r="N127" s="246" t="s">
        <v>608</v>
      </c>
      <c r="O127" s="172" t="s">
        <v>554</v>
      </c>
      <c r="P127" s="243">
        <v>100000</v>
      </c>
      <c r="Q127" s="242" t="s">
        <v>604</v>
      </c>
      <c r="R127" s="241"/>
      <c r="S127" s="243"/>
      <c r="T127" s="243"/>
      <c r="U127" s="243"/>
      <c r="V127" s="245"/>
      <c r="W127" s="239"/>
      <c r="X127" s="85">
        <v>81</v>
      </c>
    </row>
    <row r="128" spans="1:24" s="85" customFormat="1" ht="108" customHeight="1" x14ac:dyDescent="0.25">
      <c r="A128" s="436">
        <v>34</v>
      </c>
      <c r="B128" s="433" t="s">
        <v>56</v>
      </c>
      <c r="C128" s="433"/>
      <c r="D128" s="433"/>
      <c r="E128" s="496" t="s">
        <v>582</v>
      </c>
      <c r="F128" s="438" t="s">
        <v>583</v>
      </c>
      <c r="G128" s="433" t="s">
        <v>473</v>
      </c>
      <c r="H128" s="444">
        <v>26053.5</v>
      </c>
      <c r="I128" s="447">
        <f>IF(X128 = 82, H128 + SUM(S128:S129) - SUM(T128:T129) - SUM(P128:P129) - V128,0)</f>
        <v>0</v>
      </c>
      <c r="J128" s="433" t="s">
        <v>474</v>
      </c>
      <c r="K128" s="433" t="s">
        <v>475</v>
      </c>
      <c r="L128" s="433"/>
      <c r="M128" s="433" t="s">
        <v>584</v>
      </c>
      <c r="N128" s="292" t="s">
        <v>615</v>
      </c>
      <c r="O128" s="438" t="s">
        <v>477</v>
      </c>
      <c r="P128" s="285">
        <v>3399</v>
      </c>
      <c r="Q128" s="284" t="s">
        <v>616</v>
      </c>
      <c r="R128" s="283"/>
      <c r="S128" s="285"/>
      <c r="T128" s="285"/>
      <c r="U128" s="444"/>
      <c r="V128" s="458"/>
      <c r="W128" s="508"/>
      <c r="X128" s="85">
        <v>82</v>
      </c>
    </row>
    <row r="129" spans="1:24" x14ac:dyDescent="0.25">
      <c r="A129" s="437"/>
      <c r="B129" s="435"/>
      <c r="C129" s="435"/>
      <c r="D129" s="435"/>
      <c r="E129" s="497"/>
      <c r="F129" s="439"/>
      <c r="G129" s="435"/>
      <c r="H129" s="446"/>
      <c r="I129" s="449"/>
      <c r="J129" s="435"/>
      <c r="K129" s="435"/>
      <c r="L129" s="435"/>
      <c r="M129" s="435"/>
      <c r="N129" s="294" t="s">
        <v>696</v>
      </c>
      <c r="O129" s="439"/>
      <c r="P129" s="289">
        <v>22654.5</v>
      </c>
      <c r="Q129" s="290" t="s">
        <v>697</v>
      </c>
      <c r="R129" s="291"/>
      <c r="S129" s="289"/>
      <c r="T129" s="289"/>
      <c r="U129" s="446"/>
      <c r="V129" s="460"/>
      <c r="W129" s="509"/>
      <c r="X129" s="2">
        <v>82</v>
      </c>
    </row>
    <row r="130" spans="1:24" s="85" customFormat="1" ht="112.5" x14ac:dyDescent="0.25">
      <c r="A130" s="240">
        <v>35</v>
      </c>
      <c r="B130" s="241" t="s">
        <v>56</v>
      </c>
      <c r="C130" s="241"/>
      <c r="D130" s="241"/>
      <c r="E130" s="242" t="s">
        <v>585</v>
      </c>
      <c r="F130" s="246" t="s">
        <v>586</v>
      </c>
      <c r="G130" s="241" t="s">
        <v>587</v>
      </c>
      <c r="H130" s="243">
        <v>4000</v>
      </c>
      <c r="I130" s="244">
        <f>IF(X130 = 83, H130 + SUM(S130:S130) - SUM(T130:T130) - SUM(P130:P130) - V130,0)</f>
        <v>0</v>
      </c>
      <c r="J130" s="241" t="s">
        <v>246</v>
      </c>
      <c r="K130" s="241" t="s">
        <v>247</v>
      </c>
      <c r="L130" s="241"/>
      <c r="M130" s="222" t="s">
        <v>588</v>
      </c>
      <c r="N130" s="246" t="s">
        <v>614</v>
      </c>
      <c r="O130" s="172" t="s">
        <v>589</v>
      </c>
      <c r="P130" s="243">
        <v>4000</v>
      </c>
      <c r="Q130" s="242" t="s">
        <v>611</v>
      </c>
      <c r="R130" s="241"/>
      <c r="S130" s="243"/>
      <c r="T130" s="243"/>
      <c r="U130" s="243"/>
      <c r="V130" s="245"/>
      <c r="W130" s="239"/>
      <c r="X130" s="85">
        <v>83</v>
      </c>
    </row>
    <row r="131" spans="1:24" s="85" customFormat="1" ht="156" customHeight="1" x14ac:dyDescent="0.25">
      <c r="A131" s="436">
        <v>36</v>
      </c>
      <c r="B131" s="433" t="s">
        <v>56</v>
      </c>
      <c r="C131" s="433"/>
      <c r="D131" s="433"/>
      <c r="E131" s="496" t="s">
        <v>590</v>
      </c>
      <c r="F131" s="438" t="s">
        <v>591</v>
      </c>
      <c r="G131" s="433" t="s">
        <v>333</v>
      </c>
      <c r="H131" s="444">
        <v>3800</v>
      </c>
      <c r="I131" s="447">
        <f>IF(X131 = 84, H131 + SUM(S131:S132) - SUM(T131:T132) - SUM(P131:P132) - V131,0)</f>
        <v>0</v>
      </c>
      <c r="J131" s="433" t="s">
        <v>334</v>
      </c>
      <c r="K131" s="433" t="s">
        <v>592</v>
      </c>
      <c r="L131" s="433"/>
      <c r="M131" s="433" t="s">
        <v>593</v>
      </c>
      <c r="N131" s="292" t="s">
        <v>653</v>
      </c>
      <c r="O131" s="438" t="s">
        <v>594</v>
      </c>
      <c r="P131" s="285">
        <v>1140</v>
      </c>
      <c r="Q131" s="284" t="s">
        <v>643</v>
      </c>
      <c r="R131" s="283"/>
      <c r="S131" s="285"/>
      <c r="T131" s="285"/>
      <c r="U131" s="444"/>
      <c r="V131" s="458"/>
      <c r="W131" s="508"/>
      <c r="X131" s="85">
        <v>84</v>
      </c>
    </row>
    <row r="132" spans="1:24" x14ac:dyDescent="0.25">
      <c r="A132" s="437"/>
      <c r="B132" s="435"/>
      <c r="C132" s="435"/>
      <c r="D132" s="435"/>
      <c r="E132" s="497"/>
      <c r="F132" s="439"/>
      <c r="G132" s="435"/>
      <c r="H132" s="446"/>
      <c r="I132" s="449"/>
      <c r="J132" s="435"/>
      <c r="K132" s="435"/>
      <c r="L132" s="435"/>
      <c r="M132" s="435"/>
      <c r="N132" s="294" t="s">
        <v>694</v>
      </c>
      <c r="O132" s="439"/>
      <c r="P132" s="289">
        <v>2660</v>
      </c>
      <c r="Q132" s="290" t="s">
        <v>697</v>
      </c>
      <c r="R132" s="291"/>
      <c r="S132" s="289"/>
      <c r="T132" s="289"/>
      <c r="U132" s="446"/>
      <c r="V132" s="460"/>
      <c r="W132" s="509"/>
      <c r="X132" s="2">
        <v>84</v>
      </c>
    </row>
    <row r="133" spans="1:24" s="85" customFormat="1" ht="126" customHeight="1" x14ac:dyDescent="0.25">
      <c r="A133" s="488">
        <v>37</v>
      </c>
      <c r="B133" s="450" t="s">
        <v>730</v>
      </c>
      <c r="C133" s="450"/>
      <c r="D133" s="450"/>
      <c r="E133" s="452" t="s">
        <v>57</v>
      </c>
      <c r="F133" s="454" t="s">
        <v>595</v>
      </c>
      <c r="G133" s="450" t="s">
        <v>600</v>
      </c>
      <c r="H133" s="456">
        <v>24550</v>
      </c>
      <c r="I133" s="494">
        <f>IF(X133 = 85, H133 + SUM(S133:S134) - SUM(T133:T134) - SUM(P133:P134) - V133,0)</f>
        <v>0</v>
      </c>
      <c r="J133" s="450" t="s">
        <v>597</v>
      </c>
      <c r="K133" s="450" t="s">
        <v>598</v>
      </c>
      <c r="L133" s="450"/>
      <c r="M133" s="450" t="s">
        <v>599</v>
      </c>
      <c r="N133" s="270" t="s">
        <v>654</v>
      </c>
      <c r="O133" s="454" t="s">
        <v>554</v>
      </c>
      <c r="P133" s="266">
        <v>18900</v>
      </c>
      <c r="Q133" s="265" t="s">
        <v>645</v>
      </c>
      <c r="R133" s="264"/>
      <c r="S133" s="266"/>
      <c r="T133" s="266"/>
      <c r="U133" s="456"/>
      <c r="V133" s="490"/>
      <c r="W133" s="492"/>
      <c r="X133" s="85">
        <v>85</v>
      </c>
    </row>
    <row r="134" spans="1:24" x14ac:dyDescent="0.25">
      <c r="A134" s="489"/>
      <c r="B134" s="451"/>
      <c r="C134" s="451"/>
      <c r="D134" s="451"/>
      <c r="E134" s="453"/>
      <c r="F134" s="455"/>
      <c r="G134" s="451"/>
      <c r="H134" s="457"/>
      <c r="I134" s="495"/>
      <c r="J134" s="451"/>
      <c r="K134" s="451"/>
      <c r="L134" s="451"/>
      <c r="M134" s="451"/>
      <c r="N134" s="271" t="s">
        <v>654</v>
      </c>
      <c r="O134" s="455"/>
      <c r="P134" s="267">
        <v>5650</v>
      </c>
      <c r="Q134" s="268" t="s">
        <v>645</v>
      </c>
      <c r="R134" s="269"/>
      <c r="S134" s="267"/>
      <c r="T134" s="267"/>
      <c r="U134" s="457"/>
      <c r="V134" s="491"/>
      <c r="W134" s="493"/>
      <c r="X134" s="2">
        <v>85</v>
      </c>
    </row>
    <row r="135" spans="1:24" s="85" customFormat="1" ht="126" customHeight="1" x14ac:dyDescent="0.25">
      <c r="A135" s="488">
        <v>38</v>
      </c>
      <c r="B135" s="450" t="s">
        <v>730</v>
      </c>
      <c r="C135" s="450"/>
      <c r="D135" s="450"/>
      <c r="E135" s="452" t="s">
        <v>596</v>
      </c>
      <c r="F135" s="454" t="s">
        <v>595</v>
      </c>
      <c r="G135" s="450" t="s">
        <v>601</v>
      </c>
      <c r="H135" s="456">
        <v>71000</v>
      </c>
      <c r="I135" s="494">
        <f>IF(X135 = 86, H135 + SUM(S135:S136) - SUM(T135:T136) - SUM(P135:P136) - V135,0)</f>
        <v>0</v>
      </c>
      <c r="J135" s="450" t="s">
        <v>597</v>
      </c>
      <c r="K135" s="450" t="s">
        <v>598</v>
      </c>
      <c r="L135" s="450"/>
      <c r="M135" s="450" t="s">
        <v>599</v>
      </c>
      <c r="N135" s="270" t="s">
        <v>654</v>
      </c>
      <c r="O135" s="454" t="s">
        <v>554</v>
      </c>
      <c r="P135" s="266">
        <v>68036</v>
      </c>
      <c r="Q135" s="265" t="s">
        <v>645</v>
      </c>
      <c r="R135" s="264"/>
      <c r="S135" s="266"/>
      <c r="T135" s="266"/>
      <c r="U135" s="456"/>
      <c r="V135" s="490"/>
      <c r="W135" s="492"/>
      <c r="X135" s="85">
        <v>86</v>
      </c>
    </row>
    <row r="136" spans="1:24" x14ac:dyDescent="0.25">
      <c r="A136" s="489"/>
      <c r="B136" s="451"/>
      <c r="C136" s="451"/>
      <c r="D136" s="451"/>
      <c r="E136" s="453"/>
      <c r="F136" s="455"/>
      <c r="G136" s="451"/>
      <c r="H136" s="457"/>
      <c r="I136" s="495"/>
      <c r="J136" s="451"/>
      <c r="K136" s="451"/>
      <c r="L136" s="451"/>
      <c r="M136" s="451"/>
      <c r="N136" s="271" t="s">
        <v>654</v>
      </c>
      <c r="O136" s="455"/>
      <c r="P136" s="267">
        <v>2964</v>
      </c>
      <c r="Q136" s="268" t="s">
        <v>645</v>
      </c>
      <c r="R136" s="269"/>
      <c r="S136" s="267"/>
      <c r="T136" s="267"/>
      <c r="U136" s="457"/>
      <c r="V136" s="491"/>
      <c r="W136" s="493"/>
      <c r="X136" s="2">
        <v>86</v>
      </c>
    </row>
    <row r="137" spans="1:24" s="85" customFormat="1" ht="141.6" customHeight="1" x14ac:dyDescent="0.25">
      <c r="A137" s="257">
        <v>39</v>
      </c>
      <c r="B137" s="258" t="s">
        <v>56</v>
      </c>
      <c r="C137" s="258"/>
      <c r="D137" s="258"/>
      <c r="E137" s="259" t="s">
        <v>622</v>
      </c>
      <c r="F137" s="263" t="s">
        <v>623</v>
      </c>
      <c r="G137" s="258" t="s">
        <v>624</v>
      </c>
      <c r="H137" s="260">
        <v>20000</v>
      </c>
      <c r="I137" s="261">
        <f>IF(X137 = 87, H137 + SUM(S137:S137) - SUM(T137:T137) - SUM(P137:P137) - V137,0)</f>
        <v>0</v>
      </c>
      <c r="J137" s="258" t="s">
        <v>625</v>
      </c>
      <c r="K137" s="258" t="s">
        <v>626</v>
      </c>
      <c r="L137" s="258"/>
      <c r="M137" s="258" t="s">
        <v>627</v>
      </c>
      <c r="N137" s="263" t="s">
        <v>651</v>
      </c>
      <c r="O137" s="263" t="s">
        <v>628</v>
      </c>
      <c r="P137" s="260">
        <v>20000</v>
      </c>
      <c r="Q137" s="259" t="s">
        <v>652</v>
      </c>
      <c r="R137" s="258"/>
      <c r="S137" s="260"/>
      <c r="T137" s="260"/>
      <c r="U137" s="260"/>
      <c r="V137" s="262"/>
      <c r="W137" s="256"/>
      <c r="X137" s="85">
        <v>87</v>
      </c>
    </row>
    <row r="138" spans="1:24" s="85" customFormat="1" ht="156" customHeight="1" x14ac:dyDescent="0.25">
      <c r="A138" s="257">
        <v>40</v>
      </c>
      <c r="B138" s="258" t="s">
        <v>56</v>
      </c>
      <c r="C138" s="258"/>
      <c r="D138" s="258"/>
      <c r="E138" s="259" t="s">
        <v>629</v>
      </c>
      <c r="F138" s="263" t="s">
        <v>632</v>
      </c>
      <c r="G138" s="258" t="s">
        <v>630</v>
      </c>
      <c r="H138" s="260">
        <v>1850</v>
      </c>
      <c r="I138" s="261">
        <f>IF(X138 = 88, H138 + SUM(S138:S138) - SUM(T138:T138) - SUM(P138:P138) - V138,0)</f>
        <v>0</v>
      </c>
      <c r="J138" s="258" t="s">
        <v>366</v>
      </c>
      <c r="K138" s="258" t="s">
        <v>367</v>
      </c>
      <c r="L138" s="258"/>
      <c r="M138" s="258" t="s">
        <v>631</v>
      </c>
      <c r="N138" s="263" t="s">
        <v>651</v>
      </c>
      <c r="O138" s="263" t="s">
        <v>633</v>
      </c>
      <c r="P138" s="260">
        <v>1850</v>
      </c>
      <c r="Q138" s="259" t="s">
        <v>650</v>
      </c>
      <c r="R138" s="258"/>
      <c r="S138" s="260"/>
      <c r="T138" s="260"/>
      <c r="U138" s="260"/>
      <c r="V138" s="262"/>
      <c r="W138" s="256"/>
      <c r="X138" s="85">
        <v>88</v>
      </c>
    </row>
    <row r="139" spans="1:24" s="85" customFormat="1" ht="150" x14ac:dyDescent="0.25">
      <c r="A139" s="257">
        <v>41</v>
      </c>
      <c r="B139" s="258" t="s">
        <v>56</v>
      </c>
      <c r="C139" s="258"/>
      <c r="D139" s="258"/>
      <c r="E139" s="259" t="s">
        <v>637</v>
      </c>
      <c r="F139" s="263" t="s">
        <v>638</v>
      </c>
      <c r="G139" s="258" t="s">
        <v>630</v>
      </c>
      <c r="H139" s="260">
        <v>13265</v>
      </c>
      <c r="I139" s="261">
        <f>IF(X139 = 89, H139 + SUM(S139:S139) - SUM(T139:T139) - SUM(P139:P139) - V139,0)</f>
        <v>0</v>
      </c>
      <c r="J139" s="258" t="s">
        <v>366</v>
      </c>
      <c r="K139" s="258" t="s">
        <v>367</v>
      </c>
      <c r="L139" s="258"/>
      <c r="M139" s="258" t="s">
        <v>639</v>
      </c>
      <c r="N139" s="263" t="s">
        <v>692</v>
      </c>
      <c r="O139" s="263" t="s">
        <v>633</v>
      </c>
      <c r="P139" s="260">
        <v>13265</v>
      </c>
      <c r="Q139" s="259" t="s">
        <v>691</v>
      </c>
      <c r="R139" s="258"/>
      <c r="S139" s="260"/>
      <c r="T139" s="260"/>
      <c r="U139" s="260"/>
      <c r="V139" s="262"/>
      <c r="W139" s="256"/>
      <c r="X139" s="85">
        <v>89</v>
      </c>
    </row>
    <row r="140" spans="1:24" s="85" customFormat="1" ht="90" customHeight="1" x14ac:dyDescent="0.25">
      <c r="A140" s="406">
        <v>42</v>
      </c>
      <c r="B140" s="412" t="s">
        <v>56</v>
      </c>
      <c r="C140" s="412"/>
      <c r="D140" s="412"/>
      <c r="E140" s="418" t="s">
        <v>268</v>
      </c>
      <c r="F140" s="408" t="s">
        <v>656</v>
      </c>
      <c r="G140" s="412" t="s">
        <v>657</v>
      </c>
      <c r="H140" s="410">
        <v>170855.04000000001</v>
      </c>
      <c r="I140" s="420">
        <f>IF(X140 = 90, H140 + SUM(S140:S142) - SUM(T140:T142) - SUM(P140:P142) - V140,0)</f>
        <v>2.9103830456733704E-11</v>
      </c>
      <c r="J140" s="412" t="s">
        <v>658</v>
      </c>
      <c r="K140" s="412" t="s">
        <v>659</v>
      </c>
      <c r="L140" s="412"/>
      <c r="M140" s="412" t="s">
        <v>660</v>
      </c>
      <c r="N140" s="351" t="s">
        <v>734</v>
      </c>
      <c r="O140" s="408" t="s">
        <v>661</v>
      </c>
      <c r="P140" s="335">
        <v>28085.759999999998</v>
      </c>
      <c r="Q140" s="334" t="s">
        <v>741</v>
      </c>
      <c r="R140" s="333"/>
      <c r="S140" s="335"/>
      <c r="T140" s="335"/>
      <c r="U140" s="410"/>
      <c r="V140" s="414"/>
      <c r="W140" s="416"/>
      <c r="X140" s="85">
        <v>90</v>
      </c>
    </row>
    <row r="141" spans="1:24" x14ac:dyDescent="0.25">
      <c r="A141" s="429"/>
      <c r="B141" s="422"/>
      <c r="C141" s="422"/>
      <c r="D141" s="422"/>
      <c r="E141" s="423"/>
      <c r="F141" s="424"/>
      <c r="G141" s="422"/>
      <c r="H141" s="425"/>
      <c r="I141" s="426"/>
      <c r="J141" s="422"/>
      <c r="K141" s="422"/>
      <c r="L141" s="422"/>
      <c r="M141" s="422"/>
      <c r="N141" s="352" t="s">
        <v>834</v>
      </c>
      <c r="O141" s="424"/>
      <c r="P141" s="336">
        <v>70214.399999999994</v>
      </c>
      <c r="Q141" s="337" t="s">
        <v>842</v>
      </c>
      <c r="R141" s="338"/>
      <c r="S141" s="336"/>
      <c r="T141" s="336"/>
      <c r="U141" s="425"/>
      <c r="V141" s="427"/>
      <c r="W141" s="428"/>
      <c r="X141" s="2">
        <v>90</v>
      </c>
    </row>
    <row r="142" spans="1:24" x14ac:dyDescent="0.25">
      <c r="A142" s="407"/>
      <c r="B142" s="413"/>
      <c r="C142" s="413"/>
      <c r="D142" s="413"/>
      <c r="E142" s="419"/>
      <c r="F142" s="409"/>
      <c r="G142" s="413"/>
      <c r="H142" s="411"/>
      <c r="I142" s="421"/>
      <c r="J142" s="413"/>
      <c r="K142" s="413"/>
      <c r="L142" s="413"/>
      <c r="M142" s="413"/>
      <c r="N142" s="353" t="s">
        <v>835</v>
      </c>
      <c r="O142" s="409"/>
      <c r="P142" s="346">
        <v>72554.880000000005</v>
      </c>
      <c r="Q142" s="347" t="s">
        <v>807</v>
      </c>
      <c r="R142" s="348"/>
      <c r="S142" s="346"/>
      <c r="T142" s="346"/>
      <c r="U142" s="411"/>
      <c r="V142" s="415"/>
      <c r="W142" s="417"/>
      <c r="X142" s="2">
        <v>90</v>
      </c>
    </row>
    <row r="143" spans="1:24" s="85" customFormat="1" ht="112.5" x14ac:dyDescent="0.25">
      <c r="A143" s="273">
        <v>43</v>
      </c>
      <c r="B143" s="274" t="s">
        <v>56</v>
      </c>
      <c r="C143" s="274"/>
      <c r="D143" s="274"/>
      <c r="E143" s="275" t="s">
        <v>277</v>
      </c>
      <c r="F143" s="279" t="s">
        <v>662</v>
      </c>
      <c r="G143" s="274" t="s">
        <v>663</v>
      </c>
      <c r="H143" s="276">
        <v>15366</v>
      </c>
      <c r="I143" s="277">
        <f>IF(X143 = 91, H143 + SUM(S143:S143) - SUM(T143:T143) - SUM(P143:P143) - V143,0)</f>
        <v>0</v>
      </c>
      <c r="J143" s="274" t="s">
        <v>664</v>
      </c>
      <c r="K143" s="274" t="s">
        <v>665</v>
      </c>
      <c r="L143" s="274"/>
      <c r="M143" s="274" t="s">
        <v>666</v>
      </c>
      <c r="N143" s="279" t="s">
        <v>706</v>
      </c>
      <c r="O143" s="279" t="s">
        <v>667</v>
      </c>
      <c r="P143" s="276">
        <v>15366</v>
      </c>
      <c r="Q143" s="275" t="s">
        <v>695</v>
      </c>
      <c r="R143" s="274"/>
      <c r="S143" s="276"/>
      <c r="T143" s="276"/>
      <c r="U143" s="276"/>
      <c r="V143" s="278"/>
      <c r="W143" s="272"/>
      <c r="X143" s="85">
        <v>91</v>
      </c>
    </row>
    <row r="144" spans="1:24" s="85" customFormat="1" ht="93.75" x14ac:dyDescent="0.25">
      <c r="A144" s="273">
        <v>44</v>
      </c>
      <c r="B144" s="274" t="s">
        <v>56</v>
      </c>
      <c r="C144" s="274"/>
      <c r="D144" s="274"/>
      <c r="E144" s="275" t="s">
        <v>668</v>
      </c>
      <c r="F144" s="279" t="s">
        <v>669</v>
      </c>
      <c r="G144" s="274" t="s">
        <v>670</v>
      </c>
      <c r="H144" s="276">
        <v>15001.3</v>
      </c>
      <c r="I144" s="277">
        <f>IF(X144 = 92, H144 + SUM(S144:S144) - SUM(T144:T144) - SUM(P144:P144) - V144,0)</f>
        <v>0</v>
      </c>
      <c r="J144" s="274" t="s">
        <v>451</v>
      </c>
      <c r="K144" s="274" t="s">
        <v>452</v>
      </c>
      <c r="L144" s="274"/>
      <c r="M144" s="274" t="s">
        <v>671</v>
      </c>
      <c r="N144" s="279" t="s">
        <v>695</v>
      </c>
      <c r="O144" s="279" t="s">
        <v>672</v>
      </c>
      <c r="P144" s="276">
        <v>15001.3</v>
      </c>
      <c r="Q144" s="275" t="s">
        <v>701</v>
      </c>
      <c r="R144" s="274"/>
      <c r="S144" s="276"/>
      <c r="T144" s="276"/>
      <c r="U144" s="276"/>
      <c r="V144" s="278"/>
      <c r="W144" s="272"/>
      <c r="X144" s="85">
        <v>92</v>
      </c>
    </row>
    <row r="145" spans="1:24" s="85" customFormat="1" ht="54" customHeight="1" x14ac:dyDescent="0.25">
      <c r="A145" s="560">
        <v>45</v>
      </c>
      <c r="B145" s="566" t="s">
        <v>56</v>
      </c>
      <c r="C145" s="566"/>
      <c r="D145" s="566"/>
      <c r="E145" s="572" t="s">
        <v>687</v>
      </c>
      <c r="F145" s="562" t="s">
        <v>688</v>
      </c>
      <c r="G145" s="566" t="s">
        <v>431</v>
      </c>
      <c r="H145" s="564">
        <v>9760</v>
      </c>
      <c r="I145" s="574">
        <f>IF(X145 = 93, H145 + SUM(S145:S146) - SUM(T145:T146) - SUM(P145:P146) - V145,0)</f>
        <v>0</v>
      </c>
      <c r="J145" s="566" t="s">
        <v>432</v>
      </c>
      <c r="K145" s="566" t="s">
        <v>433</v>
      </c>
      <c r="L145" s="566"/>
      <c r="M145" s="566" t="s">
        <v>689</v>
      </c>
      <c r="N145" s="316" t="s">
        <v>737</v>
      </c>
      <c r="O145" s="562" t="s">
        <v>690</v>
      </c>
      <c r="P145" s="312">
        <v>6328</v>
      </c>
      <c r="Q145" s="311" t="s">
        <v>735</v>
      </c>
      <c r="R145" s="310"/>
      <c r="S145" s="312"/>
      <c r="T145" s="312"/>
      <c r="U145" s="564"/>
      <c r="V145" s="568"/>
      <c r="W145" s="570"/>
      <c r="X145" s="85">
        <v>93</v>
      </c>
    </row>
    <row r="146" spans="1:24" x14ac:dyDescent="0.25">
      <c r="A146" s="561"/>
      <c r="B146" s="567"/>
      <c r="C146" s="567"/>
      <c r="D146" s="567"/>
      <c r="E146" s="573"/>
      <c r="F146" s="563"/>
      <c r="G146" s="567"/>
      <c r="H146" s="565"/>
      <c r="I146" s="575"/>
      <c r="J146" s="567"/>
      <c r="K146" s="567"/>
      <c r="L146" s="567"/>
      <c r="M146" s="567"/>
      <c r="N146" s="317" t="s">
        <v>737</v>
      </c>
      <c r="O146" s="563"/>
      <c r="P146" s="313">
        <v>3432</v>
      </c>
      <c r="Q146" s="314" t="s">
        <v>735</v>
      </c>
      <c r="R146" s="315"/>
      <c r="S146" s="313"/>
      <c r="T146" s="313"/>
      <c r="U146" s="565"/>
      <c r="V146" s="569"/>
      <c r="W146" s="571"/>
      <c r="X146" s="2">
        <v>93</v>
      </c>
    </row>
    <row r="147" spans="1:24" s="85" customFormat="1" ht="187.5" x14ac:dyDescent="0.25">
      <c r="A147" s="296">
        <v>46</v>
      </c>
      <c r="B147" s="297" t="s">
        <v>56</v>
      </c>
      <c r="C147" s="297"/>
      <c r="D147" s="297"/>
      <c r="E147" s="298" t="s">
        <v>277</v>
      </c>
      <c r="F147" s="302" t="s">
        <v>713</v>
      </c>
      <c r="G147" s="297" t="s">
        <v>714</v>
      </c>
      <c r="H147" s="299">
        <v>26400</v>
      </c>
      <c r="I147" s="300">
        <f>IF(X147 = 94, H147 + SUM(S147:S147) - SUM(T147:T147) - SUM(P147:P147) - V147,0)</f>
        <v>0</v>
      </c>
      <c r="J147" s="297" t="s">
        <v>715</v>
      </c>
      <c r="K147" s="297" t="s">
        <v>718</v>
      </c>
      <c r="L147" s="297"/>
      <c r="M147" s="297" t="s">
        <v>716</v>
      </c>
      <c r="N147" s="302" t="s">
        <v>743</v>
      </c>
      <c r="O147" s="302" t="s">
        <v>717</v>
      </c>
      <c r="P147" s="299">
        <v>26400</v>
      </c>
      <c r="Q147" s="298" t="s">
        <v>742</v>
      </c>
      <c r="R147" s="297"/>
      <c r="S147" s="299"/>
      <c r="T147" s="299"/>
      <c r="U147" s="299"/>
      <c r="V147" s="301"/>
      <c r="W147" s="295"/>
      <c r="X147" s="85">
        <v>94</v>
      </c>
    </row>
    <row r="148" spans="1:24" s="85" customFormat="1" ht="153.6" customHeight="1" x14ac:dyDescent="0.25">
      <c r="A148" s="406">
        <v>47</v>
      </c>
      <c r="B148" s="412" t="s">
        <v>56</v>
      </c>
      <c r="C148" s="412"/>
      <c r="D148" s="412"/>
      <c r="E148" s="418" t="s">
        <v>719</v>
      </c>
      <c r="F148" s="408" t="s">
        <v>720</v>
      </c>
      <c r="G148" s="412" t="s">
        <v>721</v>
      </c>
      <c r="H148" s="410">
        <v>14500</v>
      </c>
      <c r="I148" s="420">
        <f>IF(X148 = 95, H148 + SUM(S148:S149) - SUM(T148:T149) - SUM(P148:P149) - V148,0)</f>
        <v>0</v>
      </c>
      <c r="J148" s="412" t="s">
        <v>334</v>
      </c>
      <c r="K148" s="412" t="s">
        <v>592</v>
      </c>
      <c r="L148" s="412"/>
      <c r="M148" s="412" t="s">
        <v>722</v>
      </c>
      <c r="N148" s="351" t="s">
        <v>744</v>
      </c>
      <c r="O148" s="408" t="s">
        <v>723</v>
      </c>
      <c r="P148" s="335">
        <v>4350</v>
      </c>
      <c r="Q148" s="334" t="s">
        <v>745</v>
      </c>
      <c r="R148" s="333"/>
      <c r="S148" s="335"/>
      <c r="T148" s="335"/>
      <c r="U148" s="410"/>
      <c r="V148" s="414"/>
      <c r="W148" s="416"/>
      <c r="X148" s="85">
        <v>95</v>
      </c>
    </row>
    <row r="149" spans="1:24" x14ac:dyDescent="0.25">
      <c r="A149" s="407"/>
      <c r="B149" s="413"/>
      <c r="C149" s="413"/>
      <c r="D149" s="413"/>
      <c r="E149" s="419"/>
      <c r="F149" s="409"/>
      <c r="G149" s="413"/>
      <c r="H149" s="411"/>
      <c r="I149" s="421"/>
      <c r="J149" s="413"/>
      <c r="K149" s="413"/>
      <c r="L149" s="413"/>
      <c r="M149" s="413"/>
      <c r="N149" s="353" t="s">
        <v>744</v>
      </c>
      <c r="O149" s="409"/>
      <c r="P149" s="346">
        <v>10150</v>
      </c>
      <c r="Q149" s="347" t="s">
        <v>842</v>
      </c>
      <c r="R149" s="348"/>
      <c r="S149" s="346"/>
      <c r="T149" s="346"/>
      <c r="U149" s="411"/>
      <c r="V149" s="415"/>
      <c r="W149" s="417"/>
      <c r="X149" s="2">
        <v>95</v>
      </c>
    </row>
    <row r="150" spans="1:24" s="85" customFormat="1" ht="90" customHeight="1" x14ac:dyDescent="0.25">
      <c r="A150" s="406">
        <v>48</v>
      </c>
      <c r="B150" s="412" t="s">
        <v>56</v>
      </c>
      <c r="C150" s="412"/>
      <c r="D150" s="412"/>
      <c r="E150" s="418" t="s">
        <v>756</v>
      </c>
      <c r="F150" s="408" t="s">
        <v>750</v>
      </c>
      <c r="G150" s="412" t="s">
        <v>321</v>
      </c>
      <c r="H150" s="410">
        <v>9088</v>
      </c>
      <c r="I150" s="420">
        <f>IF(X150 = 96, H150 + SUM(S150:S151) - SUM(T150:T151) - SUM(P150:P151) - V150,0)</f>
        <v>0</v>
      </c>
      <c r="J150" s="412" t="s">
        <v>285</v>
      </c>
      <c r="K150" s="412" t="s">
        <v>286</v>
      </c>
      <c r="L150" s="412"/>
      <c r="M150" s="412" t="s">
        <v>755</v>
      </c>
      <c r="N150" s="351" t="s">
        <v>849</v>
      </c>
      <c r="O150" s="408" t="s">
        <v>288</v>
      </c>
      <c r="P150" s="335">
        <v>7360</v>
      </c>
      <c r="Q150" s="334" t="s">
        <v>849</v>
      </c>
      <c r="R150" s="333"/>
      <c r="S150" s="335"/>
      <c r="T150" s="335"/>
      <c r="U150" s="410"/>
      <c r="V150" s="414"/>
      <c r="W150" s="416"/>
      <c r="X150" s="85">
        <v>96</v>
      </c>
    </row>
    <row r="151" spans="1:24" x14ac:dyDescent="0.25">
      <c r="A151" s="407"/>
      <c r="B151" s="413"/>
      <c r="C151" s="413"/>
      <c r="D151" s="413"/>
      <c r="E151" s="419"/>
      <c r="F151" s="409"/>
      <c r="G151" s="413"/>
      <c r="H151" s="411"/>
      <c r="I151" s="421"/>
      <c r="J151" s="413"/>
      <c r="K151" s="413"/>
      <c r="L151" s="413"/>
      <c r="M151" s="413"/>
      <c r="N151" s="353" t="s">
        <v>849</v>
      </c>
      <c r="O151" s="409"/>
      <c r="P151" s="346">
        <v>1728</v>
      </c>
      <c r="Q151" s="347" t="s">
        <v>849</v>
      </c>
      <c r="R151" s="348"/>
      <c r="S151" s="346"/>
      <c r="T151" s="346"/>
      <c r="U151" s="411"/>
      <c r="V151" s="415"/>
      <c r="W151" s="417"/>
      <c r="X151" s="2">
        <v>96</v>
      </c>
    </row>
    <row r="152" spans="1:24" s="85" customFormat="1" ht="82.9" customHeight="1" x14ac:dyDescent="0.25">
      <c r="A152" s="322">
        <v>49</v>
      </c>
      <c r="B152" s="323" t="s">
        <v>56</v>
      </c>
      <c r="C152" s="323"/>
      <c r="D152" s="323"/>
      <c r="E152" s="324" t="s">
        <v>757</v>
      </c>
      <c r="F152" s="330" t="s">
        <v>758</v>
      </c>
      <c r="G152" s="323" t="s">
        <v>760</v>
      </c>
      <c r="H152" s="325">
        <v>22000</v>
      </c>
      <c r="I152" s="326">
        <f>IF(X152 = 97, H152 + SUM(S152:S152) - SUM(T152:T152) - SUM(P152:P152) - V152,0)</f>
        <v>0</v>
      </c>
      <c r="J152" s="323" t="s">
        <v>762</v>
      </c>
      <c r="K152" s="323" t="s">
        <v>763</v>
      </c>
      <c r="L152" s="323"/>
      <c r="M152" s="323" t="s">
        <v>764</v>
      </c>
      <c r="N152" s="330" t="s">
        <v>839</v>
      </c>
      <c r="O152" s="330" t="s">
        <v>288</v>
      </c>
      <c r="P152" s="325">
        <v>22000</v>
      </c>
      <c r="Q152" s="324" t="s">
        <v>841</v>
      </c>
      <c r="R152" s="323"/>
      <c r="S152" s="325"/>
      <c r="T152" s="325"/>
      <c r="U152" s="325"/>
      <c r="V152" s="331"/>
      <c r="W152" s="321"/>
      <c r="X152" s="85">
        <v>97</v>
      </c>
    </row>
    <row r="153" spans="1:24" s="85" customFormat="1" ht="85.15" customHeight="1" x14ac:dyDescent="0.25">
      <c r="A153" s="322">
        <v>50</v>
      </c>
      <c r="B153" s="323" t="s">
        <v>56</v>
      </c>
      <c r="C153" s="323"/>
      <c r="D153" s="323"/>
      <c r="E153" s="324" t="s">
        <v>759</v>
      </c>
      <c r="F153" s="330" t="s">
        <v>758</v>
      </c>
      <c r="G153" s="323" t="s">
        <v>761</v>
      </c>
      <c r="H153" s="325">
        <v>2800</v>
      </c>
      <c r="I153" s="326">
        <f>IF(X153 = 98, H153 + SUM(S153:S153) - SUM(T153:T153) - SUM(P153:P153) - V153,0)</f>
        <v>0</v>
      </c>
      <c r="J153" s="323" t="s">
        <v>762</v>
      </c>
      <c r="K153" s="323" t="s">
        <v>763</v>
      </c>
      <c r="L153" s="323"/>
      <c r="M153" s="323" t="s">
        <v>764</v>
      </c>
      <c r="N153" s="330" t="s">
        <v>839</v>
      </c>
      <c r="O153" s="330" t="s">
        <v>288</v>
      </c>
      <c r="P153" s="325">
        <v>2800</v>
      </c>
      <c r="Q153" s="324" t="s">
        <v>840</v>
      </c>
      <c r="R153" s="323"/>
      <c r="S153" s="325"/>
      <c r="T153" s="325"/>
      <c r="U153" s="325"/>
      <c r="V153" s="331"/>
      <c r="W153" s="321"/>
      <c r="X153" s="85">
        <v>98</v>
      </c>
    </row>
    <row r="154" spans="1:24" s="85" customFormat="1" ht="99.6" customHeight="1" x14ac:dyDescent="0.25">
      <c r="A154" s="322">
        <v>51</v>
      </c>
      <c r="B154" s="323" t="s">
        <v>56</v>
      </c>
      <c r="C154" s="323"/>
      <c r="D154" s="323"/>
      <c r="E154" s="324" t="s">
        <v>277</v>
      </c>
      <c r="F154" s="330" t="s">
        <v>770</v>
      </c>
      <c r="G154" s="323" t="s">
        <v>771</v>
      </c>
      <c r="H154" s="325">
        <v>30550.16</v>
      </c>
      <c r="I154" s="326">
        <f>IF(X154 = 99, H154 + SUM(S154:S154) - SUM(T154:T154) - SUM(P154:P154) - V154,0)</f>
        <v>0</v>
      </c>
      <c r="J154" s="323" t="s">
        <v>772</v>
      </c>
      <c r="K154" s="323" t="s">
        <v>773</v>
      </c>
      <c r="L154" s="323"/>
      <c r="M154" s="323" t="s">
        <v>774</v>
      </c>
      <c r="N154" s="330" t="s">
        <v>846</v>
      </c>
      <c r="O154" s="330" t="s">
        <v>775</v>
      </c>
      <c r="P154" s="325">
        <v>30550.16</v>
      </c>
      <c r="Q154" s="324" t="s">
        <v>836</v>
      </c>
      <c r="R154" s="323"/>
      <c r="S154" s="325"/>
      <c r="T154" s="325"/>
      <c r="U154" s="325"/>
      <c r="V154" s="331"/>
      <c r="W154" s="321"/>
      <c r="X154" s="85">
        <v>99</v>
      </c>
    </row>
    <row r="155" spans="1:24" s="85" customFormat="1" ht="163.15" customHeight="1" x14ac:dyDescent="0.25">
      <c r="A155" s="322">
        <v>52</v>
      </c>
      <c r="B155" s="323" t="s">
        <v>56</v>
      </c>
      <c r="C155" s="323"/>
      <c r="D155" s="323"/>
      <c r="E155" s="324" t="s">
        <v>788</v>
      </c>
      <c r="F155" s="330" t="s">
        <v>789</v>
      </c>
      <c r="G155" s="323" t="s">
        <v>790</v>
      </c>
      <c r="H155" s="325">
        <v>18500</v>
      </c>
      <c r="I155" s="326">
        <f>IF(X155 = 100, H155 + SUM(S155:S155) - SUM(T155:T155) - SUM(P155:P155) - V155,0)</f>
        <v>0</v>
      </c>
      <c r="J155" s="323" t="s">
        <v>366</v>
      </c>
      <c r="K155" s="323" t="s">
        <v>367</v>
      </c>
      <c r="L155" s="323"/>
      <c r="M155" s="323" t="s">
        <v>791</v>
      </c>
      <c r="N155" s="330" t="s">
        <v>835</v>
      </c>
      <c r="O155" s="330" t="s">
        <v>792</v>
      </c>
      <c r="P155" s="325">
        <v>18500</v>
      </c>
      <c r="Q155" s="324" t="s">
        <v>847</v>
      </c>
      <c r="R155" s="323"/>
      <c r="S155" s="325"/>
      <c r="T155" s="325"/>
      <c r="U155" s="325"/>
      <c r="V155" s="331"/>
      <c r="W155" s="321"/>
      <c r="X155" s="85">
        <v>100</v>
      </c>
    </row>
    <row r="156" spans="1:24" s="85" customFormat="1" ht="90" customHeight="1" x14ac:dyDescent="0.25">
      <c r="A156" s="322">
        <v>53</v>
      </c>
      <c r="B156" s="323" t="s">
        <v>56</v>
      </c>
      <c r="C156" s="323"/>
      <c r="D156" s="323"/>
      <c r="E156" s="324" t="s">
        <v>793</v>
      </c>
      <c r="F156" s="330" t="s">
        <v>794</v>
      </c>
      <c r="G156" s="323" t="s">
        <v>212</v>
      </c>
      <c r="H156" s="325">
        <v>11865.51</v>
      </c>
      <c r="I156" s="326">
        <f>IF(X156 = 101, H156 + SUM(S156:S156) - SUM(T156:T156) - SUM(P156:P156) - V156,0)</f>
        <v>11865.51</v>
      </c>
      <c r="J156" s="323" t="s">
        <v>213</v>
      </c>
      <c r="K156" s="323" t="s">
        <v>157</v>
      </c>
      <c r="L156" s="323"/>
      <c r="M156" s="323" t="s">
        <v>795</v>
      </c>
      <c r="N156" s="330"/>
      <c r="O156" s="330" t="s">
        <v>796</v>
      </c>
      <c r="P156" s="325"/>
      <c r="Q156" s="324"/>
      <c r="R156" s="323"/>
      <c r="S156" s="325"/>
      <c r="T156" s="325"/>
      <c r="U156" s="325"/>
      <c r="V156" s="331"/>
      <c r="W156" s="321"/>
      <c r="X156" s="85">
        <v>101</v>
      </c>
    </row>
    <row r="157" spans="1:24" s="85" customFormat="1" ht="104.45" customHeight="1" x14ac:dyDescent="0.25">
      <c r="A157" s="322">
        <v>54</v>
      </c>
      <c r="B157" s="323" t="s">
        <v>56</v>
      </c>
      <c r="C157" s="323"/>
      <c r="D157" s="323"/>
      <c r="E157" s="324" t="s">
        <v>799</v>
      </c>
      <c r="F157" s="330" t="s">
        <v>797</v>
      </c>
      <c r="G157" s="323" t="s">
        <v>800</v>
      </c>
      <c r="H157" s="325">
        <v>36000</v>
      </c>
      <c r="I157" s="326">
        <f>IF(X157 = 102, H157 + SUM(S157:S157) - SUM(T157:T157) - SUM(P157:P157) - V157,0)</f>
        <v>36000</v>
      </c>
      <c r="J157" s="323" t="s">
        <v>238</v>
      </c>
      <c r="K157" s="323" t="s">
        <v>153</v>
      </c>
      <c r="L157" s="323"/>
      <c r="M157" s="323" t="s">
        <v>795</v>
      </c>
      <c r="N157" s="330"/>
      <c r="O157" s="330" t="s">
        <v>801</v>
      </c>
      <c r="P157" s="325"/>
      <c r="Q157" s="324"/>
      <c r="R157" s="323"/>
      <c r="S157" s="325"/>
      <c r="T157" s="325"/>
      <c r="U157" s="325"/>
      <c r="V157" s="331"/>
      <c r="W157" s="321"/>
      <c r="X157" s="85">
        <v>102</v>
      </c>
    </row>
    <row r="158" spans="1:24" s="85" customFormat="1" ht="108" customHeight="1" x14ac:dyDescent="0.25">
      <c r="A158" s="322">
        <v>55</v>
      </c>
      <c r="B158" s="323" t="s">
        <v>56</v>
      </c>
      <c r="C158" s="323"/>
      <c r="D158" s="323"/>
      <c r="E158" s="324" t="s">
        <v>802</v>
      </c>
      <c r="F158" s="330" t="s">
        <v>797</v>
      </c>
      <c r="G158" s="323" t="s">
        <v>803</v>
      </c>
      <c r="H158" s="325">
        <v>24000</v>
      </c>
      <c r="I158" s="326">
        <f>IF(X158 = 103, H158 + SUM(S158:S158) - SUM(T158:T158) - SUM(P158:P158) - V158,0)</f>
        <v>24000</v>
      </c>
      <c r="J158" s="323" t="s">
        <v>238</v>
      </c>
      <c r="K158" s="323" t="s">
        <v>153</v>
      </c>
      <c r="L158" s="323"/>
      <c r="M158" s="323" t="s">
        <v>795</v>
      </c>
      <c r="N158" s="330"/>
      <c r="O158" s="330" t="s">
        <v>801</v>
      </c>
      <c r="P158" s="325"/>
      <c r="Q158" s="324"/>
      <c r="R158" s="323"/>
      <c r="S158" s="325"/>
      <c r="T158" s="325"/>
      <c r="U158" s="325"/>
      <c r="V158" s="331"/>
      <c r="W158" s="321"/>
      <c r="X158" s="85">
        <v>103</v>
      </c>
    </row>
    <row r="159" spans="1:24" s="85" customFormat="1" ht="94.9" customHeight="1" x14ac:dyDescent="0.25">
      <c r="A159" s="322">
        <v>56</v>
      </c>
      <c r="B159" s="323" t="s">
        <v>56</v>
      </c>
      <c r="C159" s="323"/>
      <c r="D159" s="323"/>
      <c r="E159" s="324" t="s">
        <v>824</v>
      </c>
      <c r="F159" s="330" t="s">
        <v>819</v>
      </c>
      <c r="G159" s="323" t="s">
        <v>823</v>
      </c>
      <c r="H159" s="325">
        <v>7200</v>
      </c>
      <c r="I159" s="326">
        <f>IF(X159 = 104, H159 + SUM(S159:S159) - SUM(T159:T159) - SUM(P159:P159) - V159,0)</f>
        <v>7200</v>
      </c>
      <c r="J159" s="323" t="s">
        <v>246</v>
      </c>
      <c r="K159" s="323" t="s">
        <v>247</v>
      </c>
      <c r="L159" s="323"/>
      <c r="M159" s="323" t="s">
        <v>795</v>
      </c>
      <c r="N159" s="330"/>
      <c r="O159" s="330" t="s">
        <v>825</v>
      </c>
      <c r="P159" s="325"/>
      <c r="Q159" s="324"/>
      <c r="R159" s="323"/>
      <c r="S159" s="325"/>
      <c r="T159" s="325"/>
      <c r="U159" s="325"/>
      <c r="V159" s="331"/>
      <c r="W159" s="321"/>
      <c r="X159" s="85">
        <v>104</v>
      </c>
    </row>
    <row r="160" spans="1:24" s="85" customFormat="1" ht="76.900000000000006" customHeight="1" x14ac:dyDescent="0.25">
      <c r="A160" s="322">
        <v>57</v>
      </c>
      <c r="B160" s="323" t="s">
        <v>56</v>
      </c>
      <c r="C160" s="323"/>
      <c r="D160" s="323"/>
      <c r="E160" s="324" t="s">
        <v>826</v>
      </c>
      <c r="F160" s="330" t="s">
        <v>827</v>
      </c>
      <c r="G160" s="323" t="s">
        <v>828</v>
      </c>
      <c r="H160" s="325">
        <v>72000</v>
      </c>
      <c r="I160" s="326">
        <f>IF(X160 = 105, H160 + SUM(S160:S160) - SUM(T160:T160) - SUM(P160:P160) - V160,0)</f>
        <v>72000</v>
      </c>
      <c r="J160" s="323" t="s">
        <v>829</v>
      </c>
      <c r="K160" s="323" t="s">
        <v>830</v>
      </c>
      <c r="L160" s="323"/>
      <c r="M160" s="323" t="s">
        <v>795</v>
      </c>
      <c r="N160" s="330"/>
      <c r="O160" s="330" t="s">
        <v>260</v>
      </c>
      <c r="P160" s="325"/>
      <c r="Q160" s="324"/>
      <c r="R160" s="323"/>
      <c r="S160" s="325"/>
      <c r="T160" s="325"/>
      <c r="U160" s="325"/>
      <c r="V160" s="331"/>
      <c r="W160" s="321"/>
      <c r="X160" s="85">
        <v>105</v>
      </c>
    </row>
    <row r="161" spans="1:24" s="85" customFormat="1" ht="76.900000000000006" customHeight="1" x14ac:dyDescent="0.25">
      <c r="A161" s="339">
        <v>58</v>
      </c>
      <c r="B161" s="340" t="s">
        <v>56</v>
      </c>
      <c r="C161" s="340"/>
      <c r="D161" s="340"/>
      <c r="E161" s="341" t="s">
        <v>861</v>
      </c>
      <c r="F161" s="355" t="s">
        <v>827</v>
      </c>
      <c r="G161" s="340" t="s">
        <v>862</v>
      </c>
      <c r="H161" s="342">
        <v>8000</v>
      </c>
      <c r="I161" s="343">
        <f>IF(X161 = 107, H161 + SUM(S161:S161) - SUM(T161:T161) - SUM(P161:P161) - V161,0)</f>
        <v>8000</v>
      </c>
      <c r="J161" s="340" t="s">
        <v>279</v>
      </c>
      <c r="K161" s="340" t="s">
        <v>280</v>
      </c>
      <c r="L161" s="340"/>
      <c r="M161" s="340" t="s">
        <v>863</v>
      </c>
      <c r="N161" s="355"/>
      <c r="O161" s="355" t="s">
        <v>864</v>
      </c>
      <c r="P161" s="342"/>
      <c r="Q161" s="341"/>
      <c r="R161" s="340"/>
      <c r="S161" s="342"/>
      <c r="T161" s="342"/>
      <c r="U161" s="342"/>
      <c r="V161" s="354"/>
      <c r="W161" s="350"/>
      <c r="X161" s="85">
        <v>107</v>
      </c>
    </row>
    <row r="162" spans="1:24" ht="18" x14ac:dyDescent="0.3">
      <c r="X162" s="2">
        <v>108</v>
      </c>
    </row>
  </sheetData>
  <sheetProtection algorithmName="SHA-512" hashValue="v5PRDnksXz1W68/TXe8H/vrjmzIh8amjOY2VgzSaWhbocTHRCS5K9X5T7M9o55iBgra5pa/O1HnOa095fZmiGA==" saltValue="zjAX4A4Lwi9EdLNyAceRIw==" spinCount="100000" sheet="1" objects="1" scenarios="1" formatCells="0" formatColumns="0" formatRows="0"/>
  <mergeCells count="432">
    <mergeCell ref="W24:W35"/>
    <mergeCell ref="M24:M35"/>
    <mergeCell ref="A36:A47"/>
    <mergeCell ref="O36:O47"/>
    <mergeCell ref="U36:U47"/>
    <mergeCell ref="B36:B47"/>
    <mergeCell ref="V36:V47"/>
    <mergeCell ref="W48:W58"/>
    <mergeCell ref="A13:A23"/>
    <mergeCell ref="O13:O23"/>
    <mergeCell ref="U13:U23"/>
    <mergeCell ref="B13:B23"/>
    <mergeCell ref="V13:V23"/>
    <mergeCell ref="C13:C23"/>
    <mergeCell ref="W13:W23"/>
    <mergeCell ref="U24:U35"/>
    <mergeCell ref="V24:V35"/>
    <mergeCell ref="C36:C47"/>
    <mergeCell ref="W36:W47"/>
    <mergeCell ref="D36:D47"/>
    <mergeCell ref="E36:E47"/>
    <mergeCell ref="F36:F47"/>
    <mergeCell ref="G36:G47"/>
    <mergeCell ref="H36:H47"/>
    <mergeCell ref="W145:W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L145:L146"/>
    <mergeCell ref="M145:M146"/>
    <mergeCell ref="O69:O73"/>
    <mergeCell ref="U69:U73"/>
    <mergeCell ref="M74:M83"/>
    <mergeCell ref="B69:B73"/>
    <mergeCell ref="V69:V73"/>
    <mergeCell ref="D64:D68"/>
    <mergeCell ref="E64:E68"/>
    <mergeCell ref="F64:F68"/>
    <mergeCell ref="A145:A146"/>
    <mergeCell ref="O145:O146"/>
    <mergeCell ref="U145:U146"/>
    <mergeCell ref="B145:B146"/>
    <mergeCell ref="V145:V146"/>
    <mergeCell ref="C145:C146"/>
    <mergeCell ref="E74:E83"/>
    <mergeCell ref="F74:F83"/>
    <mergeCell ref="G74:G83"/>
    <mergeCell ref="H74:H83"/>
    <mergeCell ref="I74:I83"/>
    <mergeCell ref="J74:J83"/>
    <mergeCell ref="K74:K83"/>
    <mergeCell ref="M69:M73"/>
    <mergeCell ref="A69:A73"/>
    <mergeCell ref="C89:C94"/>
    <mergeCell ref="E89:E94"/>
    <mergeCell ref="C114:C115"/>
    <mergeCell ref="W114:W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114:M115"/>
    <mergeCell ref="A95:A99"/>
    <mergeCell ref="O95:O99"/>
    <mergeCell ref="U95:U99"/>
    <mergeCell ref="B95:B99"/>
    <mergeCell ref="V95:V99"/>
    <mergeCell ref="C95:C99"/>
    <mergeCell ref="W95:W99"/>
    <mergeCell ref="D95:D99"/>
    <mergeCell ref="E95:E99"/>
    <mergeCell ref="F95:F99"/>
    <mergeCell ref="G95:G99"/>
    <mergeCell ref="H95:H99"/>
    <mergeCell ref="I95:I99"/>
    <mergeCell ref="J95:J99"/>
    <mergeCell ref="K95:K99"/>
    <mergeCell ref="L95:L99"/>
    <mergeCell ref="A3:E3"/>
    <mergeCell ref="S2:U2"/>
    <mergeCell ref="N2:O2"/>
    <mergeCell ref="J4:K4"/>
    <mergeCell ref="M4:N4"/>
    <mergeCell ref="O4:P4"/>
    <mergeCell ref="K2:M2"/>
    <mergeCell ref="J89:J94"/>
    <mergeCell ref="K89:K94"/>
    <mergeCell ref="L89:L94"/>
    <mergeCell ref="M89:M94"/>
    <mergeCell ref="D89:D94"/>
    <mergeCell ref="G69:G73"/>
    <mergeCell ref="H69:H73"/>
    <mergeCell ref="I69:I73"/>
    <mergeCell ref="J69:J73"/>
    <mergeCell ref="K69:K73"/>
    <mergeCell ref="G64:G68"/>
    <mergeCell ref="H64:H68"/>
    <mergeCell ref="I64:I68"/>
    <mergeCell ref="J64:J68"/>
    <mergeCell ref="K64:K68"/>
    <mergeCell ref="L64:L68"/>
    <mergeCell ref="C69:C73"/>
    <mergeCell ref="A9:A12"/>
    <mergeCell ref="O9:O12"/>
    <mergeCell ref="U9:U12"/>
    <mergeCell ref="V105:V106"/>
    <mergeCell ref="C105:C106"/>
    <mergeCell ref="W105:W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W9:W12"/>
    <mergeCell ref="A89:A94"/>
    <mergeCell ref="C84:C88"/>
    <mergeCell ref="D84:D88"/>
    <mergeCell ref="E84:E88"/>
    <mergeCell ref="F84:F88"/>
    <mergeCell ref="G84:G88"/>
    <mergeCell ref="B89:B94"/>
    <mergeCell ref="W64:W68"/>
    <mergeCell ref="M64:M68"/>
    <mergeCell ref="A84:A88"/>
    <mergeCell ref="U74:U83"/>
    <mergeCell ref="B74:B83"/>
    <mergeCell ref="D69:D73"/>
    <mergeCell ref="E69:E73"/>
    <mergeCell ref="F69:F73"/>
    <mergeCell ref="L69:L73"/>
    <mergeCell ref="W74:W83"/>
    <mergeCell ref="V74:V83"/>
    <mergeCell ref="C74:C83"/>
    <mergeCell ref="W69:W73"/>
    <mergeCell ref="O74:O83"/>
    <mergeCell ref="H84:H88"/>
    <mergeCell ref="I84:I88"/>
    <mergeCell ref="J84:J88"/>
    <mergeCell ref="A64:A68"/>
    <mergeCell ref="O64:O68"/>
    <mergeCell ref="U64:U68"/>
    <mergeCell ref="B64:B68"/>
    <mergeCell ref="V64:V68"/>
    <mergeCell ref="C64:C68"/>
    <mergeCell ref="D74:D83"/>
    <mergeCell ref="F89:F94"/>
    <mergeCell ref="G89:G94"/>
    <mergeCell ref="H89:H94"/>
    <mergeCell ref="I89:I94"/>
    <mergeCell ref="K84:K88"/>
    <mergeCell ref="W119:W120"/>
    <mergeCell ref="K119:K120"/>
    <mergeCell ref="L119:L120"/>
    <mergeCell ref="M119:M120"/>
    <mergeCell ref="W89:W94"/>
    <mergeCell ref="W84:W88"/>
    <mergeCell ref="V84:V88"/>
    <mergeCell ref="L84:L88"/>
    <mergeCell ref="M84:M88"/>
    <mergeCell ref="V114:V115"/>
    <mergeCell ref="I119:I120"/>
    <mergeCell ref="J119:J120"/>
    <mergeCell ref="V119:V120"/>
    <mergeCell ref="V100:V104"/>
    <mergeCell ref="W100:W104"/>
    <mergeCell ref="M100:M104"/>
    <mergeCell ref="O89:O94"/>
    <mergeCell ref="U89:U94"/>
    <mergeCell ref="V89:V94"/>
    <mergeCell ref="W121:W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A121:A122"/>
    <mergeCell ref="O121:O122"/>
    <mergeCell ref="U121:U122"/>
    <mergeCell ref="B121:B122"/>
    <mergeCell ref="V121:V122"/>
    <mergeCell ref="C121:C122"/>
    <mergeCell ref="V133:V134"/>
    <mergeCell ref="C133:C134"/>
    <mergeCell ref="W133:W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W128:W129"/>
    <mergeCell ref="V131:V132"/>
    <mergeCell ref="W131:W132"/>
    <mergeCell ref="D131:D132"/>
    <mergeCell ref="E131:E132"/>
    <mergeCell ref="A135:A136"/>
    <mergeCell ref="O135:O136"/>
    <mergeCell ref="U135:U136"/>
    <mergeCell ref="B135:B136"/>
    <mergeCell ref="B128:B129"/>
    <mergeCell ref="A133:A134"/>
    <mergeCell ref="O133:O134"/>
    <mergeCell ref="U133:U134"/>
    <mergeCell ref="B133:B134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O128:O129"/>
    <mergeCell ref="U128:U129"/>
    <mergeCell ref="U131:U132"/>
    <mergeCell ref="B131:B132"/>
    <mergeCell ref="C131:C132"/>
    <mergeCell ref="V135:V136"/>
    <mergeCell ref="C135:C136"/>
    <mergeCell ref="W135:W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V9:V12"/>
    <mergeCell ref="C9:C12"/>
    <mergeCell ref="M95:M99"/>
    <mergeCell ref="O84:O88"/>
    <mergeCell ref="U84:U88"/>
    <mergeCell ref="B84:B88"/>
    <mergeCell ref="L74:L83"/>
    <mergeCell ref="A74:A83"/>
    <mergeCell ref="V128:V129"/>
    <mergeCell ref="C128:C129"/>
    <mergeCell ref="A128:A129"/>
    <mergeCell ref="A105:A106"/>
    <mergeCell ref="O105:O106"/>
    <mergeCell ref="U105:U106"/>
    <mergeCell ref="B105:B106"/>
    <mergeCell ref="A114:A115"/>
    <mergeCell ref="O114:O115"/>
    <mergeCell ref="U114:U115"/>
    <mergeCell ref="B114:B115"/>
    <mergeCell ref="A119:A120"/>
    <mergeCell ref="O119:O120"/>
    <mergeCell ref="U119:U120"/>
    <mergeCell ref="B119:B120"/>
    <mergeCell ref="C119:C120"/>
    <mergeCell ref="F131:F132"/>
    <mergeCell ref="G131:G132"/>
    <mergeCell ref="H131:H132"/>
    <mergeCell ref="I131:I132"/>
    <mergeCell ref="J131:J132"/>
    <mergeCell ref="K131:K132"/>
    <mergeCell ref="L131:L132"/>
    <mergeCell ref="M131:M132"/>
    <mergeCell ref="D13:D23"/>
    <mergeCell ref="E13:E23"/>
    <mergeCell ref="F13:F23"/>
    <mergeCell ref="G13:G23"/>
    <mergeCell ref="H13:H23"/>
    <mergeCell ref="I13:I23"/>
    <mergeCell ref="F24:F35"/>
    <mergeCell ref="G24:G35"/>
    <mergeCell ref="H24:H35"/>
    <mergeCell ref="I24:I35"/>
    <mergeCell ref="J24:J35"/>
    <mergeCell ref="K24:K35"/>
    <mergeCell ref="L24:L35"/>
    <mergeCell ref="K48:K58"/>
    <mergeCell ref="L48:L58"/>
    <mergeCell ref="M48:M58"/>
    <mergeCell ref="M9:M12"/>
    <mergeCell ref="A131:A132"/>
    <mergeCell ref="O131:O13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B9:B12"/>
    <mergeCell ref="D119:D120"/>
    <mergeCell ref="E119:E120"/>
    <mergeCell ref="F119:F120"/>
    <mergeCell ref="G119:G120"/>
    <mergeCell ref="H119:H120"/>
    <mergeCell ref="A24:A35"/>
    <mergeCell ref="O24:O35"/>
    <mergeCell ref="B24:B35"/>
    <mergeCell ref="C24:C35"/>
    <mergeCell ref="D24:D35"/>
    <mergeCell ref="E24:E35"/>
    <mergeCell ref="I36:I47"/>
    <mergeCell ref="J36:J47"/>
    <mergeCell ref="K36:K47"/>
    <mergeCell ref="L36:L47"/>
    <mergeCell ref="M36:M47"/>
    <mergeCell ref="A140:A142"/>
    <mergeCell ref="O140:O142"/>
    <mergeCell ref="U140:U142"/>
    <mergeCell ref="B140:B142"/>
    <mergeCell ref="H140:H142"/>
    <mergeCell ref="I140:I142"/>
    <mergeCell ref="J140:J142"/>
    <mergeCell ref="K140:K142"/>
    <mergeCell ref="L140:L142"/>
    <mergeCell ref="M140:M142"/>
    <mergeCell ref="A59:A62"/>
    <mergeCell ref="O59:O62"/>
    <mergeCell ref="U59:U62"/>
    <mergeCell ref="B59:B62"/>
    <mergeCell ref="A100:A104"/>
    <mergeCell ref="O100:O104"/>
    <mergeCell ref="U100:U104"/>
    <mergeCell ref="B100:B104"/>
    <mergeCell ref="C100:C104"/>
    <mergeCell ref="V140:V142"/>
    <mergeCell ref="C140:C142"/>
    <mergeCell ref="W140:W142"/>
    <mergeCell ref="J13:J23"/>
    <mergeCell ref="K13:K23"/>
    <mergeCell ref="L13:L23"/>
    <mergeCell ref="M13:M23"/>
    <mergeCell ref="A48:A58"/>
    <mergeCell ref="O48:O58"/>
    <mergeCell ref="U48:U58"/>
    <mergeCell ref="B48:B58"/>
    <mergeCell ref="V48:V58"/>
    <mergeCell ref="C48:C58"/>
    <mergeCell ref="D48:D58"/>
    <mergeCell ref="E48:E58"/>
    <mergeCell ref="F48:F58"/>
    <mergeCell ref="G48:G58"/>
    <mergeCell ref="H48:H58"/>
    <mergeCell ref="I48:I58"/>
    <mergeCell ref="J48:J58"/>
    <mergeCell ref="D140:D142"/>
    <mergeCell ref="E140:E142"/>
    <mergeCell ref="F140:F142"/>
    <mergeCell ref="G140:G142"/>
    <mergeCell ref="V59:V62"/>
    <mergeCell ref="C59:C62"/>
    <mergeCell ref="W59:W62"/>
    <mergeCell ref="D59:D62"/>
    <mergeCell ref="E59:E62"/>
    <mergeCell ref="F59:F62"/>
    <mergeCell ref="G59:G62"/>
    <mergeCell ref="H59:H62"/>
    <mergeCell ref="I59:I62"/>
    <mergeCell ref="J59:J62"/>
    <mergeCell ref="K59:K62"/>
    <mergeCell ref="L59:L62"/>
    <mergeCell ref="M59:M62"/>
    <mergeCell ref="D100:D104"/>
    <mergeCell ref="E100:E104"/>
    <mergeCell ref="F100:F104"/>
    <mergeCell ref="G100:G104"/>
    <mergeCell ref="H100:H104"/>
    <mergeCell ref="I100:I104"/>
    <mergeCell ref="J100:J104"/>
    <mergeCell ref="K100:K104"/>
    <mergeCell ref="L100:L104"/>
    <mergeCell ref="A148:A149"/>
    <mergeCell ref="O148:O149"/>
    <mergeCell ref="U148:U149"/>
    <mergeCell ref="B148:B149"/>
    <mergeCell ref="V148:V149"/>
    <mergeCell ref="C148:C149"/>
    <mergeCell ref="W148:W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M148:M149"/>
    <mergeCell ref="A150:A151"/>
    <mergeCell ref="O150:O151"/>
    <mergeCell ref="U150:U151"/>
    <mergeCell ref="B150:B151"/>
    <mergeCell ref="V150:V151"/>
    <mergeCell ref="C150:C151"/>
    <mergeCell ref="W150:W151"/>
    <mergeCell ref="D150:D151"/>
    <mergeCell ref="E150:E151"/>
    <mergeCell ref="F150:F151"/>
    <mergeCell ref="G150:G151"/>
    <mergeCell ref="H150:H151"/>
    <mergeCell ref="I150:I151"/>
    <mergeCell ref="J150:J151"/>
    <mergeCell ref="K150:K151"/>
    <mergeCell ref="L150:L151"/>
    <mergeCell ref="M150:M151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276"/>
  <sheetViews>
    <sheetView showGridLines="0" topLeftCell="F1" zoomScale="51" zoomScaleNormal="51" workbookViewId="0">
      <pane ySplit="8" topLeftCell="A272" activePane="bottomLeft" state="frozen"/>
      <selection pane="bottomLeft" activeCell="O276" sqref="O276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657" t="s">
        <v>24</v>
      </c>
      <c r="G2" s="658"/>
      <c r="H2" s="80">
        <f>SUM(H9:H9999)</f>
        <v>6565180.7599999998</v>
      </c>
      <c r="I2" s="68"/>
      <c r="N2" s="550" t="s">
        <v>137</v>
      </c>
      <c r="O2" s="552"/>
      <c r="P2" s="69">
        <f>SUM(P9:P9999)</f>
        <v>4913062.200000002</v>
      </c>
      <c r="R2" s="68"/>
      <c r="S2" s="550" t="s">
        <v>45</v>
      </c>
      <c r="T2" s="551"/>
      <c r="U2" s="552"/>
      <c r="V2" s="70">
        <f>SUM(V9:V9999)</f>
        <v>349657.29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598">
        <v>1</v>
      </c>
      <c r="B9" s="601" t="s">
        <v>56</v>
      </c>
      <c r="C9" s="601"/>
      <c r="D9" s="601"/>
      <c r="E9" s="601" t="s">
        <v>158</v>
      </c>
      <c r="F9" s="609">
        <v>44560</v>
      </c>
      <c r="G9" s="612" t="s">
        <v>156</v>
      </c>
      <c r="H9" s="615">
        <v>11000</v>
      </c>
      <c r="I9" s="618">
        <f>IF(X9 = 13, H9 + SUM(S9:S22) - SUM(T9:T22) - SUM(P9:P22) - V9,0)</f>
        <v>1.1368683772161603E-13</v>
      </c>
      <c r="J9" s="621">
        <v>7707049388</v>
      </c>
      <c r="K9" s="624" t="s">
        <v>157</v>
      </c>
      <c r="L9" s="601"/>
      <c r="M9" s="601" t="s">
        <v>155</v>
      </c>
      <c r="N9" s="128">
        <v>44592</v>
      </c>
      <c r="O9" s="609" t="s">
        <v>147</v>
      </c>
      <c r="P9" s="124">
        <v>726.62</v>
      </c>
      <c r="Q9" s="123">
        <v>44608</v>
      </c>
      <c r="R9" s="122"/>
      <c r="S9" s="124"/>
      <c r="T9" s="124"/>
      <c r="U9" s="615" t="s">
        <v>518</v>
      </c>
      <c r="V9" s="627">
        <v>952.42</v>
      </c>
      <c r="W9" s="606"/>
      <c r="X9" s="85">
        <v>13</v>
      </c>
    </row>
    <row r="10" spans="1:24" x14ac:dyDescent="0.25">
      <c r="A10" s="599"/>
      <c r="B10" s="602"/>
      <c r="C10" s="602"/>
      <c r="D10" s="602"/>
      <c r="E10" s="602"/>
      <c r="F10" s="610"/>
      <c r="G10" s="613"/>
      <c r="H10" s="616"/>
      <c r="I10" s="619"/>
      <c r="J10" s="622"/>
      <c r="K10" s="625"/>
      <c r="L10" s="602"/>
      <c r="M10" s="602"/>
      <c r="N10" s="133">
        <v>44620</v>
      </c>
      <c r="O10" s="610"/>
      <c r="P10" s="130">
        <v>682.42</v>
      </c>
      <c r="Q10" s="131">
        <v>44641</v>
      </c>
      <c r="R10" s="132"/>
      <c r="S10" s="130"/>
      <c r="T10" s="130"/>
      <c r="U10" s="616"/>
      <c r="V10" s="628"/>
      <c r="W10" s="607"/>
      <c r="X10" s="2">
        <v>13</v>
      </c>
    </row>
    <row r="11" spans="1:24" x14ac:dyDescent="0.25">
      <c r="A11" s="599"/>
      <c r="B11" s="602"/>
      <c r="C11" s="602"/>
      <c r="D11" s="602"/>
      <c r="E11" s="602"/>
      <c r="F11" s="610"/>
      <c r="G11" s="613"/>
      <c r="H11" s="616"/>
      <c r="I11" s="619"/>
      <c r="J11" s="622"/>
      <c r="K11" s="625"/>
      <c r="L11" s="602"/>
      <c r="M11" s="602"/>
      <c r="N11" s="133">
        <v>44651</v>
      </c>
      <c r="O11" s="610"/>
      <c r="P11" s="130">
        <v>943.67</v>
      </c>
      <c r="Q11" s="131" t="s">
        <v>164</v>
      </c>
      <c r="R11" s="132"/>
      <c r="S11" s="130"/>
      <c r="T11" s="130"/>
      <c r="U11" s="616"/>
      <c r="V11" s="628"/>
      <c r="W11" s="607"/>
      <c r="X11" s="2">
        <v>13</v>
      </c>
    </row>
    <row r="12" spans="1:24" x14ac:dyDescent="0.25">
      <c r="A12" s="599"/>
      <c r="B12" s="602"/>
      <c r="C12" s="602"/>
      <c r="D12" s="602"/>
      <c r="E12" s="602"/>
      <c r="F12" s="610"/>
      <c r="G12" s="613"/>
      <c r="H12" s="616"/>
      <c r="I12" s="619"/>
      <c r="J12" s="622"/>
      <c r="K12" s="625"/>
      <c r="L12" s="602"/>
      <c r="M12" s="602"/>
      <c r="N12" s="133">
        <v>44681</v>
      </c>
      <c r="O12" s="610"/>
      <c r="P12" s="130">
        <v>769.14</v>
      </c>
      <c r="Q12" s="131" t="s">
        <v>165</v>
      </c>
      <c r="R12" s="132"/>
      <c r="S12" s="130"/>
      <c r="T12" s="130"/>
      <c r="U12" s="616"/>
      <c r="V12" s="628"/>
      <c r="W12" s="607"/>
      <c r="X12" s="2">
        <v>13</v>
      </c>
    </row>
    <row r="13" spans="1:24" x14ac:dyDescent="0.25">
      <c r="A13" s="599"/>
      <c r="B13" s="602"/>
      <c r="C13" s="602"/>
      <c r="D13" s="602"/>
      <c r="E13" s="602"/>
      <c r="F13" s="610"/>
      <c r="G13" s="613"/>
      <c r="H13" s="616"/>
      <c r="I13" s="619"/>
      <c r="J13" s="622"/>
      <c r="K13" s="625"/>
      <c r="L13" s="602"/>
      <c r="M13" s="602"/>
      <c r="N13" s="133">
        <v>44712</v>
      </c>
      <c r="O13" s="610"/>
      <c r="P13" s="130">
        <v>973.78</v>
      </c>
      <c r="Q13" s="131" t="s">
        <v>174</v>
      </c>
      <c r="R13" s="132"/>
      <c r="S13" s="130"/>
      <c r="T13" s="130"/>
      <c r="U13" s="616"/>
      <c r="V13" s="628"/>
      <c r="W13" s="607"/>
      <c r="X13" s="2">
        <v>13</v>
      </c>
    </row>
    <row r="14" spans="1:24" x14ac:dyDescent="0.25">
      <c r="A14" s="599"/>
      <c r="B14" s="602"/>
      <c r="C14" s="602"/>
      <c r="D14" s="602"/>
      <c r="E14" s="602"/>
      <c r="F14" s="610"/>
      <c r="G14" s="613"/>
      <c r="H14" s="616"/>
      <c r="I14" s="619"/>
      <c r="J14" s="622"/>
      <c r="K14" s="625"/>
      <c r="L14" s="602"/>
      <c r="M14" s="602"/>
      <c r="N14" s="133">
        <v>44742</v>
      </c>
      <c r="O14" s="610"/>
      <c r="P14" s="130">
        <v>772.94</v>
      </c>
      <c r="Q14" s="131" t="s">
        <v>176</v>
      </c>
      <c r="R14" s="132"/>
      <c r="S14" s="130"/>
      <c r="T14" s="130"/>
      <c r="U14" s="616"/>
      <c r="V14" s="628"/>
      <c r="W14" s="607"/>
      <c r="X14" s="2">
        <v>13</v>
      </c>
    </row>
    <row r="15" spans="1:24" x14ac:dyDescent="0.25">
      <c r="A15" s="599"/>
      <c r="B15" s="602"/>
      <c r="C15" s="602"/>
      <c r="D15" s="602"/>
      <c r="E15" s="602"/>
      <c r="F15" s="610"/>
      <c r="G15" s="613"/>
      <c r="H15" s="616"/>
      <c r="I15" s="619"/>
      <c r="J15" s="622"/>
      <c r="K15" s="625"/>
      <c r="L15" s="602"/>
      <c r="M15" s="602"/>
      <c r="N15" s="133">
        <v>44773</v>
      </c>
      <c r="O15" s="610"/>
      <c r="P15" s="130">
        <v>717.13</v>
      </c>
      <c r="Q15" s="131" t="s">
        <v>181</v>
      </c>
      <c r="R15" s="132"/>
      <c r="S15" s="130"/>
      <c r="T15" s="130"/>
      <c r="U15" s="616"/>
      <c r="V15" s="628"/>
      <c r="W15" s="607"/>
      <c r="X15" s="2">
        <v>13</v>
      </c>
    </row>
    <row r="16" spans="1:24" x14ac:dyDescent="0.25">
      <c r="A16" s="599"/>
      <c r="B16" s="602"/>
      <c r="C16" s="602"/>
      <c r="D16" s="602"/>
      <c r="E16" s="602"/>
      <c r="F16" s="610"/>
      <c r="G16" s="613"/>
      <c r="H16" s="616"/>
      <c r="I16" s="619"/>
      <c r="J16" s="622"/>
      <c r="K16" s="625"/>
      <c r="L16" s="602"/>
      <c r="M16" s="602"/>
      <c r="N16" s="133">
        <v>44804</v>
      </c>
      <c r="O16" s="610"/>
      <c r="P16" s="130">
        <v>704.78</v>
      </c>
      <c r="Q16" s="131" t="s">
        <v>185</v>
      </c>
      <c r="R16" s="132"/>
      <c r="S16" s="130"/>
      <c r="T16" s="130"/>
      <c r="U16" s="616"/>
      <c r="V16" s="628"/>
      <c r="W16" s="607"/>
      <c r="X16" s="2">
        <v>13</v>
      </c>
    </row>
    <row r="17" spans="1:24" x14ac:dyDescent="0.25">
      <c r="A17" s="599"/>
      <c r="B17" s="602"/>
      <c r="C17" s="602"/>
      <c r="D17" s="602"/>
      <c r="E17" s="602"/>
      <c r="F17" s="610"/>
      <c r="G17" s="613"/>
      <c r="H17" s="616"/>
      <c r="I17" s="619"/>
      <c r="J17" s="622"/>
      <c r="K17" s="625"/>
      <c r="L17" s="602"/>
      <c r="M17" s="602"/>
      <c r="N17" s="133">
        <v>44834</v>
      </c>
      <c r="O17" s="610"/>
      <c r="P17" s="130">
        <v>33.020000000000003</v>
      </c>
      <c r="Q17" s="131" t="s">
        <v>189</v>
      </c>
      <c r="R17" s="132"/>
      <c r="S17" s="130"/>
      <c r="T17" s="130"/>
      <c r="U17" s="616"/>
      <c r="V17" s="628"/>
      <c r="W17" s="607"/>
      <c r="X17" s="2">
        <v>13</v>
      </c>
    </row>
    <row r="18" spans="1:24" x14ac:dyDescent="0.25">
      <c r="A18" s="599"/>
      <c r="B18" s="602"/>
      <c r="C18" s="602"/>
      <c r="D18" s="602"/>
      <c r="E18" s="602"/>
      <c r="F18" s="610"/>
      <c r="G18" s="613"/>
      <c r="H18" s="616"/>
      <c r="I18" s="619"/>
      <c r="J18" s="622"/>
      <c r="K18" s="625"/>
      <c r="L18" s="602"/>
      <c r="M18" s="602"/>
      <c r="N18" s="133">
        <v>44834</v>
      </c>
      <c r="O18" s="610"/>
      <c r="P18" s="130">
        <v>805.62</v>
      </c>
      <c r="Q18" s="131" t="s">
        <v>189</v>
      </c>
      <c r="R18" s="132"/>
      <c r="S18" s="130"/>
      <c r="T18" s="130"/>
      <c r="U18" s="616"/>
      <c r="V18" s="628"/>
      <c r="W18" s="607"/>
      <c r="X18" s="2">
        <v>13</v>
      </c>
    </row>
    <row r="19" spans="1:24" x14ac:dyDescent="0.25">
      <c r="A19" s="599"/>
      <c r="B19" s="602"/>
      <c r="C19" s="602"/>
      <c r="D19" s="602"/>
      <c r="E19" s="602"/>
      <c r="F19" s="610"/>
      <c r="G19" s="613"/>
      <c r="H19" s="616"/>
      <c r="I19" s="619"/>
      <c r="J19" s="622"/>
      <c r="K19" s="625"/>
      <c r="L19" s="602"/>
      <c r="M19" s="602"/>
      <c r="N19" s="133">
        <v>44865</v>
      </c>
      <c r="O19" s="610"/>
      <c r="P19" s="130">
        <v>871.99</v>
      </c>
      <c r="Q19" s="131" t="s">
        <v>197</v>
      </c>
      <c r="R19" s="132"/>
      <c r="S19" s="130"/>
      <c r="T19" s="130"/>
      <c r="U19" s="616"/>
      <c r="V19" s="628"/>
      <c r="W19" s="607"/>
      <c r="X19" s="2">
        <v>13</v>
      </c>
    </row>
    <row r="20" spans="1:24" x14ac:dyDescent="0.25">
      <c r="A20" s="599"/>
      <c r="B20" s="602"/>
      <c r="C20" s="602"/>
      <c r="D20" s="602"/>
      <c r="E20" s="602"/>
      <c r="F20" s="610"/>
      <c r="G20" s="613"/>
      <c r="H20" s="616"/>
      <c r="I20" s="619"/>
      <c r="J20" s="622"/>
      <c r="K20" s="625"/>
      <c r="L20" s="602"/>
      <c r="M20" s="602"/>
      <c r="N20" s="133">
        <v>44895</v>
      </c>
      <c r="O20" s="610"/>
      <c r="P20" s="130">
        <v>1010.2</v>
      </c>
      <c r="Q20" s="131" t="s">
        <v>204</v>
      </c>
      <c r="R20" s="132"/>
      <c r="S20" s="130"/>
      <c r="T20" s="130"/>
      <c r="U20" s="616"/>
      <c r="V20" s="628"/>
      <c r="W20" s="607"/>
      <c r="X20" s="2">
        <v>13</v>
      </c>
    </row>
    <row r="21" spans="1:24" x14ac:dyDescent="0.25">
      <c r="A21" s="599"/>
      <c r="B21" s="602"/>
      <c r="C21" s="602"/>
      <c r="D21" s="602"/>
      <c r="E21" s="602"/>
      <c r="F21" s="610"/>
      <c r="G21" s="613"/>
      <c r="H21" s="616"/>
      <c r="I21" s="619"/>
      <c r="J21" s="622"/>
      <c r="K21" s="625"/>
      <c r="L21" s="602"/>
      <c r="M21" s="602"/>
      <c r="N21" s="133">
        <v>44926</v>
      </c>
      <c r="O21" s="610"/>
      <c r="P21" s="130">
        <v>172.08</v>
      </c>
      <c r="Q21" s="131" t="s">
        <v>265</v>
      </c>
      <c r="R21" s="132"/>
      <c r="S21" s="130"/>
      <c r="T21" s="130"/>
      <c r="U21" s="616"/>
      <c r="V21" s="628"/>
      <c r="W21" s="607"/>
      <c r="X21" s="2">
        <v>13</v>
      </c>
    </row>
    <row r="22" spans="1:24" x14ac:dyDescent="0.25">
      <c r="A22" s="600"/>
      <c r="B22" s="603"/>
      <c r="C22" s="603"/>
      <c r="D22" s="603"/>
      <c r="E22" s="603"/>
      <c r="F22" s="611"/>
      <c r="G22" s="614"/>
      <c r="H22" s="617"/>
      <c r="I22" s="620"/>
      <c r="J22" s="623"/>
      <c r="K22" s="626"/>
      <c r="L22" s="603"/>
      <c r="M22" s="603"/>
      <c r="N22" s="129">
        <v>44926</v>
      </c>
      <c r="O22" s="611"/>
      <c r="P22" s="125">
        <v>864.19</v>
      </c>
      <c r="Q22" s="126" t="s">
        <v>265</v>
      </c>
      <c r="R22" s="127"/>
      <c r="S22" s="125"/>
      <c r="T22" s="125"/>
      <c r="U22" s="617"/>
      <c r="V22" s="629"/>
      <c r="W22" s="608"/>
      <c r="X22" s="2">
        <v>13</v>
      </c>
    </row>
    <row r="23" spans="1:24" s="85" customFormat="1" ht="72" customHeight="1" x14ac:dyDescent="0.25">
      <c r="A23" s="633">
        <v>2</v>
      </c>
      <c r="B23" s="642" t="s">
        <v>56</v>
      </c>
      <c r="C23" s="642"/>
      <c r="D23" s="642"/>
      <c r="E23" s="642" t="s">
        <v>191</v>
      </c>
      <c r="F23" s="636" t="s">
        <v>186</v>
      </c>
      <c r="G23" s="654" t="s">
        <v>192</v>
      </c>
      <c r="H23" s="639">
        <v>257225.44</v>
      </c>
      <c r="I23" s="645">
        <f>IF(X23 = 46, H23 + SUM(S23:S25) - SUM(T23:T25) - SUM(P23:P25) - V23,0)</f>
        <v>-1.6298157268224145E-11</v>
      </c>
      <c r="J23" s="648">
        <v>2312054894</v>
      </c>
      <c r="K23" s="651" t="s">
        <v>149</v>
      </c>
      <c r="L23" s="642"/>
      <c r="M23" s="642" t="s">
        <v>190</v>
      </c>
      <c r="N23" s="95">
        <v>44865</v>
      </c>
      <c r="O23" s="636" t="s">
        <v>193</v>
      </c>
      <c r="P23" s="88">
        <v>7464.37</v>
      </c>
      <c r="Q23" s="87" t="s">
        <v>198</v>
      </c>
      <c r="R23" s="86"/>
      <c r="S23" s="88"/>
      <c r="T23" s="88"/>
      <c r="U23" s="639" t="s">
        <v>519</v>
      </c>
      <c r="V23" s="659">
        <v>0.17</v>
      </c>
      <c r="W23" s="630"/>
      <c r="X23" s="85">
        <v>46</v>
      </c>
    </row>
    <row r="24" spans="1:24" x14ac:dyDescent="0.25">
      <c r="A24" s="634"/>
      <c r="B24" s="643"/>
      <c r="C24" s="643"/>
      <c r="D24" s="643"/>
      <c r="E24" s="643"/>
      <c r="F24" s="637"/>
      <c r="G24" s="655"/>
      <c r="H24" s="640"/>
      <c r="I24" s="646"/>
      <c r="J24" s="649"/>
      <c r="K24" s="652"/>
      <c r="L24" s="643"/>
      <c r="M24" s="643"/>
      <c r="N24" s="96">
        <v>44895</v>
      </c>
      <c r="O24" s="637"/>
      <c r="P24" s="89">
        <v>146780.1</v>
      </c>
      <c r="Q24" s="90" t="s">
        <v>199</v>
      </c>
      <c r="R24" s="91"/>
      <c r="S24" s="89"/>
      <c r="T24" s="89"/>
      <c r="U24" s="640"/>
      <c r="V24" s="660"/>
      <c r="W24" s="631"/>
      <c r="X24" s="2">
        <v>46</v>
      </c>
    </row>
    <row r="25" spans="1:24" x14ac:dyDescent="0.25">
      <c r="A25" s="635"/>
      <c r="B25" s="644"/>
      <c r="C25" s="644"/>
      <c r="D25" s="644"/>
      <c r="E25" s="644"/>
      <c r="F25" s="638"/>
      <c r="G25" s="656"/>
      <c r="H25" s="641"/>
      <c r="I25" s="647"/>
      <c r="J25" s="650"/>
      <c r="K25" s="653"/>
      <c r="L25" s="644"/>
      <c r="M25" s="644"/>
      <c r="N25" s="97">
        <v>44914</v>
      </c>
      <c r="O25" s="638"/>
      <c r="P25" s="92">
        <v>102980.8</v>
      </c>
      <c r="Q25" s="93" t="s">
        <v>203</v>
      </c>
      <c r="R25" s="94"/>
      <c r="S25" s="92"/>
      <c r="T25" s="92"/>
      <c r="U25" s="641"/>
      <c r="V25" s="661"/>
      <c r="W25" s="632"/>
      <c r="X25" s="2">
        <v>46</v>
      </c>
    </row>
    <row r="26" spans="1:24" s="85" customFormat="1" ht="72" customHeight="1" x14ac:dyDescent="0.25">
      <c r="A26" s="476">
        <v>3</v>
      </c>
      <c r="B26" s="482" t="s">
        <v>56</v>
      </c>
      <c r="C26" s="482"/>
      <c r="D26" s="482"/>
      <c r="E26" s="482" t="s">
        <v>268</v>
      </c>
      <c r="F26" s="478" t="s">
        <v>269</v>
      </c>
      <c r="G26" s="544" t="s">
        <v>270</v>
      </c>
      <c r="H26" s="480">
        <v>474789</v>
      </c>
      <c r="I26" s="546">
        <f>IF(X26 = 55, H26 + SUM(S26:S30) - SUM(T26:T30) - SUM(P26:P30) - V26,0)</f>
        <v>0</v>
      </c>
      <c r="J26" s="594">
        <v>235300578903</v>
      </c>
      <c r="K26" s="596" t="s">
        <v>148</v>
      </c>
      <c r="L26" s="482"/>
      <c r="M26" s="482" t="s">
        <v>271</v>
      </c>
      <c r="N26" s="163">
        <v>44834</v>
      </c>
      <c r="O26" s="478" t="s">
        <v>272</v>
      </c>
      <c r="P26" s="156">
        <v>126787.5</v>
      </c>
      <c r="Q26" s="155" t="s">
        <v>273</v>
      </c>
      <c r="R26" s="154"/>
      <c r="S26" s="156"/>
      <c r="T26" s="156"/>
      <c r="U26" s="480"/>
      <c r="V26" s="589"/>
      <c r="W26" s="542"/>
      <c r="X26" s="85">
        <v>55</v>
      </c>
    </row>
    <row r="27" spans="1:24" x14ac:dyDescent="0.25">
      <c r="A27" s="585"/>
      <c r="B27" s="588"/>
      <c r="C27" s="588"/>
      <c r="D27" s="588"/>
      <c r="E27" s="588"/>
      <c r="F27" s="586"/>
      <c r="G27" s="592"/>
      <c r="H27" s="587"/>
      <c r="I27" s="593"/>
      <c r="J27" s="595"/>
      <c r="K27" s="597"/>
      <c r="L27" s="588"/>
      <c r="M27" s="588"/>
      <c r="N27" s="164">
        <v>44865</v>
      </c>
      <c r="O27" s="586"/>
      <c r="P27" s="157">
        <v>116644.5</v>
      </c>
      <c r="Q27" s="158" t="s">
        <v>197</v>
      </c>
      <c r="R27" s="159"/>
      <c r="S27" s="157"/>
      <c r="T27" s="157"/>
      <c r="U27" s="587"/>
      <c r="V27" s="590"/>
      <c r="W27" s="591"/>
      <c r="X27" s="2">
        <v>55</v>
      </c>
    </row>
    <row r="28" spans="1:24" x14ac:dyDescent="0.25">
      <c r="A28" s="585"/>
      <c r="B28" s="588"/>
      <c r="C28" s="588"/>
      <c r="D28" s="588"/>
      <c r="E28" s="588"/>
      <c r="F28" s="586"/>
      <c r="G28" s="592"/>
      <c r="H28" s="587"/>
      <c r="I28" s="593"/>
      <c r="J28" s="595"/>
      <c r="K28" s="597"/>
      <c r="L28" s="588"/>
      <c r="M28" s="588"/>
      <c r="N28" s="164">
        <v>44865</v>
      </c>
      <c r="O28" s="586"/>
      <c r="P28" s="157">
        <v>241.5</v>
      </c>
      <c r="Q28" s="158" t="s">
        <v>274</v>
      </c>
      <c r="R28" s="159"/>
      <c r="S28" s="157"/>
      <c r="T28" s="157"/>
      <c r="U28" s="587"/>
      <c r="V28" s="590"/>
      <c r="W28" s="591"/>
      <c r="X28" s="2">
        <v>55</v>
      </c>
    </row>
    <row r="29" spans="1:24" x14ac:dyDescent="0.25">
      <c r="A29" s="585"/>
      <c r="B29" s="588"/>
      <c r="C29" s="588"/>
      <c r="D29" s="588"/>
      <c r="E29" s="588"/>
      <c r="F29" s="586"/>
      <c r="G29" s="592"/>
      <c r="H29" s="587"/>
      <c r="I29" s="593"/>
      <c r="J29" s="595"/>
      <c r="K29" s="597"/>
      <c r="L29" s="588"/>
      <c r="M29" s="588"/>
      <c r="N29" s="164">
        <v>44895</v>
      </c>
      <c r="O29" s="586"/>
      <c r="P29" s="157">
        <v>103120.5</v>
      </c>
      <c r="Q29" s="158" t="s">
        <v>275</v>
      </c>
      <c r="R29" s="159"/>
      <c r="S29" s="157"/>
      <c r="T29" s="157"/>
      <c r="U29" s="587"/>
      <c r="V29" s="590"/>
      <c r="W29" s="591"/>
      <c r="X29" s="2">
        <v>55</v>
      </c>
    </row>
    <row r="30" spans="1:24" x14ac:dyDescent="0.25">
      <c r="A30" s="585"/>
      <c r="B30" s="588"/>
      <c r="C30" s="588"/>
      <c r="D30" s="588"/>
      <c r="E30" s="588"/>
      <c r="F30" s="586"/>
      <c r="G30" s="592"/>
      <c r="H30" s="587"/>
      <c r="I30" s="593"/>
      <c r="J30" s="595"/>
      <c r="K30" s="597"/>
      <c r="L30" s="588"/>
      <c r="M30" s="588"/>
      <c r="N30" s="164">
        <v>44925</v>
      </c>
      <c r="O30" s="586"/>
      <c r="P30" s="157">
        <v>127995</v>
      </c>
      <c r="Q30" s="158" t="s">
        <v>276</v>
      </c>
      <c r="R30" s="159"/>
      <c r="S30" s="157"/>
      <c r="T30" s="157"/>
      <c r="U30" s="587"/>
      <c r="V30" s="590"/>
      <c r="W30" s="591"/>
      <c r="X30" s="2">
        <v>55</v>
      </c>
    </row>
    <row r="31" spans="1:24" s="85" customFormat="1" ht="54" customHeight="1" x14ac:dyDescent="0.25">
      <c r="A31" s="406">
        <v>4</v>
      </c>
      <c r="B31" s="412" t="s">
        <v>56</v>
      </c>
      <c r="C31" s="412"/>
      <c r="D31" s="412"/>
      <c r="E31" s="412" t="s">
        <v>150</v>
      </c>
      <c r="F31" s="408" t="s">
        <v>217</v>
      </c>
      <c r="G31" s="418" t="s">
        <v>220</v>
      </c>
      <c r="H31" s="410">
        <v>24918.78</v>
      </c>
      <c r="I31" s="420">
        <f>IF(X31 = 56, H31 + SUM(S31:S42) - SUM(T31:T42) - SUM(P31:P42) - V31,0)</f>
        <v>-7847.1200000000026</v>
      </c>
      <c r="J31" s="576">
        <v>2369002347</v>
      </c>
      <c r="K31" s="579" t="s">
        <v>221</v>
      </c>
      <c r="L31" s="412"/>
      <c r="M31" s="412" t="s">
        <v>214</v>
      </c>
      <c r="N31" s="351" t="s">
        <v>307</v>
      </c>
      <c r="O31" s="408" t="s">
        <v>222</v>
      </c>
      <c r="P31" s="335">
        <v>4841.84</v>
      </c>
      <c r="Q31" s="334" t="s">
        <v>313</v>
      </c>
      <c r="R31" s="333" t="s">
        <v>749</v>
      </c>
      <c r="S31" s="335">
        <v>15819.46</v>
      </c>
      <c r="T31" s="335"/>
      <c r="U31" s="410"/>
      <c r="V31" s="582"/>
      <c r="W31" s="416"/>
      <c r="X31" s="85">
        <v>56</v>
      </c>
    </row>
    <row r="32" spans="1:24" x14ac:dyDescent="0.25">
      <c r="A32" s="429"/>
      <c r="B32" s="422"/>
      <c r="C32" s="422"/>
      <c r="D32" s="422"/>
      <c r="E32" s="422"/>
      <c r="F32" s="424"/>
      <c r="G32" s="423"/>
      <c r="H32" s="425"/>
      <c r="I32" s="426"/>
      <c r="J32" s="577"/>
      <c r="K32" s="580"/>
      <c r="L32" s="422"/>
      <c r="M32" s="422"/>
      <c r="N32" s="352" t="s">
        <v>345</v>
      </c>
      <c r="O32" s="424"/>
      <c r="P32" s="336">
        <v>2003.52</v>
      </c>
      <c r="Q32" s="337" t="s">
        <v>347</v>
      </c>
      <c r="R32" s="338"/>
      <c r="S32" s="336"/>
      <c r="T32" s="336"/>
      <c r="U32" s="425"/>
      <c r="V32" s="583"/>
      <c r="W32" s="428"/>
      <c r="X32" s="2">
        <v>56</v>
      </c>
    </row>
    <row r="33" spans="1:24" x14ac:dyDescent="0.25">
      <c r="A33" s="429"/>
      <c r="B33" s="422"/>
      <c r="C33" s="422"/>
      <c r="D33" s="422"/>
      <c r="E33" s="422"/>
      <c r="F33" s="424"/>
      <c r="G33" s="423"/>
      <c r="H33" s="425"/>
      <c r="I33" s="426"/>
      <c r="J33" s="577"/>
      <c r="K33" s="580"/>
      <c r="L33" s="422"/>
      <c r="M33" s="422"/>
      <c r="N33" s="352" t="s">
        <v>375</v>
      </c>
      <c r="O33" s="424"/>
      <c r="P33" s="336">
        <v>1794.82</v>
      </c>
      <c r="Q33" s="337" t="s">
        <v>378</v>
      </c>
      <c r="R33" s="338"/>
      <c r="S33" s="336"/>
      <c r="T33" s="336"/>
      <c r="U33" s="425"/>
      <c r="V33" s="583"/>
      <c r="W33" s="428"/>
      <c r="X33" s="2">
        <v>56</v>
      </c>
    </row>
    <row r="34" spans="1:24" x14ac:dyDescent="0.25">
      <c r="A34" s="429"/>
      <c r="B34" s="422"/>
      <c r="C34" s="422"/>
      <c r="D34" s="422"/>
      <c r="E34" s="422"/>
      <c r="F34" s="424"/>
      <c r="G34" s="423"/>
      <c r="H34" s="425"/>
      <c r="I34" s="426"/>
      <c r="J34" s="577"/>
      <c r="K34" s="580"/>
      <c r="L34" s="422"/>
      <c r="M34" s="422"/>
      <c r="N34" s="352" t="s">
        <v>459</v>
      </c>
      <c r="O34" s="424"/>
      <c r="P34" s="336">
        <v>1878.3</v>
      </c>
      <c r="Q34" s="337" t="s">
        <v>457</v>
      </c>
      <c r="R34" s="338"/>
      <c r="S34" s="336"/>
      <c r="T34" s="336"/>
      <c r="U34" s="425"/>
      <c r="V34" s="583"/>
      <c r="W34" s="428"/>
      <c r="X34" s="2">
        <v>56</v>
      </c>
    </row>
    <row r="35" spans="1:24" x14ac:dyDescent="0.25">
      <c r="A35" s="429"/>
      <c r="B35" s="422"/>
      <c r="C35" s="422"/>
      <c r="D35" s="422"/>
      <c r="E35" s="422"/>
      <c r="F35" s="424"/>
      <c r="G35" s="423"/>
      <c r="H35" s="425"/>
      <c r="I35" s="426"/>
      <c r="J35" s="577"/>
      <c r="K35" s="580"/>
      <c r="L35" s="422"/>
      <c r="M35" s="422"/>
      <c r="N35" s="352" t="s">
        <v>470</v>
      </c>
      <c r="O35" s="424"/>
      <c r="P35" s="336">
        <v>1878.3</v>
      </c>
      <c r="Q35" s="337" t="s">
        <v>507</v>
      </c>
      <c r="R35" s="338"/>
      <c r="S35" s="336"/>
      <c r="T35" s="336"/>
      <c r="U35" s="425"/>
      <c r="V35" s="583"/>
      <c r="W35" s="428"/>
      <c r="X35" s="2">
        <v>56</v>
      </c>
    </row>
    <row r="36" spans="1:24" x14ac:dyDescent="0.25">
      <c r="A36" s="429"/>
      <c r="B36" s="422"/>
      <c r="C36" s="422"/>
      <c r="D36" s="422"/>
      <c r="E36" s="422"/>
      <c r="F36" s="424"/>
      <c r="G36" s="423"/>
      <c r="H36" s="425"/>
      <c r="I36" s="426"/>
      <c r="J36" s="577"/>
      <c r="K36" s="580"/>
      <c r="L36" s="422"/>
      <c r="M36" s="422"/>
      <c r="N36" s="352" t="s">
        <v>562</v>
      </c>
      <c r="O36" s="424"/>
      <c r="P36" s="336">
        <v>1085.24</v>
      </c>
      <c r="Q36" s="337" t="s">
        <v>564</v>
      </c>
      <c r="R36" s="338"/>
      <c r="S36" s="336"/>
      <c r="T36" s="336"/>
      <c r="U36" s="425"/>
      <c r="V36" s="583"/>
      <c r="W36" s="428"/>
      <c r="X36" s="2">
        <v>56</v>
      </c>
    </row>
    <row r="37" spans="1:24" x14ac:dyDescent="0.25">
      <c r="A37" s="429"/>
      <c r="B37" s="422"/>
      <c r="C37" s="422"/>
      <c r="D37" s="422"/>
      <c r="E37" s="422"/>
      <c r="F37" s="424"/>
      <c r="G37" s="423"/>
      <c r="H37" s="425"/>
      <c r="I37" s="426"/>
      <c r="J37" s="577"/>
      <c r="K37" s="580"/>
      <c r="L37" s="422"/>
      <c r="M37" s="422"/>
      <c r="N37" s="352" t="s">
        <v>602</v>
      </c>
      <c r="O37" s="424"/>
      <c r="P37" s="336">
        <v>459.14</v>
      </c>
      <c r="Q37" s="337" t="s">
        <v>605</v>
      </c>
      <c r="R37" s="338"/>
      <c r="S37" s="336"/>
      <c r="T37" s="336"/>
      <c r="U37" s="425"/>
      <c r="V37" s="583"/>
      <c r="W37" s="428"/>
      <c r="X37" s="2">
        <v>56</v>
      </c>
    </row>
    <row r="38" spans="1:24" x14ac:dyDescent="0.25">
      <c r="A38" s="429"/>
      <c r="B38" s="422"/>
      <c r="C38" s="422"/>
      <c r="D38" s="422"/>
      <c r="E38" s="422"/>
      <c r="F38" s="424"/>
      <c r="G38" s="423"/>
      <c r="H38" s="425"/>
      <c r="I38" s="426"/>
      <c r="J38" s="577"/>
      <c r="K38" s="580"/>
      <c r="L38" s="422"/>
      <c r="M38" s="422"/>
      <c r="N38" s="352" t="s">
        <v>606</v>
      </c>
      <c r="O38" s="424"/>
      <c r="P38" s="336">
        <v>1293.94</v>
      </c>
      <c r="Q38" s="337" t="s">
        <v>647</v>
      </c>
      <c r="R38" s="338"/>
      <c r="S38" s="336"/>
      <c r="T38" s="336"/>
      <c r="U38" s="425"/>
      <c r="V38" s="583"/>
      <c r="W38" s="428"/>
      <c r="X38" s="2">
        <v>56</v>
      </c>
    </row>
    <row r="39" spans="1:24" x14ac:dyDescent="0.25">
      <c r="A39" s="429"/>
      <c r="B39" s="422"/>
      <c r="C39" s="422"/>
      <c r="D39" s="422"/>
      <c r="E39" s="422"/>
      <c r="F39" s="424"/>
      <c r="G39" s="423"/>
      <c r="H39" s="425"/>
      <c r="I39" s="426"/>
      <c r="J39" s="577"/>
      <c r="K39" s="580"/>
      <c r="L39" s="422"/>
      <c r="M39" s="422"/>
      <c r="N39" s="352" t="s">
        <v>694</v>
      </c>
      <c r="O39" s="424"/>
      <c r="P39" s="336">
        <v>5134.0200000000004</v>
      </c>
      <c r="Q39" s="337" t="s">
        <v>707</v>
      </c>
      <c r="R39" s="338"/>
      <c r="S39" s="336"/>
      <c r="T39" s="336"/>
      <c r="U39" s="425"/>
      <c r="V39" s="583"/>
      <c r="W39" s="428"/>
      <c r="X39" s="2">
        <v>56</v>
      </c>
    </row>
    <row r="40" spans="1:24" x14ac:dyDescent="0.25">
      <c r="A40" s="429"/>
      <c r="B40" s="422"/>
      <c r="C40" s="422"/>
      <c r="D40" s="422"/>
      <c r="E40" s="422"/>
      <c r="F40" s="424"/>
      <c r="G40" s="423"/>
      <c r="H40" s="425"/>
      <c r="I40" s="426"/>
      <c r="J40" s="577"/>
      <c r="K40" s="580"/>
      <c r="L40" s="422"/>
      <c r="M40" s="422"/>
      <c r="N40" s="352" t="s">
        <v>734</v>
      </c>
      <c r="O40" s="424"/>
      <c r="P40" s="336">
        <v>8765.4</v>
      </c>
      <c r="Q40" s="337" t="s">
        <v>735</v>
      </c>
      <c r="R40" s="338"/>
      <c r="S40" s="336"/>
      <c r="T40" s="336"/>
      <c r="U40" s="425"/>
      <c r="V40" s="583"/>
      <c r="W40" s="428"/>
      <c r="X40" s="2">
        <v>56</v>
      </c>
    </row>
    <row r="41" spans="1:24" x14ac:dyDescent="0.25">
      <c r="A41" s="429"/>
      <c r="B41" s="422"/>
      <c r="C41" s="422"/>
      <c r="D41" s="422"/>
      <c r="E41" s="422"/>
      <c r="F41" s="424"/>
      <c r="G41" s="423"/>
      <c r="H41" s="425"/>
      <c r="I41" s="426"/>
      <c r="J41" s="577"/>
      <c r="K41" s="580"/>
      <c r="L41" s="422"/>
      <c r="M41" s="422"/>
      <c r="N41" s="352" t="s">
        <v>834</v>
      </c>
      <c r="O41" s="424"/>
      <c r="P41" s="336">
        <v>11603.72</v>
      </c>
      <c r="Q41" s="337" t="s">
        <v>842</v>
      </c>
      <c r="R41" s="338"/>
      <c r="S41" s="336"/>
      <c r="T41" s="336"/>
      <c r="U41" s="425"/>
      <c r="V41" s="583"/>
      <c r="W41" s="428"/>
      <c r="X41" s="2">
        <v>56</v>
      </c>
    </row>
    <row r="42" spans="1:24" x14ac:dyDescent="0.25">
      <c r="A42" s="407"/>
      <c r="B42" s="413"/>
      <c r="C42" s="413"/>
      <c r="D42" s="413"/>
      <c r="E42" s="413"/>
      <c r="F42" s="409"/>
      <c r="G42" s="419"/>
      <c r="H42" s="411"/>
      <c r="I42" s="421"/>
      <c r="J42" s="578"/>
      <c r="K42" s="581"/>
      <c r="L42" s="413"/>
      <c r="M42" s="413"/>
      <c r="N42" s="353" t="s">
        <v>843</v>
      </c>
      <c r="O42" s="409"/>
      <c r="P42" s="346">
        <v>7847.12</v>
      </c>
      <c r="Q42" s="347" t="s">
        <v>835</v>
      </c>
      <c r="R42" s="348"/>
      <c r="S42" s="346"/>
      <c r="T42" s="346"/>
      <c r="U42" s="411"/>
      <c r="V42" s="584"/>
      <c r="W42" s="417"/>
      <c r="X42" s="2">
        <v>56</v>
      </c>
    </row>
    <row r="43" spans="1:24" s="85" customFormat="1" ht="54" customHeight="1" x14ac:dyDescent="0.25">
      <c r="A43" s="406">
        <v>5</v>
      </c>
      <c r="B43" s="412" t="s">
        <v>56</v>
      </c>
      <c r="C43" s="412"/>
      <c r="D43" s="412"/>
      <c r="E43" s="412" t="s">
        <v>216</v>
      </c>
      <c r="F43" s="408" t="s">
        <v>217</v>
      </c>
      <c r="G43" s="418" t="s">
        <v>218</v>
      </c>
      <c r="H43" s="410">
        <v>45256.44</v>
      </c>
      <c r="I43" s="420">
        <f>IF(X43 = 57, H43 + SUM(S43:S54) - SUM(T43:T54) - SUM(P43:P54) - V43,0)</f>
        <v>0</v>
      </c>
      <c r="J43" s="576">
        <v>2308131994</v>
      </c>
      <c r="K43" s="579" t="s">
        <v>219</v>
      </c>
      <c r="L43" s="412"/>
      <c r="M43" s="416" t="s">
        <v>214</v>
      </c>
      <c r="N43" s="351" t="s">
        <v>307</v>
      </c>
      <c r="O43" s="408" t="s">
        <v>222</v>
      </c>
      <c r="P43" s="335">
        <v>3771.37</v>
      </c>
      <c r="Q43" s="334" t="s">
        <v>310</v>
      </c>
      <c r="R43" s="333"/>
      <c r="S43" s="335"/>
      <c r="T43" s="335"/>
      <c r="U43" s="410"/>
      <c r="V43" s="582"/>
      <c r="W43" s="416"/>
      <c r="X43" s="85">
        <v>57</v>
      </c>
    </row>
    <row r="44" spans="1:24" x14ac:dyDescent="0.25">
      <c r="A44" s="429"/>
      <c r="B44" s="422"/>
      <c r="C44" s="422"/>
      <c r="D44" s="422"/>
      <c r="E44" s="422"/>
      <c r="F44" s="424"/>
      <c r="G44" s="423"/>
      <c r="H44" s="425"/>
      <c r="I44" s="426"/>
      <c r="J44" s="577"/>
      <c r="K44" s="580"/>
      <c r="L44" s="422"/>
      <c r="M44" s="428"/>
      <c r="N44" s="352" t="s">
        <v>345</v>
      </c>
      <c r="O44" s="424"/>
      <c r="P44" s="336">
        <v>3771.37</v>
      </c>
      <c r="Q44" s="337" t="s">
        <v>310</v>
      </c>
      <c r="R44" s="338"/>
      <c r="S44" s="336"/>
      <c r="T44" s="336"/>
      <c r="U44" s="425"/>
      <c r="V44" s="583"/>
      <c r="W44" s="428"/>
      <c r="X44" s="2">
        <v>57</v>
      </c>
    </row>
    <row r="45" spans="1:24" x14ac:dyDescent="0.25">
      <c r="A45" s="429"/>
      <c r="B45" s="422"/>
      <c r="C45" s="422"/>
      <c r="D45" s="422"/>
      <c r="E45" s="422"/>
      <c r="F45" s="424"/>
      <c r="G45" s="423"/>
      <c r="H45" s="425"/>
      <c r="I45" s="426"/>
      <c r="J45" s="577"/>
      <c r="K45" s="580"/>
      <c r="L45" s="422"/>
      <c r="M45" s="428"/>
      <c r="N45" s="352" t="s">
        <v>371</v>
      </c>
      <c r="O45" s="424"/>
      <c r="P45" s="336">
        <v>3771.37</v>
      </c>
      <c r="Q45" s="337" t="s">
        <v>376</v>
      </c>
      <c r="R45" s="338"/>
      <c r="S45" s="336"/>
      <c r="T45" s="336"/>
      <c r="U45" s="425"/>
      <c r="V45" s="583"/>
      <c r="W45" s="428"/>
      <c r="X45" s="2">
        <v>57</v>
      </c>
    </row>
    <row r="46" spans="1:24" x14ac:dyDescent="0.25">
      <c r="A46" s="429"/>
      <c r="B46" s="422"/>
      <c r="C46" s="422"/>
      <c r="D46" s="422"/>
      <c r="E46" s="422"/>
      <c r="F46" s="424"/>
      <c r="G46" s="423"/>
      <c r="H46" s="425"/>
      <c r="I46" s="426"/>
      <c r="J46" s="577"/>
      <c r="K46" s="580"/>
      <c r="L46" s="422"/>
      <c r="M46" s="428"/>
      <c r="N46" s="352" t="s">
        <v>460</v>
      </c>
      <c r="O46" s="424"/>
      <c r="P46" s="336">
        <v>3771.37</v>
      </c>
      <c r="Q46" s="337" t="s">
        <v>457</v>
      </c>
      <c r="R46" s="338"/>
      <c r="S46" s="336"/>
      <c r="T46" s="336"/>
      <c r="U46" s="425"/>
      <c r="V46" s="583"/>
      <c r="W46" s="428"/>
      <c r="X46" s="2">
        <v>57</v>
      </c>
    </row>
    <row r="47" spans="1:24" x14ac:dyDescent="0.25">
      <c r="A47" s="429"/>
      <c r="B47" s="422"/>
      <c r="C47" s="422"/>
      <c r="D47" s="422"/>
      <c r="E47" s="422"/>
      <c r="F47" s="424"/>
      <c r="G47" s="423"/>
      <c r="H47" s="425"/>
      <c r="I47" s="426"/>
      <c r="J47" s="577"/>
      <c r="K47" s="580"/>
      <c r="L47" s="422"/>
      <c r="M47" s="428"/>
      <c r="N47" s="352" t="s">
        <v>470</v>
      </c>
      <c r="O47" s="424"/>
      <c r="P47" s="336">
        <v>3771.37</v>
      </c>
      <c r="Q47" s="337" t="s">
        <v>509</v>
      </c>
      <c r="R47" s="338"/>
      <c r="S47" s="336"/>
      <c r="T47" s="336"/>
      <c r="U47" s="425"/>
      <c r="V47" s="583"/>
      <c r="W47" s="428"/>
      <c r="X47" s="2">
        <v>57</v>
      </c>
    </row>
    <row r="48" spans="1:24" x14ac:dyDescent="0.25">
      <c r="A48" s="429"/>
      <c r="B48" s="422"/>
      <c r="C48" s="422"/>
      <c r="D48" s="422"/>
      <c r="E48" s="422"/>
      <c r="F48" s="424"/>
      <c r="G48" s="423"/>
      <c r="H48" s="425"/>
      <c r="I48" s="426"/>
      <c r="J48" s="577"/>
      <c r="K48" s="580"/>
      <c r="L48" s="422"/>
      <c r="M48" s="428"/>
      <c r="N48" s="352" t="s">
        <v>562</v>
      </c>
      <c r="O48" s="424"/>
      <c r="P48" s="336">
        <v>3771.37</v>
      </c>
      <c r="Q48" s="337" t="s">
        <v>564</v>
      </c>
      <c r="R48" s="338"/>
      <c r="S48" s="336"/>
      <c r="T48" s="336"/>
      <c r="U48" s="425"/>
      <c r="V48" s="583"/>
      <c r="W48" s="428"/>
      <c r="X48" s="2">
        <v>57</v>
      </c>
    </row>
    <row r="49" spans="1:24" x14ac:dyDescent="0.25">
      <c r="A49" s="429"/>
      <c r="B49" s="422"/>
      <c r="C49" s="422"/>
      <c r="D49" s="422"/>
      <c r="E49" s="422"/>
      <c r="F49" s="424"/>
      <c r="G49" s="423"/>
      <c r="H49" s="425"/>
      <c r="I49" s="426"/>
      <c r="J49" s="577"/>
      <c r="K49" s="580"/>
      <c r="L49" s="422"/>
      <c r="M49" s="428"/>
      <c r="N49" s="352" t="s">
        <v>602</v>
      </c>
      <c r="O49" s="424"/>
      <c r="P49" s="336">
        <v>3771.37</v>
      </c>
      <c r="Q49" s="337" t="s">
        <v>607</v>
      </c>
      <c r="R49" s="338"/>
      <c r="S49" s="336"/>
      <c r="T49" s="336"/>
      <c r="U49" s="425"/>
      <c r="V49" s="583"/>
      <c r="W49" s="428"/>
      <c r="X49" s="2">
        <v>57</v>
      </c>
    </row>
    <row r="50" spans="1:24" x14ac:dyDescent="0.25">
      <c r="A50" s="429"/>
      <c r="B50" s="422"/>
      <c r="C50" s="422"/>
      <c r="D50" s="422"/>
      <c r="E50" s="422"/>
      <c r="F50" s="424"/>
      <c r="G50" s="423"/>
      <c r="H50" s="425"/>
      <c r="I50" s="426"/>
      <c r="J50" s="577"/>
      <c r="K50" s="580"/>
      <c r="L50" s="422"/>
      <c r="M50" s="428"/>
      <c r="N50" s="352" t="s">
        <v>606</v>
      </c>
      <c r="O50" s="424"/>
      <c r="P50" s="336">
        <v>3771.37</v>
      </c>
      <c r="Q50" s="337" t="s">
        <v>647</v>
      </c>
      <c r="R50" s="338"/>
      <c r="S50" s="336"/>
      <c r="T50" s="336"/>
      <c r="U50" s="425"/>
      <c r="V50" s="583"/>
      <c r="W50" s="428"/>
      <c r="X50" s="2">
        <v>57</v>
      </c>
    </row>
    <row r="51" spans="1:24" x14ac:dyDescent="0.25">
      <c r="A51" s="429"/>
      <c r="B51" s="422"/>
      <c r="C51" s="422"/>
      <c r="D51" s="422"/>
      <c r="E51" s="422"/>
      <c r="F51" s="424"/>
      <c r="G51" s="423"/>
      <c r="H51" s="425"/>
      <c r="I51" s="426"/>
      <c r="J51" s="577"/>
      <c r="K51" s="580"/>
      <c r="L51" s="422"/>
      <c r="M51" s="428"/>
      <c r="N51" s="352" t="s">
        <v>694</v>
      </c>
      <c r="O51" s="424"/>
      <c r="P51" s="336">
        <v>3771.37</v>
      </c>
      <c r="Q51" s="337" t="s">
        <v>702</v>
      </c>
      <c r="R51" s="338"/>
      <c r="S51" s="336"/>
      <c r="T51" s="336"/>
      <c r="U51" s="425"/>
      <c r="V51" s="583"/>
      <c r="W51" s="428"/>
      <c r="X51" s="2">
        <v>57</v>
      </c>
    </row>
    <row r="52" spans="1:24" x14ac:dyDescent="0.25">
      <c r="A52" s="429"/>
      <c r="B52" s="422"/>
      <c r="C52" s="422"/>
      <c r="D52" s="422"/>
      <c r="E52" s="422"/>
      <c r="F52" s="424"/>
      <c r="G52" s="423"/>
      <c r="H52" s="425"/>
      <c r="I52" s="426"/>
      <c r="J52" s="577"/>
      <c r="K52" s="580"/>
      <c r="L52" s="422"/>
      <c r="M52" s="428"/>
      <c r="N52" s="352" t="s">
        <v>734</v>
      </c>
      <c r="O52" s="424"/>
      <c r="P52" s="336">
        <v>3771.37</v>
      </c>
      <c r="Q52" s="337" t="s">
        <v>740</v>
      </c>
      <c r="R52" s="338"/>
      <c r="S52" s="336"/>
      <c r="T52" s="336"/>
      <c r="U52" s="425"/>
      <c r="V52" s="583"/>
      <c r="W52" s="428"/>
      <c r="X52" s="2">
        <v>57</v>
      </c>
    </row>
    <row r="53" spans="1:24" x14ac:dyDescent="0.25">
      <c r="A53" s="429"/>
      <c r="B53" s="422"/>
      <c r="C53" s="422"/>
      <c r="D53" s="422"/>
      <c r="E53" s="422"/>
      <c r="F53" s="424"/>
      <c r="G53" s="423"/>
      <c r="H53" s="425"/>
      <c r="I53" s="426"/>
      <c r="J53" s="577"/>
      <c r="K53" s="580"/>
      <c r="L53" s="422"/>
      <c r="M53" s="428"/>
      <c r="N53" s="352" t="s">
        <v>834</v>
      </c>
      <c r="O53" s="424"/>
      <c r="P53" s="336">
        <v>3771.37</v>
      </c>
      <c r="Q53" s="337" t="s">
        <v>848</v>
      </c>
      <c r="R53" s="338"/>
      <c r="S53" s="336"/>
      <c r="T53" s="336"/>
      <c r="U53" s="425"/>
      <c r="V53" s="583"/>
      <c r="W53" s="428"/>
      <c r="X53" s="2">
        <v>57</v>
      </c>
    </row>
    <row r="54" spans="1:24" x14ac:dyDescent="0.25">
      <c r="A54" s="407"/>
      <c r="B54" s="413"/>
      <c r="C54" s="413"/>
      <c r="D54" s="413"/>
      <c r="E54" s="413"/>
      <c r="F54" s="409"/>
      <c r="G54" s="419"/>
      <c r="H54" s="411"/>
      <c r="I54" s="421"/>
      <c r="J54" s="578"/>
      <c r="K54" s="581"/>
      <c r="L54" s="413"/>
      <c r="M54" s="417"/>
      <c r="N54" s="353" t="s">
        <v>836</v>
      </c>
      <c r="O54" s="409"/>
      <c r="P54" s="346">
        <v>3771.37</v>
      </c>
      <c r="Q54" s="347" t="s">
        <v>848</v>
      </c>
      <c r="R54" s="348"/>
      <c r="S54" s="346"/>
      <c r="T54" s="346"/>
      <c r="U54" s="411"/>
      <c r="V54" s="584"/>
      <c r="W54" s="417"/>
      <c r="X54" s="2">
        <v>57</v>
      </c>
    </row>
    <row r="55" spans="1:24" s="85" customFormat="1" ht="54" customHeight="1" x14ac:dyDescent="0.25">
      <c r="A55" s="406">
        <v>6</v>
      </c>
      <c r="B55" s="412" t="s">
        <v>56</v>
      </c>
      <c r="C55" s="412"/>
      <c r="D55" s="412"/>
      <c r="E55" s="412" t="s">
        <v>235</v>
      </c>
      <c r="F55" s="408" t="s">
        <v>217</v>
      </c>
      <c r="G55" s="418" t="s">
        <v>230</v>
      </c>
      <c r="H55" s="410">
        <v>460063</v>
      </c>
      <c r="I55" s="420">
        <f>IF(X55 = 58, H55 + SUM(S55:S88) - SUM(T55:T88) - SUM(P55:P88) - V55,0)</f>
        <v>-9259.5</v>
      </c>
      <c r="J55" s="576">
        <v>2308119595</v>
      </c>
      <c r="K55" s="579" t="s">
        <v>146</v>
      </c>
      <c r="L55" s="412"/>
      <c r="M55" s="412" t="s">
        <v>214</v>
      </c>
      <c r="N55" s="351" t="s">
        <v>264</v>
      </c>
      <c r="O55" s="408" t="s">
        <v>231</v>
      </c>
      <c r="P55" s="335">
        <v>21504.21</v>
      </c>
      <c r="Q55" s="334" t="s">
        <v>263</v>
      </c>
      <c r="R55" s="333" t="s">
        <v>748</v>
      </c>
      <c r="S55" s="335">
        <v>139937</v>
      </c>
      <c r="T55" s="335"/>
      <c r="U55" s="410"/>
      <c r="V55" s="582"/>
      <c r="W55" s="416"/>
      <c r="X55" s="85">
        <v>58</v>
      </c>
    </row>
    <row r="56" spans="1:24" x14ac:dyDescent="0.25">
      <c r="A56" s="429"/>
      <c r="B56" s="422"/>
      <c r="C56" s="422"/>
      <c r="D56" s="422"/>
      <c r="E56" s="422"/>
      <c r="F56" s="424"/>
      <c r="G56" s="423"/>
      <c r="H56" s="425"/>
      <c r="I56" s="426"/>
      <c r="J56" s="577"/>
      <c r="K56" s="580"/>
      <c r="L56" s="422"/>
      <c r="M56" s="422"/>
      <c r="N56" s="352" t="s">
        <v>267</v>
      </c>
      <c r="O56" s="424"/>
      <c r="P56" s="336">
        <v>17021.11</v>
      </c>
      <c r="Q56" s="337" t="s">
        <v>266</v>
      </c>
      <c r="R56" s="338"/>
      <c r="S56" s="336"/>
      <c r="T56" s="336"/>
      <c r="U56" s="425"/>
      <c r="V56" s="583"/>
      <c r="W56" s="428"/>
      <c r="X56" s="2">
        <v>58</v>
      </c>
    </row>
    <row r="57" spans="1:24" x14ac:dyDescent="0.25">
      <c r="A57" s="429"/>
      <c r="B57" s="422"/>
      <c r="C57" s="422"/>
      <c r="D57" s="422"/>
      <c r="E57" s="422"/>
      <c r="F57" s="424"/>
      <c r="G57" s="423"/>
      <c r="H57" s="425"/>
      <c r="I57" s="426"/>
      <c r="J57" s="577"/>
      <c r="K57" s="580"/>
      <c r="L57" s="422"/>
      <c r="M57" s="422"/>
      <c r="N57" s="352" t="s">
        <v>267</v>
      </c>
      <c r="O57" s="424"/>
      <c r="P57" s="336">
        <v>27235.8</v>
      </c>
      <c r="Q57" s="337" t="s">
        <v>266</v>
      </c>
      <c r="R57" s="338"/>
      <c r="S57" s="336"/>
      <c r="T57" s="336"/>
      <c r="U57" s="425"/>
      <c r="V57" s="583"/>
      <c r="W57" s="428"/>
      <c r="X57" s="2">
        <v>58</v>
      </c>
    </row>
    <row r="58" spans="1:24" x14ac:dyDescent="0.25">
      <c r="A58" s="429"/>
      <c r="B58" s="422"/>
      <c r="C58" s="422"/>
      <c r="D58" s="422"/>
      <c r="E58" s="422"/>
      <c r="F58" s="424"/>
      <c r="G58" s="423"/>
      <c r="H58" s="425"/>
      <c r="I58" s="426"/>
      <c r="J58" s="577"/>
      <c r="K58" s="580"/>
      <c r="L58" s="422"/>
      <c r="M58" s="422"/>
      <c r="N58" s="352" t="s">
        <v>304</v>
      </c>
      <c r="O58" s="424"/>
      <c r="P58" s="336">
        <v>20426.86</v>
      </c>
      <c r="Q58" s="337" t="s">
        <v>306</v>
      </c>
      <c r="R58" s="338"/>
      <c r="S58" s="336"/>
      <c r="T58" s="336"/>
      <c r="U58" s="425"/>
      <c r="V58" s="583"/>
      <c r="W58" s="428"/>
      <c r="X58" s="2">
        <v>58</v>
      </c>
    </row>
    <row r="59" spans="1:24" x14ac:dyDescent="0.25">
      <c r="A59" s="429"/>
      <c r="B59" s="422"/>
      <c r="C59" s="422"/>
      <c r="D59" s="422"/>
      <c r="E59" s="422"/>
      <c r="F59" s="424"/>
      <c r="G59" s="423"/>
      <c r="H59" s="425"/>
      <c r="I59" s="426"/>
      <c r="J59" s="577"/>
      <c r="K59" s="580"/>
      <c r="L59" s="422"/>
      <c r="M59" s="422"/>
      <c r="N59" s="352" t="s">
        <v>307</v>
      </c>
      <c r="O59" s="424"/>
      <c r="P59" s="336">
        <v>38404.03</v>
      </c>
      <c r="Q59" s="337" t="s">
        <v>315</v>
      </c>
      <c r="R59" s="338"/>
      <c r="S59" s="336"/>
      <c r="T59" s="336"/>
      <c r="U59" s="425"/>
      <c r="V59" s="583"/>
      <c r="W59" s="428"/>
      <c r="X59" s="2">
        <v>58</v>
      </c>
    </row>
    <row r="60" spans="1:24" x14ac:dyDescent="0.25">
      <c r="A60" s="429"/>
      <c r="B60" s="422"/>
      <c r="C60" s="422"/>
      <c r="D60" s="422"/>
      <c r="E60" s="422"/>
      <c r="F60" s="424"/>
      <c r="G60" s="423"/>
      <c r="H60" s="425"/>
      <c r="I60" s="426"/>
      <c r="J60" s="577"/>
      <c r="K60" s="580"/>
      <c r="L60" s="422"/>
      <c r="M60" s="422"/>
      <c r="N60" s="352" t="s">
        <v>304</v>
      </c>
      <c r="O60" s="424"/>
      <c r="P60" s="336">
        <v>36412.379999999997</v>
      </c>
      <c r="Q60" s="337" t="s">
        <v>315</v>
      </c>
      <c r="R60" s="338"/>
      <c r="S60" s="336"/>
      <c r="T60" s="336"/>
      <c r="U60" s="425"/>
      <c r="V60" s="583"/>
      <c r="W60" s="428"/>
      <c r="X60" s="2">
        <v>58</v>
      </c>
    </row>
    <row r="61" spans="1:24" x14ac:dyDescent="0.25">
      <c r="A61" s="429"/>
      <c r="B61" s="422"/>
      <c r="C61" s="422"/>
      <c r="D61" s="422"/>
      <c r="E61" s="422"/>
      <c r="F61" s="424"/>
      <c r="G61" s="423"/>
      <c r="H61" s="425"/>
      <c r="I61" s="426"/>
      <c r="J61" s="577"/>
      <c r="K61" s="580"/>
      <c r="L61" s="422"/>
      <c r="M61" s="422"/>
      <c r="N61" s="352" t="s">
        <v>344</v>
      </c>
      <c r="O61" s="424"/>
      <c r="P61" s="336">
        <v>27309.29</v>
      </c>
      <c r="Q61" s="337" t="s">
        <v>344</v>
      </c>
      <c r="R61" s="338"/>
      <c r="S61" s="336"/>
      <c r="T61" s="336"/>
      <c r="U61" s="425"/>
      <c r="V61" s="583"/>
      <c r="W61" s="428"/>
      <c r="X61" s="2">
        <v>58</v>
      </c>
    </row>
    <row r="62" spans="1:24" x14ac:dyDescent="0.25">
      <c r="A62" s="429"/>
      <c r="B62" s="422"/>
      <c r="C62" s="422"/>
      <c r="D62" s="422"/>
      <c r="E62" s="422"/>
      <c r="F62" s="424"/>
      <c r="G62" s="423"/>
      <c r="H62" s="425"/>
      <c r="I62" s="426"/>
      <c r="J62" s="577"/>
      <c r="K62" s="580"/>
      <c r="L62" s="422"/>
      <c r="M62" s="422"/>
      <c r="N62" s="352" t="s">
        <v>345</v>
      </c>
      <c r="O62" s="424"/>
      <c r="P62" s="336">
        <v>6478.89</v>
      </c>
      <c r="Q62" s="337" t="s">
        <v>350</v>
      </c>
      <c r="R62" s="338"/>
      <c r="S62" s="336"/>
      <c r="T62" s="336"/>
      <c r="U62" s="425"/>
      <c r="V62" s="583"/>
      <c r="W62" s="428"/>
      <c r="X62" s="2">
        <v>58</v>
      </c>
    </row>
    <row r="63" spans="1:24" x14ac:dyDescent="0.25">
      <c r="A63" s="429"/>
      <c r="B63" s="422"/>
      <c r="C63" s="422"/>
      <c r="D63" s="422"/>
      <c r="E63" s="422"/>
      <c r="F63" s="424"/>
      <c r="G63" s="423"/>
      <c r="H63" s="425"/>
      <c r="I63" s="426"/>
      <c r="J63" s="577"/>
      <c r="K63" s="580"/>
      <c r="L63" s="422"/>
      <c r="M63" s="422"/>
      <c r="N63" s="352" t="s">
        <v>344</v>
      </c>
      <c r="O63" s="424"/>
      <c r="P63" s="336">
        <v>27893.33</v>
      </c>
      <c r="Q63" s="337" t="s">
        <v>350</v>
      </c>
      <c r="R63" s="338"/>
      <c r="S63" s="336"/>
      <c r="T63" s="336"/>
      <c r="U63" s="425"/>
      <c r="V63" s="583"/>
      <c r="W63" s="428"/>
      <c r="X63" s="2">
        <v>58</v>
      </c>
    </row>
    <row r="64" spans="1:24" x14ac:dyDescent="0.25">
      <c r="A64" s="429"/>
      <c r="B64" s="422"/>
      <c r="C64" s="422"/>
      <c r="D64" s="422"/>
      <c r="E64" s="422"/>
      <c r="F64" s="424"/>
      <c r="G64" s="423"/>
      <c r="H64" s="425"/>
      <c r="I64" s="426"/>
      <c r="J64" s="577"/>
      <c r="K64" s="580"/>
      <c r="L64" s="422"/>
      <c r="M64" s="422"/>
      <c r="N64" s="352" t="s">
        <v>373</v>
      </c>
      <c r="O64" s="424"/>
      <c r="P64" s="336">
        <v>20920</v>
      </c>
      <c r="Q64" s="337" t="s">
        <v>372</v>
      </c>
      <c r="R64" s="338"/>
      <c r="S64" s="336"/>
      <c r="T64" s="336"/>
      <c r="U64" s="425"/>
      <c r="V64" s="583"/>
      <c r="W64" s="428"/>
      <c r="X64" s="2">
        <v>58</v>
      </c>
    </row>
    <row r="65" spans="1:24" x14ac:dyDescent="0.25">
      <c r="A65" s="429"/>
      <c r="B65" s="422"/>
      <c r="C65" s="422"/>
      <c r="D65" s="422"/>
      <c r="E65" s="422"/>
      <c r="F65" s="424"/>
      <c r="G65" s="423"/>
      <c r="H65" s="425"/>
      <c r="I65" s="426"/>
      <c r="J65" s="577"/>
      <c r="K65" s="580"/>
      <c r="L65" s="422"/>
      <c r="M65" s="422"/>
      <c r="N65" s="352" t="s">
        <v>371</v>
      </c>
      <c r="O65" s="424"/>
      <c r="P65" s="336">
        <v>270</v>
      </c>
      <c r="Q65" s="337" t="s">
        <v>380</v>
      </c>
      <c r="R65" s="338"/>
      <c r="S65" s="336"/>
      <c r="T65" s="336"/>
      <c r="U65" s="425"/>
      <c r="V65" s="583"/>
      <c r="W65" s="428"/>
      <c r="X65" s="2">
        <v>58</v>
      </c>
    </row>
    <row r="66" spans="1:24" x14ac:dyDescent="0.25">
      <c r="A66" s="429"/>
      <c r="B66" s="422"/>
      <c r="C66" s="422"/>
      <c r="D66" s="422"/>
      <c r="E66" s="422"/>
      <c r="F66" s="424"/>
      <c r="G66" s="423"/>
      <c r="H66" s="425"/>
      <c r="I66" s="426"/>
      <c r="J66" s="577"/>
      <c r="K66" s="580"/>
      <c r="L66" s="422"/>
      <c r="M66" s="422"/>
      <c r="N66" s="352" t="s">
        <v>373</v>
      </c>
      <c r="O66" s="424"/>
      <c r="P66" s="336">
        <v>15341.44</v>
      </c>
      <c r="Q66" s="337" t="s">
        <v>380</v>
      </c>
      <c r="R66" s="338"/>
      <c r="S66" s="336"/>
      <c r="T66" s="336"/>
      <c r="U66" s="425"/>
      <c r="V66" s="583"/>
      <c r="W66" s="428"/>
      <c r="X66" s="2">
        <v>58</v>
      </c>
    </row>
    <row r="67" spans="1:24" x14ac:dyDescent="0.25">
      <c r="A67" s="429"/>
      <c r="B67" s="422"/>
      <c r="C67" s="422"/>
      <c r="D67" s="422"/>
      <c r="E67" s="422"/>
      <c r="F67" s="424"/>
      <c r="G67" s="423"/>
      <c r="H67" s="425"/>
      <c r="I67" s="426"/>
      <c r="J67" s="577"/>
      <c r="K67" s="580"/>
      <c r="L67" s="422"/>
      <c r="M67" s="422"/>
      <c r="N67" s="352" t="s">
        <v>456</v>
      </c>
      <c r="O67" s="424"/>
      <c r="P67" s="336">
        <v>11506.08</v>
      </c>
      <c r="Q67" s="337" t="s">
        <v>455</v>
      </c>
      <c r="R67" s="338"/>
      <c r="S67" s="336"/>
      <c r="T67" s="336"/>
      <c r="U67" s="425"/>
      <c r="V67" s="583"/>
      <c r="W67" s="428"/>
      <c r="X67" s="2">
        <v>58</v>
      </c>
    </row>
    <row r="68" spans="1:24" x14ac:dyDescent="0.25">
      <c r="A68" s="429"/>
      <c r="B68" s="422"/>
      <c r="C68" s="422"/>
      <c r="D68" s="422"/>
      <c r="E68" s="422"/>
      <c r="F68" s="424"/>
      <c r="G68" s="423"/>
      <c r="H68" s="425"/>
      <c r="I68" s="426"/>
      <c r="J68" s="577"/>
      <c r="K68" s="580"/>
      <c r="L68" s="422"/>
      <c r="M68" s="422"/>
      <c r="N68" s="352" t="s">
        <v>460</v>
      </c>
      <c r="O68" s="424"/>
      <c r="P68" s="336">
        <v>1168</v>
      </c>
      <c r="Q68" s="337" t="s">
        <v>465</v>
      </c>
      <c r="R68" s="338"/>
      <c r="S68" s="336"/>
      <c r="T68" s="336"/>
      <c r="U68" s="425"/>
      <c r="V68" s="583"/>
      <c r="W68" s="428"/>
      <c r="X68" s="2">
        <v>58</v>
      </c>
    </row>
    <row r="69" spans="1:24" x14ac:dyDescent="0.25">
      <c r="A69" s="429"/>
      <c r="B69" s="422"/>
      <c r="C69" s="422"/>
      <c r="D69" s="422"/>
      <c r="E69" s="422"/>
      <c r="F69" s="424"/>
      <c r="G69" s="423"/>
      <c r="H69" s="425"/>
      <c r="I69" s="426"/>
      <c r="J69" s="577"/>
      <c r="K69" s="580"/>
      <c r="L69" s="422"/>
      <c r="M69" s="422"/>
      <c r="N69" s="352" t="s">
        <v>456</v>
      </c>
      <c r="O69" s="424"/>
      <c r="P69" s="336">
        <v>23631.14</v>
      </c>
      <c r="Q69" s="337" t="s">
        <v>465</v>
      </c>
      <c r="R69" s="338"/>
      <c r="S69" s="336"/>
      <c r="T69" s="336"/>
      <c r="U69" s="425"/>
      <c r="V69" s="583"/>
      <c r="W69" s="428"/>
      <c r="X69" s="2">
        <v>58</v>
      </c>
    </row>
    <row r="70" spans="1:24" x14ac:dyDescent="0.25">
      <c r="A70" s="429"/>
      <c r="B70" s="422"/>
      <c r="C70" s="422"/>
      <c r="D70" s="422"/>
      <c r="E70" s="422"/>
      <c r="F70" s="424"/>
      <c r="G70" s="423"/>
      <c r="H70" s="425"/>
      <c r="I70" s="426"/>
      <c r="J70" s="577"/>
      <c r="K70" s="580"/>
      <c r="L70" s="422"/>
      <c r="M70" s="422"/>
      <c r="N70" s="352" t="s">
        <v>505</v>
      </c>
      <c r="O70" s="424"/>
      <c r="P70" s="336">
        <v>17925.849999999999</v>
      </c>
      <c r="Q70" s="337" t="s">
        <v>508</v>
      </c>
      <c r="R70" s="338"/>
      <c r="S70" s="336"/>
      <c r="T70" s="336"/>
      <c r="U70" s="425"/>
      <c r="V70" s="583"/>
      <c r="W70" s="428"/>
      <c r="X70" s="2">
        <v>58</v>
      </c>
    </row>
    <row r="71" spans="1:24" x14ac:dyDescent="0.25">
      <c r="A71" s="429"/>
      <c r="B71" s="422"/>
      <c r="C71" s="422"/>
      <c r="D71" s="422"/>
      <c r="E71" s="422"/>
      <c r="F71" s="424"/>
      <c r="G71" s="423"/>
      <c r="H71" s="425"/>
      <c r="I71" s="426"/>
      <c r="J71" s="577"/>
      <c r="K71" s="580"/>
      <c r="L71" s="422"/>
      <c r="M71" s="422"/>
      <c r="N71" s="352" t="s">
        <v>470</v>
      </c>
      <c r="O71" s="424"/>
      <c r="P71" s="336">
        <v>11711.04</v>
      </c>
      <c r="Q71" s="337" t="s">
        <v>511</v>
      </c>
      <c r="R71" s="338"/>
      <c r="S71" s="336"/>
      <c r="T71" s="336"/>
      <c r="U71" s="425"/>
      <c r="V71" s="583"/>
      <c r="W71" s="428"/>
      <c r="X71" s="2">
        <v>58</v>
      </c>
    </row>
    <row r="72" spans="1:24" x14ac:dyDescent="0.25">
      <c r="A72" s="429"/>
      <c r="B72" s="422"/>
      <c r="C72" s="422"/>
      <c r="D72" s="422"/>
      <c r="E72" s="422"/>
      <c r="F72" s="424"/>
      <c r="G72" s="423"/>
      <c r="H72" s="425"/>
      <c r="I72" s="426"/>
      <c r="J72" s="577"/>
      <c r="K72" s="580"/>
      <c r="L72" s="422"/>
      <c r="M72" s="422"/>
      <c r="N72" s="352" t="s">
        <v>505</v>
      </c>
      <c r="O72" s="424"/>
      <c r="P72" s="336">
        <v>20769.71</v>
      </c>
      <c r="Q72" s="337" t="s">
        <v>511</v>
      </c>
      <c r="R72" s="338"/>
      <c r="S72" s="336"/>
      <c r="T72" s="336"/>
      <c r="U72" s="425"/>
      <c r="V72" s="583"/>
      <c r="W72" s="428"/>
      <c r="X72" s="2">
        <v>58</v>
      </c>
    </row>
    <row r="73" spans="1:24" x14ac:dyDescent="0.25">
      <c r="A73" s="429"/>
      <c r="B73" s="422"/>
      <c r="C73" s="422"/>
      <c r="D73" s="422"/>
      <c r="E73" s="422"/>
      <c r="F73" s="424"/>
      <c r="G73" s="423"/>
      <c r="H73" s="425"/>
      <c r="I73" s="426"/>
      <c r="J73" s="577"/>
      <c r="K73" s="580"/>
      <c r="L73" s="422"/>
      <c r="M73" s="422"/>
      <c r="N73" s="352" t="s">
        <v>470</v>
      </c>
      <c r="O73" s="424"/>
      <c r="P73" s="336">
        <v>270</v>
      </c>
      <c r="Q73" s="337" t="s">
        <v>512</v>
      </c>
      <c r="R73" s="338"/>
      <c r="S73" s="336"/>
      <c r="T73" s="336"/>
      <c r="U73" s="425"/>
      <c r="V73" s="583"/>
      <c r="W73" s="428"/>
      <c r="X73" s="2">
        <v>58</v>
      </c>
    </row>
    <row r="74" spans="1:24" x14ac:dyDescent="0.25">
      <c r="A74" s="429"/>
      <c r="B74" s="422"/>
      <c r="C74" s="422"/>
      <c r="D74" s="422"/>
      <c r="E74" s="422"/>
      <c r="F74" s="424"/>
      <c r="G74" s="423"/>
      <c r="H74" s="425"/>
      <c r="I74" s="426"/>
      <c r="J74" s="577"/>
      <c r="K74" s="580"/>
      <c r="L74" s="422"/>
      <c r="M74" s="422"/>
      <c r="N74" s="352" t="s">
        <v>565</v>
      </c>
      <c r="O74" s="424"/>
      <c r="P74" s="336">
        <v>15577.28</v>
      </c>
      <c r="Q74" s="337" t="s">
        <v>564</v>
      </c>
      <c r="R74" s="338"/>
      <c r="S74" s="336"/>
      <c r="T74" s="336"/>
      <c r="U74" s="425"/>
      <c r="V74" s="583"/>
      <c r="W74" s="428"/>
      <c r="X74" s="2">
        <v>58</v>
      </c>
    </row>
    <row r="75" spans="1:24" x14ac:dyDescent="0.25">
      <c r="A75" s="429"/>
      <c r="B75" s="422"/>
      <c r="C75" s="422"/>
      <c r="D75" s="422"/>
      <c r="E75" s="422"/>
      <c r="F75" s="424"/>
      <c r="G75" s="423"/>
      <c r="H75" s="425"/>
      <c r="I75" s="426"/>
      <c r="J75" s="577"/>
      <c r="K75" s="580"/>
      <c r="L75" s="422"/>
      <c r="M75" s="422"/>
      <c r="N75" s="352" t="s">
        <v>565</v>
      </c>
      <c r="O75" s="424"/>
      <c r="P75" s="336">
        <v>14004.55</v>
      </c>
      <c r="Q75" s="337" t="s">
        <v>566</v>
      </c>
      <c r="R75" s="338"/>
      <c r="S75" s="336"/>
      <c r="T75" s="336"/>
      <c r="U75" s="425"/>
      <c r="V75" s="583"/>
      <c r="W75" s="428"/>
      <c r="X75" s="2">
        <v>58</v>
      </c>
    </row>
    <row r="76" spans="1:24" x14ac:dyDescent="0.25">
      <c r="A76" s="429"/>
      <c r="B76" s="422"/>
      <c r="C76" s="422"/>
      <c r="D76" s="422"/>
      <c r="E76" s="422"/>
      <c r="F76" s="424"/>
      <c r="G76" s="423"/>
      <c r="H76" s="425"/>
      <c r="I76" s="426"/>
      <c r="J76" s="577"/>
      <c r="K76" s="580"/>
      <c r="L76" s="422"/>
      <c r="M76" s="422"/>
      <c r="N76" s="352" t="s">
        <v>608</v>
      </c>
      <c r="O76" s="424"/>
      <c r="P76" s="336">
        <v>10503.42</v>
      </c>
      <c r="Q76" s="337" t="s">
        <v>605</v>
      </c>
      <c r="R76" s="338"/>
      <c r="S76" s="336"/>
      <c r="T76" s="336"/>
      <c r="U76" s="425"/>
      <c r="V76" s="583"/>
      <c r="W76" s="428"/>
      <c r="X76" s="2">
        <v>58</v>
      </c>
    </row>
    <row r="77" spans="1:24" x14ac:dyDescent="0.25">
      <c r="A77" s="429"/>
      <c r="B77" s="422"/>
      <c r="C77" s="422"/>
      <c r="D77" s="422"/>
      <c r="E77" s="422"/>
      <c r="F77" s="424"/>
      <c r="G77" s="423"/>
      <c r="H77" s="425"/>
      <c r="I77" s="426"/>
      <c r="J77" s="577"/>
      <c r="K77" s="580"/>
      <c r="L77" s="422"/>
      <c r="M77" s="422"/>
      <c r="N77" s="352" t="s">
        <v>608</v>
      </c>
      <c r="O77" s="424"/>
      <c r="P77" s="336">
        <v>7509.07</v>
      </c>
      <c r="Q77" s="337" t="s">
        <v>612</v>
      </c>
      <c r="R77" s="338"/>
      <c r="S77" s="336"/>
      <c r="T77" s="336"/>
      <c r="U77" s="425"/>
      <c r="V77" s="583"/>
      <c r="W77" s="428"/>
      <c r="X77" s="2">
        <v>58</v>
      </c>
    </row>
    <row r="78" spans="1:24" x14ac:dyDescent="0.25">
      <c r="A78" s="429"/>
      <c r="B78" s="422"/>
      <c r="C78" s="422"/>
      <c r="D78" s="422"/>
      <c r="E78" s="422"/>
      <c r="F78" s="424"/>
      <c r="G78" s="423"/>
      <c r="H78" s="425"/>
      <c r="I78" s="426"/>
      <c r="J78" s="577"/>
      <c r="K78" s="580"/>
      <c r="L78" s="422"/>
      <c r="M78" s="422"/>
      <c r="N78" s="352" t="s">
        <v>643</v>
      </c>
      <c r="O78" s="424"/>
      <c r="P78" s="336">
        <v>5631.8</v>
      </c>
      <c r="Q78" s="337" t="s">
        <v>643</v>
      </c>
      <c r="R78" s="338"/>
      <c r="S78" s="336"/>
      <c r="T78" s="336"/>
      <c r="U78" s="425"/>
      <c r="V78" s="583"/>
      <c r="W78" s="428"/>
      <c r="X78" s="2">
        <v>58</v>
      </c>
    </row>
    <row r="79" spans="1:24" x14ac:dyDescent="0.25">
      <c r="A79" s="429"/>
      <c r="B79" s="422"/>
      <c r="C79" s="422"/>
      <c r="D79" s="422"/>
      <c r="E79" s="422"/>
      <c r="F79" s="424"/>
      <c r="G79" s="423"/>
      <c r="H79" s="425"/>
      <c r="I79" s="426"/>
      <c r="J79" s="577"/>
      <c r="K79" s="580"/>
      <c r="L79" s="422"/>
      <c r="M79" s="422"/>
      <c r="N79" s="352" t="s">
        <v>643</v>
      </c>
      <c r="O79" s="424"/>
      <c r="P79" s="336">
        <v>8659.91</v>
      </c>
      <c r="Q79" s="337" t="s">
        <v>650</v>
      </c>
      <c r="R79" s="338"/>
      <c r="S79" s="336"/>
      <c r="T79" s="336"/>
      <c r="U79" s="425"/>
      <c r="V79" s="583"/>
      <c r="W79" s="428"/>
      <c r="X79" s="2">
        <v>58</v>
      </c>
    </row>
    <row r="80" spans="1:24" x14ac:dyDescent="0.25">
      <c r="A80" s="429"/>
      <c r="B80" s="422"/>
      <c r="C80" s="422"/>
      <c r="D80" s="422"/>
      <c r="E80" s="422"/>
      <c r="F80" s="424"/>
      <c r="G80" s="423"/>
      <c r="H80" s="425"/>
      <c r="I80" s="426"/>
      <c r="J80" s="577"/>
      <c r="K80" s="580"/>
      <c r="L80" s="422"/>
      <c r="M80" s="422"/>
      <c r="N80" s="352" t="s">
        <v>693</v>
      </c>
      <c r="O80" s="424"/>
      <c r="P80" s="336">
        <v>6494.93</v>
      </c>
      <c r="Q80" s="337" t="s">
        <v>691</v>
      </c>
      <c r="R80" s="338"/>
      <c r="S80" s="336"/>
      <c r="T80" s="336"/>
      <c r="U80" s="425"/>
      <c r="V80" s="583"/>
      <c r="W80" s="428"/>
      <c r="X80" s="2">
        <v>58</v>
      </c>
    </row>
    <row r="81" spans="1:24" x14ac:dyDescent="0.25">
      <c r="A81" s="429"/>
      <c r="B81" s="422"/>
      <c r="C81" s="422"/>
      <c r="D81" s="422"/>
      <c r="E81" s="422"/>
      <c r="F81" s="424"/>
      <c r="G81" s="423"/>
      <c r="H81" s="425"/>
      <c r="I81" s="426"/>
      <c r="J81" s="577"/>
      <c r="K81" s="580"/>
      <c r="L81" s="422"/>
      <c r="M81" s="422"/>
      <c r="N81" s="352" t="s">
        <v>694</v>
      </c>
      <c r="O81" s="424"/>
      <c r="P81" s="336">
        <v>24189.38</v>
      </c>
      <c r="Q81" s="337" t="s">
        <v>695</v>
      </c>
      <c r="R81" s="338"/>
      <c r="S81" s="336"/>
      <c r="T81" s="336"/>
      <c r="U81" s="425"/>
      <c r="V81" s="583"/>
      <c r="W81" s="428"/>
      <c r="X81" s="2">
        <v>58</v>
      </c>
    </row>
    <row r="82" spans="1:24" x14ac:dyDescent="0.25">
      <c r="A82" s="429"/>
      <c r="B82" s="422"/>
      <c r="C82" s="422"/>
      <c r="D82" s="422"/>
      <c r="E82" s="422"/>
      <c r="F82" s="424"/>
      <c r="G82" s="423"/>
      <c r="H82" s="425"/>
      <c r="I82" s="426"/>
      <c r="J82" s="577"/>
      <c r="K82" s="580"/>
      <c r="L82" s="422"/>
      <c r="M82" s="422"/>
      <c r="N82" s="352" t="s">
        <v>693</v>
      </c>
      <c r="O82" s="424"/>
      <c r="P82" s="336">
        <v>22474.68</v>
      </c>
      <c r="Q82" s="337" t="s">
        <v>695</v>
      </c>
      <c r="R82" s="338"/>
      <c r="S82" s="336"/>
      <c r="T82" s="336"/>
      <c r="U82" s="425"/>
      <c r="V82" s="583"/>
      <c r="W82" s="428"/>
      <c r="X82" s="2">
        <v>58</v>
      </c>
    </row>
    <row r="83" spans="1:24" x14ac:dyDescent="0.25">
      <c r="A83" s="429"/>
      <c r="B83" s="422"/>
      <c r="C83" s="422"/>
      <c r="D83" s="422"/>
      <c r="E83" s="422"/>
      <c r="F83" s="424"/>
      <c r="G83" s="423"/>
      <c r="H83" s="425"/>
      <c r="I83" s="426"/>
      <c r="J83" s="577"/>
      <c r="K83" s="580"/>
      <c r="L83" s="422"/>
      <c r="M83" s="422"/>
      <c r="N83" s="352" t="s">
        <v>732</v>
      </c>
      <c r="O83" s="424"/>
      <c r="P83" s="336">
        <v>16856.02</v>
      </c>
      <c r="Q83" s="337" t="s">
        <v>731</v>
      </c>
      <c r="R83" s="338"/>
      <c r="S83" s="336"/>
      <c r="T83" s="336"/>
      <c r="U83" s="425"/>
      <c r="V83" s="583"/>
      <c r="W83" s="428"/>
      <c r="X83" s="2">
        <v>58</v>
      </c>
    </row>
    <row r="84" spans="1:24" x14ac:dyDescent="0.25">
      <c r="A84" s="429"/>
      <c r="B84" s="422"/>
      <c r="C84" s="422"/>
      <c r="D84" s="422"/>
      <c r="E84" s="422"/>
      <c r="F84" s="424"/>
      <c r="G84" s="423"/>
      <c r="H84" s="425"/>
      <c r="I84" s="426"/>
      <c r="J84" s="577"/>
      <c r="K84" s="580"/>
      <c r="L84" s="422"/>
      <c r="M84" s="422"/>
      <c r="N84" s="352" t="s">
        <v>734</v>
      </c>
      <c r="O84" s="424"/>
      <c r="P84" s="336">
        <v>32691.9</v>
      </c>
      <c r="Q84" s="337" t="s">
        <v>733</v>
      </c>
      <c r="R84" s="338"/>
      <c r="S84" s="336"/>
      <c r="T84" s="336"/>
      <c r="U84" s="425"/>
      <c r="V84" s="583"/>
      <c r="W84" s="428"/>
      <c r="X84" s="2">
        <v>58</v>
      </c>
    </row>
    <row r="85" spans="1:24" x14ac:dyDescent="0.25">
      <c r="A85" s="429"/>
      <c r="B85" s="422"/>
      <c r="C85" s="422"/>
      <c r="D85" s="422"/>
      <c r="E85" s="422"/>
      <c r="F85" s="424"/>
      <c r="G85" s="423"/>
      <c r="H85" s="425"/>
      <c r="I85" s="426"/>
      <c r="J85" s="577"/>
      <c r="K85" s="580"/>
      <c r="L85" s="422"/>
      <c r="M85" s="422"/>
      <c r="N85" s="352" t="s">
        <v>732</v>
      </c>
      <c r="O85" s="424"/>
      <c r="P85" s="336">
        <v>27111.17</v>
      </c>
      <c r="Q85" s="337" t="s">
        <v>733</v>
      </c>
      <c r="R85" s="338"/>
      <c r="S85" s="336"/>
      <c r="T85" s="336"/>
      <c r="U85" s="425"/>
      <c r="V85" s="583"/>
      <c r="W85" s="428"/>
      <c r="X85" s="2">
        <v>58</v>
      </c>
    </row>
    <row r="86" spans="1:24" x14ac:dyDescent="0.25">
      <c r="A86" s="429"/>
      <c r="B86" s="422"/>
      <c r="C86" s="422"/>
      <c r="D86" s="422"/>
      <c r="E86" s="422"/>
      <c r="F86" s="424"/>
      <c r="G86" s="423"/>
      <c r="H86" s="425"/>
      <c r="I86" s="426"/>
      <c r="J86" s="577"/>
      <c r="K86" s="580"/>
      <c r="L86" s="422"/>
      <c r="M86" s="422"/>
      <c r="N86" s="352" t="s">
        <v>832</v>
      </c>
      <c r="O86" s="424"/>
      <c r="P86" s="336">
        <v>20333.38</v>
      </c>
      <c r="Q86" s="337" t="s">
        <v>832</v>
      </c>
      <c r="R86" s="338"/>
      <c r="S86" s="336"/>
      <c r="T86" s="336"/>
      <c r="U86" s="425"/>
      <c r="V86" s="583"/>
      <c r="W86" s="428"/>
      <c r="X86" s="2">
        <v>58</v>
      </c>
    </row>
    <row r="87" spans="1:24" x14ac:dyDescent="0.25">
      <c r="A87" s="429"/>
      <c r="B87" s="422"/>
      <c r="C87" s="422"/>
      <c r="D87" s="422"/>
      <c r="E87" s="422"/>
      <c r="F87" s="424"/>
      <c r="G87" s="423"/>
      <c r="H87" s="425"/>
      <c r="I87" s="426"/>
      <c r="J87" s="577"/>
      <c r="K87" s="580"/>
      <c r="L87" s="422"/>
      <c r="M87" s="422"/>
      <c r="N87" s="352" t="s">
        <v>734</v>
      </c>
      <c r="O87" s="424"/>
      <c r="P87" s="336">
        <v>21996.1</v>
      </c>
      <c r="Q87" s="337" t="s">
        <v>833</v>
      </c>
      <c r="R87" s="338"/>
      <c r="S87" s="336"/>
      <c r="T87" s="336"/>
      <c r="U87" s="425"/>
      <c r="V87" s="583"/>
      <c r="W87" s="428"/>
      <c r="X87" s="2">
        <v>58</v>
      </c>
    </row>
    <row r="88" spans="1:24" x14ac:dyDescent="0.25">
      <c r="A88" s="407"/>
      <c r="B88" s="413"/>
      <c r="C88" s="413"/>
      <c r="D88" s="413"/>
      <c r="E88" s="413"/>
      <c r="F88" s="409"/>
      <c r="G88" s="419"/>
      <c r="H88" s="411"/>
      <c r="I88" s="421"/>
      <c r="J88" s="578"/>
      <c r="K88" s="581"/>
      <c r="L88" s="413"/>
      <c r="M88" s="413"/>
      <c r="N88" s="353" t="s">
        <v>832</v>
      </c>
      <c r="O88" s="409"/>
      <c r="P88" s="346">
        <v>29026.75</v>
      </c>
      <c r="Q88" s="347" t="s">
        <v>833</v>
      </c>
      <c r="R88" s="348"/>
      <c r="S88" s="346"/>
      <c r="T88" s="346"/>
      <c r="U88" s="411"/>
      <c r="V88" s="584"/>
      <c r="W88" s="417"/>
      <c r="X88" s="2">
        <v>58</v>
      </c>
    </row>
    <row r="89" spans="1:24" s="85" customFormat="1" ht="54" customHeight="1" x14ac:dyDescent="0.25">
      <c r="A89" s="406">
        <v>7</v>
      </c>
      <c r="B89" s="412" t="s">
        <v>56</v>
      </c>
      <c r="C89" s="412"/>
      <c r="D89" s="412"/>
      <c r="E89" s="412" t="s">
        <v>233</v>
      </c>
      <c r="F89" s="408" t="s">
        <v>217</v>
      </c>
      <c r="G89" s="418" t="s">
        <v>232</v>
      </c>
      <c r="H89" s="410">
        <v>27331.200000000001</v>
      </c>
      <c r="I89" s="420">
        <f>IF(X89 = 59, H89 + SUM(S89:S100) - SUM(T89:T100) - SUM(P89:P100) - V89,0)</f>
        <v>7.2759576141834259E-12</v>
      </c>
      <c r="J89" s="576">
        <v>2310163739</v>
      </c>
      <c r="K89" s="579" t="s">
        <v>151</v>
      </c>
      <c r="L89" s="412"/>
      <c r="M89" s="412" t="s">
        <v>214</v>
      </c>
      <c r="N89" s="351" t="s">
        <v>314</v>
      </c>
      <c r="O89" s="408" t="s">
        <v>234</v>
      </c>
      <c r="P89" s="335">
        <v>2277.6</v>
      </c>
      <c r="Q89" s="334" t="s">
        <v>317</v>
      </c>
      <c r="R89" s="333"/>
      <c r="S89" s="335"/>
      <c r="T89" s="335"/>
      <c r="U89" s="410"/>
      <c r="V89" s="582"/>
      <c r="W89" s="416"/>
      <c r="X89" s="85">
        <v>59</v>
      </c>
    </row>
    <row r="90" spans="1:24" x14ac:dyDescent="0.25">
      <c r="A90" s="429"/>
      <c r="B90" s="422"/>
      <c r="C90" s="422"/>
      <c r="D90" s="422"/>
      <c r="E90" s="422"/>
      <c r="F90" s="424"/>
      <c r="G90" s="423"/>
      <c r="H90" s="425"/>
      <c r="I90" s="426"/>
      <c r="J90" s="577"/>
      <c r="K90" s="580"/>
      <c r="L90" s="422"/>
      <c r="M90" s="422"/>
      <c r="N90" s="352" t="s">
        <v>345</v>
      </c>
      <c r="O90" s="424"/>
      <c r="P90" s="336">
        <v>2277.6</v>
      </c>
      <c r="Q90" s="337" t="s">
        <v>344</v>
      </c>
      <c r="R90" s="338"/>
      <c r="S90" s="336"/>
      <c r="T90" s="336"/>
      <c r="U90" s="425"/>
      <c r="V90" s="583"/>
      <c r="W90" s="428"/>
      <c r="X90" s="2">
        <v>59</v>
      </c>
    </row>
    <row r="91" spans="1:24" x14ac:dyDescent="0.25">
      <c r="A91" s="429"/>
      <c r="B91" s="422"/>
      <c r="C91" s="422"/>
      <c r="D91" s="422"/>
      <c r="E91" s="422"/>
      <c r="F91" s="424"/>
      <c r="G91" s="423"/>
      <c r="H91" s="425"/>
      <c r="I91" s="426"/>
      <c r="J91" s="577"/>
      <c r="K91" s="580"/>
      <c r="L91" s="422"/>
      <c r="M91" s="422"/>
      <c r="N91" s="352" t="s">
        <v>371</v>
      </c>
      <c r="O91" s="424"/>
      <c r="P91" s="336">
        <v>2277.6</v>
      </c>
      <c r="Q91" s="337" t="s">
        <v>372</v>
      </c>
      <c r="R91" s="338"/>
      <c r="S91" s="336"/>
      <c r="T91" s="336"/>
      <c r="U91" s="425"/>
      <c r="V91" s="583"/>
      <c r="W91" s="428"/>
      <c r="X91" s="2">
        <v>59</v>
      </c>
    </row>
    <row r="92" spans="1:24" x14ac:dyDescent="0.25">
      <c r="A92" s="429"/>
      <c r="B92" s="422"/>
      <c r="C92" s="422"/>
      <c r="D92" s="422"/>
      <c r="E92" s="422"/>
      <c r="F92" s="424"/>
      <c r="G92" s="423"/>
      <c r="H92" s="425"/>
      <c r="I92" s="426"/>
      <c r="J92" s="577"/>
      <c r="K92" s="580"/>
      <c r="L92" s="422"/>
      <c r="M92" s="422"/>
      <c r="N92" s="352" t="s">
        <v>459</v>
      </c>
      <c r="O92" s="424"/>
      <c r="P92" s="336">
        <v>2277.6</v>
      </c>
      <c r="Q92" s="337" t="s">
        <v>457</v>
      </c>
      <c r="R92" s="338"/>
      <c r="S92" s="336"/>
      <c r="T92" s="336"/>
      <c r="U92" s="425"/>
      <c r="V92" s="583"/>
      <c r="W92" s="428"/>
      <c r="X92" s="2">
        <v>59</v>
      </c>
    </row>
    <row r="93" spans="1:24" x14ac:dyDescent="0.25">
      <c r="A93" s="429"/>
      <c r="B93" s="422"/>
      <c r="C93" s="422"/>
      <c r="D93" s="422"/>
      <c r="E93" s="422"/>
      <c r="F93" s="424"/>
      <c r="G93" s="423"/>
      <c r="H93" s="425"/>
      <c r="I93" s="426"/>
      <c r="J93" s="577"/>
      <c r="K93" s="580"/>
      <c r="L93" s="422"/>
      <c r="M93" s="422"/>
      <c r="N93" s="352" t="s">
        <v>470</v>
      </c>
      <c r="O93" s="424"/>
      <c r="P93" s="336">
        <v>2277.6</v>
      </c>
      <c r="Q93" s="337" t="s">
        <v>510</v>
      </c>
      <c r="R93" s="338"/>
      <c r="S93" s="336"/>
      <c r="T93" s="336"/>
      <c r="U93" s="425"/>
      <c r="V93" s="583"/>
      <c r="W93" s="428"/>
      <c r="X93" s="2">
        <v>59</v>
      </c>
    </row>
    <row r="94" spans="1:24" x14ac:dyDescent="0.25">
      <c r="A94" s="429"/>
      <c r="B94" s="422"/>
      <c r="C94" s="422"/>
      <c r="D94" s="422"/>
      <c r="E94" s="422"/>
      <c r="F94" s="424"/>
      <c r="G94" s="423"/>
      <c r="H94" s="425"/>
      <c r="I94" s="426"/>
      <c r="J94" s="577"/>
      <c r="K94" s="580"/>
      <c r="L94" s="422"/>
      <c r="M94" s="422"/>
      <c r="N94" s="352" t="s">
        <v>562</v>
      </c>
      <c r="O94" s="424"/>
      <c r="P94" s="336">
        <v>2277.6</v>
      </c>
      <c r="Q94" s="337" t="s">
        <v>564</v>
      </c>
      <c r="R94" s="338"/>
      <c r="S94" s="336"/>
      <c r="T94" s="336"/>
      <c r="U94" s="425"/>
      <c r="V94" s="583"/>
      <c r="W94" s="428"/>
      <c r="X94" s="2">
        <v>59</v>
      </c>
    </row>
    <row r="95" spans="1:24" x14ac:dyDescent="0.25">
      <c r="A95" s="429"/>
      <c r="B95" s="422"/>
      <c r="C95" s="422"/>
      <c r="D95" s="422"/>
      <c r="E95" s="422"/>
      <c r="F95" s="424"/>
      <c r="G95" s="423"/>
      <c r="H95" s="425"/>
      <c r="I95" s="426"/>
      <c r="J95" s="577"/>
      <c r="K95" s="580"/>
      <c r="L95" s="422"/>
      <c r="M95" s="422"/>
      <c r="N95" s="352" t="s">
        <v>602</v>
      </c>
      <c r="O95" s="424"/>
      <c r="P95" s="336">
        <v>2277.6</v>
      </c>
      <c r="Q95" s="337" t="s">
        <v>605</v>
      </c>
      <c r="R95" s="338"/>
      <c r="S95" s="336"/>
      <c r="T95" s="336"/>
      <c r="U95" s="425"/>
      <c r="V95" s="583"/>
      <c r="W95" s="428"/>
      <c r="X95" s="2">
        <v>59</v>
      </c>
    </row>
    <row r="96" spans="1:24" x14ac:dyDescent="0.25">
      <c r="A96" s="429"/>
      <c r="B96" s="422"/>
      <c r="C96" s="422"/>
      <c r="D96" s="422"/>
      <c r="E96" s="422"/>
      <c r="F96" s="424"/>
      <c r="G96" s="423"/>
      <c r="H96" s="425"/>
      <c r="I96" s="426"/>
      <c r="J96" s="577"/>
      <c r="K96" s="580"/>
      <c r="L96" s="422"/>
      <c r="M96" s="422"/>
      <c r="N96" s="352" t="s">
        <v>606</v>
      </c>
      <c r="O96" s="424"/>
      <c r="P96" s="336">
        <v>2277.6</v>
      </c>
      <c r="Q96" s="337" t="s">
        <v>644</v>
      </c>
      <c r="R96" s="338"/>
      <c r="S96" s="336"/>
      <c r="T96" s="336"/>
      <c r="U96" s="425"/>
      <c r="V96" s="583"/>
      <c r="W96" s="428"/>
      <c r="X96" s="2">
        <v>59</v>
      </c>
    </row>
    <row r="97" spans="1:24" x14ac:dyDescent="0.25">
      <c r="A97" s="429"/>
      <c r="B97" s="422"/>
      <c r="C97" s="422"/>
      <c r="D97" s="422"/>
      <c r="E97" s="422"/>
      <c r="F97" s="424"/>
      <c r="G97" s="423"/>
      <c r="H97" s="425"/>
      <c r="I97" s="426"/>
      <c r="J97" s="577"/>
      <c r="K97" s="580"/>
      <c r="L97" s="422"/>
      <c r="M97" s="422"/>
      <c r="N97" s="352" t="s">
        <v>705</v>
      </c>
      <c r="O97" s="424"/>
      <c r="P97" s="336">
        <v>2277.6</v>
      </c>
      <c r="Q97" s="337" t="s">
        <v>702</v>
      </c>
      <c r="R97" s="338"/>
      <c r="S97" s="336"/>
      <c r="T97" s="336"/>
      <c r="U97" s="425"/>
      <c r="V97" s="583"/>
      <c r="W97" s="428"/>
      <c r="X97" s="2">
        <v>59</v>
      </c>
    </row>
    <row r="98" spans="1:24" x14ac:dyDescent="0.25">
      <c r="A98" s="429"/>
      <c r="B98" s="422"/>
      <c r="C98" s="422"/>
      <c r="D98" s="422"/>
      <c r="E98" s="422"/>
      <c r="F98" s="424"/>
      <c r="G98" s="423"/>
      <c r="H98" s="425"/>
      <c r="I98" s="426"/>
      <c r="J98" s="577"/>
      <c r="K98" s="580"/>
      <c r="L98" s="422"/>
      <c r="M98" s="422"/>
      <c r="N98" s="352" t="s">
        <v>734</v>
      </c>
      <c r="O98" s="424"/>
      <c r="P98" s="336">
        <v>2277.6</v>
      </c>
      <c r="Q98" s="337" t="s">
        <v>735</v>
      </c>
      <c r="R98" s="338"/>
      <c r="S98" s="336"/>
      <c r="T98" s="336"/>
      <c r="U98" s="425"/>
      <c r="V98" s="583"/>
      <c r="W98" s="428"/>
      <c r="X98" s="2">
        <v>59</v>
      </c>
    </row>
    <row r="99" spans="1:24" x14ac:dyDescent="0.25">
      <c r="A99" s="429"/>
      <c r="B99" s="422"/>
      <c r="C99" s="422"/>
      <c r="D99" s="422"/>
      <c r="E99" s="422"/>
      <c r="F99" s="424"/>
      <c r="G99" s="423"/>
      <c r="H99" s="425"/>
      <c r="I99" s="426"/>
      <c r="J99" s="577"/>
      <c r="K99" s="580"/>
      <c r="L99" s="422"/>
      <c r="M99" s="422"/>
      <c r="N99" s="352" t="s">
        <v>834</v>
      </c>
      <c r="O99" s="424"/>
      <c r="P99" s="336">
        <v>2277.6</v>
      </c>
      <c r="Q99" s="337" t="s">
        <v>832</v>
      </c>
      <c r="R99" s="338"/>
      <c r="S99" s="336"/>
      <c r="T99" s="336"/>
      <c r="U99" s="425"/>
      <c r="V99" s="583"/>
      <c r="W99" s="428"/>
      <c r="X99" s="2">
        <v>59</v>
      </c>
    </row>
    <row r="100" spans="1:24" x14ac:dyDescent="0.25">
      <c r="A100" s="407"/>
      <c r="B100" s="413"/>
      <c r="C100" s="413"/>
      <c r="D100" s="413"/>
      <c r="E100" s="413"/>
      <c r="F100" s="409"/>
      <c r="G100" s="419"/>
      <c r="H100" s="411"/>
      <c r="I100" s="421"/>
      <c r="J100" s="578"/>
      <c r="K100" s="581"/>
      <c r="L100" s="413"/>
      <c r="M100" s="413"/>
      <c r="N100" s="353" t="s">
        <v>836</v>
      </c>
      <c r="O100" s="409"/>
      <c r="P100" s="346">
        <v>2277.6</v>
      </c>
      <c r="Q100" s="347" t="s">
        <v>835</v>
      </c>
      <c r="R100" s="348"/>
      <c r="S100" s="346"/>
      <c r="T100" s="346"/>
      <c r="U100" s="411"/>
      <c r="V100" s="584"/>
      <c r="W100" s="417"/>
      <c r="X100" s="2">
        <v>59</v>
      </c>
    </row>
    <row r="101" spans="1:24" s="85" customFormat="1" ht="54" customHeight="1" x14ac:dyDescent="0.25">
      <c r="A101" s="406">
        <v>8</v>
      </c>
      <c r="B101" s="412" t="s">
        <v>56</v>
      </c>
      <c r="C101" s="412"/>
      <c r="D101" s="412"/>
      <c r="E101" s="412" t="s">
        <v>225</v>
      </c>
      <c r="F101" s="408" t="s">
        <v>226</v>
      </c>
      <c r="G101" s="418" t="s">
        <v>227</v>
      </c>
      <c r="H101" s="410">
        <v>30012.16</v>
      </c>
      <c r="I101" s="420">
        <f>IF(X101 = 60, H101 + SUM(S101:S104) - SUM(T101:T104) - SUM(P101:P104) - V101,0)</f>
        <v>0</v>
      </c>
      <c r="J101" s="576">
        <v>274062111</v>
      </c>
      <c r="K101" s="579" t="s">
        <v>160</v>
      </c>
      <c r="L101" s="412"/>
      <c r="M101" s="412" t="s">
        <v>228</v>
      </c>
      <c r="N101" s="351" t="s">
        <v>374</v>
      </c>
      <c r="O101" s="408" t="s">
        <v>229</v>
      </c>
      <c r="P101" s="335">
        <v>7503.04</v>
      </c>
      <c r="Q101" s="334" t="s">
        <v>372</v>
      </c>
      <c r="R101" s="333"/>
      <c r="S101" s="335"/>
      <c r="T101" s="335"/>
      <c r="U101" s="410"/>
      <c r="V101" s="582"/>
      <c r="W101" s="416"/>
      <c r="X101" s="85">
        <v>60</v>
      </c>
    </row>
    <row r="102" spans="1:24" x14ac:dyDescent="0.25">
      <c r="A102" s="429"/>
      <c r="B102" s="422"/>
      <c r="C102" s="422"/>
      <c r="D102" s="422"/>
      <c r="E102" s="422"/>
      <c r="F102" s="424"/>
      <c r="G102" s="423"/>
      <c r="H102" s="425"/>
      <c r="I102" s="426"/>
      <c r="J102" s="577"/>
      <c r="K102" s="580"/>
      <c r="L102" s="422"/>
      <c r="M102" s="422"/>
      <c r="N102" s="352" t="s">
        <v>514</v>
      </c>
      <c r="O102" s="424"/>
      <c r="P102" s="336">
        <v>7503.04</v>
      </c>
      <c r="Q102" s="337" t="s">
        <v>564</v>
      </c>
      <c r="R102" s="338"/>
      <c r="S102" s="336"/>
      <c r="T102" s="336"/>
      <c r="U102" s="425"/>
      <c r="V102" s="583"/>
      <c r="W102" s="428"/>
      <c r="X102" s="2">
        <v>60</v>
      </c>
    </row>
    <row r="103" spans="1:24" x14ac:dyDescent="0.25">
      <c r="A103" s="429"/>
      <c r="B103" s="422"/>
      <c r="C103" s="422"/>
      <c r="D103" s="422"/>
      <c r="E103" s="422"/>
      <c r="F103" s="424"/>
      <c r="G103" s="423"/>
      <c r="H103" s="425"/>
      <c r="I103" s="426"/>
      <c r="J103" s="577"/>
      <c r="K103" s="580"/>
      <c r="L103" s="422"/>
      <c r="M103" s="422"/>
      <c r="N103" s="352" t="s">
        <v>704</v>
      </c>
      <c r="O103" s="424"/>
      <c r="P103" s="336">
        <v>7503.04</v>
      </c>
      <c r="Q103" s="337" t="s">
        <v>702</v>
      </c>
      <c r="R103" s="338"/>
      <c r="S103" s="336"/>
      <c r="T103" s="336"/>
      <c r="U103" s="425"/>
      <c r="V103" s="583"/>
      <c r="W103" s="428"/>
      <c r="X103" s="2">
        <v>60</v>
      </c>
    </row>
    <row r="104" spans="1:24" x14ac:dyDescent="0.25">
      <c r="A104" s="407"/>
      <c r="B104" s="413"/>
      <c r="C104" s="413"/>
      <c r="D104" s="413"/>
      <c r="E104" s="413"/>
      <c r="F104" s="409"/>
      <c r="G104" s="419"/>
      <c r="H104" s="411"/>
      <c r="I104" s="421"/>
      <c r="J104" s="578"/>
      <c r="K104" s="581"/>
      <c r="L104" s="413"/>
      <c r="M104" s="413"/>
      <c r="N104" s="353" t="s">
        <v>846</v>
      </c>
      <c r="O104" s="409"/>
      <c r="P104" s="346">
        <v>7503.04</v>
      </c>
      <c r="Q104" s="347" t="s">
        <v>835</v>
      </c>
      <c r="R104" s="348"/>
      <c r="S104" s="346"/>
      <c r="T104" s="346"/>
      <c r="U104" s="411"/>
      <c r="V104" s="584"/>
      <c r="W104" s="417"/>
      <c r="X104" s="2">
        <v>60</v>
      </c>
    </row>
    <row r="105" spans="1:24" s="85" customFormat="1" ht="127.15" customHeight="1" x14ac:dyDescent="0.25">
      <c r="A105" s="406">
        <v>9</v>
      </c>
      <c r="B105" s="412" t="s">
        <v>56</v>
      </c>
      <c r="C105" s="412"/>
      <c r="D105" s="412"/>
      <c r="E105" s="412" t="s">
        <v>159</v>
      </c>
      <c r="F105" s="408" t="s">
        <v>236</v>
      </c>
      <c r="G105" s="418" t="s">
        <v>259</v>
      </c>
      <c r="H105" s="410">
        <v>114400</v>
      </c>
      <c r="I105" s="420">
        <f>IF(X105 = 61, H105 + SUM(S105:S126) - SUM(T105:T126) - SUM(P105:P126) - V105,0)</f>
        <v>18200</v>
      </c>
      <c r="J105" s="576">
        <v>2353017179</v>
      </c>
      <c r="K105" s="579" t="s">
        <v>166</v>
      </c>
      <c r="L105" s="412"/>
      <c r="M105" s="412" t="s">
        <v>214</v>
      </c>
      <c r="N105" s="351" t="s">
        <v>307</v>
      </c>
      <c r="O105" s="408" t="s">
        <v>260</v>
      </c>
      <c r="P105" s="335">
        <v>4800</v>
      </c>
      <c r="Q105" s="334" t="s">
        <v>314</v>
      </c>
      <c r="R105" s="333"/>
      <c r="S105" s="335"/>
      <c r="T105" s="335"/>
      <c r="U105" s="410"/>
      <c r="V105" s="582"/>
      <c r="W105" s="416"/>
      <c r="X105" s="85">
        <v>61</v>
      </c>
    </row>
    <row r="106" spans="1:24" x14ac:dyDescent="0.25">
      <c r="A106" s="429"/>
      <c r="B106" s="422"/>
      <c r="C106" s="422"/>
      <c r="D106" s="422"/>
      <c r="E106" s="422"/>
      <c r="F106" s="424"/>
      <c r="G106" s="423"/>
      <c r="H106" s="425"/>
      <c r="I106" s="426"/>
      <c r="J106" s="577"/>
      <c r="K106" s="580"/>
      <c r="L106" s="422"/>
      <c r="M106" s="422"/>
      <c r="N106" s="352" t="s">
        <v>307</v>
      </c>
      <c r="O106" s="424"/>
      <c r="P106" s="336">
        <v>5600</v>
      </c>
      <c r="Q106" s="337" t="s">
        <v>314</v>
      </c>
      <c r="R106" s="338"/>
      <c r="S106" s="336"/>
      <c r="T106" s="336"/>
      <c r="U106" s="425"/>
      <c r="V106" s="583"/>
      <c r="W106" s="428"/>
      <c r="X106" s="2">
        <v>61</v>
      </c>
    </row>
    <row r="107" spans="1:24" x14ac:dyDescent="0.25">
      <c r="A107" s="429"/>
      <c r="B107" s="422"/>
      <c r="C107" s="422"/>
      <c r="D107" s="422"/>
      <c r="E107" s="422"/>
      <c r="F107" s="424"/>
      <c r="G107" s="423"/>
      <c r="H107" s="425"/>
      <c r="I107" s="426"/>
      <c r="J107" s="577"/>
      <c r="K107" s="580"/>
      <c r="L107" s="422"/>
      <c r="M107" s="422"/>
      <c r="N107" s="352" t="s">
        <v>345</v>
      </c>
      <c r="O107" s="424"/>
      <c r="P107" s="336">
        <v>4560</v>
      </c>
      <c r="Q107" s="337" t="s">
        <v>349</v>
      </c>
      <c r="R107" s="338"/>
      <c r="S107" s="336"/>
      <c r="T107" s="336"/>
      <c r="U107" s="425"/>
      <c r="V107" s="583"/>
      <c r="W107" s="428"/>
      <c r="X107" s="2">
        <v>61</v>
      </c>
    </row>
    <row r="108" spans="1:24" x14ac:dyDescent="0.25">
      <c r="A108" s="429"/>
      <c r="B108" s="422"/>
      <c r="C108" s="422"/>
      <c r="D108" s="422"/>
      <c r="E108" s="422"/>
      <c r="F108" s="424"/>
      <c r="G108" s="423"/>
      <c r="H108" s="425"/>
      <c r="I108" s="426"/>
      <c r="J108" s="577"/>
      <c r="K108" s="580"/>
      <c r="L108" s="422"/>
      <c r="M108" s="422"/>
      <c r="N108" s="352" t="s">
        <v>345</v>
      </c>
      <c r="O108" s="424"/>
      <c r="P108" s="336">
        <v>5320</v>
      </c>
      <c r="Q108" s="337" t="s">
        <v>349</v>
      </c>
      <c r="R108" s="338"/>
      <c r="S108" s="336"/>
      <c r="T108" s="336"/>
      <c r="U108" s="425"/>
      <c r="V108" s="583"/>
      <c r="W108" s="428"/>
      <c r="X108" s="2">
        <v>61</v>
      </c>
    </row>
    <row r="109" spans="1:24" x14ac:dyDescent="0.25">
      <c r="A109" s="429"/>
      <c r="B109" s="422"/>
      <c r="C109" s="422"/>
      <c r="D109" s="422"/>
      <c r="E109" s="422"/>
      <c r="F109" s="424"/>
      <c r="G109" s="423"/>
      <c r="H109" s="425"/>
      <c r="I109" s="426"/>
      <c r="J109" s="577"/>
      <c r="K109" s="580"/>
      <c r="L109" s="422"/>
      <c r="M109" s="422"/>
      <c r="N109" s="352" t="s">
        <v>371</v>
      </c>
      <c r="O109" s="424"/>
      <c r="P109" s="336">
        <v>3840</v>
      </c>
      <c r="Q109" s="337" t="s">
        <v>376</v>
      </c>
      <c r="R109" s="338"/>
      <c r="S109" s="336"/>
      <c r="T109" s="336"/>
      <c r="U109" s="425"/>
      <c r="V109" s="583"/>
      <c r="W109" s="428"/>
      <c r="X109" s="2">
        <v>61</v>
      </c>
    </row>
    <row r="110" spans="1:24" x14ac:dyDescent="0.25">
      <c r="A110" s="429"/>
      <c r="B110" s="422"/>
      <c r="C110" s="422"/>
      <c r="D110" s="422"/>
      <c r="E110" s="422"/>
      <c r="F110" s="424"/>
      <c r="G110" s="423"/>
      <c r="H110" s="425"/>
      <c r="I110" s="426"/>
      <c r="J110" s="577"/>
      <c r="K110" s="580"/>
      <c r="L110" s="422"/>
      <c r="M110" s="422"/>
      <c r="N110" s="352" t="s">
        <v>371</v>
      </c>
      <c r="O110" s="424"/>
      <c r="P110" s="336">
        <v>4480</v>
      </c>
      <c r="Q110" s="337" t="s">
        <v>376</v>
      </c>
      <c r="R110" s="338"/>
      <c r="S110" s="336"/>
      <c r="T110" s="336"/>
      <c r="U110" s="425"/>
      <c r="V110" s="583"/>
      <c r="W110" s="428"/>
      <c r="X110" s="2">
        <v>61</v>
      </c>
    </row>
    <row r="111" spans="1:24" x14ac:dyDescent="0.25">
      <c r="A111" s="429"/>
      <c r="B111" s="422"/>
      <c r="C111" s="422"/>
      <c r="D111" s="422"/>
      <c r="E111" s="422"/>
      <c r="F111" s="424"/>
      <c r="G111" s="423"/>
      <c r="H111" s="425"/>
      <c r="I111" s="426"/>
      <c r="J111" s="577"/>
      <c r="K111" s="580"/>
      <c r="L111" s="422"/>
      <c r="M111" s="422"/>
      <c r="N111" s="352" t="s">
        <v>460</v>
      </c>
      <c r="O111" s="424"/>
      <c r="P111" s="336">
        <v>5640</v>
      </c>
      <c r="Q111" s="337" t="s">
        <v>464</v>
      </c>
      <c r="R111" s="338"/>
      <c r="S111" s="336"/>
      <c r="T111" s="336"/>
      <c r="U111" s="425"/>
      <c r="V111" s="583"/>
      <c r="W111" s="428"/>
      <c r="X111" s="2">
        <v>61</v>
      </c>
    </row>
    <row r="112" spans="1:24" x14ac:dyDescent="0.25">
      <c r="A112" s="429"/>
      <c r="B112" s="422"/>
      <c r="C112" s="422"/>
      <c r="D112" s="422"/>
      <c r="E112" s="422"/>
      <c r="F112" s="424"/>
      <c r="G112" s="423"/>
      <c r="H112" s="425"/>
      <c r="I112" s="426"/>
      <c r="J112" s="577"/>
      <c r="K112" s="580"/>
      <c r="L112" s="422"/>
      <c r="M112" s="422"/>
      <c r="N112" s="352" t="s">
        <v>460</v>
      </c>
      <c r="O112" s="424"/>
      <c r="P112" s="336">
        <v>6580</v>
      </c>
      <c r="Q112" s="337" t="s">
        <v>464</v>
      </c>
      <c r="R112" s="338"/>
      <c r="S112" s="336"/>
      <c r="T112" s="336"/>
      <c r="U112" s="425"/>
      <c r="V112" s="583"/>
      <c r="W112" s="428"/>
      <c r="X112" s="2">
        <v>61</v>
      </c>
    </row>
    <row r="113" spans="1:24" x14ac:dyDescent="0.25">
      <c r="A113" s="429"/>
      <c r="B113" s="422"/>
      <c r="C113" s="422"/>
      <c r="D113" s="422"/>
      <c r="E113" s="422"/>
      <c r="F113" s="424"/>
      <c r="G113" s="423"/>
      <c r="H113" s="425"/>
      <c r="I113" s="426"/>
      <c r="J113" s="577"/>
      <c r="K113" s="580"/>
      <c r="L113" s="422"/>
      <c r="M113" s="422"/>
      <c r="N113" s="352" t="s">
        <v>470</v>
      </c>
      <c r="O113" s="424"/>
      <c r="P113" s="336">
        <v>5400</v>
      </c>
      <c r="Q113" s="337" t="s">
        <v>509</v>
      </c>
      <c r="R113" s="338"/>
      <c r="S113" s="336"/>
      <c r="T113" s="336"/>
      <c r="U113" s="425"/>
      <c r="V113" s="583"/>
      <c r="W113" s="428"/>
      <c r="X113" s="2">
        <v>61</v>
      </c>
    </row>
    <row r="114" spans="1:24" x14ac:dyDescent="0.25">
      <c r="A114" s="429"/>
      <c r="B114" s="422"/>
      <c r="C114" s="422"/>
      <c r="D114" s="422"/>
      <c r="E114" s="422"/>
      <c r="F114" s="424"/>
      <c r="G114" s="423"/>
      <c r="H114" s="425"/>
      <c r="I114" s="426"/>
      <c r="J114" s="577"/>
      <c r="K114" s="580"/>
      <c r="L114" s="422"/>
      <c r="M114" s="422"/>
      <c r="N114" s="352" t="s">
        <v>470</v>
      </c>
      <c r="O114" s="424"/>
      <c r="P114" s="336">
        <v>6300</v>
      </c>
      <c r="Q114" s="337" t="s">
        <v>509</v>
      </c>
      <c r="R114" s="338"/>
      <c r="S114" s="336"/>
      <c r="T114" s="336"/>
      <c r="U114" s="425"/>
      <c r="V114" s="583"/>
      <c r="W114" s="428"/>
      <c r="X114" s="2">
        <v>61</v>
      </c>
    </row>
    <row r="115" spans="1:24" x14ac:dyDescent="0.25">
      <c r="A115" s="429"/>
      <c r="B115" s="422"/>
      <c r="C115" s="422"/>
      <c r="D115" s="422"/>
      <c r="E115" s="422"/>
      <c r="F115" s="424"/>
      <c r="G115" s="423"/>
      <c r="H115" s="425"/>
      <c r="I115" s="426"/>
      <c r="J115" s="577"/>
      <c r="K115" s="580"/>
      <c r="L115" s="422"/>
      <c r="M115" s="422"/>
      <c r="N115" s="352" t="s">
        <v>562</v>
      </c>
      <c r="O115" s="424"/>
      <c r="P115" s="336">
        <v>4200</v>
      </c>
      <c r="Q115" s="337" t="s">
        <v>564</v>
      </c>
      <c r="R115" s="338"/>
      <c r="S115" s="336"/>
      <c r="T115" s="336"/>
      <c r="U115" s="425"/>
      <c r="V115" s="583"/>
      <c r="W115" s="428"/>
      <c r="X115" s="2">
        <v>61</v>
      </c>
    </row>
    <row r="116" spans="1:24" x14ac:dyDescent="0.25">
      <c r="A116" s="429"/>
      <c r="B116" s="422"/>
      <c r="C116" s="422"/>
      <c r="D116" s="422"/>
      <c r="E116" s="422"/>
      <c r="F116" s="424"/>
      <c r="G116" s="423"/>
      <c r="H116" s="425"/>
      <c r="I116" s="426"/>
      <c r="J116" s="577"/>
      <c r="K116" s="580"/>
      <c r="L116" s="422"/>
      <c r="M116" s="422"/>
      <c r="N116" s="352" t="s">
        <v>562</v>
      </c>
      <c r="O116" s="424"/>
      <c r="P116" s="336">
        <v>4900</v>
      </c>
      <c r="Q116" s="337" t="s">
        <v>564</v>
      </c>
      <c r="R116" s="338"/>
      <c r="S116" s="336"/>
      <c r="T116" s="336"/>
      <c r="U116" s="425"/>
      <c r="V116" s="583"/>
      <c r="W116" s="428"/>
      <c r="X116" s="2">
        <v>61</v>
      </c>
    </row>
    <row r="117" spans="1:24" x14ac:dyDescent="0.25">
      <c r="A117" s="429"/>
      <c r="B117" s="422"/>
      <c r="C117" s="422"/>
      <c r="D117" s="422"/>
      <c r="E117" s="422"/>
      <c r="F117" s="424"/>
      <c r="G117" s="423"/>
      <c r="H117" s="425"/>
      <c r="I117" s="426"/>
      <c r="J117" s="577"/>
      <c r="K117" s="580"/>
      <c r="L117" s="422"/>
      <c r="M117" s="422"/>
      <c r="N117" s="352" t="s">
        <v>602</v>
      </c>
      <c r="O117" s="424"/>
      <c r="P117" s="336">
        <v>720</v>
      </c>
      <c r="Q117" s="337" t="s">
        <v>604</v>
      </c>
      <c r="R117" s="338"/>
      <c r="S117" s="336"/>
      <c r="T117" s="336"/>
      <c r="U117" s="425"/>
      <c r="V117" s="583"/>
      <c r="W117" s="428"/>
      <c r="X117" s="2">
        <v>61</v>
      </c>
    </row>
    <row r="118" spans="1:24" x14ac:dyDescent="0.25">
      <c r="A118" s="429"/>
      <c r="B118" s="422"/>
      <c r="C118" s="422"/>
      <c r="D118" s="422"/>
      <c r="E118" s="422"/>
      <c r="F118" s="424"/>
      <c r="G118" s="423"/>
      <c r="H118" s="425"/>
      <c r="I118" s="426"/>
      <c r="J118" s="577"/>
      <c r="K118" s="580"/>
      <c r="L118" s="422"/>
      <c r="M118" s="422"/>
      <c r="N118" s="352" t="s">
        <v>602</v>
      </c>
      <c r="O118" s="424"/>
      <c r="P118" s="336">
        <v>840</v>
      </c>
      <c r="Q118" s="337" t="s">
        <v>604</v>
      </c>
      <c r="R118" s="338"/>
      <c r="S118" s="336"/>
      <c r="T118" s="336"/>
      <c r="U118" s="425"/>
      <c r="V118" s="583"/>
      <c r="W118" s="428"/>
      <c r="X118" s="2">
        <v>61</v>
      </c>
    </row>
    <row r="119" spans="1:24" x14ac:dyDescent="0.25">
      <c r="A119" s="429"/>
      <c r="B119" s="422"/>
      <c r="C119" s="422"/>
      <c r="D119" s="422"/>
      <c r="E119" s="422"/>
      <c r="F119" s="424"/>
      <c r="G119" s="423"/>
      <c r="H119" s="425"/>
      <c r="I119" s="426"/>
      <c r="J119" s="577"/>
      <c r="K119" s="580"/>
      <c r="L119" s="422"/>
      <c r="M119" s="422"/>
      <c r="N119" s="352" t="s">
        <v>606</v>
      </c>
      <c r="O119" s="424"/>
      <c r="P119" s="336">
        <v>360</v>
      </c>
      <c r="Q119" s="337" t="s">
        <v>649</v>
      </c>
      <c r="R119" s="338"/>
      <c r="S119" s="336"/>
      <c r="T119" s="336"/>
      <c r="U119" s="425"/>
      <c r="V119" s="583"/>
      <c r="W119" s="428"/>
      <c r="X119" s="2">
        <v>61</v>
      </c>
    </row>
    <row r="120" spans="1:24" x14ac:dyDescent="0.25">
      <c r="A120" s="429"/>
      <c r="B120" s="422"/>
      <c r="C120" s="422"/>
      <c r="D120" s="422"/>
      <c r="E120" s="422"/>
      <c r="F120" s="424"/>
      <c r="G120" s="423"/>
      <c r="H120" s="425"/>
      <c r="I120" s="426"/>
      <c r="J120" s="577"/>
      <c r="K120" s="580"/>
      <c r="L120" s="422"/>
      <c r="M120" s="422"/>
      <c r="N120" s="352" t="s">
        <v>606</v>
      </c>
      <c r="O120" s="424"/>
      <c r="P120" s="336">
        <v>420</v>
      </c>
      <c r="Q120" s="337" t="s">
        <v>649</v>
      </c>
      <c r="R120" s="338"/>
      <c r="S120" s="336"/>
      <c r="T120" s="336"/>
      <c r="U120" s="425"/>
      <c r="V120" s="583"/>
      <c r="W120" s="428"/>
      <c r="X120" s="2">
        <v>61</v>
      </c>
    </row>
    <row r="121" spans="1:24" x14ac:dyDescent="0.25">
      <c r="A121" s="429"/>
      <c r="B121" s="422"/>
      <c r="C121" s="422"/>
      <c r="D121" s="422"/>
      <c r="E121" s="422"/>
      <c r="F121" s="424"/>
      <c r="G121" s="423"/>
      <c r="H121" s="425"/>
      <c r="I121" s="426"/>
      <c r="J121" s="577"/>
      <c r="K121" s="580"/>
      <c r="L121" s="422"/>
      <c r="M121" s="422"/>
      <c r="N121" s="352" t="s">
        <v>694</v>
      </c>
      <c r="O121" s="424"/>
      <c r="P121" s="336">
        <v>5040</v>
      </c>
      <c r="Q121" s="337" t="s">
        <v>698</v>
      </c>
      <c r="R121" s="338"/>
      <c r="S121" s="336"/>
      <c r="T121" s="336"/>
      <c r="U121" s="425"/>
      <c r="V121" s="583"/>
      <c r="W121" s="428"/>
      <c r="X121" s="2">
        <v>61</v>
      </c>
    </row>
    <row r="122" spans="1:24" x14ac:dyDescent="0.25">
      <c r="A122" s="429"/>
      <c r="B122" s="422"/>
      <c r="C122" s="422"/>
      <c r="D122" s="422"/>
      <c r="E122" s="422"/>
      <c r="F122" s="424"/>
      <c r="G122" s="423"/>
      <c r="H122" s="425"/>
      <c r="I122" s="426"/>
      <c r="J122" s="577"/>
      <c r="K122" s="580"/>
      <c r="L122" s="422"/>
      <c r="M122" s="422"/>
      <c r="N122" s="352" t="s">
        <v>694</v>
      </c>
      <c r="O122" s="424"/>
      <c r="P122" s="336">
        <v>5880</v>
      </c>
      <c r="Q122" s="337" t="s">
        <v>698</v>
      </c>
      <c r="R122" s="338"/>
      <c r="S122" s="336"/>
      <c r="T122" s="336"/>
      <c r="U122" s="425"/>
      <c r="V122" s="583"/>
      <c r="W122" s="428"/>
      <c r="X122" s="2">
        <v>61</v>
      </c>
    </row>
    <row r="123" spans="1:24" x14ac:dyDescent="0.25">
      <c r="A123" s="429"/>
      <c r="B123" s="422"/>
      <c r="C123" s="422"/>
      <c r="D123" s="422"/>
      <c r="E123" s="422"/>
      <c r="F123" s="424"/>
      <c r="G123" s="423"/>
      <c r="H123" s="425"/>
      <c r="I123" s="426"/>
      <c r="J123" s="577"/>
      <c r="K123" s="580"/>
      <c r="L123" s="422"/>
      <c r="M123" s="422"/>
      <c r="N123" s="352" t="s">
        <v>734</v>
      </c>
      <c r="O123" s="424"/>
      <c r="P123" s="336">
        <v>4800</v>
      </c>
      <c r="Q123" s="337" t="s">
        <v>741</v>
      </c>
      <c r="R123" s="338"/>
      <c r="S123" s="336"/>
      <c r="T123" s="336"/>
      <c r="U123" s="425"/>
      <c r="V123" s="583"/>
      <c r="W123" s="428"/>
      <c r="X123" s="2">
        <v>61</v>
      </c>
    </row>
    <row r="124" spans="1:24" x14ac:dyDescent="0.25">
      <c r="A124" s="429"/>
      <c r="B124" s="422"/>
      <c r="C124" s="422"/>
      <c r="D124" s="422"/>
      <c r="E124" s="422"/>
      <c r="F124" s="424"/>
      <c r="G124" s="423"/>
      <c r="H124" s="425"/>
      <c r="I124" s="426"/>
      <c r="J124" s="577"/>
      <c r="K124" s="580"/>
      <c r="L124" s="422"/>
      <c r="M124" s="422"/>
      <c r="N124" s="352" t="s">
        <v>734</v>
      </c>
      <c r="O124" s="424"/>
      <c r="P124" s="336">
        <v>5600</v>
      </c>
      <c r="Q124" s="337" t="s">
        <v>741</v>
      </c>
      <c r="R124" s="338"/>
      <c r="S124" s="336"/>
      <c r="T124" s="336"/>
      <c r="U124" s="425"/>
      <c r="V124" s="583"/>
      <c r="W124" s="428"/>
      <c r="X124" s="2">
        <v>61</v>
      </c>
    </row>
    <row r="125" spans="1:24" x14ac:dyDescent="0.25">
      <c r="A125" s="429"/>
      <c r="B125" s="422"/>
      <c r="C125" s="422"/>
      <c r="D125" s="422"/>
      <c r="E125" s="422"/>
      <c r="F125" s="424"/>
      <c r="G125" s="423"/>
      <c r="H125" s="425"/>
      <c r="I125" s="426"/>
      <c r="J125" s="577"/>
      <c r="K125" s="580"/>
      <c r="L125" s="422"/>
      <c r="M125" s="422"/>
      <c r="N125" s="352" t="s">
        <v>834</v>
      </c>
      <c r="O125" s="424"/>
      <c r="P125" s="336">
        <v>5040</v>
      </c>
      <c r="Q125" s="337" t="s">
        <v>842</v>
      </c>
      <c r="R125" s="338"/>
      <c r="S125" s="336"/>
      <c r="T125" s="336"/>
      <c r="U125" s="425"/>
      <c r="V125" s="583"/>
      <c r="W125" s="428"/>
      <c r="X125" s="2">
        <v>61</v>
      </c>
    </row>
    <row r="126" spans="1:24" x14ac:dyDescent="0.25">
      <c r="A126" s="407"/>
      <c r="B126" s="413"/>
      <c r="C126" s="413"/>
      <c r="D126" s="413"/>
      <c r="E126" s="413"/>
      <c r="F126" s="409"/>
      <c r="G126" s="419"/>
      <c r="H126" s="411"/>
      <c r="I126" s="421"/>
      <c r="J126" s="578"/>
      <c r="K126" s="581"/>
      <c r="L126" s="413"/>
      <c r="M126" s="413"/>
      <c r="N126" s="353" t="s">
        <v>834</v>
      </c>
      <c r="O126" s="409"/>
      <c r="P126" s="346">
        <v>5880</v>
      </c>
      <c r="Q126" s="347" t="s">
        <v>842</v>
      </c>
      <c r="R126" s="348"/>
      <c r="S126" s="346"/>
      <c r="T126" s="346"/>
      <c r="U126" s="411"/>
      <c r="V126" s="584"/>
      <c r="W126" s="417"/>
      <c r="X126" s="2">
        <v>61</v>
      </c>
    </row>
    <row r="127" spans="1:24" s="85" customFormat="1" ht="72" customHeight="1" x14ac:dyDescent="0.25">
      <c r="A127" s="473">
        <v>10</v>
      </c>
      <c r="B127" s="470" t="s">
        <v>56</v>
      </c>
      <c r="C127" s="470"/>
      <c r="D127" s="470"/>
      <c r="E127" s="470" t="s">
        <v>248</v>
      </c>
      <c r="F127" s="484" t="s">
        <v>236</v>
      </c>
      <c r="G127" s="554" t="s">
        <v>184</v>
      </c>
      <c r="H127" s="486">
        <v>598920</v>
      </c>
      <c r="I127" s="556">
        <f>IF(X127 = 62, H127 + SUM(S127:S131) - SUM(T127:T131) - SUM(P127:P131) - V127,0)</f>
        <v>4.3655745685100555E-11</v>
      </c>
      <c r="J127" s="675">
        <v>235300578903</v>
      </c>
      <c r="K127" s="666" t="s">
        <v>148</v>
      </c>
      <c r="L127" s="470"/>
      <c r="M127" s="470" t="s">
        <v>249</v>
      </c>
      <c r="N127" s="214" t="s">
        <v>307</v>
      </c>
      <c r="O127" s="484" t="s">
        <v>296</v>
      </c>
      <c r="P127" s="210">
        <v>101430</v>
      </c>
      <c r="Q127" s="209" t="s">
        <v>309</v>
      </c>
      <c r="R127" s="208"/>
      <c r="S127" s="210"/>
      <c r="T127" s="210"/>
      <c r="U127" s="486" t="s">
        <v>520</v>
      </c>
      <c r="V127" s="678">
        <v>51970.8</v>
      </c>
      <c r="W127" s="534"/>
      <c r="X127" s="85">
        <v>62</v>
      </c>
    </row>
    <row r="128" spans="1:24" x14ac:dyDescent="0.25">
      <c r="A128" s="474"/>
      <c r="B128" s="471"/>
      <c r="C128" s="471"/>
      <c r="D128" s="471"/>
      <c r="E128" s="471"/>
      <c r="F128" s="538"/>
      <c r="G128" s="558"/>
      <c r="H128" s="530"/>
      <c r="I128" s="559"/>
      <c r="J128" s="676"/>
      <c r="K128" s="667"/>
      <c r="L128" s="471"/>
      <c r="M128" s="471"/>
      <c r="N128" s="219" t="s">
        <v>345</v>
      </c>
      <c r="O128" s="538"/>
      <c r="P128" s="216">
        <v>107950.5</v>
      </c>
      <c r="Q128" s="217" t="s">
        <v>347</v>
      </c>
      <c r="R128" s="218"/>
      <c r="S128" s="216"/>
      <c r="T128" s="216"/>
      <c r="U128" s="530"/>
      <c r="V128" s="679"/>
      <c r="W128" s="535"/>
      <c r="X128" s="2">
        <v>62</v>
      </c>
    </row>
    <row r="129" spans="1:24" x14ac:dyDescent="0.25">
      <c r="A129" s="474"/>
      <c r="B129" s="471"/>
      <c r="C129" s="471"/>
      <c r="D129" s="471"/>
      <c r="E129" s="471"/>
      <c r="F129" s="538"/>
      <c r="G129" s="558"/>
      <c r="H129" s="530"/>
      <c r="I129" s="559"/>
      <c r="J129" s="676"/>
      <c r="K129" s="667"/>
      <c r="L129" s="471"/>
      <c r="M129" s="471"/>
      <c r="N129" s="219" t="s">
        <v>371</v>
      </c>
      <c r="O129" s="538"/>
      <c r="P129" s="216">
        <v>103555.2</v>
      </c>
      <c r="Q129" s="217" t="s">
        <v>379</v>
      </c>
      <c r="R129" s="218"/>
      <c r="S129" s="216"/>
      <c r="T129" s="216"/>
      <c r="U129" s="530"/>
      <c r="V129" s="679"/>
      <c r="W129" s="535"/>
      <c r="X129" s="2">
        <v>62</v>
      </c>
    </row>
    <row r="130" spans="1:24" x14ac:dyDescent="0.25">
      <c r="A130" s="474"/>
      <c r="B130" s="471"/>
      <c r="C130" s="471"/>
      <c r="D130" s="471"/>
      <c r="E130" s="471"/>
      <c r="F130" s="538"/>
      <c r="G130" s="558"/>
      <c r="H130" s="530"/>
      <c r="I130" s="559"/>
      <c r="J130" s="676"/>
      <c r="K130" s="667"/>
      <c r="L130" s="471"/>
      <c r="M130" s="471"/>
      <c r="N130" s="219" t="s">
        <v>461</v>
      </c>
      <c r="O130" s="538"/>
      <c r="P130" s="216">
        <v>111090</v>
      </c>
      <c r="Q130" s="217" t="s">
        <v>462</v>
      </c>
      <c r="R130" s="218"/>
      <c r="S130" s="216"/>
      <c r="T130" s="216"/>
      <c r="U130" s="530"/>
      <c r="V130" s="679"/>
      <c r="W130" s="535"/>
      <c r="X130" s="2">
        <v>62</v>
      </c>
    </row>
    <row r="131" spans="1:24" x14ac:dyDescent="0.25">
      <c r="A131" s="475"/>
      <c r="B131" s="472"/>
      <c r="C131" s="472"/>
      <c r="D131" s="472"/>
      <c r="E131" s="472"/>
      <c r="F131" s="485"/>
      <c r="G131" s="555"/>
      <c r="H131" s="487"/>
      <c r="I131" s="557"/>
      <c r="J131" s="677"/>
      <c r="K131" s="668"/>
      <c r="L131" s="472"/>
      <c r="M131" s="472"/>
      <c r="N131" s="215" t="s">
        <v>470</v>
      </c>
      <c r="O131" s="485"/>
      <c r="P131" s="211">
        <v>122923.5</v>
      </c>
      <c r="Q131" s="212" t="s">
        <v>509</v>
      </c>
      <c r="R131" s="213"/>
      <c r="S131" s="211"/>
      <c r="T131" s="211"/>
      <c r="U131" s="487"/>
      <c r="V131" s="680"/>
      <c r="W131" s="536"/>
      <c r="X131" s="2">
        <v>62</v>
      </c>
    </row>
    <row r="132" spans="1:24" s="85" customFormat="1" ht="72" customHeight="1" x14ac:dyDescent="0.25">
      <c r="A132" s="476">
        <v>11</v>
      </c>
      <c r="B132" s="482" t="s">
        <v>56</v>
      </c>
      <c r="C132" s="482"/>
      <c r="D132" s="482"/>
      <c r="E132" s="482" t="s">
        <v>277</v>
      </c>
      <c r="F132" s="478" t="s">
        <v>283</v>
      </c>
      <c r="G132" s="544" t="s">
        <v>299</v>
      </c>
      <c r="H132" s="480">
        <v>540855.12</v>
      </c>
      <c r="I132" s="546">
        <f>IF(X132 = 63, H132 + SUM(S132:S147) - SUM(T132:T147) - SUM(P132:P147) - V132,0)</f>
        <v>8.7311491370201111E-11</v>
      </c>
      <c r="J132" s="594">
        <v>2353020735</v>
      </c>
      <c r="K132" s="596" t="s">
        <v>286</v>
      </c>
      <c r="L132" s="482"/>
      <c r="M132" s="482" t="s">
        <v>300</v>
      </c>
      <c r="N132" s="163" t="s">
        <v>307</v>
      </c>
      <c r="O132" s="478" t="s">
        <v>288</v>
      </c>
      <c r="P132" s="156">
        <v>3418.85</v>
      </c>
      <c r="Q132" s="155" t="s">
        <v>313</v>
      </c>
      <c r="R132" s="154" t="s">
        <v>361</v>
      </c>
      <c r="S132" s="156">
        <v>3999.24</v>
      </c>
      <c r="T132" s="156"/>
      <c r="U132" s="480" t="s">
        <v>521</v>
      </c>
      <c r="V132" s="589">
        <v>133339.26999999999</v>
      </c>
      <c r="W132" s="542"/>
      <c r="X132" s="85">
        <v>63</v>
      </c>
    </row>
    <row r="133" spans="1:24" x14ac:dyDescent="0.25">
      <c r="A133" s="585"/>
      <c r="B133" s="588"/>
      <c r="C133" s="588"/>
      <c r="D133" s="588"/>
      <c r="E133" s="588"/>
      <c r="F133" s="586"/>
      <c r="G133" s="592"/>
      <c r="H133" s="587"/>
      <c r="I133" s="593"/>
      <c r="J133" s="595"/>
      <c r="K133" s="597"/>
      <c r="L133" s="588"/>
      <c r="M133" s="588"/>
      <c r="N133" s="164" t="s">
        <v>316</v>
      </c>
      <c r="O133" s="586"/>
      <c r="P133" s="157">
        <v>5033.3100000000004</v>
      </c>
      <c r="Q133" s="158" t="s">
        <v>313</v>
      </c>
      <c r="R133" s="159"/>
      <c r="S133" s="157"/>
      <c r="T133" s="157"/>
      <c r="U133" s="587"/>
      <c r="V133" s="590"/>
      <c r="W133" s="591"/>
      <c r="X133" s="2">
        <v>63</v>
      </c>
    </row>
    <row r="134" spans="1:24" x14ac:dyDescent="0.25">
      <c r="A134" s="585"/>
      <c r="B134" s="588"/>
      <c r="C134" s="588"/>
      <c r="D134" s="588"/>
      <c r="E134" s="588"/>
      <c r="F134" s="586"/>
      <c r="G134" s="592"/>
      <c r="H134" s="587"/>
      <c r="I134" s="593"/>
      <c r="J134" s="595"/>
      <c r="K134" s="597"/>
      <c r="L134" s="588"/>
      <c r="M134" s="588"/>
      <c r="N134" s="164" t="s">
        <v>312</v>
      </c>
      <c r="O134" s="586"/>
      <c r="P134" s="157">
        <v>21396.01</v>
      </c>
      <c r="Q134" s="158" t="s">
        <v>314</v>
      </c>
      <c r="R134" s="159"/>
      <c r="S134" s="157"/>
      <c r="T134" s="157"/>
      <c r="U134" s="587"/>
      <c r="V134" s="590"/>
      <c r="W134" s="591"/>
      <c r="X134" s="2">
        <v>63</v>
      </c>
    </row>
    <row r="135" spans="1:24" x14ac:dyDescent="0.25">
      <c r="A135" s="585"/>
      <c r="B135" s="588"/>
      <c r="C135" s="588"/>
      <c r="D135" s="588"/>
      <c r="E135" s="588"/>
      <c r="F135" s="586"/>
      <c r="G135" s="592"/>
      <c r="H135" s="587"/>
      <c r="I135" s="593"/>
      <c r="J135" s="595"/>
      <c r="K135" s="597"/>
      <c r="L135" s="588"/>
      <c r="M135" s="588"/>
      <c r="N135" s="164" t="s">
        <v>312</v>
      </c>
      <c r="O135" s="586"/>
      <c r="P135" s="157">
        <v>1365.73</v>
      </c>
      <c r="Q135" s="158" t="s">
        <v>314</v>
      </c>
      <c r="R135" s="159"/>
      <c r="S135" s="157"/>
      <c r="T135" s="157"/>
      <c r="U135" s="587"/>
      <c r="V135" s="590"/>
      <c r="W135" s="591"/>
      <c r="X135" s="2">
        <v>63</v>
      </c>
    </row>
    <row r="136" spans="1:24" x14ac:dyDescent="0.25">
      <c r="A136" s="585"/>
      <c r="B136" s="588"/>
      <c r="C136" s="588"/>
      <c r="D136" s="588"/>
      <c r="E136" s="588"/>
      <c r="F136" s="586"/>
      <c r="G136" s="592"/>
      <c r="H136" s="587"/>
      <c r="I136" s="593"/>
      <c r="J136" s="595"/>
      <c r="K136" s="597"/>
      <c r="L136" s="588"/>
      <c r="M136" s="588"/>
      <c r="N136" s="164" t="s">
        <v>307</v>
      </c>
      <c r="O136" s="586"/>
      <c r="P136" s="157">
        <v>53560.87</v>
      </c>
      <c r="Q136" s="158" t="s">
        <v>314</v>
      </c>
      <c r="R136" s="159"/>
      <c r="S136" s="157"/>
      <c r="T136" s="157"/>
      <c r="U136" s="587"/>
      <c r="V136" s="590"/>
      <c r="W136" s="591"/>
      <c r="X136" s="2">
        <v>63</v>
      </c>
    </row>
    <row r="137" spans="1:24" x14ac:dyDescent="0.25">
      <c r="A137" s="585"/>
      <c r="B137" s="588"/>
      <c r="C137" s="588"/>
      <c r="D137" s="588"/>
      <c r="E137" s="588"/>
      <c r="F137" s="586"/>
      <c r="G137" s="592"/>
      <c r="H137" s="587"/>
      <c r="I137" s="593"/>
      <c r="J137" s="595"/>
      <c r="K137" s="597"/>
      <c r="L137" s="588"/>
      <c r="M137" s="588"/>
      <c r="N137" s="164" t="s">
        <v>316</v>
      </c>
      <c r="O137" s="586"/>
      <c r="P137" s="157">
        <v>78853.5</v>
      </c>
      <c r="Q137" s="158" t="s">
        <v>314</v>
      </c>
      <c r="R137" s="159"/>
      <c r="S137" s="157"/>
      <c r="T137" s="157"/>
      <c r="U137" s="587"/>
      <c r="V137" s="590"/>
      <c r="W137" s="591"/>
      <c r="X137" s="2">
        <v>63</v>
      </c>
    </row>
    <row r="138" spans="1:24" x14ac:dyDescent="0.25">
      <c r="A138" s="585"/>
      <c r="B138" s="588"/>
      <c r="C138" s="588"/>
      <c r="D138" s="588"/>
      <c r="E138" s="588"/>
      <c r="F138" s="586"/>
      <c r="G138" s="592"/>
      <c r="H138" s="587"/>
      <c r="I138" s="593"/>
      <c r="J138" s="595"/>
      <c r="K138" s="597"/>
      <c r="L138" s="588"/>
      <c r="M138" s="588"/>
      <c r="N138" s="164" t="s">
        <v>315</v>
      </c>
      <c r="O138" s="586"/>
      <c r="P138" s="157">
        <v>64258.87</v>
      </c>
      <c r="Q138" s="158" t="s">
        <v>344</v>
      </c>
      <c r="R138" s="159"/>
      <c r="S138" s="157"/>
      <c r="T138" s="157"/>
      <c r="U138" s="587"/>
      <c r="V138" s="590"/>
      <c r="W138" s="591"/>
      <c r="X138" s="2">
        <v>63</v>
      </c>
    </row>
    <row r="139" spans="1:24" x14ac:dyDescent="0.25">
      <c r="A139" s="585"/>
      <c r="B139" s="588"/>
      <c r="C139" s="588"/>
      <c r="D139" s="588"/>
      <c r="E139" s="588"/>
      <c r="F139" s="586"/>
      <c r="G139" s="592"/>
      <c r="H139" s="587"/>
      <c r="I139" s="593"/>
      <c r="J139" s="595"/>
      <c r="K139" s="597"/>
      <c r="L139" s="588"/>
      <c r="M139" s="588"/>
      <c r="N139" s="164" t="s">
        <v>315</v>
      </c>
      <c r="O139" s="586"/>
      <c r="P139" s="157">
        <v>4101.72</v>
      </c>
      <c r="Q139" s="158" t="s">
        <v>344</v>
      </c>
      <c r="R139" s="159"/>
      <c r="S139" s="157"/>
      <c r="T139" s="157"/>
      <c r="U139" s="587"/>
      <c r="V139" s="590"/>
      <c r="W139" s="591"/>
      <c r="X139" s="2">
        <v>63</v>
      </c>
    </row>
    <row r="140" spans="1:24" x14ac:dyDescent="0.25">
      <c r="A140" s="585"/>
      <c r="B140" s="588"/>
      <c r="C140" s="588"/>
      <c r="D140" s="588"/>
      <c r="E140" s="588"/>
      <c r="F140" s="586"/>
      <c r="G140" s="592"/>
      <c r="H140" s="587"/>
      <c r="I140" s="593"/>
      <c r="J140" s="595"/>
      <c r="K140" s="597"/>
      <c r="L140" s="588"/>
      <c r="M140" s="588"/>
      <c r="N140" s="164" t="s">
        <v>346</v>
      </c>
      <c r="O140" s="586"/>
      <c r="P140" s="157">
        <v>22033.64</v>
      </c>
      <c r="Q140" s="158" t="s">
        <v>357</v>
      </c>
      <c r="R140" s="159"/>
      <c r="S140" s="157"/>
      <c r="T140" s="157"/>
      <c r="U140" s="587"/>
      <c r="V140" s="590"/>
      <c r="W140" s="591"/>
      <c r="X140" s="2">
        <v>63</v>
      </c>
    </row>
    <row r="141" spans="1:24" x14ac:dyDescent="0.25">
      <c r="A141" s="585"/>
      <c r="B141" s="588"/>
      <c r="C141" s="588"/>
      <c r="D141" s="588"/>
      <c r="E141" s="588"/>
      <c r="F141" s="586"/>
      <c r="G141" s="592"/>
      <c r="H141" s="587"/>
      <c r="I141" s="593"/>
      <c r="J141" s="595"/>
      <c r="K141" s="597"/>
      <c r="L141" s="588"/>
      <c r="M141" s="588"/>
      <c r="N141" s="164" t="s">
        <v>346</v>
      </c>
      <c r="O141" s="586"/>
      <c r="P141" s="157">
        <v>1406.43</v>
      </c>
      <c r="Q141" s="158" t="s">
        <v>357</v>
      </c>
      <c r="R141" s="159"/>
      <c r="S141" s="157"/>
      <c r="T141" s="157"/>
      <c r="U141" s="587"/>
      <c r="V141" s="590"/>
      <c r="W141" s="591"/>
      <c r="X141" s="2">
        <v>63</v>
      </c>
    </row>
    <row r="142" spans="1:24" x14ac:dyDescent="0.25">
      <c r="A142" s="585"/>
      <c r="B142" s="588"/>
      <c r="C142" s="588"/>
      <c r="D142" s="588"/>
      <c r="E142" s="588"/>
      <c r="F142" s="586"/>
      <c r="G142" s="592"/>
      <c r="H142" s="587"/>
      <c r="I142" s="593"/>
      <c r="J142" s="595"/>
      <c r="K142" s="597"/>
      <c r="L142" s="588"/>
      <c r="M142" s="588"/>
      <c r="N142" s="164" t="s">
        <v>345</v>
      </c>
      <c r="O142" s="586"/>
      <c r="P142" s="157">
        <v>39320.480000000003</v>
      </c>
      <c r="Q142" s="158" t="s">
        <v>357</v>
      </c>
      <c r="R142" s="159"/>
      <c r="S142" s="157"/>
      <c r="T142" s="157"/>
      <c r="U142" s="587"/>
      <c r="V142" s="590"/>
      <c r="W142" s="591"/>
      <c r="X142" s="2">
        <v>63</v>
      </c>
    </row>
    <row r="143" spans="1:24" x14ac:dyDescent="0.25">
      <c r="A143" s="585"/>
      <c r="B143" s="588"/>
      <c r="C143" s="588"/>
      <c r="D143" s="588"/>
      <c r="E143" s="588"/>
      <c r="F143" s="586"/>
      <c r="G143" s="592"/>
      <c r="H143" s="587"/>
      <c r="I143" s="593"/>
      <c r="J143" s="595"/>
      <c r="K143" s="597"/>
      <c r="L143" s="588"/>
      <c r="M143" s="588"/>
      <c r="N143" s="164" t="s">
        <v>345</v>
      </c>
      <c r="O143" s="586"/>
      <c r="P143" s="157">
        <v>2509.87</v>
      </c>
      <c r="Q143" s="158" t="s">
        <v>357</v>
      </c>
      <c r="R143" s="159"/>
      <c r="S143" s="157"/>
      <c r="T143" s="157"/>
      <c r="U143" s="587"/>
      <c r="V143" s="590"/>
      <c r="W143" s="591"/>
      <c r="X143" s="2">
        <v>63</v>
      </c>
    </row>
    <row r="144" spans="1:24" x14ac:dyDescent="0.25">
      <c r="A144" s="585"/>
      <c r="B144" s="588"/>
      <c r="C144" s="588"/>
      <c r="D144" s="588"/>
      <c r="E144" s="588"/>
      <c r="F144" s="586"/>
      <c r="G144" s="592"/>
      <c r="H144" s="587"/>
      <c r="I144" s="593"/>
      <c r="J144" s="595"/>
      <c r="K144" s="597"/>
      <c r="L144" s="588"/>
      <c r="M144" s="588"/>
      <c r="N144" s="164" t="s">
        <v>357</v>
      </c>
      <c r="O144" s="586"/>
      <c r="P144" s="157">
        <v>61540.42</v>
      </c>
      <c r="Q144" s="158" t="s">
        <v>354</v>
      </c>
      <c r="R144" s="159"/>
      <c r="S144" s="157"/>
      <c r="T144" s="157"/>
      <c r="U144" s="587"/>
      <c r="V144" s="590"/>
      <c r="W144" s="591"/>
      <c r="X144" s="2">
        <v>63</v>
      </c>
    </row>
    <row r="145" spans="1:24" x14ac:dyDescent="0.25">
      <c r="A145" s="585"/>
      <c r="B145" s="588"/>
      <c r="C145" s="588"/>
      <c r="D145" s="588"/>
      <c r="E145" s="588"/>
      <c r="F145" s="586"/>
      <c r="G145" s="592"/>
      <c r="H145" s="587"/>
      <c r="I145" s="593"/>
      <c r="J145" s="595"/>
      <c r="K145" s="597"/>
      <c r="L145" s="588"/>
      <c r="M145" s="588"/>
      <c r="N145" s="164" t="s">
        <v>357</v>
      </c>
      <c r="O145" s="586"/>
      <c r="P145" s="157">
        <v>3928.19</v>
      </c>
      <c r="Q145" s="158" t="s">
        <v>354</v>
      </c>
      <c r="R145" s="159"/>
      <c r="S145" s="157"/>
      <c r="T145" s="157"/>
      <c r="U145" s="587"/>
      <c r="V145" s="590"/>
      <c r="W145" s="591"/>
      <c r="X145" s="2">
        <v>63</v>
      </c>
    </row>
    <row r="146" spans="1:24" x14ac:dyDescent="0.25">
      <c r="A146" s="585"/>
      <c r="B146" s="588"/>
      <c r="C146" s="588"/>
      <c r="D146" s="588"/>
      <c r="E146" s="588"/>
      <c r="F146" s="586"/>
      <c r="G146" s="592"/>
      <c r="H146" s="587"/>
      <c r="I146" s="593"/>
      <c r="J146" s="595"/>
      <c r="K146" s="597"/>
      <c r="L146" s="588"/>
      <c r="M146" s="588"/>
      <c r="N146" s="164" t="s">
        <v>383</v>
      </c>
      <c r="O146" s="586"/>
      <c r="P146" s="157">
        <v>45859.91</v>
      </c>
      <c r="Q146" s="158" t="s">
        <v>378</v>
      </c>
      <c r="R146" s="159"/>
      <c r="S146" s="157"/>
      <c r="T146" s="157"/>
      <c r="U146" s="587"/>
      <c r="V146" s="590"/>
      <c r="W146" s="591"/>
      <c r="X146" s="2">
        <v>63</v>
      </c>
    </row>
    <row r="147" spans="1:24" x14ac:dyDescent="0.25">
      <c r="A147" s="477"/>
      <c r="B147" s="483"/>
      <c r="C147" s="483"/>
      <c r="D147" s="483"/>
      <c r="E147" s="483"/>
      <c r="F147" s="479"/>
      <c r="G147" s="545"/>
      <c r="H147" s="481"/>
      <c r="I147" s="547"/>
      <c r="J147" s="604"/>
      <c r="K147" s="605"/>
      <c r="L147" s="483"/>
      <c r="M147" s="483"/>
      <c r="N147" s="165" t="s">
        <v>383</v>
      </c>
      <c r="O147" s="479"/>
      <c r="P147" s="160">
        <v>2927.29</v>
      </c>
      <c r="Q147" s="161" t="s">
        <v>378</v>
      </c>
      <c r="R147" s="162"/>
      <c r="S147" s="160"/>
      <c r="T147" s="160"/>
      <c r="U147" s="481"/>
      <c r="V147" s="662"/>
      <c r="W147" s="543"/>
      <c r="X147" s="2">
        <v>63</v>
      </c>
    </row>
    <row r="148" spans="1:24" s="85" customFormat="1" ht="72" customHeight="1" x14ac:dyDescent="0.25">
      <c r="A148" s="476">
        <v>12</v>
      </c>
      <c r="B148" s="482" t="s">
        <v>56</v>
      </c>
      <c r="C148" s="482"/>
      <c r="D148" s="482"/>
      <c r="E148" s="482" t="s">
        <v>297</v>
      </c>
      <c r="F148" s="478" t="s">
        <v>283</v>
      </c>
      <c r="G148" s="544" t="s">
        <v>301</v>
      </c>
      <c r="H148" s="480">
        <v>179400</v>
      </c>
      <c r="I148" s="546">
        <f>IF(X148 = 65, H148 + SUM(S148:S155) - SUM(T148:T155) - SUM(P148:P155) - V148,0)</f>
        <v>0</v>
      </c>
      <c r="J148" s="594">
        <v>2353020735</v>
      </c>
      <c r="K148" s="596" t="s">
        <v>286</v>
      </c>
      <c r="L148" s="482"/>
      <c r="M148" s="482" t="s">
        <v>300</v>
      </c>
      <c r="N148" s="163" t="s">
        <v>307</v>
      </c>
      <c r="O148" s="478" t="s">
        <v>288</v>
      </c>
      <c r="P148" s="156">
        <v>18900</v>
      </c>
      <c r="Q148" s="155" t="s">
        <v>313</v>
      </c>
      <c r="R148" s="154"/>
      <c r="S148" s="156"/>
      <c r="T148" s="156"/>
      <c r="U148" s="480" t="s">
        <v>521</v>
      </c>
      <c r="V148" s="589">
        <v>41725</v>
      </c>
      <c r="W148" s="542"/>
      <c r="X148" s="85">
        <v>65</v>
      </c>
    </row>
    <row r="149" spans="1:24" x14ac:dyDescent="0.25">
      <c r="A149" s="585"/>
      <c r="B149" s="588"/>
      <c r="C149" s="588"/>
      <c r="D149" s="588"/>
      <c r="E149" s="588"/>
      <c r="F149" s="586"/>
      <c r="G149" s="592"/>
      <c r="H149" s="587"/>
      <c r="I149" s="593"/>
      <c r="J149" s="595"/>
      <c r="K149" s="597"/>
      <c r="L149" s="588"/>
      <c r="M149" s="588"/>
      <c r="N149" s="164" t="s">
        <v>316</v>
      </c>
      <c r="O149" s="586"/>
      <c r="P149" s="157">
        <v>27825</v>
      </c>
      <c r="Q149" s="158" t="s">
        <v>313</v>
      </c>
      <c r="R149" s="159"/>
      <c r="S149" s="157"/>
      <c r="T149" s="157"/>
      <c r="U149" s="587"/>
      <c r="V149" s="590"/>
      <c r="W149" s="591"/>
      <c r="X149" s="2">
        <v>65</v>
      </c>
    </row>
    <row r="150" spans="1:24" x14ac:dyDescent="0.25">
      <c r="A150" s="585"/>
      <c r="B150" s="588"/>
      <c r="C150" s="588"/>
      <c r="D150" s="588"/>
      <c r="E150" s="588"/>
      <c r="F150" s="586"/>
      <c r="G150" s="592"/>
      <c r="H150" s="587"/>
      <c r="I150" s="593"/>
      <c r="J150" s="595"/>
      <c r="K150" s="597"/>
      <c r="L150" s="588"/>
      <c r="M150" s="588"/>
      <c r="N150" s="164" t="s">
        <v>312</v>
      </c>
      <c r="O150" s="586"/>
      <c r="P150" s="157">
        <v>7550</v>
      </c>
      <c r="Q150" s="158" t="s">
        <v>314</v>
      </c>
      <c r="R150" s="159"/>
      <c r="S150" s="157"/>
      <c r="T150" s="157"/>
      <c r="U150" s="587"/>
      <c r="V150" s="590"/>
      <c r="W150" s="591"/>
      <c r="X150" s="2">
        <v>65</v>
      </c>
    </row>
    <row r="151" spans="1:24" x14ac:dyDescent="0.25">
      <c r="A151" s="585"/>
      <c r="B151" s="588"/>
      <c r="C151" s="588"/>
      <c r="D151" s="588"/>
      <c r="E151" s="588"/>
      <c r="F151" s="586"/>
      <c r="G151" s="592"/>
      <c r="H151" s="587"/>
      <c r="I151" s="593"/>
      <c r="J151" s="595"/>
      <c r="K151" s="597"/>
      <c r="L151" s="588"/>
      <c r="M151" s="588"/>
      <c r="N151" s="164" t="s">
        <v>315</v>
      </c>
      <c r="O151" s="586"/>
      <c r="P151" s="157">
        <v>22675</v>
      </c>
      <c r="Q151" s="158" t="s">
        <v>344</v>
      </c>
      <c r="R151" s="159"/>
      <c r="S151" s="157"/>
      <c r="T151" s="157"/>
      <c r="U151" s="587"/>
      <c r="V151" s="590"/>
      <c r="W151" s="591"/>
      <c r="X151" s="2">
        <v>65</v>
      </c>
    </row>
    <row r="152" spans="1:24" x14ac:dyDescent="0.25">
      <c r="A152" s="585"/>
      <c r="B152" s="588"/>
      <c r="C152" s="588"/>
      <c r="D152" s="588"/>
      <c r="E152" s="588"/>
      <c r="F152" s="586"/>
      <c r="G152" s="592"/>
      <c r="H152" s="587"/>
      <c r="I152" s="593"/>
      <c r="J152" s="595"/>
      <c r="K152" s="597"/>
      <c r="L152" s="588"/>
      <c r="M152" s="588"/>
      <c r="N152" s="164" t="s">
        <v>345</v>
      </c>
      <c r="O152" s="586"/>
      <c r="P152" s="157">
        <v>13875</v>
      </c>
      <c r="Q152" s="158" t="s">
        <v>355</v>
      </c>
      <c r="R152" s="159"/>
      <c r="S152" s="157"/>
      <c r="T152" s="157"/>
      <c r="U152" s="587"/>
      <c r="V152" s="590"/>
      <c r="W152" s="591"/>
      <c r="X152" s="2">
        <v>65</v>
      </c>
    </row>
    <row r="153" spans="1:24" x14ac:dyDescent="0.25">
      <c r="A153" s="585"/>
      <c r="B153" s="588"/>
      <c r="C153" s="588"/>
      <c r="D153" s="588"/>
      <c r="E153" s="588"/>
      <c r="F153" s="586"/>
      <c r="G153" s="592"/>
      <c r="H153" s="587"/>
      <c r="I153" s="593"/>
      <c r="J153" s="595"/>
      <c r="K153" s="597"/>
      <c r="L153" s="588"/>
      <c r="M153" s="588"/>
      <c r="N153" s="164" t="s">
        <v>346</v>
      </c>
      <c r="O153" s="586"/>
      <c r="P153" s="157">
        <v>7775</v>
      </c>
      <c r="Q153" s="158" t="s">
        <v>350</v>
      </c>
      <c r="R153" s="159"/>
      <c r="S153" s="157"/>
      <c r="T153" s="157"/>
      <c r="U153" s="587"/>
      <c r="V153" s="590"/>
      <c r="W153" s="591"/>
      <c r="X153" s="2">
        <v>65</v>
      </c>
    </row>
    <row r="154" spans="1:24" x14ac:dyDescent="0.25">
      <c r="A154" s="585"/>
      <c r="B154" s="588"/>
      <c r="C154" s="588"/>
      <c r="D154" s="588"/>
      <c r="E154" s="588"/>
      <c r="F154" s="586"/>
      <c r="G154" s="592"/>
      <c r="H154" s="587"/>
      <c r="I154" s="593"/>
      <c r="J154" s="595"/>
      <c r="K154" s="597"/>
      <c r="L154" s="588"/>
      <c r="M154" s="588"/>
      <c r="N154" s="164" t="s">
        <v>357</v>
      </c>
      <c r="O154" s="586"/>
      <c r="P154" s="157">
        <v>23325</v>
      </c>
      <c r="Q154" s="158" t="s">
        <v>354</v>
      </c>
      <c r="R154" s="159"/>
      <c r="S154" s="157"/>
      <c r="T154" s="157"/>
      <c r="U154" s="587"/>
      <c r="V154" s="590"/>
      <c r="W154" s="591"/>
      <c r="X154" s="2">
        <v>65</v>
      </c>
    </row>
    <row r="155" spans="1:24" x14ac:dyDescent="0.25">
      <c r="A155" s="477"/>
      <c r="B155" s="483"/>
      <c r="C155" s="483"/>
      <c r="D155" s="483"/>
      <c r="E155" s="483"/>
      <c r="F155" s="479"/>
      <c r="G155" s="545"/>
      <c r="H155" s="481"/>
      <c r="I155" s="547"/>
      <c r="J155" s="604"/>
      <c r="K155" s="605"/>
      <c r="L155" s="483"/>
      <c r="M155" s="483"/>
      <c r="N155" s="165" t="s">
        <v>383</v>
      </c>
      <c r="O155" s="479"/>
      <c r="P155" s="160">
        <v>15750</v>
      </c>
      <c r="Q155" s="161" t="s">
        <v>377</v>
      </c>
      <c r="R155" s="162"/>
      <c r="S155" s="160"/>
      <c r="T155" s="160"/>
      <c r="U155" s="481"/>
      <c r="V155" s="662"/>
      <c r="W155" s="543"/>
      <c r="X155" s="2">
        <v>65</v>
      </c>
    </row>
    <row r="156" spans="1:24" s="85" customFormat="1" ht="87.6" customHeight="1" x14ac:dyDescent="0.25">
      <c r="A156" s="473">
        <v>13</v>
      </c>
      <c r="B156" s="470" t="s">
        <v>56</v>
      </c>
      <c r="C156" s="470"/>
      <c r="D156" s="470"/>
      <c r="E156" s="470" t="s">
        <v>298</v>
      </c>
      <c r="F156" s="484" t="s">
        <v>283</v>
      </c>
      <c r="G156" s="554" t="s">
        <v>302</v>
      </c>
      <c r="H156" s="486">
        <v>66360</v>
      </c>
      <c r="I156" s="556">
        <f>IF(X156 = 66, H156 + SUM(S156:S165) - SUM(T156:T165) - SUM(P156:P165) - V156,0)</f>
        <v>0</v>
      </c>
      <c r="J156" s="675">
        <v>2353020735</v>
      </c>
      <c r="K156" s="666" t="s">
        <v>286</v>
      </c>
      <c r="L156" s="470"/>
      <c r="M156" s="470" t="s">
        <v>287</v>
      </c>
      <c r="N156" s="214" t="s">
        <v>307</v>
      </c>
      <c r="O156" s="484" t="s">
        <v>288</v>
      </c>
      <c r="P156" s="210">
        <v>4572</v>
      </c>
      <c r="Q156" s="209" t="s">
        <v>311</v>
      </c>
      <c r="R156" s="208"/>
      <c r="S156" s="210"/>
      <c r="T156" s="210"/>
      <c r="U156" s="486" t="s">
        <v>517</v>
      </c>
      <c r="V156" s="678">
        <v>29534</v>
      </c>
      <c r="W156" s="534"/>
      <c r="X156" s="85">
        <v>66</v>
      </c>
    </row>
    <row r="157" spans="1:24" x14ac:dyDescent="0.25">
      <c r="A157" s="474"/>
      <c r="B157" s="471"/>
      <c r="C157" s="471"/>
      <c r="D157" s="471"/>
      <c r="E157" s="471"/>
      <c r="F157" s="538"/>
      <c r="G157" s="558"/>
      <c r="H157" s="530"/>
      <c r="I157" s="559"/>
      <c r="J157" s="676"/>
      <c r="K157" s="667"/>
      <c r="L157" s="471"/>
      <c r="M157" s="471"/>
      <c r="N157" s="219" t="s">
        <v>307</v>
      </c>
      <c r="O157" s="538"/>
      <c r="P157" s="216">
        <v>4010</v>
      </c>
      <c r="Q157" s="217" t="s">
        <v>311</v>
      </c>
      <c r="R157" s="218"/>
      <c r="S157" s="216"/>
      <c r="T157" s="216"/>
      <c r="U157" s="530"/>
      <c r="V157" s="679"/>
      <c r="W157" s="535"/>
      <c r="X157" s="2">
        <v>66</v>
      </c>
    </row>
    <row r="158" spans="1:24" x14ac:dyDescent="0.25">
      <c r="A158" s="474"/>
      <c r="B158" s="471"/>
      <c r="C158" s="471"/>
      <c r="D158" s="471"/>
      <c r="E158" s="471"/>
      <c r="F158" s="538"/>
      <c r="G158" s="558"/>
      <c r="H158" s="530"/>
      <c r="I158" s="559"/>
      <c r="J158" s="676"/>
      <c r="K158" s="667"/>
      <c r="L158" s="471"/>
      <c r="M158" s="471"/>
      <c r="N158" s="219" t="s">
        <v>345</v>
      </c>
      <c r="O158" s="538"/>
      <c r="P158" s="216">
        <v>4494</v>
      </c>
      <c r="Q158" s="217" t="s">
        <v>355</v>
      </c>
      <c r="R158" s="218"/>
      <c r="S158" s="216"/>
      <c r="T158" s="216"/>
      <c r="U158" s="530"/>
      <c r="V158" s="679"/>
      <c r="W158" s="535"/>
      <c r="X158" s="2">
        <v>66</v>
      </c>
    </row>
    <row r="159" spans="1:24" x14ac:dyDescent="0.25">
      <c r="A159" s="474"/>
      <c r="B159" s="471"/>
      <c r="C159" s="471"/>
      <c r="D159" s="471"/>
      <c r="E159" s="471"/>
      <c r="F159" s="538"/>
      <c r="G159" s="558"/>
      <c r="H159" s="530"/>
      <c r="I159" s="559"/>
      <c r="J159" s="676"/>
      <c r="K159" s="667"/>
      <c r="L159" s="471"/>
      <c r="M159" s="471"/>
      <c r="N159" s="219" t="s">
        <v>345</v>
      </c>
      <c r="O159" s="538"/>
      <c r="P159" s="216">
        <v>2610</v>
      </c>
      <c r="Q159" s="217" t="s">
        <v>355</v>
      </c>
      <c r="R159" s="218"/>
      <c r="S159" s="216"/>
      <c r="T159" s="216"/>
      <c r="U159" s="530"/>
      <c r="V159" s="679"/>
      <c r="W159" s="535"/>
      <c r="X159" s="2">
        <v>66</v>
      </c>
    </row>
    <row r="160" spans="1:24" x14ac:dyDescent="0.25">
      <c r="A160" s="474"/>
      <c r="B160" s="471"/>
      <c r="C160" s="471"/>
      <c r="D160" s="471"/>
      <c r="E160" s="471"/>
      <c r="F160" s="538"/>
      <c r="G160" s="558"/>
      <c r="H160" s="530"/>
      <c r="I160" s="559"/>
      <c r="J160" s="676"/>
      <c r="K160" s="667"/>
      <c r="L160" s="471"/>
      <c r="M160" s="471"/>
      <c r="N160" s="219" t="s">
        <v>383</v>
      </c>
      <c r="O160" s="538"/>
      <c r="P160" s="216">
        <v>4554</v>
      </c>
      <c r="Q160" s="217" t="s">
        <v>376</v>
      </c>
      <c r="R160" s="218"/>
      <c r="S160" s="216"/>
      <c r="T160" s="216"/>
      <c r="U160" s="530"/>
      <c r="V160" s="679"/>
      <c r="W160" s="535"/>
      <c r="X160" s="2">
        <v>66</v>
      </c>
    </row>
    <row r="161" spans="1:24" x14ac:dyDescent="0.25">
      <c r="A161" s="474"/>
      <c r="B161" s="471"/>
      <c r="C161" s="471"/>
      <c r="D161" s="471"/>
      <c r="E161" s="471"/>
      <c r="F161" s="538"/>
      <c r="G161" s="558"/>
      <c r="H161" s="530"/>
      <c r="I161" s="559"/>
      <c r="J161" s="676"/>
      <c r="K161" s="667"/>
      <c r="L161" s="471"/>
      <c r="M161" s="471"/>
      <c r="N161" s="219" t="s">
        <v>383</v>
      </c>
      <c r="O161" s="538"/>
      <c r="P161" s="216">
        <v>2530</v>
      </c>
      <c r="Q161" s="217" t="s">
        <v>376</v>
      </c>
      <c r="R161" s="218"/>
      <c r="S161" s="216"/>
      <c r="T161" s="216"/>
      <c r="U161" s="530"/>
      <c r="V161" s="679"/>
      <c r="W161" s="535"/>
      <c r="X161" s="2">
        <v>66</v>
      </c>
    </row>
    <row r="162" spans="1:24" x14ac:dyDescent="0.25">
      <c r="A162" s="474"/>
      <c r="B162" s="471"/>
      <c r="C162" s="471"/>
      <c r="D162" s="471"/>
      <c r="E162" s="471"/>
      <c r="F162" s="538"/>
      <c r="G162" s="558"/>
      <c r="H162" s="530"/>
      <c r="I162" s="559"/>
      <c r="J162" s="676"/>
      <c r="K162" s="667"/>
      <c r="L162" s="471"/>
      <c r="M162" s="471"/>
      <c r="N162" s="219" t="s">
        <v>459</v>
      </c>
      <c r="O162" s="538"/>
      <c r="P162" s="216">
        <v>5730</v>
      </c>
      <c r="Q162" s="217" t="s">
        <v>463</v>
      </c>
      <c r="R162" s="218"/>
      <c r="S162" s="216"/>
      <c r="T162" s="216"/>
      <c r="U162" s="530"/>
      <c r="V162" s="679"/>
      <c r="W162" s="535"/>
      <c r="X162" s="2">
        <v>66</v>
      </c>
    </row>
    <row r="163" spans="1:24" x14ac:dyDescent="0.25">
      <c r="A163" s="474"/>
      <c r="B163" s="471"/>
      <c r="C163" s="471"/>
      <c r="D163" s="471"/>
      <c r="E163" s="471"/>
      <c r="F163" s="538"/>
      <c r="G163" s="558"/>
      <c r="H163" s="530"/>
      <c r="I163" s="559"/>
      <c r="J163" s="676"/>
      <c r="K163" s="667"/>
      <c r="L163" s="471"/>
      <c r="M163" s="471"/>
      <c r="N163" s="219" t="s">
        <v>459</v>
      </c>
      <c r="O163" s="538"/>
      <c r="P163" s="216">
        <v>3080</v>
      </c>
      <c r="Q163" s="217" t="s">
        <v>463</v>
      </c>
      <c r="R163" s="218"/>
      <c r="S163" s="216"/>
      <c r="T163" s="216"/>
      <c r="U163" s="530"/>
      <c r="V163" s="679"/>
      <c r="W163" s="535"/>
      <c r="X163" s="2">
        <v>66</v>
      </c>
    </row>
    <row r="164" spans="1:24" x14ac:dyDescent="0.25">
      <c r="A164" s="474"/>
      <c r="B164" s="471"/>
      <c r="C164" s="471"/>
      <c r="D164" s="471"/>
      <c r="E164" s="471"/>
      <c r="F164" s="538"/>
      <c r="G164" s="558"/>
      <c r="H164" s="530"/>
      <c r="I164" s="559"/>
      <c r="J164" s="676"/>
      <c r="K164" s="667"/>
      <c r="L164" s="471"/>
      <c r="M164" s="471"/>
      <c r="N164" s="219" t="s">
        <v>467</v>
      </c>
      <c r="O164" s="538"/>
      <c r="P164" s="216">
        <v>3366</v>
      </c>
      <c r="Q164" s="217" t="s">
        <v>509</v>
      </c>
      <c r="R164" s="218"/>
      <c r="S164" s="216"/>
      <c r="T164" s="216"/>
      <c r="U164" s="530"/>
      <c r="V164" s="679"/>
      <c r="W164" s="535"/>
      <c r="X164" s="2">
        <v>66</v>
      </c>
    </row>
    <row r="165" spans="1:24" x14ac:dyDescent="0.25">
      <c r="A165" s="475"/>
      <c r="B165" s="472"/>
      <c r="C165" s="472"/>
      <c r="D165" s="472"/>
      <c r="E165" s="472"/>
      <c r="F165" s="485"/>
      <c r="G165" s="555"/>
      <c r="H165" s="487"/>
      <c r="I165" s="557"/>
      <c r="J165" s="677"/>
      <c r="K165" s="668"/>
      <c r="L165" s="472"/>
      <c r="M165" s="472"/>
      <c r="N165" s="215" t="s">
        <v>467</v>
      </c>
      <c r="O165" s="485"/>
      <c r="P165" s="211">
        <v>1880</v>
      </c>
      <c r="Q165" s="212" t="s">
        <v>509</v>
      </c>
      <c r="R165" s="213"/>
      <c r="S165" s="211"/>
      <c r="T165" s="211"/>
      <c r="U165" s="487"/>
      <c r="V165" s="680"/>
      <c r="W165" s="536"/>
      <c r="X165" s="2">
        <v>66</v>
      </c>
    </row>
    <row r="166" spans="1:24" s="85" customFormat="1" ht="93.75" x14ac:dyDescent="0.25">
      <c r="A166" s="116">
        <v>14</v>
      </c>
      <c r="B166" s="112" t="s">
        <v>56</v>
      </c>
      <c r="C166" s="112"/>
      <c r="D166" s="112"/>
      <c r="E166" s="98" t="s">
        <v>251</v>
      </c>
      <c r="F166" s="121" t="s">
        <v>252</v>
      </c>
      <c r="G166" s="99" t="s">
        <v>253</v>
      </c>
      <c r="H166" s="113">
        <v>9000</v>
      </c>
      <c r="I166" s="118">
        <f>IF(X166 = 67, H166 + SUM(S166:S166) - SUM(T166:T166) - SUM(P166:P166) - V166,0)</f>
        <v>0</v>
      </c>
      <c r="J166" s="119">
        <v>2335015365</v>
      </c>
      <c r="K166" s="120" t="s">
        <v>154</v>
      </c>
      <c r="L166" s="112"/>
      <c r="M166" s="112" t="s">
        <v>254</v>
      </c>
      <c r="N166" s="121" t="s">
        <v>310</v>
      </c>
      <c r="O166" s="102" t="s">
        <v>255</v>
      </c>
      <c r="P166" s="113">
        <v>9000</v>
      </c>
      <c r="Q166" s="117" t="s">
        <v>314</v>
      </c>
      <c r="R166" s="112"/>
      <c r="S166" s="113"/>
      <c r="T166" s="113"/>
      <c r="U166" s="113"/>
      <c r="V166" s="114"/>
      <c r="W166" s="115"/>
      <c r="X166" s="85">
        <v>67</v>
      </c>
    </row>
    <row r="167" spans="1:24" s="85" customFormat="1" ht="75" x14ac:dyDescent="0.25">
      <c r="A167" s="116">
        <v>15</v>
      </c>
      <c r="B167" s="112" t="s">
        <v>56</v>
      </c>
      <c r="C167" s="112"/>
      <c r="D167" s="112"/>
      <c r="E167" s="112" t="s">
        <v>295</v>
      </c>
      <c r="F167" s="121" t="s">
        <v>256</v>
      </c>
      <c r="G167" s="99" t="s">
        <v>257</v>
      </c>
      <c r="H167" s="100">
        <v>5849</v>
      </c>
      <c r="I167" s="118">
        <f>IF(X167 = 68, H167 + SUM(S167:S167) - SUM(T167:T167) - SUM(P167:P167) - V167,0)</f>
        <v>0</v>
      </c>
      <c r="J167" s="101">
        <v>235002152355</v>
      </c>
      <c r="K167" s="120" t="s">
        <v>194</v>
      </c>
      <c r="L167" s="112"/>
      <c r="M167" s="98" t="s">
        <v>258</v>
      </c>
      <c r="N167" s="121" t="s">
        <v>305</v>
      </c>
      <c r="O167" s="102" t="s">
        <v>250</v>
      </c>
      <c r="P167" s="113">
        <v>5849</v>
      </c>
      <c r="Q167" s="117" t="s">
        <v>304</v>
      </c>
      <c r="R167" s="112"/>
      <c r="S167" s="113"/>
      <c r="T167" s="113"/>
      <c r="U167" s="113"/>
      <c r="V167" s="114"/>
      <c r="W167" s="115"/>
      <c r="X167" s="85">
        <v>68</v>
      </c>
    </row>
    <row r="168" spans="1:24" s="85" customFormat="1" ht="56.25" x14ac:dyDescent="0.25">
      <c r="A168" s="135">
        <v>16</v>
      </c>
      <c r="B168" s="137" t="s">
        <v>56</v>
      </c>
      <c r="C168" s="137"/>
      <c r="D168" s="137"/>
      <c r="E168" s="137" t="s">
        <v>322</v>
      </c>
      <c r="F168" s="142" t="s">
        <v>323</v>
      </c>
      <c r="G168" s="140" t="s">
        <v>327</v>
      </c>
      <c r="H168" s="136">
        <v>3000</v>
      </c>
      <c r="I168" s="141">
        <f>IF(X168 = 69, H168 + SUM(S168:S168) - SUM(T168:T168) - SUM(P168:P168) - V168,0)</f>
        <v>0</v>
      </c>
      <c r="J168" s="143">
        <v>2311187588</v>
      </c>
      <c r="K168" s="144" t="s">
        <v>324</v>
      </c>
      <c r="L168" s="137"/>
      <c r="M168" s="137" t="s">
        <v>325</v>
      </c>
      <c r="N168" s="142" t="s">
        <v>351</v>
      </c>
      <c r="O168" s="102" t="s">
        <v>326</v>
      </c>
      <c r="P168" s="136">
        <v>3000</v>
      </c>
      <c r="Q168" s="140" t="s">
        <v>350</v>
      </c>
      <c r="R168" s="137"/>
      <c r="S168" s="136"/>
      <c r="T168" s="136"/>
      <c r="U168" s="136"/>
      <c r="V168" s="145"/>
      <c r="W168" s="139"/>
      <c r="X168" s="85">
        <v>69</v>
      </c>
    </row>
    <row r="169" spans="1:24" s="85" customFormat="1" ht="58.15" customHeight="1" x14ac:dyDescent="0.25">
      <c r="A169" s="527">
        <v>17</v>
      </c>
      <c r="B169" s="461" t="s">
        <v>56</v>
      </c>
      <c r="C169" s="461"/>
      <c r="D169" s="461"/>
      <c r="E169" s="461" t="s">
        <v>277</v>
      </c>
      <c r="F169" s="464" t="s">
        <v>362</v>
      </c>
      <c r="G169" s="531" t="s">
        <v>299</v>
      </c>
      <c r="H169" s="467">
        <v>341975.03999999998</v>
      </c>
      <c r="I169" s="516">
        <f>IF(X169 = 70, H169 + SUM(S169:S178) - SUM(T169:T178) - SUM(P169:P178) - V169,0)</f>
        <v>-5.0931703299283981E-11</v>
      </c>
      <c r="J169" s="669">
        <v>2353020735</v>
      </c>
      <c r="K169" s="672" t="s">
        <v>286</v>
      </c>
      <c r="L169" s="461"/>
      <c r="M169" s="461" t="s">
        <v>363</v>
      </c>
      <c r="N169" s="194" t="s">
        <v>376</v>
      </c>
      <c r="O169" s="464" t="s">
        <v>288</v>
      </c>
      <c r="P169" s="187">
        <v>45641.53</v>
      </c>
      <c r="Q169" s="186" t="s">
        <v>384</v>
      </c>
      <c r="R169" s="185"/>
      <c r="S169" s="187"/>
      <c r="T169" s="187"/>
      <c r="U169" s="467" t="s">
        <v>522</v>
      </c>
      <c r="V169" s="663">
        <v>64023.13</v>
      </c>
      <c r="W169" s="519"/>
      <c r="X169" s="85">
        <v>70</v>
      </c>
    </row>
    <row r="170" spans="1:24" x14ac:dyDescent="0.25">
      <c r="A170" s="528"/>
      <c r="B170" s="462"/>
      <c r="C170" s="462"/>
      <c r="D170" s="462"/>
      <c r="E170" s="462"/>
      <c r="F170" s="465"/>
      <c r="G170" s="532"/>
      <c r="H170" s="468"/>
      <c r="I170" s="517"/>
      <c r="J170" s="670"/>
      <c r="K170" s="673"/>
      <c r="L170" s="462"/>
      <c r="M170" s="462"/>
      <c r="N170" s="195" t="s">
        <v>376</v>
      </c>
      <c r="O170" s="465"/>
      <c r="P170" s="188">
        <v>2913.35</v>
      </c>
      <c r="Q170" s="189" t="s">
        <v>384</v>
      </c>
      <c r="R170" s="190"/>
      <c r="S170" s="188"/>
      <c r="T170" s="188"/>
      <c r="U170" s="468"/>
      <c r="V170" s="664"/>
      <c r="W170" s="520"/>
      <c r="X170" s="2">
        <v>70</v>
      </c>
    </row>
    <row r="171" spans="1:24" x14ac:dyDescent="0.25">
      <c r="A171" s="528"/>
      <c r="B171" s="462"/>
      <c r="C171" s="462"/>
      <c r="D171" s="462"/>
      <c r="E171" s="462"/>
      <c r="F171" s="465"/>
      <c r="G171" s="532"/>
      <c r="H171" s="468"/>
      <c r="I171" s="517"/>
      <c r="J171" s="670"/>
      <c r="K171" s="673"/>
      <c r="L171" s="462"/>
      <c r="M171" s="462"/>
      <c r="N171" s="195" t="s">
        <v>381</v>
      </c>
      <c r="O171" s="465"/>
      <c r="P171" s="188">
        <v>5808.11</v>
      </c>
      <c r="Q171" s="189" t="s">
        <v>457</v>
      </c>
      <c r="R171" s="190"/>
      <c r="S171" s="188"/>
      <c r="T171" s="188"/>
      <c r="U171" s="468"/>
      <c r="V171" s="664"/>
      <c r="W171" s="520"/>
      <c r="X171" s="2">
        <v>70</v>
      </c>
    </row>
    <row r="172" spans="1:24" x14ac:dyDescent="0.25">
      <c r="A172" s="528"/>
      <c r="B172" s="462"/>
      <c r="C172" s="462"/>
      <c r="D172" s="462"/>
      <c r="E172" s="462"/>
      <c r="F172" s="465"/>
      <c r="G172" s="532"/>
      <c r="H172" s="468"/>
      <c r="I172" s="517"/>
      <c r="J172" s="670"/>
      <c r="K172" s="673"/>
      <c r="L172" s="462"/>
      <c r="M172" s="462"/>
      <c r="N172" s="195" t="s">
        <v>381</v>
      </c>
      <c r="O172" s="465"/>
      <c r="P172" s="188">
        <v>90991.89</v>
      </c>
      <c r="Q172" s="189" t="s">
        <v>457</v>
      </c>
      <c r="R172" s="190"/>
      <c r="S172" s="188"/>
      <c r="T172" s="188"/>
      <c r="U172" s="468"/>
      <c r="V172" s="664"/>
      <c r="W172" s="520"/>
      <c r="X172" s="2">
        <v>70</v>
      </c>
    </row>
    <row r="173" spans="1:24" x14ac:dyDescent="0.25">
      <c r="A173" s="528"/>
      <c r="B173" s="462"/>
      <c r="C173" s="462"/>
      <c r="D173" s="462"/>
      <c r="E173" s="462"/>
      <c r="F173" s="465"/>
      <c r="G173" s="532"/>
      <c r="H173" s="468"/>
      <c r="I173" s="517"/>
      <c r="J173" s="670"/>
      <c r="K173" s="673"/>
      <c r="L173" s="462"/>
      <c r="M173" s="462"/>
      <c r="N173" s="195" t="s">
        <v>459</v>
      </c>
      <c r="O173" s="465"/>
      <c r="P173" s="188">
        <v>31311.89</v>
      </c>
      <c r="Q173" s="189" t="s">
        <v>463</v>
      </c>
      <c r="R173" s="190"/>
      <c r="S173" s="188"/>
      <c r="T173" s="188"/>
      <c r="U173" s="468"/>
      <c r="V173" s="664"/>
      <c r="W173" s="520"/>
      <c r="X173" s="2">
        <v>70</v>
      </c>
    </row>
    <row r="174" spans="1:24" x14ac:dyDescent="0.25">
      <c r="A174" s="528"/>
      <c r="B174" s="462"/>
      <c r="C174" s="462"/>
      <c r="D174" s="462"/>
      <c r="E174" s="462"/>
      <c r="F174" s="465"/>
      <c r="G174" s="532"/>
      <c r="H174" s="468"/>
      <c r="I174" s="517"/>
      <c r="J174" s="670"/>
      <c r="K174" s="673"/>
      <c r="L174" s="462"/>
      <c r="M174" s="462"/>
      <c r="N174" s="195" t="s">
        <v>459</v>
      </c>
      <c r="O174" s="465"/>
      <c r="P174" s="188">
        <v>1998.67</v>
      </c>
      <c r="Q174" s="189" t="s">
        <v>463</v>
      </c>
      <c r="R174" s="190"/>
      <c r="S174" s="188"/>
      <c r="T174" s="188"/>
      <c r="U174" s="468"/>
      <c r="V174" s="664"/>
      <c r="W174" s="520"/>
      <c r="X174" s="2">
        <v>70</v>
      </c>
    </row>
    <row r="175" spans="1:24" x14ac:dyDescent="0.25">
      <c r="A175" s="528"/>
      <c r="B175" s="462"/>
      <c r="C175" s="462"/>
      <c r="D175" s="462"/>
      <c r="E175" s="462"/>
      <c r="F175" s="465"/>
      <c r="G175" s="532"/>
      <c r="H175" s="468"/>
      <c r="I175" s="517"/>
      <c r="J175" s="670"/>
      <c r="K175" s="673"/>
      <c r="L175" s="462"/>
      <c r="M175" s="462"/>
      <c r="N175" s="195" t="s">
        <v>462</v>
      </c>
      <c r="O175" s="465"/>
      <c r="P175" s="188">
        <v>32256.639999999999</v>
      </c>
      <c r="Q175" s="189" t="s">
        <v>465</v>
      </c>
      <c r="R175" s="190"/>
      <c r="S175" s="188"/>
      <c r="T175" s="188"/>
      <c r="U175" s="468"/>
      <c r="V175" s="664"/>
      <c r="W175" s="520"/>
      <c r="X175" s="2">
        <v>70</v>
      </c>
    </row>
    <row r="176" spans="1:24" x14ac:dyDescent="0.25">
      <c r="A176" s="528"/>
      <c r="B176" s="462"/>
      <c r="C176" s="462"/>
      <c r="D176" s="462"/>
      <c r="E176" s="462"/>
      <c r="F176" s="465"/>
      <c r="G176" s="532"/>
      <c r="H176" s="468"/>
      <c r="I176" s="517"/>
      <c r="J176" s="670"/>
      <c r="K176" s="673"/>
      <c r="L176" s="462"/>
      <c r="M176" s="462"/>
      <c r="N176" s="195" t="s">
        <v>462</v>
      </c>
      <c r="O176" s="465"/>
      <c r="P176" s="188">
        <v>2058.98</v>
      </c>
      <c r="Q176" s="189" t="s">
        <v>465</v>
      </c>
      <c r="R176" s="190"/>
      <c r="S176" s="188"/>
      <c r="T176" s="188"/>
      <c r="U176" s="468"/>
      <c r="V176" s="664"/>
      <c r="W176" s="520"/>
      <c r="X176" s="2">
        <v>70</v>
      </c>
    </row>
    <row r="177" spans="1:24" x14ac:dyDescent="0.25">
      <c r="A177" s="528"/>
      <c r="B177" s="462"/>
      <c r="C177" s="462"/>
      <c r="D177" s="462"/>
      <c r="E177" s="462"/>
      <c r="F177" s="465"/>
      <c r="G177" s="532"/>
      <c r="H177" s="468"/>
      <c r="I177" s="517"/>
      <c r="J177" s="670"/>
      <c r="K177" s="673"/>
      <c r="L177" s="462"/>
      <c r="M177" s="462"/>
      <c r="N177" s="195" t="s">
        <v>467</v>
      </c>
      <c r="O177" s="465"/>
      <c r="P177" s="188">
        <v>61072.52</v>
      </c>
      <c r="Q177" s="189" t="s">
        <v>470</v>
      </c>
      <c r="R177" s="190"/>
      <c r="S177" s="188"/>
      <c r="T177" s="188"/>
      <c r="U177" s="468"/>
      <c r="V177" s="664"/>
      <c r="W177" s="520"/>
      <c r="X177" s="2">
        <v>70</v>
      </c>
    </row>
    <row r="178" spans="1:24" x14ac:dyDescent="0.25">
      <c r="A178" s="529"/>
      <c r="B178" s="463"/>
      <c r="C178" s="463"/>
      <c r="D178" s="463"/>
      <c r="E178" s="463"/>
      <c r="F178" s="466"/>
      <c r="G178" s="533"/>
      <c r="H178" s="469"/>
      <c r="I178" s="518"/>
      <c r="J178" s="671"/>
      <c r="K178" s="674"/>
      <c r="L178" s="463"/>
      <c r="M178" s="463"/>
      <c r="N178" s="196" t="s">
        <v>467</v>
      </c>
      <c r="O178" s="466"/>
      <c r="P178" s="191">
        <v>3898.33</v>
      </c>
      <c r="Q178" s="192" t="s">
        <v>470</v>
      </c>
      <c r="R178" s="193"/>
      <c r="S178" s="191"/>
      <c r="T178" s="191"/>
      <c r="U178" s="469"/>
      <c r="V178" s="665"/>
      <c r="W178" s="521"/>
      <c r="X178" s="2">
        <v>70</v>
      </c>
    </row>
    <row r="179" spans="1:24" s="85" customFormat="1" ht="60.6" customHeight="1" x14ac:dyDescent="0.25">
      <c r="A179" s="527">
        <v>18</v>
      </c>
      <c r="B179" s="461" t="s">
        <v>56</v>
      </c>
      <c r="C179" s="461"/>
      <c r="D179" s="461"/>
      <c r="E179" s="461" t="s">
        <v>297</v>
      </c>
      <c r="F179" s="464" t="s">
        <v>362</v>
      </c>
      <c r="G179" s="531" t="s">
        <v>301</v>
      </c>
      <c r="H179" s="467">
        <v>110400</v>
      </c>
      <c r="I179" s="516">
        <f>IF(X179 = 71, H179 + SUM(S179:S183) - SUM(T179:T183) - SUM(P179:P183) - V179,0)</f>
        <v>0</v>
      </c>
      <c r="J179" s="669">
        <v>2353020735</v>
      </c>
      <c r="K179" s="672" t="s">
        <v>286</v>
      </c>
      <c r="L179" s="461"/>
      <c r="M179" s="461" t="s">
        <v>363</v>
      </c>
      <c r="N179" s="194" t="s">
        <v>376</v>
      </c>
      <c r="O179" s="464" t="s">
        <v>288</v>
      </c>
      <c r="P179" s="187">
        <v>15675</v>
      </c>
      <c r="Q179" s="186" t="s">
        <v>384</v>
      </c>
      <c r="R179" s="185"/>
      <c r="S179" s="187"/>
      <c r="T179" s="187"/>
      <c r="U179" s="467" t="s">
        <v>522</v>
      </c>
      <c r="V179" s="663">
        <v>17350</v>
      </c>
      <c r="W179" s="519"/>
      <c r="X179" s="85">
        <v>71</v>
      </c>
    </row>
    <row r="180" spans="1:24" x14ac:dyDescent="0.25">
      <c r="A180" s="528"/>
      <c r="B180" s="462"/>
      <c r="C180" s="462"/>
      <c r="D180" s="462"/>
      <c r="E180" s="462"/>
      <c r="F180" s="465"/>
      <c r="G180" s="532"/>
      <c r="H180" s="468"/>
      <c r="I180" s="517"/>
      <c r="J180" s="670"/>
      <c r="K180" s="673"/>
      <c r="L180" s="462"/>
      <c r="M180" s="462"/>
      <c r="N180" s="195" t="s">
        <v>381</v>
      </c>
      <c r="O180" s="465"/>
      <c r="P180" s="188">
        <v>31250</v>
      </c>
      <c r="Q180" s="189" t="s">
        <v>457</v>
      </c>
      <c r="R180" s="190"/>
      <c r="S180" s="188"/>
      <c r="T180" s="188"/>
      <c r="U180" s="468"/>
      <c r="V180" s="664"/>
      <c r="W180" s="520"/>
      <c r="X180" s="2">
        <v>71</v>
      </c>
    </row>
    <row r="181" spans="1:24" x14ac:dyDescent="0.25">
      <c r="A181" s="528"/>
      <c r="B181" s="462"/>
      <c r="C181" s="462"/>
      <c r="D181" s="462"/>
      <c r="E181" s="462"/>
      <c r="F181" s="465"/>
      <c r="G181" s="532"/>
      <c r="H181" s="468"/>
      <c r="I181" s="517"/>
      <c r="J181" s="670"/>
      <c r="K181" s="673"/>
      <c r="L181" s="462"/>
      <c r="M181" s="462"/>
      <c r="N181" s="195" t="s">
        <v>459</v>
      </c>
      <c r="O181" s="465"/>
      <c r="P181" s="188">
        <v>11600</v>
      </c>
      <c r="Q181" s="189" t="s">
        <v>464</v>
      </c>
      <c r="R181" s="190"/>
      <c r="S181" s="188"/>
      <c r="T181" s="188"/>
      <c r="U181" s="468"/>
      <c r="V181" s="664"/>
      <c r="W181" s="520"/>
      <c r="X181" s="2">
        <v>71</v>
      </c>
    </row>
    <row r="182" spans="1:24" x14ac:dyDescent="0.25">
      <c r="A182" s="528"/>
      <c r="B182" s="462"/>
      <c r="C182" s="462"/>
      <c r="D182" s="462"/>
      <c r="E182" s="462"/>
      <c r="F182" s="465"/>
      <c r="G182" s="532"/>
      <c r="H182" s="468"/>
      <c r="I182" s="517"/>
      <c r="J182" s="670"/>
      <c r="K182" s="673"/>
      <c r="L182" s="462"/>
      <c r="M182" s="462"/>
      <c r="N182" s="195" t="s">
        <v>462</v>
      </c>
      <c r="O182" s="465"/>
      <c r="P182" s="188">
        <v>11950</v>
      </c>
      <c r="Q182" s="189" t="s">
        <v>465</v>
      </c>
      <c r="R182" s="190"/>
      <c r="S182" s="188"/>
      <c r="T182" s="188"/>
      <c r="U182" s="468"/>
      <c r="V182" s="664"/>
      <c r="W182" s="520"/>
      <c r="X182" s="2">
        <v>71</v>
      </c>
    </row>
    <row r="183" spans="1:24" x14ac:dyDescent="0.25">
      <c r="A183" s="529"/>
      <c r="B183" s="463"/>
      <c r="C183" s="463"/>
      <c r="D183" s="463"/>
      <c r="E183" s="463"/>
      <c r="F183" s="466"/>
      <c r="G183" s="533"/>
      <c r="H183" s="469"/>
      <c r="I183" s="518"/>
      <c r="J183" s="671"/>
      <c r="K183" s="674"/>
      <c r="L183" s="463"/>
      <c r="M183" s="463"/>
      <c r="N183" s="196" t="s">
        <v>467</v>
      </c>
      <c r="O183" s="466"/>
      <c r="P183" s="191">
        <v>22575</v>
      </c>
      <c r="Q183" s="192" t="s">
        <v>470</v>
      </c>
      <c r="R183" s="193"/>
      <c r="S183" s="191"/>
      <c r="T183" s="191"/>
      <c r="U183" s="469"/>
      <c r="V183" s="665"/>
      <c r="W183" s="521"/>
      <c r="X183" s="2">
        <v>71</v>
      </c>
    </row>
    <row r="184" spans="1:24" s="85" customFormat="1" ht="75" x14ac:dyDescent="0.25">
      <c r="A184" s="175">
        <v>19</v>
      </c>
      <c r="B184" s="176" t="s">
        <v>56</v>
      </c>
      <c r="C184" s="176"/>
      <c r="D184" s="176"/>
      <c r="E184" s="176" t="s">
        <v>399</v>
      </c>
      <c r="F184" s="181" t="s">
        <v>400</v>
      </c>
      <c r="G184" s="177" t="s">
        <v>401</v>
      </c>
      <c r="H184" s="178">
        <v>15000</v>
      </c>
      <c r="I184" s="179">
        <f>IF(X184 = 72, H184 + SUM(S184:S184) - SUM(T184:T184) - SUM(P184:P184) - V184,0)</f>
        <v>0</v>
      </c>
      <c r="J184" s="182">
        <v>235002152355</v>
      </c>
      <c r="K184" s="120" t="s">
        <v>194</v>
      </c>
      <c r="L184" s="176"/>
      <c r="M184" s="98" t="s">
        <v>402</v>
      </c>
      <c r="N184" s="181" t="s">
        <v>463</v>
      </c>
      <c r="O184" s="102" t="s">
        <v>250</v>
      </c>
      <c r="P184" s="178">
        <v>15000</v>
      </c>
      <c r="Q184" s="177" t="s">
        <v>464</v>
      </c>
      <c r="R184" s="176"/>
      <c r="S184" s="178"/>
      <c r="T184" s="178"/>
      <c r="U184" s="178"/>
      <c r="V184" s="183"/>
      <c r="W184" s="174"/>
      <c r="X184" s="85">
        <v>72</v>
      </c>
    </row>
    <row r="185" spans="1:24" s="85" customFormat="1" ht="112.5" x14ac:dyDescent="0.25">
      <c r="A185" s="175">
        <v>20</v>
      </c>
      <c r="B185" s="176" t="s">
        <v>56</v>
      </c>
      <c r="C185" s="176"/>
      <c r="D185" s="176"/>
      <c r="E185" s="176" t="s">
        <v>403</v>
      </c>
      <c r="F185" s="181" t="s">
        <v>404</v>
      </c>
      <c r="G185" s="177" t="s">
        <v>405</v>
      </c>
      <c r="H185" s="178">
        <v>30730</v>
      </c>
      <c r="I185" s="179">
        <f>IF(X185 = 73, H185 + SUM(S185:S185) - SUM(T185:T185) - SUM(P185:P185) - V185,0)</f>
        <v>0</v>
      </c>
      <c r="J185" s="182">
        <v>2636040789</v>
      </c>
      <c r="K185" s="184" t="s">
        <v>406</v>
      </c>
      <c r="L185" s="176"/>
      <c r="M185" s="176" t="s">
        <v>407</v>
      </c>
      <c r="N185" s="181" t="s">
        <v>467</v>
      </c>
      <c r="O185" s="102" t="s">
        <v>408</v>
      </c>
      <c r="P185" s="178">
        <v>30730</v>
      </c>
      <c r="Q185" s="177" t="s">
        <v>466</v>
      </c>
      <c r="R185" s="176"/>
      <c r="S185" s="178"/>
      <c r="T185" s="178"/>
      <c r="U185" s="178"/>
      <c r="V185" s="183"/>
      <c r="W185" s="174"/>
      <c r="X185" s="85">
        <v>73</v>
      </c>
    </row>
    <row r="186" spans="1:24" s="85" customFormat="1" ht="93.75" x14ac:dyDescent="0.25">
      <c r="A186" s="175">
        <v>21</v>
      </c>
      <c r="B186" s="176" t="s">
        <v>56</v>
      </c>
      <c r="C186" s="176"/>
      <c r="D186" s="176"/>
      <c r="E186" s="176" t="s">
        <v>423</v>
      </c>
      <c r="F186" s="181" t="s">
        <v>424</v>
      </c>
      <c r="G186" s="177" t="s">
        <v>425</v>
      </c>
      <c r="H186" s="178">
        <v>237856.35</v>
      </c>
      <c r="I186" s="179">
        <f>IF(X186 = 74, H186 + SUM(S186:S186) - SUM(T186:T186) - SUM(P186:P186) - V186,0)</f>
        <v>0</v>
      </c>
      <c r="J186" s="182">
        <v>7116151604</v>
      </c>
      <c r="K186" s="184" t="s">
        <v>426</v>
      </c>
      <c r="L186" s="176"/>
      <c r="M186" s="176" t="s">
        <v>427</v>
      </c>
      <c r="N186" s="181" t="s">
        <v>559</v>
      </c>
      <c r="O186" s="102" t="s">
        <v>428</v>
      </c>
      <c r="P186" s="178">
        <v>237856.35</v>
      </c>
      <c r="Q186" s="177" t="s">
        <v>560</v>
      </c>
      <c r="R186" s="176"/>
      <c r="S186" s="178"/>
      <c r="T186" s="178"/>
      <c r="U186" s="178"/>
      <c r="V186" s="183"/>
      <c r="W186" s="174"/>
      <c r="X186" s="85">
        <v>74</v>
      </c>
    </row>
    <row r="187" spans="1:24" s="85" customFormat="1" ht="75" x14ac:dyDescent="0.25">
      <c r="A187" s="175">
        <v>22</v>
      </c>
      <c r="B187" s="176" t="s">
        <v>56</v>
      </c>
      <c r="C187" s="176"/>
      <c r="D187" s="176"/>
      <c r="E187" s="176" t="s">
        <v>435</v>
      </c>
      <c r="F187" s="181" t="s">
        <v>436</v>
      </c>
      <c r="G187" s="177" t="s">
        <v>437</v>
      </c>
      <c r="H187" s="178">
        <v>15400</v>
      </c>
      <c r="I187" s="179">
        <f>IF(X187 = 75, H187 + SUM(S187:S187) - SUM(T187:T187) - SUM(P187:P187) - V187,0)</f>
        <v>0</v>
      </c>
      <c r="J187" s="182">
        <v>235002152355</v>
      </c>
      <c r="K187" s="184" t="s">
        <v>194</v>
      </c>
      <c r="L187" s="176"/>
      <c r="M187" s="176" t="s">
        <v>438</v>
      </c>
      <c r="N187" s="181" t="s">
        <v>467</v>
      </c>
      <c r="O187" s="102" t="s">
        <v>250</v>
      </c>
      <c r="P187" s="178">
        <v>15400</v>
      </c>
      <c r="Q187" s="177" t="s">
        <v>469</v>
      </c>
      <c r="R187" s="176"/>
      <c r="S187" s="178"/>
      <c r="T187" s="178"/>
      <c r="U187" s="178"/>
      <c r="V187" s="183"/>
      <c r="W187" s="174"/>
      <c r="X187" s="85">
        <v>75</v>
      </c>
    </row>
    <row r="188" spans="1:24" s="85" customFormat="1" ht="54.6" customHeight="1" x14ac:dyDescent="0.25">
      <c r="A188" s="175">
        <v>23</v>
      </c>
      <c r="B188" s="176" t="s">
        <v>56</v>
      </c>
      <c r="C188" s="176"/>
      <c r="D188" s="176"/>
      <c r="E188" s="176" t="s">
        <v>439</v>
      </c>
      <c r="F188" s="181" t="s">
        <v>440</v>
      </c>
      <c r="G188" s="177" t="s">
        <v>227</v>
      </c>
      <c r="H188" s="178">
        <v>7000</v>
      </c>
      <c r="I188" s="179">
        <f>IF(X188 = 76, H188 + SUM(S188:S188) - SUM(T188:T188) - SUM(P188:P188) - V188,0)</f>
        <v>0</v>
      </c>
      <c r="J188" s="182">
        <v>2353018870</v>
      </c>
      <c r="K188" s="184" t="s">
        <v>160</v>
      </c>
      <c r="L188" s="176"/>
      <c r="M188" s="176" t="s">
        <v>441</v>
      </c>
      <c r="N188" s="181" t="s">
        <v>506</v>
      </c>
      <c r="O188" s="181" t="s">
        <v>234</v>
      </c>
      <c r="P188" s="178">
        <v>7000</v>
      </c>
      <c r="Q188" s="177" t="s">
        <v>505</v>
      </c>
      <c r="R188" s="176"/>
      <c r="S188" s="178"/>
      <c r="T188" s="178"/>
      <c r="U188" s="178"/>
      <c r="V188" s="183"/>
      <c r="W188" s="174"/>
      <c r="X188" s="85">
        <v>76</v>
      </c>
    </row>
    <row r="189" spans="1:24" s="85" customFormat="1" ht="74.45" customHeight="1" x14ac:dyDescent="0.25">
      <c r="A189" s="175">
        <v>24</v>
      </c>
      <c r="B189" s="176" t="s">
        <v>56</v>
      </c>
      <c r="C189" s="176"/>
      <c r="D189" s="176"/>
      <c r="E189" s="176" t="s">
        <v>442</v>
      </c>
      <c r="F189" s="181" t="s">
        <v>416</v>
      </c>
      <c r="G189" s="177" t="s">
        <v>443</v>
      </c>
      <c r="H189" s="178">
        <v>75337.5</v>
      </c>
      <c r="I189" s="179">
        <f>IF(X189 = 77, H189 + SUM(S189:S189) - SUM(T189:T189) - SUM(P189:P189) - V189,0)</f>
        <v>0</v>
      </c>
      <c r="J189" s="182">
        <v>2353020735</v>
      </c>
      <c r="K189" s="184" t="s">
        <v>286</v>
      </c>
      <c r="L189" s="176"/>
      <c r="M189" s="176" t="s">
        <v>444</v>
      </c>
      <c r="N189" s="181" t="s">
        <v>513</v>
      </c>
      <c r="O189" s="153" t="s">
        <v>288</v>
      </c>
      <c r="P189" s="178">
        <v>64575</v>
      </c>
      <c r="Q189" s="177" t="s">
        <v>514</v>
      </c>
      <c r="R189" s="176"/>
      <c r="S189" s="178"/>
      <c r="T189" s="178"/>
      <c r="U189" s="178" t="s">
        <v>523</v>
      </c>
      <c r="V189" s="183">
        <v>10762.5</v>
      </c>
      <c r="W189" s="174"/>
      <c r="X189" s="85">
        <v>77</v>
      </c>
    </row>
    <row r="190" spans="1:24" s="85" customFormat="1" ht="67.150000000000006" customHeight="1" x14ac:dyDescent="0.25">
      <c r="A190" s="473">
        <v>25</v>
      </c>
      <c r="B190" s="470" t="s">
        <v>56</v>
      </c>
      <c r="C190" s="470"/>
      <c r="D190" s="470"/>
      <c r="E190" s="470" t="s">
        <v>445</v>
      </c>
      <c r="F190" s="484" t="s">
        <v>446</v>
      </c>
      <c r="G190" s="554" t="s">
        <v>447</v>
      </c>
      <c r="H190" s="486">
        <v>26910</v>
      </c>
      <c r="I190" s="556">
        <f>IF(X190 = 78, H190 + SUM(S190:S191) - SUM(T190:T191) - SUM(P190:P191) - V190,0)</f>
        <v>0</v>
      </c>
      <c r="J190" s="675">
        <v>2353020735</v>
      </c>
      <c r="K190" s="666" t="s">
        <v>286</v>
      </c>
      <c r="L190" s="470"/>
      <c r="M190" s="470" t="s">
        <v>444</v>
      </c>
      <c r="N190" s="214" t="s">
        <v>513</v>
      </c>
      <c r="O190" s="484" t="s">
        <v>288</v>
      </c>
      <c r="P190" s="210">
        <v>16146</v>
      </c>
      <c r="Q190" s="209" t="s">
        <v>514</v>
      </c>
      <c r="R190" s="208"/>
      <c r="S190" s="210"/>
      <c r="T190" s="210"/>
      <c r="U190" s="486"/>
      <c r="V190" s="678"/>
      <c r="W190" s="534"/>
      <c r="X190" s="85">
        <v>78</v>
      </c>
    </row>
    <row r="191" spans="1:24" x14ac:dyDescent="0.25">
      <c r="A191" s="475"/>
      <c r="B191" s="472"/>
      <c r="C191" s="472"/>
      <c r="D191" s="472"/>
      <c r="E191" s="472"/>
      <c r="F191" s="485"/>
      <c r="G191" s="555"/>
      <c r="H191" s="487"/>
      <c r="I191" s="557"/>
      <c r="J191" s="677"/>
      <c r="K191" s="668"/>
      <c r="L191" s="472"/>
      <c r="M191" s="472"/>
      <c r="N191" s="215" t="s">
        <v>513</v>
      </c>
      <c r="O191" s="485"/>
      <c r="P191" s="211">
        <v>10764</v>
      </c>
      <c r="Q191" s="212" t="s">
        <v>514</v>
      </c>
      <c r="R191" s="213"/>
      <c r="S191" s="211"/>
      <c r="T191" s="211"/>
      <c r="U191" s="487"/>
      <c r="V191" s="680"/>
      <c r="W191" s="536"/>
      <c r="X191" s="2">
        <v>78</v>
      </c>
    </row>
    <row r="192" spans="1:24" s="85" customFormat="1" ht="56.25" x14ac:dyDescent="0.25">
      <c r="A192" s="198">
        <v>26</v>
      </c>
      <c r="B192" s="199" t="s">
        <v>56</v>
      </c>
      <c r="C192" s="199"/>
      <c r="D192" s="199"/>
      <c r="E192" s="199" t="s">
        <v>489</v>
      </c>
      <c r="F192" s="204" t="s">
        <v>490</v>
      </c>
      <c r="G192" s="200" t="s">
        <v>491</v>
      </c>
      <c r="H192" s="201">
        <v>995</v>
      </c>
      <c r="I192" s="202">
        <f>IF(X192 = 79, H192 + SUM(S192:S192) - SUM(T192:T192) - SUM(P192:P192) - V192,0)</f>
        <v>0</v>
      </c>
      <c r="J192" s="205">
        <v>2310132554</v>
      </c>
      <c r="K192" s="206" t="s">
        <v>492</v>
      </c>
      <c r="L192" s="199"/>
      <c r="M192" s="199" t="s">
        <v>493</v>
      </c>
      <c r="N192" s="204" t="s">
        <v>571</v>
      </c>
      <c r="O192" s="153" t="s">
        <v>494</v>
      </c>
      <c r="P192" s="201">
        <v>995</v>
      </c>
      <c r="Q192" s="200" t="s">
        <v>572</v>
      </c>
      <c r="R192" s="199"/>
      <c r="S192" s="201"/>
      <c r="T192" s="201"/>
      <c r="U192" s="201"/>
      <c r="V192" s="207"/>
      <c r="W192" s="197"/>
      <c r="X192" s="85">
        <v>79</v>
      </c>
    </row>
    <row r="193" spans="1:24" s="85" customFormat="1" ht="90" customHeight="1" x14ac:dyDescent="0.25">
      <c r="A193" s="406">
        <v>27</v>
      </c>
      <c r="B193" s="412" t="s">
        <v>56</v>
      </c>
      <c r="C193" s="412"/>
      <c r="D193" s="412"/>
      <c r="E193" s="412" t="s">
        <v>502</v>
      </c>
      <c r="F193" s="408" t="s">
        <v>503</v>
      </c>
      <c r="G193" s="418" t="s">
        <v>184</v>
      </c>
      <c r="H193" s="410">
        <v>598920</v>
      </c>
      <c r="I193" s="420">
        <f>IF(X193 = 80, H193 + SUM(S193:S198) - SUM(T193:T198) - SUM(P193:P198) - V193,0)</f>
        <v>77493.5</v>
      </c>
      <c r="J193" s="576">
        <v>235300578903</v>
      </c>
      <c r="K193" s="579" t="s">
        <v>148</v>
      </c>
      <c r="L193" s="412"/>
      <c r="M193" s="412" t="s">
        <v>504</v>
      </c>
      <c r="N193" s="351" t="s">
        <v>562</v>
      </c>
      <c r="O193" s="408" t="s">
        <v>296</v>
      </c>
      <c r="P193" s="335">
        <v>92977.5</v>
      </c>
      <c r="Q193" s="334" t="s">
        <v>561</v>
      </c>
      <c r="R193" s="333"/>
      <c r="S193" s="335"/>
      <c r="T193" s="335"/>
      <c r="U193" s="410"/>
      <c r="V193" s="582"/>
      <c r="W193" s="416"/>
      <c r="X193" s="85">
        <v>80</v>
      </c>
    </row>
    <row r="194" spans="1:24" x14ac:dyDescent="0.25">
      <c r="A194" s="429"/>
      <c r="B194" s="422"/>
      <c r="C194" s="422"/>
      <c r="D194" s="422"/>
      <c r="E194" s="422"/>
      <c r="F194" s="424"/>
      <c r="G194" s="423"/>
      <c r="H194" s="425"/>
      <c r="I194" s="426"/>
      <c r="J194" s="577"/>
      <c r="K194" s="580"/>
      <c r="L194" s="422"/>
      <c r="M194" s="422"/>
      <c r="N194" s="352" t="s">
        <v>602</v>
      </c>
      <c r="O194" s="424"/>
      <c r="P194" s="336">
        <v>13447.5</v>
      </c>
      <c r="Q194" s="337" t="s">
        <v>613</v>
      </c>
      <c r="R194" s="338"/>
      <c r="S194" s="336"/>
      <c r="T194" s="336"/>
      <c r="U194" s="425"/>
      <c r="V194" s="583"/>
      <c r="W194" s="428"/>
      <c r="X194" s="2">
        <v>80</v>
      </c>
    </row>
    <row r="195" spans="1:24" x14ac:dyDescent="0.25">
      <c r="A195" s="429"/>
      <c r="B195" s="422"/>
      <c r="C195" s="422"/>
      <c r="D195" s="422"/>
      <c r="E195" s="422"/>
      <c r="F195" s="424"/>
      <c r="G195" s="423"/>
      <c r="H195" s="425"/>
      <c r="I195" s="426"/>
      <c r="J195" s="577"/>
      <c r="K195" s="580"/>
      <c r="L195" s="422"/>
      <c r="M195" s="422"/>
      <c r="N195" s="352" t="s">
        <v>606</v>
      </c>
      <c r="O195" s="424"/>
      <c r="P195" s="336">
        <v>10725</v>
      </c>
      <c r="Q195" s="337" t="s">
        <v>648</v>
      </c>
      <c r="R195" s="338"/>
      <c r="S195" s="336"/>
      <c r="T195" s="336"/>
      <c r="U195" s="425"/>
      <c r="V195" s="583"/>
      <c r="W195" s="428"/>
      <c r="X195" s="2">
        <v>80</v>
      </c>
    </row>
    <row r="196" spans="1:24" x14ac:dyDescent="0.25">
      <c r="A196" s="429"/>
      <c r="B196" s="422"/>
      <c r="C196" s="422"/>
      <c r="D196" s="422"/>
      <c r="E196" s="422"/>
      <c r="F196" s="424"/>
      <c r="G196" s="423"/>
      <c r="H196" s="425"/>
      <c r="I196" s="426"/>
      <c r="J196" s="577"/>
      <c r="K196" s="580"/>
      <c r="L196" s="422"/>
      <c r="M196" s="422"/>
      <c r="N196" s="352" t="s">
        <v>694</v>
      </c>
      <c r="O196" s="424"/>
      <c r="P196" s="336">
        <v>138875</v>
      </c>
      <c r="Q196" s="337" t="s">
        <v>698</v>
      </c>
      <c r="R196" s="338"/>
      <c r="S196" s="336"/>
      <c r="T196" s="336"/>
      <c r="U196" s="425"/>
      <c r="V196" s="583"/>
      <c r="W196" s="428"/>
      <c r="X196" s="2">
        <v>80</v>
      </c>
    </row>
    <row r="197" spans="1:24" x14ac:dyDescent="0.25">
      <c r="A197" s="429"/>
      <c r="B197" s="422"/>
      <c r="C197" s="422"/>
      <c r="D197" s="422"/>
      <c r="E197" s="422"/>
      <c r="F197" s="424"/>
      <c r="G197" s="423"/>
      <c r="H197" s="425"/>
      <c r="I197" s="426"/>
      <c r="J197" s="577"/>
      <c r="K197" s="580"/>
      <c r="L197" s="422"/>
      <c r="M197" s="422"/>
      <c r="N197" s="352" t="s">
        <v>734</v>
      </c>
      <c r="O197" s="424"/>
      <c r="P197" s="336">
        <v>146617.5</v>
      </c>
      <c r="Q197" s="337" t="s">
        <v>197</v>
      </c>
      <c r="R197" s="338"/>
      <c r="S197" s="336"/>
      <c r="T197" s="336"/>
      <c r="U197" s="425"/>
      <c r="V197" s="583"/>
      <c r="W197" s="428"/>
      <c r="X197" s="2">
        <v>80</v>
      </c>
    </row>
    <row r="198" spans="1:24" x14ac:dyDescent="0.25">
      <c r="A198" s="407"/>
      <c r="B198" s="413"/>
      <c r="C198" s="413"/>
      <c r="D198" s="413"/>
      <c r="E198" s="413"/>
      <c r="F198" s="409"/>
      <c r="G198" s="419"/>
      <c r="H198" s="411"/>
      <c r="I198" s="421"/>
      <c r="J198" s="578"/>
      <c r="K198" s="581"/>
      <c r="L198" s="413"/>
      <c r="M198" s="413"/>
      <c r="N198" s="353" t="s">
        <v>834</v>
      </c>
      <c r="O198" s="409"/>
      <c r="P198" s="346">
        <v>118784</v>
      </c>
      <c r="Q198" s="347" t="s">
        <v>844</v>
      </c>
      <c r="R198" s="348"/>
      <c r="S198" s="346"/>
      <c r="T198" s="346"/>
      <c r="U198" s="411"/>
      <c r="V198" s="584"/>
      <c r="W198" s="417"/>
      <c r="X198" s="2">
        <v>80</v>
      </c>
    </row>
    <row r="199" spans="1:24" s="85" customFormat="1" ht="112.5" x14ac:dyDescent="0.25">
      <c r="A199" s="221">
        <v>28</v>
      </c>
      <c r="B199" s="222" t="s">
        <v>56</v>
      </c>
      <c r="C199" s="222"/>
      <c r="D199" s="222"/>
      <c r="E199" s="222" t="s">
        <v>525</v>
      </c>
      <c r="F199" s="229" t="s">
        <v>526</v>
      </c>
      <c r="G199" s="223" t="s">
        <v>405</v>
      </c>
      <c r="H199" s="224">
        <v>30600</v>
      </c>
      <c r="I199" s="225">
        <f>IF(X199 = 81, H199 + SUM(S199:S199) - SUM(T199:T199) - SUM(P199:P199) - V199,0)</f>
        <v>0</v>
      </c>
      <c r="J199" s="226">
        <v>2636040789</v>
      </c>
      <c r="K199" s="227" t="s">
        <v>406</v>
      </c>
      <c r="L199" s="222"/>
      <c r="M199" s="222" t="s">
        <v>527</v>
      </c>
      <c r="N199" s="229" t="s">
        <v>567</v>
      </c>
      <c r="O199" s="102" t="s">
        <v>408</v>
      </c>
      <c r="P199" s="224">
        <v>30600</v>
      </c>
      <c r="Q199" s="223" t="s">
        <v>568</v>
      </c>
      <c r="R199" s="222"/>
      <c r="S199" s="224"/>
      <c r="T199" s="224"/>
      <c r="U199" s="224"/>
      <c r="V199" s="228"/>
      <c r="W199" s="220"/>
      <c r="X199" s="85">
        <v>81</v>
      </c>
    </row>
    <row r="200" spans="1:24" s="85" customFormat="1" ht="75" x14ac:dyDescent="0.25">
      <c r="A200" s="221">
        <v>29</v>
      </c>
      <c r="B200" s="222" t="s">
        <v>56</v>
      </c>
      <c r="C200" s="222"/>
      <c r="D200" s="222"/>
      <c r="E200" s="222" t="s">
        <v>528</v>
      </c>
      <c r="F200" s="229" t="s">
        <v>529</v>
      </c>
      <c r="G200" s="223" t="s">
        <v>530</v>
      </c>
      <c r="H200" s="224">
        <v>80000</v>
      </c>
      <c r="I200" s="225">
        <f>IF(X200 = 82, H200 + SUM(S200:S200) - SUM(T200:T200) - SUM(P200:P200) - V200,0)</f>
        <v>0</v>
      </c>
      <c r="J200" s="226">
        <v>235002152355</v>
      </c>
      <c r="K200" s="227" t="s">
        <v>194</v>
      </c>
      <c r="L200" s="222"/>
      <c r="M200" s="222" t="s">
        <v>531</v>
      </c>
      <c r="N200" s="229" t="s">
        <v>560</v>
      </c>
      <c r="O200" s="102" t="s">
        <v>250</v>
      </c>
      <c r="P200" s="224">
        <v>80000</v>
      </c>
      <c r="Q200" s="223" t="s">
        <v>570</v>
      </c>
      <c r="R200" s="222"/>
      <c r="S200" s="224"/>
      <c r="T200" s="224"/>
      <c r="U200" s="224"/>
      <c r="V200" s="228"/>
      <c r="W200" s="220"/>
      <c r="X200" s="85">
        <v>82</v>
      </c>
    </row>
    <row r="201" spans="1:24" s="85" customFormat="1" ht="75" x14ac:dyDescent="0.25">
      <c r="A201" s="221">
        <v>30</v>
      </c>
      <c r="B201" s="222" t="s">
        <v>56</v>
      </c>
      <c r="C201" s="222"/>
      <c r="D201" s="222"/>
      <c r="E201" s="222" t="s">
        <v>555</v>
      </c>
      <c r="F201" s="229" t="s">
        <v>534</v>
      </c>
      <c r="G201" s="223" t="s">
        <v>530</v>
      </c>
      <c r="H201" s="224">
        <v>26770</v>
      </c>
      <c r="I201" s="225">
        <f>IF(X201 = 83, H201 + SUM(S201:S201) - SUM(T201:T201) - SUM(P201:P201) - V201,0)</f>
        <v>0</v>
      </c>
      <c r="J201" s="226">
        <v>235002152355</v>
      </c>
      <c r="K201" s="227" t="s">
        <v>194</v>
      </c>
      <c r="L201" s="222"/>
      <c r="M201" s="222" t="s">
        <v>556</v>
      </c>
      <c r="N201" s="229" t="s">
        <v>566</v>
      </c>
      <c r="O201" s="102" t="s">
        <v>250</v>
      </c>
      <c r="P201" s="224">
        <v>26770</v>
      </c>
      <c r="Q201" s="223" t="s">
        <v>575</v>
      </c>
      <c r="R201" s="222"/>
      <c r="S201" s="224"/>
      <c r="T201" s="224"/>
      <c r="U201" s="224"/>
      <c r="V201" s="228"/>
      <c r="W201" s="220"/>
      <c r="X201" s="85">
        <v>83</v>
      </c>
    </row>
    <row r="202" spans="1:24" s="85" customFormat="1" ht="75" x14ac:dyDescent="0.25">
      <c r="A202" s="221">
        <v>31</v>
      </c>
      <c r="B202" s="222" t="s">
        <v>56</v>
      </c>
      <c r="C202" s="222"/>
      <c r="D202" s="222"/>
      <c r="E202" s="222" t="s">
        <v>557</v>
      </c>
      <c r="F202" s="229" t="s">
        <v>534</v>
      </c>
      <c r="G202" s="223" t="s">
        <v>558</v>
      </c>
      <c r="H202" s="224">
        <v>62143.65</v>
      </c>
      <c r="I202" s="225">
        <f>IF(X202 = 84, H202 + SUM(S202:S202) - SUM(T202:T202) - SUM(P202:P202) - V202,0)</f>
        <v>0</v>
      </c>
      <c r="J202" s="226">
        <v>235002152355</v>
      </c>
      <c r="K202" s="227" t="s">
        <v>194</v>
      </c>
      <c r="L202" s="222"/>
      <c r="M202" s="222" t="s">
        <v>556</v>
      </c>
      <c r="N202" s="229" t="s">
        <v>566</v>
      </c>
      <c r="O202" s="102" t="s">
        <v>250</v>
      </c>
      <c r="P202" s="224">
        <v>62143.65</v>
      </c>
      <c r="Q202" s="223" t="s">
        <v>602</v>
      </c>
      <c r="R202" s="222"/>
      <c r="S202" s="224"/>
      <c r="T202" s="224"/>
      <c r="U202" s="224"/>
      <c r="V202" s="228"/>
      <c r="W202" s="220"/>
      <c r="X202" s="85">
        <v>84</v>
      </c>
    </row>
    <row r="203" spans="1:24" s="85" customFormat="1" ht="73.900000000000006" customHeight="1" x14ac:dyDescent="0.25">
      <c r="A203" s="406">
        <v>32</v>
      </c>
      <c r="B203" s="412" t="s">
        <v>56</v>
      </c>
      <c r="C203" s="412"/>
      <c r="D203" s="412"/>
      <c r="E203" s="412" t="s">
        <v>298</v>
      </c>
      <c r="F203" s="408" t="s">
        <v>634</v>
      </c>
      <c r="G203" s="418" t="s">
        <v>635</v>
      </c>
      <c r="H203" s="410">
        <v>79040</v>
      </c>
      <c r="I203" s="420">
        <f>IF(X203 = 85, H203 + SUM(S203:S210) - SUM(T203:T210) - SUM(P203:P210) - V203,0)</f>
        <v>40585</v>
      </c>
      <c r="J203" s="576">
        <v>2353020735</v>
      </c>
      <c r="K203" s="579" t="s">
        <v>286</v>
      </c>
      <c r="L203" s="412"/>
      <c r="M203" s="412" t="s">
        <v>636</v>
      </c>
      <c r="N203" s="351" t="s">
        <v>705</v>
      </c>
      <c r="O203" s="408" t="s">
        <v>288</v>
      </c>
      <c r="P203" s="335">
        <v>5562</v>
      </c>
      <c r="Q203" s="334" t="s">
        <v>695</v>
      </c>
      <c r="R203" s="333"/>
      <c r="S203" s="335"/>
      <c r="T203" s="335"/>
      <c r="U203" s="410"/>
      <c r="V203" s="582"/>
      <c r="W203" s="416"/>
      <c r="X203" s="85">
        <v>85</v>
      </c>
    </row>
    <row r="204" spans="1:24" x14ac:dyDescent="0.25">
      <c r="A204" s="429"/>
      <c r="B204" s="422"/>
      <c r="C204" s="422"/>
      <c r="D204" s="422"/>
      <c r="E204" s="422"/>
      <c r="F204" s="424"/>
      <c r="G204" s="423"/>
      <c r="H204" s="425"/>
      <c r="I204" s="426"/>
      <c r="J204" s="577"/>
      <c r="K204" s="580"/>
      <c r="L204" s="422"/>
      <c r="M204" s="422"/>
      <c r="N204" s="352" t="s">
        <v>705</v>
      </c>
      <c r="O204" s="424"/>
      <c r="P204" s="336">
        <v>2750</v>
      </c>
      <c r="Q204" s="337" t="s">
        <v>695</v>
      </c>
      <c r="R204" s="338"/>
      <c r="S204" s="336"/>
      <c r="T204" s="336"/>
      <c r="U204" s="425"/>
      <c r="V204" s="583"/>
      <c r="W204" s="428"/>
      <c r="X204" s="2">
        <v>85</v>
      </c>
    </row>
    <row r="205" spans="1:24" x14ac:dyDescent="0.25">
      <c r="A205" s="429"/>
      <c r="B205" s="422"/>
      <c r="C205" s="422"/>
      <c r="D205" s="422"/>
      <c r="E205" s="422"/>
      <c r="F205" s="424"/>
      <c r="G205" s="423"/>
      <c r="H205" s="425"/>
      <c r="I205" s="426"/>
      <c r="J205" s="577"/>
      <c r="K205" s="580"/>
      <c r="L205" s="422"/>
      <c r="M205" s="422"/>
      <c r="N205" s="352" t="s">
        <v>736</v>
      </c>
      <c r="O205" s="424"/>
      <c r="P205" s="336">
        <v>8010</v>
      </c>
      <c r="Q205" s="337" t="s">
        <v>741</v>
      </c>
      <c r="R205" s="338"/>
      <c r="S205" s="336"/>
      <c r="T205" s="336"/>
      <c r="U205" s="425"/>
      <c r="V205" s="583"/>
      <c r="W205" s="428"/>
      <c r="X205" s="2">
        <v>85</v>
      </c>
    </row>
    <row r="206" spans="1:24" x14ac:dyDescent="0.25">
      <c r="A206" s="429"/>
      <c r="B206" s="422"/>
      <c r="C206" s="422"/>
      <c r="D206" s="422"/>
      <c r="E206" s="422"/>
      <c r="F206" s="424"/>
      <c r="G206" s="423"/>
      <c r="H206" s="425"/>
      <c r="I206" s="426"/>
      <c r="J206" s="577"/>
      <c r="K206" s="580"/>
      <c r="L206" s="422"/>
      <c r="M206" s="422"/>
      <c r="N206" s="352" t="s">
        <v>736</v>
      </c>
      <c r="O206" s="424"/>
      <c r="P206" s="336">
        <v>2660</v>
      </c>
      <c r="Q206" s="337" t="s">
        <v>741</v>
      </c>
      <c r="R206" s="338"/>
      <c r="S206" s="336"/>
      <c r="T206" s="336"/>
      <c r="U206" s="425"/>
      <c r="V206" s="583"/>
      <c r="W206" s="428"/>
      <c r="X206" s="2">
        <v>85</v>
      </c>
    </row>
    <row r="207" spans="1:24" x14ac:dyDescent="0.25">
      <c r="A207" s="429"/>
      <c r="B207" s="422"/>
      <c r="C207" s="422"/>
      <c r="D207" s="422"/>
      <c r="E207" s="422"/>
      <c r="F207" s="424"/>
      <c r="G207" s="423"/>
      <c r="H207" s="425"/>
      <c r="I207" s="426"/>
      <c r="J207" s="577"/>
      <c r="K207" s="580"/>
      <c r="L207" s="422"/>
      <c r="M207" s="422"/>
      <c r="N207" s="352" t="s">
        <v>834</v>
      </c>
      <c r="O207" s="424"/>
      <c r="P207" s="336">
        <v>6489</v>
      </c>
      <c r="Q207" s="337" t="s">
        <v>845</v>
      </c>
      <c r="R207" s="338"/>
      <c r="S207" s="336"/>
      <c r="T207" s="336"/>
      <c r="U207" s="425"/>
      <c r="V207" s="583"/>
      <c r="W207" s="428"/>
      <c r="X207" s="2">
        <v>85</v>
      </c>
    </row>
    <row r="208" spans="1:24" x14ac:dyDescent="0.25">
      <c r="A208" s="429"/>
      <c r="B208" s="422"/>
      <c r="C208" s="422"/>
      <c r="D208" s="422"/>
      <c r="E208" s="422"/>
      <c r="F208" s="424"/>
      <c r="G208" s="423"/>
      <c r="H208" s="425"/>
      <c r="I208" s="426"/>
      <c r="J208" s="577"/>
      <c r="K208" s="580"/>
      <c r="L208" s="422"/>
      <c r="M208" s="422"/>
      <c r="N208" s="352" t="s">
        <v>834</v>
      </c>
      <c r="O208" s="424"/>
      <c r="P208" s="336">
        <v>2600</v>
      </c>
      <c r="Q208" s="337" t="s">
        <v>845</v>
      </c>
      <c r="R208" s="338"/>
      <c r="S208" s="336"/>
      <c r="T208" s="336"/>
      <c r="U208" s="425"/>
      <c r="V208" s="583"/>
      <c r="W208" s="428"/>
      <c r="X208" s="2">
        <v>85</v>
      </c>
    </row>
    <row r="209" spans="1:24" x14ac:dyDescent="0.25">
      <c r="A209" s="429"/>
      <c r="B209" s="422"/>
      <c r="C209" s="422"/>
      <c r="D209" s="422"/>
      <c r="E209" s="422"/>
      <c r="F209" s="424"/>
      <c r="G209" s="423"/>
      <c r="H209" s="425"/>
      <c r="I209" s="426"/>
      <c r="J209" s="577"/>
      <c r="K209" s="580"/>
      <c r="L209" s="422"/>
      <c r="M209" s="422"/>
      <c r="N209" s="352" t="s">
        <v>849</v>
      </c>
      <c r="O209" s="424"/>
      <c r="P209" s="336">
        <v>7704</v>
      </c>
      <c r="Q209" s="337" t="s">
        <v>849</v>
      </c>
      <c r="R209" s="338"/>
      <c r="S209" s="336"/>
      <c r="T209" s="336"/>
      <c r="U209" s="425"/>
      <c r="V209" s="583"/>
      <c r="W209" s="428"/>
      <c r="X209" s="2">
        <v>85</v>
      </c>
    </row>
    <row r="210" spans="1:24" x14ac:dyDescent="0.25">
      <c r="A210" s="407"/>
      <c r="B210" s="413"/>
      <c r="C210" s="413"/>
      <c r="D210" s="413"/>
      <c r="E210" s="413"/>
      <c r="F210" s="409"/>
      <c r="G210" s="419"/>
      <c r="H210" s="411"/>
      <c r="I210" s="421"/>
      <c r="J210" s="578"/>
      <c r="K210" s="581"/>
      <c r="L210" s="413"/>
      <c r="M210" s="413"/>
      <c r="N210" s="353" t="s">
        <v>849</v>
      </c>
      <c r="O210" s="409"/>
      <c r="P210" s="346">
        <v>2680</v>
      </c>
      <c r="Q210" s="347" t="s">
        <v>849</v>
      </c>
      <c r="R210" s="348"/>
      <c r="S210" s="346"/>
      <c r="T210" s="346"/>
      <c r="U210" s="411"/>
      <c r="V210" s="584"/>
      <c r="W210" s="417"/>
      <c r="X210" s="2">
        <v>85</v>
      </c>
    </row>
    <row r="211" spans="1:24" s="85" customFormat="1" ht="62.45" customHeight="1" x14ac:dyDescent="0.25">
      <c r="A211" s="406">
        <v>33</v>
      </c>
      <c r="B211" s="412" t="s">
        <v>56</v>
      </c>
      <c r="C211" s="412"/>
      <c r="D211" s="412"/>
      <c r="E211" s="412" t="s">
        <v>640</v>
      </c>
      <c r="F211" s="408" t="s">
        <v>634</v>
      </c>
      <c r="G211" s="418" t="s">
        <v>642</v>
      </c>
      <c r="H211" s="410">
        <v>44525.599999999999</v>
      </c>
      <c r="I211" s="420">
        <f>IF(X211 = 86, H211 + SUM(S211:S219) - SUM(T211:T219) - SUM(P211:P219) - V211,0)</f>
        <v>19011.569999999996</v>
      </c>
      <c r="J211" s="576">
        <v>2353020735</v>
      </c>
      <c r="K211" s="579" t="s">
        <v>286</v>
      </c>
      <c r="L211" s="412"/>
      <c r="M211" s="412" t="s">
        <v>636</v>
      </c>
      <c r="N211" s="351" t="s">
        <v>705</v>
      </c>
      <c r="O211" s="408" t="s">
        <v>288</v>
      </c>
      <c r="P211" s="335">
        <v>3201.98</v>
      </c>
      <c r="Q211" s="334" t="s">
        <v>695</v>
      </c>
      <c r="R211" s="333" t="s">
        <v>712</v>
      </c>
      <c r="S211" s="335">
        <v>3791.2</v>
      </c>
      <c r="T211" s="335"/>
      <c r="U211" s="410"/>
      <c r="V211" s="582"/>
      <c r="W211" s="416"/>
      <c r="X211" s="85">
        <v>86</v>
      </c>
    </row>
    <row r="212" spans="1:24" x14ac:dyDescent="0.25">
      <c r="A212" s="429"/>
      <c r="B212" s="422"/>
      <c r="C212" s="422"/>
      <c r="D212" s="422"/>
      <c r="E212" s="422"/>
      <c r="F212" s="424"/>
      <c r="G212" s="423"/>
      <c r="H212" s="425"/>
      <c r="I212" s="426"/>
      <c r="J212" s="577"/>
      <c r="K212" s="580"/>
      <c r="L212" s="422"/>
      <c r="M212" s="422"/>
      <c r="N212" s="352" t="s">
        <v>705</v>
      </c>
      <c r="O212" s="424"/>
      <c r="P212" s="336">
        <v>3913.52</v>
      </c>
      <c r="Q212" s="337" t="s">
        <v>695</v>
      </c>
      <c r="R212" s="338"/>
      <c r="S212" s="336"/>
      <c r="T212" s="336"/>
      <c r="U212" s="425"/>
      <c r="V212" s="583"/>
      <c r="W212" s="428"/>
      <c r="X212" s="2">
        <v>86</v>
      </c>
    </row>
    <row r="213" spans="1:24" x14ac:dyDescent="0.25">
      <c r="A213" s="429"/>
      <c r="B213" s="422"/>
      <c r="C213" s="422"/>
      <c r="D213" s="422"/>
      <c r="E213" s="422"/>
      <c r="F213" s="424"/>
      <c r="G213" s="423"/>
      <c r="H213" s="425"/>
      <c r="I213" s="426"/>
      <c r="J213" s="577"/>
      <c r="K213" s="580"/>
      <c r="L213" s="422"/>
      <c r="M213" s="422"/>
      <c r="N213" s="352" t="s">
        <v>705</v>
      </c>
      <c r="O213" s="424"/>
      <c r="P213" s="336">
        <v>3459.33</v>
      </c>
      <c r="Q213" s="337" t="s">
        <v>695</v>
      </c>
      <c r="R213" s="338"/>
      <c r="S213" s="336"/>
      <c r="T213" s="336"/>
      <c r="U213" s="425"/>
      <c r="V213" s="583"/>
      <c r="W213" s="428"/>
      <c r="X213" s="2">
        <v>86</v>
      </c>
    </row>
    <row r="214" spans="1:24" x14ac:dyDescent="0.25">
      <c r="A214" s="429"/>
      <c r="B214" s="422"/>
      <c r="C214" s="422"/>
      <c r="D214" s="422"/>
      <c r="E214" s="422"/>
      <c r="F214" s="424"/>
      <c r="G214" s="423"/>
      <c r="H214" s="425"/>
      <c r="I214" s="426"/>
      <c r="J214" s="577"/>
      <c r="K214" s="580"/>
      <c r="L214" s="422"/>
      <c r="M214" s="422"/>
      <c r="N214" s="352" t="s">
        <v>736</v>
      </c>
      <c r="O214" s="424"/>
      <c r="P214" s="336">
        <v>2965.14</v>
      </c>
      <c r="Q214" s="337" t="s">
        <v>741</v>
      </c>
      <c r="R214" s="338"/>
      <c r="S214" s="336"/>
      <c r="T214" s="336"/>
      <c r="U214" s="425"/>
      <c r="V214" s="583"/>
      <c r="W214" s="428"/>
      <c r="X214" s="2">
        <v>86</v>
      </c>
    </row>
    <row r="215" spans="1:24" x14ac:dyDescent="0.25">
      <c r="A215" s="429"/>
      <c r="B215" s="422"/>
      <c r="C215" s="422"/>
      <c r="D215" s="422"/>
      <c r="E215" s="422"/>
      <c r="F215" s="424"/>
      <c r="G215" s="423"/>
      <c r="H215" s="425"/>
      <c r="I215" s="426"/>
      <c r="J215" s="577"/>
      <c r="K215" s="580"/>
      <c r="L215" s="422"/>
      <c r="M215" s="422"/>
      <c r="N215" s="352" t="s">
        <v>736</v>
      </c>
      <c r="O215" s="424"/>
      <c r="P215" s="336">
        <v>3091.85</v>
      </c>
      <c r="Q215" s="337" t="s">
        <v>741</v>
      </c>
      <c r="R215" s="338"/>
      <c r="S215" s="336"/>
      <c r="T215" s="336"/>
      <c r="U215" s="425"/>
      <c r="V215" s="583"/>
      <c r="W215" s="428"/>
      <c r="X215" s="2">
        <v>86</v>
      </c>
    </row>
    <row r="216" spans="1:24" x14ac:dyDescent="0.25">
      <c r="A216" s="429"/>
      <c r="B216" s="422"/>
      <c r="C216" s="422"/>
      <c r="D216" s="422"/>
      <c r="E216" s="422"/>
      <c r="F216" s="424"/>
      <c r="G216" s="423"/>
      <c r="H216" s="425"/>
      <c r="I216" s="426"/>
      <c r="J216" s="577"/>
      <c r="K216" s="580"/>
      <c r="L216" s="422"/>
      <c r="M216" s="422"/>
      <c r="N216" s="352" t="s">
        <v>736</v>
      </c>
      <c r="O216" s="424"/>
      <c r="P216" s="336">
        <v>3778.93</v>
      </c>
      <c r="Q216" s="337" t="s">
        <v>741</v>
      </c>
      <c r="R216" s="338"/>
      <c r="S216" s="336"/>
      <c r="T216" s="336"/>
      <c r="U216" s="425"/>
      <c r="V216" s="583"/>
      <c r="W216" s="428"/>
      <c r="X216" s="2">
        <v>86</v>
      </c>
    </row>
    <row r="217" spans="1:24" x14ac:dyDescent="0.25">
      <c r="A217" s="429"/>
      <c r="B217" s="422"/>
      <c r="C217" s="422"/>
      <c r="D217" s="422"/>
      <c r="E217" s="422"/>
      <c r="F217" s="424"/>
      <c r="G217" s="423"/>
      <c r="H217" s="425"/>
      <c r="I217" s="426"/>
      <c r="J217" s="577"/>
      <c r="K217" s="580"/>
      <c r="L217" s="422"/>
      <c r="M217" s="422"/>
      <c r="N217" s="352" t="s">
        <v>834</v>
      </c>
      <c r="O217" s="424"/>
      <c r="P217" s="336">
        <v>2548.98</v>
      </c>
      <c r="Q217" s="337" t="s">
        <v>845</v>
      </c>
      <c r="R217" s="338"/>
      <c r="S217" s="336"/>
      <c r="T217" s="336"/>
      <c r="U217" s="425"/>
      <c r="V217" s="583"/>
      <c r="W217" s="428"/>
      <c r="X217" s="2">
        <v>86</v>
      </c>
    </row>
    <row r="218" spans="1:24" x14ac:dyDescent="0.25">
      <c r="A218" s="429"/>
      <c r="B218" s="422"/>
      <c r="C218" s="422"/>
      <c r="D218" s="422"/>
      <c r="E218" s="422"/>
      <c r="F218" s="424"/>
      <c r="G218" s="423"/>
      <c r="H218" s="425"/>
      <c r="I218" s="426"/>
      <c r="J218" s="577"/>
      <c r="K218" s="580"/>
      <c r="L218" s="422"/>
      <c r="M218" s="422"/>
      <c r="N218" s="352" t="s">
        <v>851</v>
      </c>
      <c r="O218" s="424"/>
      <c r="P218" s="336">
        <v>3490.03</v>
      </c>
      <c r="Q218" s="337" t="s">
        <v>845</v>
      </c>
      <c r="R218" s="338"/>
      <c r="S218" s="336"/>
      <c r="T218" s="336"/>
      <c r="U218" s="425"/>
      <c r="V218" s="583"/>
      <c r="W218" s="428"/>
      <c r="X218" s="2">
        <v>86</v>
      </c>
    </row>
    <row r="219" spans="1:24" x14ac:dyDescent="0.25">
      <c r="A219" s="407"/>
      <c r="B219" s="413"/>
      <c r="C219" s="413"/>
      <c r="D219" s="413"/>
      <c r="E219" s="413"/>
      <c r="F219" s="409"/>
      <c r="G219" s="419"/>
      <c r="H219" s="411"/>
      <c r="I219" s="421"/>
      <c r="J219" s="578"/>
      <c r="K219" s="581"/>
      <c r="L219" s="413"/>
      <c r="M219" s="413"/>
      <c r="N219" s="353" t="s">
        <v>834</v>
      </c>
      <c r="O219" s="409"/>
      <c r="P219" s="346">
        <v>2855.47</v>
      </c>
      <c r="Q219" s="347" t="s">
        <v>845</v>
      </c>
      <c r="R219" s="348"/>
      <c r="S219" s="346"/>
      <c r="T219" s="346"/>
      <c r="U219" s="411"/>
      <c r="V219" s="584"/>
      <c r="W219" s="417"/>
      <c r="X219" s="2">
        <v>86</v>
      </c>
    </row>
    <row r="220" spans="1:24" s="85" customFormat="1" ht="65.45" customHeight="1" x14ac:dyDescent="0.25">
      <c r="A220" s="406">
        <v>34</v>
      </c>
      <c r="B220" s="412" t="s">
        <v>56</v>
      </c>
      <c r="C220" s="412"/>
      <c r="D220" s="412"/>
      <c r="E220" s="412" t="s">
        <v>282</v>
      </c>
      <c r="F220" s="408" t="s">
        <v>634</v>
      </c>
      <c r="G220" s="418" t="s">
        <v>641</v>
      </c>
      <c r="H220" s="410">
        <v>16675.2</v>
      </c>
      <c r="I220" s="420">
        <f>IF(X220 = 87, H220 + SUM(S220:S234) - SUM(T220:T234) - SUM(P220:P234) - V220,0)</f>
        <v>8382.4399999999987</v>
      </c>
      <c r="J220" s="576">
        <v>2353020735</v>
      </c>
      <c r="K220" s="579" t="s">
        <v>286</v>
      </c>
      <c r="L220" s="412"/>
      <c r="M220" s="412" t="s">
        <v>636</v>
      </c>
      <c r="N220" s="351" t="s">
        <v>705</v>
      </c>
      <c r="O220" s="408" t="s">
        <v>288</v>
      </c>
      <c r="P220" s="335">
        <v>481.5</v>
      </c>
      <c r="Q220" s="334" t="s">
        <v>695</v>
      </c>
      <c r="R220" s="333" t="s">
        <v>712</v>
      </c>
      <c r="S220" s="335">
        <v>541.6</v>
      </c>
      <c r="T220" s="335"/>
      <c r="U220" s="410"/>
      <c r="V220" s="582"/>
      <c r="W220" s="416"/>
      <c r="X220" s="85">
        <v>87</v>
      </c>
    </row>
    <row r="221" spans="1:24" x14ac:dyDescent="0.25">
      <c r="A221" s="429"/>
      <c r="B221" s="422"/>
      <c r="C221" s="422"/>
      <c r="D221" s="422"/>
      <c r="E221" s="422"/>
      <c r="F221" s="424"/>
      <c r="G221" s="423"/>
      <c r="H221" s="425"/>
      <c r="I221" s="426"/>
      <c r="J221" s="577"/>
      <c r="K221" s="580"/>
      <c r="L221" s="422"/>
      <c r="M221" s="422"/>
      <c r="N221" s="352" t="s">
        <v>705</v>
      </c>
      <c r="O221" s="424"/>
      <c r="P221" s="336">
        <v>234.09</v>
      </c>
      <c r="Q221" s="337" t="s">
        <v>695</v>
      </c>
      <c r="R221" s="338"/>
      <c r="S221" s="336"/>
      <c r="T221" s="336"/>
      <c r="U221" s="425"/>
      <c r="V221" s="583"/>
      <c r="W221" s="428"/>
      <c r="X221" s="2">
        <v>87</v>
      </c>
    </row>
    <row r="222" spans="1:24" x14ac:dyDescent="0.25">
      <c r="A222" s="429"/>
      <c r="B222" s="422"/>
      <c r="C222" s="422"/>
      <c r="D222" s="422"/>
      <c r="E222" s="422"/>
      <c r="F222" s="424"/>
      <c r="G222" s="423"/>
      <c r="H222" s="425"/>
      <c r="I222" s="426"/>
      <c r="J222" s="577"/>
      <c r="K222" s="580"/>
      <c r="L222" s="422"/>
      <c r="M222" s="422"/>
      <c r="N222" s="352" t="s">
        <v>705</v>
      </c>
      <c r="O222" s="424"/>
      <c r="P222" s="336">
        <v>55.58</v>
      </c>
      <c r="Q222" s="337" t="s">
        <v>695</v>
      </c>
      <c r="R222" s="338"/>
      <c r="S222" s="336"/>
      <c r="T222" s="336"/>
      <c r="U222" s="425"/>
      <c r="V222" s="583"/>
      <c r="W222" s="428"/>
      <c r="X222" s="2">
        <v>87</v>
      </c>
    </row>
    <row r="223" spans="1:24" x14ac:dyDescent="0.25">
      <c r="A223" s="429"/>
      <c r="B223" s="422"/>
      <c r="C223" s="422"/>
      <c r="D223" s="422"/>
      <c r="E223" s="422"/>
      <c r="F223" s="424"/>
      <c r="G223" s="423"/>
      <c r="H223" s="425"/>
      <c r="I223" s="426"/>
      <c r="J223" s="577"/>
      <c r="K223" s="580"/>
      <c r="L223" s="422"/>
      <c r="M223" s="422"/>
      <c r="N223" s="352" t="s">
        <v>705</v>
      </c>
      <c r="O223" s="424"/>
      <c r="P223" s="336">
        <v>870.7</v>
      </c>
      <c r="Q223" s="337" t="s">
        <v>695</v>
      </c>
      <c r="R223" s="338"/>
      <c r="S223" s="336"/>
      <c r="T223" s="336"/>
      <c r="U223" s="425"/>
      <c r="V223" s="583"/>
      <c r="W223" s="428"/>
      <c r="X223" s="2">
        <v>87</v>
      </c>
    </row>
    <row r="224" spans="1:24" x14ac:dyDescent="0.25">
      <c r="A224" s="429"/>
      <c r="B224" s="422"/>
      <c r="C224" s="422"/>
      <c r="D224" s="422"/>
      <c r="E224" s="422"/>
      <c r="F224" s="424"/>
      <c r="G224" s="423"/>
      <c r="H224" s="425"/>
      <c r="I224" s="426"/>
      <c r="J224" s="577"/>
      <c r="K224" s="580"/>
      <c r="L224" s="422"/>
      <c r="M224" s="422"/>
      <c r="N224" s="352" t="s">
        <v>705</v>
      </c>
      <c r="O224" s="424"/>
      <c r="P224" s="336">
        <v>234.09</v>
      </c>
      <c r="Q224" s="337" t="s">
        <v>695</v>
      </c>
      <c r="R224" s="338"/>
      <c r="S224" s="336"/>
      <c r="T224" s="336"/>
      <c r="U224" s="425"/>
      <c r="V224" s="583"/>
      <c r="W224" s="428"/>
      <c r="X224" s="2">
        <v>87</v>
      </c>
    </row>
    <row r="225" spans="1:24" x14ac:dyDescent="0.25">
      <c r="A225" s="429"/>
      <c r="B225" s="422"/>
      <c r="C225" s="422"/>
      <c r="D225" s="422"/>
      <c r="E225" s="422"/>
      <c r="F225" s="424"/>
      <c r="G225" s="423"/>
      <c r="H225" s="425"/>
      <c r="I225" s="426"/>
      <c r="J225" s="577"/>
      <c r="K225" s="580"/>
      <c r="L225" s="422"/>
      <c r="M225" s="422"/>
      <c r="N225" s="352" t="s">
        <v>736</v>
      </c>
      <c r="O225" s="424"/>
      <c r="P225" s="336">
        <v>416.16</v>
      </c>
      <c r="Q225" s="337" t="s">
        <v>741</v>
      </c>
      <c r="R225" s="338"/>
      <c r="S225" s="336"/>
      <c r="T225" s="336"/>
      <c r="U225" s="425"/>
      <c r="V225" s="583"/>
      <c r="W225" s="428"/>
      <c r="X225" s="2">
        <v>87</v>
      </c>
    </row>
    <row r="226" spans="1:24" x14ac:dyDescent="0.25">
      <c r="A226" s="429"/>
      <c r="B226" s="422"/>
      <c r="C226" s="422"/>
      <c r="D226" s="422"/>
      <c r="E226" s="422"/>
      <c r="F226" s="424"/>
      <c r="G226" s="423"/>
      <c r="H226" s="425"/>
      <c r="I226" s="426"/>
      <c r="J226" s="577"/>
      <c r="K226" s="580"/>
      <c r="L226" s="422"/>
      <c r="M226" s="422"/>
      <c r="N226" s="352" t="s">
        <v>736</v>
      </c>
      <c r="O226" s="424"/>
      <c r="P226" s="336">
        <v>416.16</v>
      </c>
      <c r="Q226" s="337" t="s">
        <v>741</v>
      </c>
      <c r="R226" s="338"/>
      <c r="S226" s="336"/>
      <c r="T226" s="336"/>
      <c r="U226" s="425"/>
      <c r="V226" s="583"/>
      <c r="W226" s="428"/>
      <c r="X226" s="2">
        <v>87</v>
      </c>
    </row>
    <row r="227" spans="1:24" x14ac:dyDescent="0.25">
      <c r="A227" s="429"/>
      <c r="B227" s="422"/>
      <c r="C227" s="422"/>
      <c r="D227" s="422"/>
      <c r="E227" s="422"/>
      <c r="F227" s="424"/>
      <c r="G227" s="423"/>
      <c r="H227" s="425"/>
      <c r="I227" s="426"/>
      <c r="J227" s="577"/>
      <c r="K227" s="580"/>
      <c r="L227" s="422"/>
      <c r="M227" s="422"/>
      <c r="N227" s="352" t="s">
        <v>736</v>
      </c>
      <c r="O227" s="424"/>
      <c r="P227" s="336">
        <v>964.32</v>
      </c>
      <c r="Q227" s="337" t="s">
        <v>741</v>
      </c>
      <c r="R227" s="338"/>
      <c r="S227" s="336"/>
      <c r="T227" s="336"/>
      <c r="U227" s="425"/>
      <c r="V227" s="583"/>
      <c r="W227" s="428"/>
      <c r="X227" s="2">
        <v>87</v>
      </c>
    </row>
    <row r="228" spans="1:24" x14ac:dyDescent="0.25">
      <c r="A228" s="429"/>
      <c r="B228" s="422"/>
      <c r="C228" s="422"/>
      <c r="D228" s="422"/>
      <c r="E228" s="422"/>
      <c r="F228" s="424"/>
      <c r="G228" s="423"/>
      <c r="H228" s="425"/>
      <c r="I228" s="426"/>
      <c r="J228" s="577"/>
      <c r="K228" s="580"/>
      <c r="L228" s="422"/>
      <c r="M228" s="422"/>
      <c r="N228" s="352" t="s">
        <v>736</v>
      </c>
      <c r="O228" s="424"/>
      <c r="P228" s="336">
        <v>1547.91</v>
      </c>
      <c r="Q228" s="337" t="s">
        <v>741</v>
      </c>
      <c r="R228" s="338"/>
      <c r="S228" s="336"/>
      <c r="T228" s="336"/>
      <c r="U228" s="425"/>
      <c r="V228" s="583"/>
      <c r="W228" s="428"/>
      <c r="X228" s="2">
        <v>87</v>
      </c>
    </row>
    <row r="229" spans="1:24" x14ac:dyDescent="0.25">
      <c r="A229" s="429"/>
      <c r="B229" s="422"/>
      <c r="C229" s="422"/>
      <c r="D229" s="422"/>
      <c r="E229" s="422"/>
      <c r="F229" s="424"/>
      <c r="G229" s="423"/>
      <c r="H229" s="425"/>
      <c r="I229" s="426"/>
      <c r="J229" s="577"/>
      <c r="K229" s="580"/>
      <c r="L229" s="422"/>
      <c r="M229" s="422"/>
      <c r="N229" s="352" t="s">
        <v>736</v>
      </c>
      <c r="O229" s="424"/>
      <c r="P229" s="336">
        <v>98.81</v>
      </c>
      <c r="Q229" s="337" t="s">
        <v>741</v>
      </c>
      <c r="R229" s="338"/>
      <c r="S229" s="336"/>
      <c r="T229" s="336"/>
      <c r="U229" s="425"/>
      <c r="V229" s="583"/>
      <c r="W229" s="428"/>
      <c r="X229" s="2">
        <v>87</v>
      </c>
    </row>
    <row r="230" spans="1:24" x14ac:dyDescent="0.25">
      <c r="A230" s="429"/>
      <c r="B230" s="422"/>
      <c r="C230" s="422"/>
      <c r="D230" s="422"/>
      <c r="E230" s="422"/>
      <c r="F230" s="424"/>
      <c r="G230" s="423"/>
      <c r="H230" s="425"/>
      <c r="I230" s="426"/>
      <c r="J230" s="577"/>
      <c r="K230" s="580"/>
      <c r="L230" s="422"/>
      <c r="M230" s="422"/>
      <c r="N230" s="352" t="s">
        <v>834</v>
      </c>
      <c r="O230" s="424"/>
      <c r="P230" s="336">
        <v>416.16</v>
      </c>
      <c r="Q230" s="337" t="s">
        <v>845</v>
      </c>
      <c r="R230" s="338"/>
      <c r="S230" s="336"/>
      <c r="T230" s="336"/>
      <c r="U230" s="425"/>
      <c r="V230" s="583"/>
      <c r="W230" s="428"/>
      <c r="X230" s="2">
        <v>87</v>
      </c>
    </row>
    <row r="231" spans="1:24" x14ac:dyDescent="0.25">
      <c r="A231" s="429"/>
      <c r="B231" s="422"/>
      <c r="C231" s="422"/>
      <c r="D231" s="422"/>
      <c r="E231" s="422"/>
      <c r="F231" s="424"/>
      <c r="G231" s="423"/>
      <c r="H231" s="425"/>
      <c r="I231" s="426"/>
      <c r="J231" s="577"/>
      <c r="K231" s="580"/>
      <c r="L231" s="422"/>
      <c r="M231" s="422"/>
      <c r="N231" s="352" t="s">
        <v>834</v>
      </c>
      <c r="O231" s="424"/>
      <c r="P231" s="336">
        <v>416.16</v>
      </c>
      <c r="Q231" s="337" t="s">
        <v>845</v>
      </c>
      <c r="R231" s="338"/>
      <c r="S231" s="336"/>
      <c r="T231" s="336"/>
      <c r="U231" s="425"/>
      <c r="V231" s="583"/>
      <c r="W231" s="428"/>
      <c r="X231" s="2">
        <v>87</v>
      </c>
    </row>
    <row r="232" spans="1:24" x14ac:dyDescent="0.25">
      <c r="A232" s="429"/>
      <c r="B232" s="422"/>
      <c r="C232" s="422"/>
      <c r="D232" s="422"/>
      <c r="E232" s="422"/>
      <c r="F232" s="424"/>
      <c r="G232" s="423"/>
      <c r="H232" s="425"/>
      <c r="I232" s="426"/>
      <c r="J232" s="577"/>
      <c r="K232" s="580"/>
      <c r="L232" s="422"/>
      <c r="M232" s="422"/>
      <c r="N232" s="352" t="s">
        <v>834</v>
      </c>
      <c r="O232" s="424"/>
      <c r="P232" s="336">
        <v>1547.91</v>
      </c>
      <c r="Q232" s="337" t="s">
        <v>845</v>
      </c>
      <c r="R232" s="338"/>
      <c r="S232" s="336"/>
      <c r="T232" s="336"/>
      <c r="U232" s="425"/>
      <c r="V232" s="583"/>
      <c r="W232" s="428"/>
      <c r="X232" s="2">
        <v>87</v>
      </c>
    </row>
    <row r="233" spans="1:24" x14ac:dyDescent="0.25">
      <c r="A233" s="429"/>
      <c r="B233" s="422"/>
      <c r="C233" s="422"/>
      <c r="D233" s="422"/>
      <c r="E233" s="422"/>
      <c r="F233" s="424"/>
      <c r="G233" s="423"/>
      <c r="H233" s="425"/>
      <c r="I233" s="426"/>
      <c r="J233" s="577"/>
      <c r="K233" s="580"/>
      <c r="L233" s="422"/>
      <c r="M233" s="422"/>
      <c r="N233" s="352" t="s">
        <v>834</v>
      </c>
      <c r="O233" s="424"/>
      <c r="P233" s="336">
        <v>98.81</v>
      </c>
      <c r="Q233" s="337" t="s">
        <v>845</v>
      </c>
      <c r="R233" s="338"/>
      <c r="S233" s="336"/>
      <c r="T233" s="336"/>
      <c r="U233" s="425"/>
      <c r="V233" s="583"/>
      <c r="W233" s="428"/>
      <c r="X233" s="2">
        <v>87</v>
      </c>
    </row>
    <row r="234" spans="1:24" x14ac:dyDescent="0.25">
      <c r="A234" s="407"/>
      <c r="B234" s="413"/>
      <c r="C234" s="413"/>
      <c r="D234" s="413"/>
      <c r="E234" s="413"/>
      <c r="F234" s="409"/>
      <c r="G234" s="419"/>
      <c r="H234" s="411"/>
      <c r="I234" s="421"/>
      <c r="J234" s="578"/>
      <c r="K234" s="581"/>
      <c r="L234" s="413"/>
      <c r="M234" s="413"/>
      <c r="N234" s="353" t="s">
        <v>834</v>
      </c>
      <c r="O234" s="409"/>
      <c r="P234" s="346">
        <v>1036</v>
      </c>
      <c r="Q234" s="347" t="s">
        <v>845</v>
      </c>
      <c r="R234" s="348"/>
      <c r="S234" s="346"/>
      <c r="T234" s="346"/>
      <c r="U234" s="411"/>
      <c r="V234" s="584"/>
      <c r="W234" s="417"/>
      <c r="X234" s="2">
        <v>87</v>
      </c>
    </row>
    <row r="235" spans="1:24" s="85" customFormat="1" ht="93.75" x14ac:dyDescent="0.25">
      <c r="A235" s="273">
        <v>35</v>
      </c>
      <c r="B235" s="274" t="s">
        <v>56</v>
      </c>
      <c r="C235" s="274"/>
      <c r="D235" s="274"/>
      <c r="E235" s="274" t="s">
        <v>277</v>
      </c>
      <c r="F235" s="279" t="s">
        <v>677</v>
      </c>
      <c r="G235" s="275" t="s">
        <v>678</v>
      </c>
      <c r="H235" s="276">
        <v>13300</v>
      </c>
      <c r="I235" s="277">
        <f>IF(X235 = 88, H235 + SUM(S235:S235) - SUM(T235:T235) - SUM(P235:P235) - V235,0)</f>
        <v>0</v>
      </c>
      <c r="J235" s="280">
        <v>235302352147</v>
      </c>
      <c r="K235" s="281" t="s">
        <v>679</v>
      </c>
      <c r="L235" s="274"/>
      <c r="M235" s="274" t="s">
        <v>680</v>
      </c>
      <c r="N235" s="279" t="s">
        <v>736</v>
      </c>
      <c r="O235" s="279" t="s">
        <v>681</v>
      </c>
      <c r="P235" s="276">
        <v>13300</v>
      </c>
      <c r="Q235" s="275" t="s">
        <v>735</v>
      </c>
      <c r="R235" s="274"/>
      <c r="S235" s="276"/>
      <c r="T235" s="276"/>
      <c r="U235" s="276"/>
      <c r="V235" s="282"/>
      <c r="W235" s="272"/>
      <c r="X235" s="85">
        <v>88</v>
      </c>
    </row>
    <row r="236" spans="1:24" s="85" customFormat="1" ht="63.6" customHeight="1" x14ac:dyDescent="0.25">
      <c r="A236" s="273">
        <v>36</v>
      </c>
      <c r="B236" s="274" t="s">
        <v>56</v>
      </c>
      <c r="C236" s="274"/>
      <c r="D236" s="274"/>
      <c r="E236" s="274" t="s">
        <v>673</v>
      </c>
      <c r="F236" s="279" t="s">
        <v>674</v>
      </c>
      <c r="G236" s="275" t="s">
        <v>675</v>
      </c>
      <c r="H236" s="276">
        <v>12915</v>
      </c>
      <c r="I236" s="277">
        <f>IF(X236 = 89, H236 + SUM(S236:S236) - SUM(T236:T236) - SUM(P236:P236) - V236,0)</f>
        <v>0</v>
      </c>
      <c r="J236" s="280">
        <v>235002152355</v>
      </c>
      <c r="K236" s="281" t="s">
        <v>194</v>
      </c>
      <c r="L236" s="274"/>
      <c r="M236" s="274" t="s">
        <v>660</v>
      </c>
      <c r="N236" s="279" t="s">
        <v>700</v>
      </c>
      <c r="O236" s="279" t="s">
        <v>676</v>
      </c>
      <c r="P236" s="276">
        <v>12915</v>
      </c>
      <c r="Q236" s="275" t="s">
        <v>701</v>
      </c>
      <c r="R236" s="274"/>
      <c r="S236" s="276"/>
      <c r="T236" s="276"/>
      <c r="U236" s="276"/>
      <c r="V236" s="282"/>
      <c r="W236" s="272"/>
      <c r="X236" s="85">
        <v>89</v>
      </c>
    </row>
    <row r="237" spans="1:24" s="85" customFormat="1" ht="99.6" customHeight="1" x14ac:dyDescent="0.25">
      <c r="A237" s="273">
        <v>37</v>
      </c>
      <c r="B237" s="274" t="s">
        <v>56</v>
      </c>
      <c r="C237" s="274"/>
      <c r="D237" s="274"/>
      <c r="E237" s="274" t="s">
        <v>682</v>
      </c>
      <c r="F237" s="279" t="s">
        <v>683</v>
      </c>
      <c r="G237" s="275" t="s">
        <v>684</v>
      </c>
      <c r="H237" s="276">
        <v>15365</v>
      </c>
      <c r="I237" s="277">
        <f>IF(X237 = 90, H237 + SUM(S237:S237) - SUM(T237:T237) - SUM(P237:P237) - V237,0)</f>
        <v>0</v>
      </c>
      <c r="J237" s="280">
        <v>2636040789</v>
      </c>
      <c r="K237" s="281" t="s">
        <v>406</v>
      </c>
      <c r="L237" s="274"/>
      <c r="M237" s="274" t="s">
        <v>685</v>
      </c>
      <c r="N237" s="279" t="s">
        <v>734</v>
      </c>
      <c r="O237" s="279" t="s">
        <v>686</v>
      </c>
      <c r="P237" s="276">
        <v>15365</v>
      </c>
      <c r="Q237" s="275" t="s">
        <v>735</v>
      </c>
      <c r="R237" s="274"/>
      <c r="S237" s="276"/>
      <c r="T237" s="276"/>
      <c r="U237" s="276"/>
      <c r="V237" s="282"/>
      <c r="W237" s="272"/>
      <c r="X237" s="85">
        <v>90</v>
      </c>
    </row>
    <row r="238" spans="1:24" s="85" customFormat="1" ht="99.6" customHeight="1" x14ac:dyDescent="0.25">
      <c r="A238" s="303">
        <v>38</v>
      </c>
      <c r="B238" s="304" t="s">
        <v>56</v>
      </c>
      <c r="C238" s="304"/>
      <c r="D238" s="304"/>
      <c r="E238" s="304" t="s">
        <v>724</v>
      </c>
      <c r="F238" s="309" t="s">
        <v>725</v>
      </c>
      <c r="G238" s="307" t="s">
        <v>726</v>
      </c>
      <c r="H238" s="305">
        <v>8840</v>
      </c>
      <c r="I238" s="306">
        <f>IF(X238 = 91, H238 + SUM(S238:S238) - SUM(T238:T238) - SUM(P238:P238) - V238,0)</f>
        <v>0</v>
      </c>
      <c r="J238" s="318">
        <v>231101677300</v>
      </c>
      <c r="K238" s="319" t="s">
        <v>727</v>
      </c>
      <c r="L238" s="304"/>
      <c r="M238" s="304" t="s">
        <v>728</v>
      </c>
      <c r="N238" s="309" t="s">
        <v>747</v>
      </c>
      <c r="O238" s="309" t="s">
        <v>729</v>
      </c>
      <c r="P238" s="305">
        <v>8840</v>
      </c>
      <c r="Q238" s="307" t="s">
        <v>746</v>
      </c>
      <c r="R238" s="304"/>
      <c r="S238" s="305"/>
      <c r="T238" s="305"/>
      <c r="U238" s="305"/>
      <c r="V238" s="320"/>
      <c r="W238" s="308"/>
      <c r="X238" s="85">
        <v>91</v>
      </c>
    </row>
    <row r="239" spans="1:24" s="85" customFormat="1" ht="62.45" customHeight="1" x14ac:dyDescent="0.25">
      <c r="A239" s="406">
        <v>39</v>
      </c>
      <c r="B239" s="412" t="s">
        <v>56</v>
      </c>
      <c r="C239" s="412"/>
      <c r="D239" s="412"/>
      <c r="E239" s="412" t="s">
        <v>277</v>
      </c>
      <c r="F239" s="408" t="s">
        <v>750</v>
      </c>
      <c r="G239" s="418" t="s">
        <v>751</v>
      </c>
      <c r="H239" s="410">
        <v>235305</v>
      </c>
      <c r="I239" s="420">
        <f>IF(X239 = 92, H239 + SUM(S239:S242) - SUM(T239:T242) - SUM(P239:P242) - V239,0)</f>
        <v>47891</v>
      </c>
      <c r="J239" s="576">
        <v>2353020735</v>
      </c>
      <c r="K239" s="579" t="s">
        <v>286</v>
      </c>
      <c r="L239" s="412"/>
      <c r="M239" s="412" t="s">
        <v>755</v>
      </c>
      <c r="N239" s="351" t="s">
        <v>846</v>
      </c>
      <c r="O239" s="408" t="s">
        <v>288</v>
      </c>
      <c r="P239" s="335">
        <v>89410.74</v>
      </c>
      <c r="Q239" s="334" t="s">
        <v>835</v>
      </c>
      <c r="R239" s="333"/>
      <c r="S239" s="335"/>
      <c r="T239" s="335"/>
      <c r="U239" s="410"/>
      <c r="V239" s="582"/>
      <c r="W239" s="416"/>
      <c r="X239" s="85">
        <v>92</v>
      </c>
    </row>
    <row r="240" spans="1:24" x14ac:dyDescent="0.25">
      <c r="A240" s="429"/>
      <c r="B240" s="422"/>
      <c r="C240" s="422"/>
      <c r="D240" s="422"/>
      <c r="E240" s="422"/>
      <c r="F240" s="424"/>
      <c r="G240" s="423"/>
      <c r="H240" s="425"/>
      <c r="I240" s="426"/>
      <c r="J240" s="577"/>
      <c r="K240" s="580"/>
      <c r="L240" s="422"/>
      <c r="M240" s="422"/>
      <c r="N240" s="352" t="s">
        <v>846</v>
      </c>
      <c r="O240" s="424"/>
      <c r="P240" s="336">
        <v>5707.26</v>
      </c>
      <c r="Q240" s="337" t="s">
        <v>835</v>
      </c>
      <c r="R240" s="338"/>
      <c r="S240" s="336"/>
      <c r="T240" s="336"/>
      <c r="U240" s="425"/>
      <c r="V240" s="583"/>
      <c r="W240" s="428"/>
      <c r="X240" s="2">
        <v>92</v>
      </c>
    </row>
    <row r="241" spans="1:24" x14ac:dyDescent="0.25">
      <c r="A241" s="429"/>
      <c r="B241" s="422"/>
      <c r="C241" s="422"/>
      <c r="D241" s="422"/>
      <c r="E241" s="422"/>
      <c r="F241" s="424"/>
      <c r="G241" s="423"/>
      <c r="H241" s="425"/>
      <c r="I241" s="426"/>
      <c r="J241" s="577"/>
      <c r="K241" s="580"/>
      <c r="L241" s="422"/>
      <c r="M241" s="422"/>
      <c r="N241" s="352" t="s">
        <v>849</v>
      </c>
      <c r="O241" s="424"/>
      <c r="P241" s="336">
        <v>86758.06</v>
      </c>
      <c r="Q241" s="337" t="s">
        <v>849</v>
      </c>
      <c r="R241" s="338"/>
      <c r="S241" s="336"/>
      <c r="T241" s="336"/>
      <c r="U241" s="425"/>
      <c r="V241" s="583"/>
      <c r="W241" s="428"/>
      <c r="X241" s="2">
        <v>92</v>
      </c>
    </row>
    <row r="242" spans="1:24" x14ac:dyDescent="0.25">
      <c r="A242" s="407"/>
      <c r="B242" s="413"/>
      <c r="C242" s="413"/>
      <c r="D242" s="413"/>
      <c r="E242" s="413"/>
      <c r="F242" s="409"/>
      <c r="G242" s="419"/>
      <c r="H242" s="411"/>
      <c r="I242" s="421"/>
      <c r="J242" s="578"/>
      <c r="K242" s="581"/>
      <c r="L242" s="413"/>
      <c r="M242" s="413"/>
      <c r="N242" s="353" t="s">
        <v>849</v>
      </c>
      <c r="O242" s="409"/>
      <c r="P242" s="346">
        <v>5537.94</v>
      </c>
      <c r="Q242" s="347" t="s">
        <v>849</v>
      </c>
      <c r="R242" s="348"/>
      <c r="S242" s="346"/>
      <c r="T242" s="346"/>
      <c r="U242" s="411"/>
      <c r="V242" s="584"/>
      <c r="W242" s="417"/>
      <c r="X242" s="2">
        <v>92</v>
      </c>
    </row>
    <row r="243" spans="1:24" s="85" customFormat="1" ht="67.150000000000006" customHeight="1" x14ac:dyDescent="0.25">
      <c r="A243" s="406">
        <v>40</v>
      </c>
      <c r="B243" s="412" t="s">
        <v>56</v>
      </c>
      <c r="C243" s="412"/>
      <c r="D243" s="412"/>
      <c r="E243" s="412" t="s">
        <v>297</v>
      </c>
      <c r="F243" s="408" t="s">
        <v>750</v>
      </c>
      <c r="G243" s="418" t="s">
        <v>752</v>
      </c>
      <c r="H243" s="410">
        <v>76545</v>
      </c>
      <c r="I243" s="420">
        <f>IF(X243 = 93, H243 + SUM(S243:S244) - SUM(T243:T244) - SUM(P243:P244) - V243,0)</f>
        <v>15579</v>
      </c>
      <c r="J243" s="576">
        <v>2353020735</v>
      </c>
      <c r="K243" s="579" t="s">
        <v>286</v>
      </c>
      <c r="L243" s="412"/>
      <c r="M243" s="412" t="s">
        <v>755</v>
      </c>
      <c r="N243" s="351" t="s">
        <v>846</v>
      </c>
      <c r="O243" s="408" t="s">
        <v>288</v>
      </c>
      <c r="P243" s="335">
        <v>30942</v>
      </c>
      <c r="Q243" s="334" t="s">
        <v>835</v>
      </c>
      <c r="R243" s="333"/>
      <c r="S243" s="335"/>
      <c r="T243" s="335"/>
      <c r="U243" s="410"/>
      <c r="V243" s="582"/>
      <c r="W243" s="416"/>
      <c r="X243" s="85">
        <v>93</v>
      </c>
    </row>
    <row r="244" spans="1:24" x14ac:dyDescent="0.25">
      <c r="A244" s="407"/>
      <c r="B244" s="413"/>
      <c r="C244" s="413"/>
      <c r="D244" s="413"/>
      <c r="E244" s="413"/>
      <c r="F244" s="409"/>
      <c r="G244" s="419"/>
      <c r="H244" s="411"/>
      <c r="I244" s="421"/>
      <c r="J244" s="578"/>
      <c r="K244" s="581"/>
      <c r="L244" s="413"/>
      <c r="M244" s="413"/>
      <c r="N244" s="353" t="s">
        <v>849</v>
      </c>
      <c r="O244" s="409"/>
      <c r="P244" s="346">
        <v>30024</v>
      </c>
      <c r="Q244" s="347" t="s">
        <v>849</v>
      </c>
      <c r="R244" s="348"/>
      <c r="S244" s="346"/>
      <c r="T244" s="346"/>
      <c r="U244" s="411"/>
      <c r="V244" s="584"/>
      <c r="W244" s="417"/>
      <c r="X244" s="2">
        <v>93</v>
      </c>
    </row>
    <row r="245" spans="1:24" s="85" customFormat="1" ht="70.150000000000006" customHeight="1" x14ac:dyDescent="0.25">
      <c r="A245" s="406">
        <v>41</v>
      </c>
      <c r="B245" s="412" t="s">
        <v>56</v>
      </c>
      <c r="C245" s="412"/>
      <c r="D245" s="412"/>
      <c r="E245" s="412" t="s">
        <v>291</v>
      </c>
      <c r="F245" s="408" t="s">
        <v>750</v>
      </c>
      <c r="G245" s="418" t="s">
        <v>753</v>
      </c>
      <c r="H245" s="410">
        <v>49708.4</v>
      </c>
      <c r="I245" s="420">
        <f>IF(X245 = 94, H245 + SUM(S245:S252) - SUM(T245:T252) - SUM(P245:P252) - V245,0)</f>
        <v>0</v>
      </c>
      <c r="J245" s="576">
        <v>2353020735</v>
      </c>
      <c r="K245" s="579" t="s">
        <v>286</v>
      </c>
      <c r="L245" s="412"/>
      <c r="M245" s="412" t="s">
        <v>755</v>
      </c>
      <c r="N245" s="351" t="s">
        <v>849</v>
      </c>
      <c r="O245" s="408" t="s">
        <v>288</v>
      </c>
      <c r="P245" s="335">
        <v>8662.7099999999991</v>
      </c>
      <c r="Q245" s="334" t="s">
        <v>849</v>
      </c>
      <c r="R245" s="333"/>
      <c r="S245" s="335"/>
      <c r="T245" s="335"/>
      <c r="U245" s="410"/>
      <c r="V245" s="582"/>
      <c r="W245" s="416"/>
      <c r="X245" s="85">
        <v>94</v>
      </c>
    </row>
    <row r="246" spans="1:24" x14ac:dyDescent="0.25">
      <c r="A246" s="429"/>
      <c r="B246" s="422"/>
      <c r="C246" s="422"/>
      <c r="D246" s="422"/>
      <c r="E246" s="422"/>
      <c r="F246" s="424"/>
      <c r="G246" s="423"/>
      <c r="H246" s="425"/>
      <c r="I246" s="426"/>
      <c r="J246" s="577"/>
      <c r="K246" s="580"/>
      <c r="L246" s="422"/>
      <c r="M246" s="422"/>
      <c r="N246" s="352" t="s">
        <v>849</v>
      </c>
      <c r="O246" s="424"/>
      <c r="P246" s="336">
        <v>7087.69</v>
      </c>
      <c r="Q246" s="337" t="s">
        <v>849</v>
      </c>
      <c r="R246" s="338"/>
      <c r="S246" s="336"/>
      <c r="T246" s="336"/>
      <c r="U246" s="425"/>
      <c r="V246" s="583"/>
      <c r="W246" s="428"/>
      <c r="X246" s="2">
        <v>94</v>
      </c>
    </row>
    <row r="247" spans="1:24" x14ac:dyDescent="0.25">
      <c r="A247" s="429"/>
      <c r="B247" s="422"/>
      <c r="C247" s="422"/>
      <c r="D247" s="422"/>
      <c r="E247" s="422"/>
      <c r="F247" s="424"/>
      <c r="G247" s="423"/>
      <c r="H247" s="425"/>
      <c r="I247" s="426"/>
      <c r="J247" s="577"/>
      <c r="K247" s="580"/>
      <c r="L247" s="422"/>
      <c r="M247" s="422"/>
      <c r="N247" s="352" t="s">
        <v>849</v>
      </c>
      <c r="O247" s="424"/>
      <c r="P247" s="336">
        <v>5934.5</v>
      </c>
      <c r="Q247" s="337" t="s">
        <v>849</v>
      </c>
      <c r="R247" s="338"/>
      <c r="S247" s="336"/>
      <c r="T247" s="336"/>
      <c r="U247" s="425"/>
      <c r="V247" s="583"/>
      <c r="W247" s="428"/>
      <c r="X247" s="2">
        <v>94</v>
      </c>
    </row>
    <row r="248" spans="1:24" x14ac:dyDescent="0.25">
      <c r="A248" s="429"/>
      <c r="B248" s="422"/>
      <c r="C248" s="422"/>
      <c r="D248" s="422"/>
      <c r="E248" s="422"/>
      <c r="F248" s="424"/>
      <c r="G248" s="423"/>
      <c r="H248" s="425"/>
      <c r="I248" s="426"/>
      <c r="J248" s="577"/>
      <c r="K248" s="580"/>
      <c r="L248" s="422"/>
      <c r="M248" s="422"/>
      <c r="N248" s="352" t="s">
        <v>849</v>
      </c>
      <c r="O248" s="424"/>
      <c r="P248" s="336">
        <v>4855.5</v>
      </c>
      <c r="Q248" s="337" t="s">
        <v>849</v>
      </c>
      <c r="R248" s="338"/>
      <c r="S248" s="336"/>
      <c r="T248" s="336"/>
      <c r="U248" s="425"/>
      <c r="V248" s="583"/>
      <c r="W248" s="428"/>
      <c r="X248" s="2">
        <v>94</v>
      </c>
    </row>
    <row r="249" spans="1:24" x14ac:dyDescent="0.25">
      <c r="A249" s="429"/>
      <c r="B249" s="422"/>
      <c r="C249" s="422"/>
      <c r="D249" s="422"/>
      <c r="E249" s="422"/>
      <c r="F249" s="424"/>
      <c r="G249" s="423"/>
      <c r="H249" s="425"/>
      <c r="I249" s="426"/>
      <c r="J249" s="577"/>
      <c r="K249" s="580"/>
      <c r="L249" s="422"/>
      <c r="M249" s="422"/>
      <c r="N249" s="352" t="s">
        <v>849</v>
      </c>
      <c r="O249" s="424"/>
      <c r="P249" s="336">
        <v>10509.18</v>
      </c>
      <c r="Q249" s="337" t="s">
        <v>849</v>
      </c>
      <c r="R249" s="338"/>
      <c r="S249" s="336"/>
      <c r="T249" s="336"/>
      <c r="U249" s="425"/>
      <c r="V249" s="583"/>
      <c r="W249" s="428"/>
      <c r="X249" s="2">
        <v>94</v>
      </c>
    </row>
    <row r="250" spans="1:24" x14ac:dyDescent="0.25">
      <c r="A250" s="429"/>
      <c r="B250" s="422"/>
      <c r="C250" s="422"/>
      <c r="D250" s="422"/>
      <c r="E250" s="422"/>
      <c r="F250" s="424"/>
      <c r="G250" s="423"/>
      <c r="H250" s="425"/>
      <c r="I250" s="426"/>
      <c r="J250" s="577"/>
      <c r="K250" s="580"/>
      <c r="L250" s="422"/>
      <c r="M250" s="422"/>
      <c r="N250" s="352" t="s">
        <v>849</v>
      </c>
      <c r="O250" s="424"/>
      <c r="P250" s="336">
        <v>670.82</v>
      </c>
      <c r="Q250" s="337" t="s">
        <v>849</v>
      </c>
      <c r="R250" s="338"/>
      <c r="S250" s="336"/>
      <c r="T250" s="336"/>
      <c r="U250" s="425"/>
      <c r="V250" s="583"/>
      <c r="W250" s="428"/>
      <c r="X250" s="2">
        <v>94</v>
      </c>
    </row>
    <row r="251" spans="1:24" x14ac:dyDescent="0.25">
      <c r="A251" s="429"/>
      <c r="B251" s="422"/>
      <c r="C251" s="422"/>
      <c r="D251" s="422"/>
      <c r="E251" s="422"/>
      <c r="F251" s="424"/>
      <c r="G251" s="423"/>
      <c r="H251" s="425"/>
      <c r="I251" s="426"/>
      <c r="J251" s="577"/>
      <c r="K251" s="580"/>
      <c r="L251" s="422"/>
      <c r="M251" s="422"/>
      <c r="N251" s="352" t="s">
        <v>849</v>
      </c>
      <c r="O251" s="424"/>
      <c r="P251" s="336">
        <v>4968</v>
      </c>
      <c r="Q251" s="337" t="s">
        <v>849</v>
      </c>
      <c r="R251" s="338"/>
      <c r="S251" s="336"/>
      <c r="T251" s="336"/>
      <c r="U251" s="425"/>
      <c r="V251" s="583"/>
      <c r="W251" s="428"/>
      <c r="X251" s="2">
        <v>94</v>
      </c>
    </row>
    <row r="252" spans="1:24" x14ac:dyDescent="0.25">
      <c r="A252" s="407"/>
      <c r="B252" s="413"/>
      <c r="C252" s="413"/>
      <c r="D252" s="413"/>
      <c r="E252" s="413"/>
      <c r="F252" s="409"/>
      <c r="G252" s="419"/>
      <c r="H252" s="411"/>
      <c r="I252" s="421"/>
      <c r="J252" s="578"/>
      <c r="K252" s="581"/>
      <c r="L252" s="413"/>
      <c r="M252" s="413"/>
      <c r="N252" s="353" t="s">
        <v>849</v>
      </c>
      <c r="O252" s="409"/>
      <c r="P252" s="346">
        <v>7020</v>
      </c>
      <c r="Q252" s="347" t="s">
        <v>849</v>
      </c>
      <c r="R252" s="348"/>
      <c r="S252" s="346"/>
      <c r="T252" s="346"/>
      <c r="U252" s="411"/>
      <c r="V252" s="584"/>
      <c r="W252" s="417"/>
      <c r="X252" s="2">
        <v>94</v>
      </c>
    </row>
    <row r="253" spans="1:24" s="85" customFormat="1" ht="75" customHeight="1" x14ac:dyDescent="0.25">
      <c r="A253" s="406">
        <v>42</v>
      </c>
      <c r="B253" s="412" t="s">
        <v>56</v>
      </c>
      <c r="C253" s="412"/>
      <c r="D253" s="412"/>
      <c r="E253" s="412" t="s">
        <v>282</v>
      </c>
      <c r="F253" s="408" t="s">
        <v>750</v>
      </c>
      <c r="G253" s="418" t="s">
        <v>754</v>
      </c>
      <c r="H253" s="410">
        <v>8975</v>
      </c>
      <c r="I253" s="420">
        <f>IF(X253 = 95, H253 + SUM(S253:S258) - SUM(T253:T258) - SUM(P253:P258) - V253,0)</f>
        <v>1.8189894035458565E-12</v>
      </c>
      <c r="J253" s="576">
        <v>2353020735</v>
      </c>
      <c r="K253" s="579" t="s">
        <v>286</v>
      </c>
      <c r="L253" s="412"/>
      <c r="M253" s="412" t="s">
        <v>755</v>
      </c>
      <c r="N253" s="351" t="s">
        <v>849</v>
      </c>
      <c r="O253" s="408" t="s">
        <v>288</v>
      </c>
      <c r="P253" s="335">
        <v>4280</v>
      </c>
      <c r="Q253" s="334" t="s">
        <v>849</v>
      </c>
      <c r="R253" s="333"/>
      <c r="S253" s="335"/>
      <c r="T253" s="335"/>
      <c r="U253" s="410"/>
      <c r="V253" s="582"/>
      <c r="W253" s="416"/>
      <c r="X253" s="85">
        <v>95</v>
      </c>
    </row>
    <row r="254" spans="1:24" x14ac:dyDescent="0.25">
      <c r="A254" s="429"/>
      <c r="B254" s="422"/>
      <c r="C254" s="422"/>
      <c r="D254" s="422"/>
      <c r="E254" s="422"/>
      <c r="F254" s="424"/>
      <c r="G254" s="423"/>
      <c r="H254" s="425"/>
      <c r="I254" s="426"/>
      <c r="J254" s="577"/>
      <c r="K254" s="580"/>
      <c r="L254" s="422"/>
      <c r="M254" s="422"/>
      <c r="N254" s="352" t="s">
        <v>849</v>
      </c>
      <c r="O254" s="424"/>
      <c r="P254" s="336">
        <v>1350</v>
      </c>
      <c r="Q254" s="337" t="s">
        <v>849</v>
      </c>
      <c r="R254" s="338"/>
      <c r="S254" s="336"/>
      <c r="T254" s="336"/>
      <c r="U254" s="425"/>
      <c r="V254" s="583"/>
      <c r="W254" s="428"/>
      <c r="X254" s="2">
        <v>95</v>
      </c>
    </row>
    <row r="255" spans="1:24" x14ac:dyDescent="0.25">
      <c r="A255" s="429"/>
      <c r="B255" s="422"/>
      <c r="C255" s="422"/>
      <c r="D255" s="422"/>
      <c r="E255" s="422"/>
      <c r="F255" s="424"/>
      <c r="G255" s="423"/>
      <c r="H255" s="425"/>
      <c r="I255" s="426"/>
      <c r="J255" s="577"/>
      <c r="K255" s="580"/>
      <c r="L255" s="422"/>
      <c r="M255" s="422"/>
      <c r="N255" s="352" t="s">
        <v>849</v>
      </c>
      <c r="O255" s="424"/>
      <c r="P255" s="336">
        <v>810</v>
      </c>
      <c r="Q255" s="337" t="s">
        <v>849</v>
      </c>
      <c r="R255" s="338"/>
      <c r="S255" s="336"/>
      <c r="T255" s="336"/>
      <c r="U255" s="425"/>
      <c r="V255" s="583"/>
      <c r="W255" s="428"/>
      <c r="X255" s="2">
        <v>95</v>
      </c>
    </row>
    <row r="256" spans="1:24" x14ac:dyDescent="0.25">
      <c r="A256" s="429"/>
      <c r="B256" s="422"/>
      <c r="C256" s="422"/>
      <c r="D256" s="422"/>
      <c r="E256" s="422"/>
      <c r="F256" s="424"/>
      <c r="G256" s="423"/>
      <c r="H256" s="425"/>
      <c r="I256" s="426"/>
      <c r="J256" s="577"/>
      <c r="K256" s="580"/>
      <c r="L256" s="422"/>
      <c r="M256" s="422"/>
      <c r="N256" s="352" t="s">
        <v>849</v>
      </c>
      <c r="O256" s="424"/>
      <c r="P256" s="336">
        <v>1245</v>
      </c>
      <c r="Q256" s="337" t="s">
        <v>849</v>
      </c>
      <c r="R256" s="338"/>
      <c r="S256" s="336"/>
      <c r="T256" s="336"/>
      <c r="U256" s="425"/>
      <c r="V256" s="583"/>
      <c r="W256" s="428"/>
      <c r="X256" s="2">
        <v>95</v>
      </c>
    </row>
    <row r="257" spans="1:24" x14ac:dyDescent="0.25">
      <c r="A257" s="429"/>
      <c r="B257" s="422"/>
      <c r="C257" s="422"/>
      <c r="D257" s="422"/>
      <c r="E257" s="422"/>
      <c r="F257" s="424"/>
      <c r="G257" s="423"/>
      <c r="H257" s="425"/>
      <c r="I257" s="426"/>
      <c r="J257" s="577"/>
      <c r="K257" s="580"/>
      <c r="L257" s="422"/>
      <c r="M257" s="422"/>
      <c r="N257" s="352" t="s">
        <v>849</v>
      </c>
      <c r="O257" s="424"/>
      <c r="P257" s="336">
        <v>1212.6199999999999</v>
      </c>
      <c r="Q257" s="337" t="s">
        <v>849</v>
      </c>
      <c r="R257" s="338"/>
      <c r="S257" s="336"/>
      <c r="T257" s="336"/>
      <c r="U257" s="425"/>
      <c r="V257" s="583"/>
      <c r="W257" s="428"/>
      <c r="X257" s="2">
        <v>95</v>
      </c>
    </row>
    <row r="258" spans="1:24" x14ac:dyDescent="0.25">
      <c r="A258" s="407"/>
      <c r="B258" s="413"/>
      <c r="C258" s="413"/>
      <c r="D258" s="413"/>
      <c r="E258" s="413"/>
      <c r="F258" s="409"/>
      <c r="G258" s="419"/>
      <c r="H258" s="411"/>
      <c r="I258" s="421"/>
      <c r="J258" s="578"/>
      <c r="K258" s="581"/>
      <c r="L258" s="413"/>
      <c r="M258" s="413"/>
      <c r="N258" s="353" t="s">
        <v>849</v>
      </c>
      <c r="O258" s="409"/>
      <c r="P258" s="346">
        <v>77.38</v>
      </c>
      <c r="Q258" s="347" t="s">
        <v>849</v>
      </c>
      <c r="R258" s="348"/>
      <c r="S258" s="346"/>
      <c r="T258" s="346"/>
      <c r="U258" s="411"/>
      <c r="V258" s="584"/>
      <c r="W258" s="417"/>
      <c r="X258" s="2">
        <v>95</v>
      </c>
    </row>
    <row r="259" spans="1:24" s="85" customFormat="1" ht="94.9" customHeight="1" x14ac:dyDescent="0.25">
      <c r="A259" s="322">
        <v>43</v>
      </c>
      <c r="B259" s="323" t="s">
        <v>56</v>
      </c>
      <c r="C259" s="323"/>
      <c r="D259" s="323"/>
      <c r="E259" s="323" t="s">
        <v>765</v>
      </c>
      <c r="F259" s="330" t="s">
        <v>766</v>
      </c>
      <c r="G259" s="324" t="s">
        <v>767</v>
      </c>
      <c r="H259" s="325">
        <v>35945</v>
      </c>
      <c r="I259" s="326">
        <f>IF(X259 = 96, H259 + SUM(S259:S259) - SUM(T259:T259) - SUM(P259:P259) - V259,0)</f>
        <v>0</v>
      </c>
      <c r="J259" s="327">
        <v>2636040789</v>
      </c>
      <c r="K259" s="328" t="s">
        <v>406</v>
      </c>
      <c r="L259" s="323"/>
      <c r="M259" s="323" t="s">
        <v>768</v>
      </c>
      <c r="N259" s="330" t="s">
        <v>838</v>
      </c>
      <c r="O259" s="330" t="s">
        <v>769</v>
      </c>
      <c r="P259" s="325">
        <v>35945</v>
      </c>
      <c r="Q259" s="324" t="s">
        <v>835</v>
      </c>
      <c r="R259" s="323"/>
      <c r="S259" s="325"/>
      <c r="T259" s="325"/>
      <c r="U259" s="325"/>
      <c r="V259" s="329"/>
      <c r="W259" s="321"/>
      <c r="X259" s="85">
        <v>96</v>
      </c>
    </row>
    <row r="260" spans="1:24" s="85" customFormat="1" ht="97.9" customHeight="1" x14ac:dyDescent="0.25">
      <c r="A260" s="406">
        <v>44</v>
      </c>
      <c r="B260" s="412" t="s">
        <v>56</v>
      </c>
      <c r="C260" s="412"/>
      <c r="D260" s="412"/>
      <c r="E260" s="412" t="s">
        <v>776</v>
      </c>
      <c r="F260" s="408" t="s">
        <v>777</v>
      </c>
      <c r="G260" s="418" t="s">
        <v>778</v>
      </c>
      <c r="H260" s="410">
        <v>149500</v>
      </c>
      <c r="I260" s="420">
        <f>IF(X260 = 97, H260 + SUM(S260:S261) - SUM(T260:T261) - SUM(P260:P261) - V260,0)</f>
        <v>0</v>
      </c>
      <c r="J260" s="576">
        <v>2353002623</v>
      </c>
      <c r="K260" s="579" t="s">
        <v>779</v>
      </c>
      <c r="L260" s="412"/>
      <c r="M260" s="412" t="s">
        <v>780</v>
      </c>
      <c r="N260" s="351" t="s">
        <v>836</v>
      </c>
      <c r="O260" s="408" t="s">
        <v>769</v>
      </c>
      <c r="P260" s="335">
        <v>143300</v>
      </c>
      <c r="Q260" s="334" t="s">
        <v>835</v>
      </c>
      <c r="R260" s="333"/>
      <c r="S260" s="335"/>
      <c r="T260" s="335"/>
      <c r="U260" s="410"/>
      <c r="V260" s="582"/>
      <c r="W260" s="416"/>
      <c r="X260" s="85">
        <v>97</v>
      </c>
    </row>
    <row r="261" spans="1:24" x14ac:dyDescent="0.25">
      <c r="A261" s="407"/>
      <c r="B261" s="413"/>
      <c r="C261" s="413"/>
      <c r="D261" s="413"/>
      <c r="E261" s="413"/>
      <c r="F261" s="409"/>
      <c r="G261" s="419"/>
      <c r="H261" s="411"/>
      <c r="I261" s="421"/>
      <c r="J261" s="578"/>
      <c r="K261" s="581"/>
      <c r="L261" s="413"/>
      <c r="M261" s="413"/>
      <c r="N261" s="353" t="s">
        <v>836</v>
      </c>
      <c r="O261" s="409"/>
      <c r="P261" s="346">
        <v>6200</v>
      </c>
      <c r="Q261" s="347" t="s">
        <v>835</v>
      </c>
      <c r="R261" s="348"/>
      <c r="S261" s="346"/>
      <c r="T261" s="346"/>
      <c r="U261" s="411"/>
      <c r="V261" s="584"/>
      <c r="W261" s="417"/>
      <c r="X261" s="2">
        <v>97</v>
      </c>
    </row>
    <row r="262" spans="1:24" s="85" customFormat="1" ht="56.25" x14ac:dyDescent="0.25">
      <c r="A262" s="322">
        <v>45</v>
      </c>
      <c r="B262" s="323" t="s">
        <v>56</v>
      </c>
      <c r="C262" s="323"/>
      <c r="D262" s="323"/>
      <c r="E262" s="323" t="s">
        <v>781</v>
      </c>
      <c r="F262" s="330" t="s">
        <v>777</v>
      </c>
      <c r="G262" s="324" t="s">
        <v>784</v>
      </c>
      <c r="H262" s="325">
        <v>15889.51</v>
      </c>
      <c r="I262" s="326">
        <f>IF(X262 = 98, H262 + SUM(S262:S262) - SUM(T262:T262) - SUM(P262:P262) - V262,0)</f>
        <v>0</v>
      </c>
      <c r="J262" s="327">
        <v>235002152355</v>
      </c>
      <c r="K262" s="328" t="s">
        <v>194</v>
      </c>
      <c r="L262" s="323"/>
      <c r="M262" s="323" t="s">
        <v>780</v>
      </c>
      <c r="N262" s="330" t="s">
        <v>838</v>
      </c>
      <c r="O262" s="330" t="s">
        <v>785</v>
      </c>
      <c r="P262" s="325">
        <v>15889.51</v>
      </c>
      <c r="Q262" s="324" t="s">
        <v>835</v>
      </c>
      <c r="R262" s="323"/>
      <c r="S262" s="325"/>
      <c r="T262" s="325"/>
      <c r="U262" s="325"/>
      <c r="V262" s="329"/>
      <c r="W262" s="321"/>
      <c r="X262" s="85">
        <v>98</v>
      </c>
    </row>
    <row r="263" spans="1:24" s="85" customFormat="1" ht="56.25" x14ac:dyDescent="0.25">
      <c r="A263" s="322">
        <v>46</v>
      </c>
      <c r="B263" s="323" t="s">
        <v>56</v>
      </c>
      <c r="C263" s="323"/>
      <c r="D263" s="323"/>
      <c r="E263" s="323" t="s">
        <v>782</v>
      </c>
      <c r="F263" s="330" t="s">
        <v>777</v>
      </c>
      <c r="G263" s="324" t="s">
        <v>786</v>
      </c>
      <c r="H263" s="325">
        <v>17720.490000000002</v>
      </c>
      <c r="I263" s="326">
        <f>IF(X263 = 99, H263 + SUM(S263:S263) - SUM(T263:T263) - SUM(P263:P263) - V263,0)</f>
        <v>0</v>
      </c>
      <c r="J263" s="327">
        <v>235002152355</v>
      </c>
      <c r="K263" s="328" t="s">
        <v>194</v>
      </c>
      <c r="L263" s="323"/>
      <c r="M263" s="323" t="s">
        <v>780</v>
      </c>
      <c r="N263" s="330" t="s">
        <v>838</v>
      </c>
      <c r="O263" s="330" t="s">
        <v>785</v>
      </c>
      <c r="P263" s="325">
        <v>17720.490000000002</v>
      </c>
      <c r="Q263" s="324" t="s">
        <v>835</v>
      </c>
      <c r="R263" s="323"/>
      <c r="S263" s="325"/>
      <c r="T263" s="325"/>
      <c r="U263" s="325"/>
      <c r="V263" s="329"/>
      <c r="W263" s="321"/>
      <c r="X263" s="85">
        <v>99</v>
      </c>
    </row>
    <row r="264" spans="1:24" s="85" customFormat="1" ht="64.150000000000006" customHeight="1" x14ac:dyDescent="0.25">
      <c r="A264" s="322">
        <v>47</v>
      </c>
      <c r="B264" s="323" t="s">
        <v>56</v>
      </c>
      <c r="C264" s="323"/>
      <c r="D264" s="323"/>
      <c r="E264" s="323" t="s">
        <v>783</v>
      </c>
      <c r="F264" s="330" t="s">
        <v>777</v>
      </c>
      <c r="G264" s="324" t="s">
        <v>787</v>
      </c>
      <c r="H264" s="325">
        <v>20000</v>
      </c>
      <c r="I264" s="326">
        <f>IF(X264 = 100, H264 + SUM(S264:S264) - SUM(T264:T264) - SUM(P264:P264) - V264,0)</f>
        <v>0</v>
      </c>
      <c r="J264" s="327">
        <v>235002152355</v>
      </c>
      <c r="K264" s="328" t="s">
        <v>194</v>
      </c>
      <c r="L264" s="323"/>
      <c r="M264" s="323" t="s">
        <v>780</v>
      </c>
      <c r="N264" s="330" t="s">
        <v>838</v>
      </c>
      <c r="O264" s="330" t="s">
        <v>785</v>
      </c>
      <c r="P264" s="325">
        <v>20000</v>
      </c>
      <c r="Q264" s="324" t="s">
        <v>835</v>
      </c>
      <c r="R264" s="323"/>
      <c r="S264" s="325"/>
      <c r="T264" s="325"/>
      <c r="U264" s="325"/>
      <c r="V264" s="329"/>
      <c r="W264" s="321"/>
      <c r="X264" s="85">
        <v>100</v>
      </c>
    </row>
    <row r="265" spans="1:24" s="85" customFormat="1" ht="72.599999999999994" customHeight="1" x14ac:dyDescent="0.25">
      <c r="A265" s="322">
        <v>48</v>
      </c>
      <c r="B265" s="323" t="s">
        <v>56</v>
      </c>
      <c r="C265" s="323"/>
      <c r="D265" s="323"/>
      <c r="E265" s="323" t="s">
        <v>235</v>
      </c>
      <c r="F265" s="330" t="s">
        <v>797</v>
      </c>
      <c r="G265" s="324" t="s">
        <v>798</v>
      </c>
      <c r="H265" s="325">
        <v>464158.73</v>
      </c>
      <c r="I265" s="326">
        <f>IF(X265 = 101, H265 + SUM(S265:S265) - SUM(T265:T265) - SUM(P265:P265) - V265,0)</f>
        <v>464158.73</v>
      </c>
      <c r="J265" s="327">
        <v>2308119595</v>
      </c>
      <c r="K265" s="328" t="s">
        <v>146</v>
      </c>
      <c r="L265" s="323"/>
      <c r="M265" s="323" t="s">
        <v>795</v>
      </c>
      <c r="N265" s="330"/>
      <c r="O265" s="330" t="s">
        <v>231</v>
      </c>
      <c r="P265" s="325"/>
      <c r="Q265" s="324"/>
      <c r="R265" s="323"/>
      <c r="S265" s="325"/>
      <c r="T265" s="325"/>
      <c r="U265" s="325"/>
      <c r="V265" s="329"/>
      <c r="W265" s="321"/>
      <c r="X265" s="85">
        <v>101</v>
      </c>
    </row>
    <row r="266" spans="1:24" s="85" customFormat="1" ht="63" customHeight="1" x14ac:dyDescent="0.25">
      <c r="A266" s="322">
        <v>49</v>
      </c>
      <c r="B266" s="323" t="s">
        <v>56</v>
      </c>
      <c r="C266" s="323"/>
      <c r="D266" s="323"/>
      <c r="E266" s="323" t="s">
        <v>216</v>
      </c>
      <c r="F266" s="330" t="s">
        <v>797</v>
      </c>
      <c r="G266" s="324" t="s">
        <v>218</v>
      </c>
      <c r="H266" s="325">
        <v>22628.22</v>
      </c>
      <c r="I266" s="326">
        <f>IF(X266 = 102, H266 + SUM(S266:S266) - SUM(T266:T266) - SUM(P266:P266) - V266,0)</f>
        <v>22628.22</v>
      </c>
      <c r="J266" s="327">
        <v>2308131994</v>
      </c>
      <c r="K266" s="328" t="s">
        <v>815</v>
      </c>
      <c r="L266" s="323"/>
      <c r="M266" s="323" t="s">
        <v>816</v>
      </c>
      <c r="N266" s="330"/>
      <c r="O266" s="330" t="s">
        <v>222</v>
      </c>
      <c r="P266" s="325"/>
      <c r="Q266" s="324"/>
      <c r="R266" s="323"/>
      <c r="S266" s="325"/>
      <c r="T266" s="325"/>
      <c r="U266" s="325"/>
      <c r="V266" s="329"/>
      <c r="W266" s="321"/>
      <c r="X266" s="85">
        <v>102</v>
      </c>
    </row>
    <row r="267" spans="1:24" s="85" customFormat="1" ht="60.6" customHeight="1" x14ac:dyDescent="0.25">
      <c r="A267" s="322">
        <v>50</v>
      </c>
      <c r="B267" s="323" t="s">
        <v>56</v>
      </c>
      <c r="C267" s="323"/>
      <c r="D267" s="323"/>
      <c r="E267" s="323" t="s">
        <v>277</v>
      </c>
      <c r="F267" s="330" t="s">
        <v>797</v>
      </c>
      <c r="G267" s="324" t="s">
        <v>220</v>
      </c>
      <c r="H267" s="325">
        <v>38404.160000000003</v>
      </c>
      <c r="I267" s="326">
        <f>IF(X267 = 103, H267 + SUM(S267:S267) - SUM(T267:T267) - SUM(P267:P267) - V267,0)</f>
        <v>38404.160000000003</v>
      </c>
      <c r="J267" s="327">
        <v>2369002347</v>
      </c>
      <c r="K267" s="328" t="s">
        <v>221</v>
      </c>
      <c r="L267" s="323"/>
      <c r="M267" s="323" t="s">
        <v>795</v>
      </c>
      <c r="N267" s="330"/>
      <c r="O267" s="330" t="s">
        <v>817</v>
      </c>
      <c r="P267" s="325"/>
      <c r="Q267" s="324"/>
      <c r="R267" s="323"/>
      <c r="S267" s="325"/>
      <c r="T267" s="325"/>
      <c r="U267" s="325"/>
      <c r="V267" s="329"/>
      <c r="W267" s="321"/>
      <c r="X267" s="85">
        <v>103</v>
      </c>
    </row>
    <row r="268" spans="1:24" s="85" customFormat="1" ht="81" customHeight="1" x14ac:dyDescent="0.25">
      <c r="A268" s="322">
        <v>51</v>
      </c>
      <c r="B268" s="323" t="s">
        <v>56</v>
      </c>
      <c r="C268" s="323"/>
      <c r="D268" s="323"/>
      <c r="E268" s="323" t="s">
        <v>818</v>
      </c>
      <c r="F268" s="330" t="s">
        <v>819</v>
      </c>
      <c r="G268" s="324" t="s">
        <v>820</v>
      </c>
      <c r="H268" s="325">
        <v>256000</v>
      </c>
      <c r="I268" s="326">
        <f>IF(X268 = 104, H268 + SUM(S268:S268) - SUM(T268:T268) - SUM(P268:P268) - V268,0)</f>
        <v>256000</v>
      </c>
      <c r="J268" s="327">
        <v>235300578903</v>
      </c>
      <c r="K268" s="328" t="s">
        <v>148</v>
      </c>
      <c r="L268" s="323"/>
      <c r="M268" s="323" t="s">
        <v>821</v>
      </c>
      <c r="N268" s="330"/>
      <c r="O268" s="330" t="s">
        <v>296</v>
      </c>
      <c r="P268" s="325"/>
      <c r="Q268" s="324"/>
      <c r="R268" s="323"/>
      <c r="S268" s="325"/>
      <c r="T268" s="325"/>
      <c r="U268" s="325"/>
      <c r="V268" s="329"/>
      <c r="W268" s="321"/>
      <c r="X268" s="85">
        <v>104</v>
      </c>
    </row>
    <row r="269" spans="1:24" s="85" customFormat="1" ht="58.15" customHeight="1" x14ac:dyDescent="0.25">
      <c r="A269" s="322">
        <v>52</v>
      </c>
      <c r="B269" s="323" t="s">
        <v>56</v>
      </c>
      <c r="C269" s="323"/>
      <c r="D269" s="323"/>
      <c r="E269" s="323" t="s">
        <v>822</v>
      </c>
      <c r="F269" s="330" t="s">
        <v>819</v>
      </c>
      <c r="G269" s="324" t="s">
        <v>227</v>
      </c>
      <c r="H269" s="325">
        <v>31676.400000000001</v>
      </c>
      <c r="I269" s="326">
        <f>IF(X269 = 105, H269 + SUM(S269:S269) - SUM(T269:T269) - SUM(P269:P269) - V269,0)</f>
        <v>31676.400000000001</v>
      </c>
      <c r="J269" s="327">
        <v>2353018870</v>
      </c>
      <c r="K269" s="328" t="s">
        <v>160</v>
      </c>
      <c r="L269" s="323"/>
      <c r="M269" s="323" t="s">
        <v>795</v>
      </c>
      <c r="N269" s="330"/>
      <c r="O269" s="330" t="s">
        <v>288</v>
      </c>
      <c r="P269" s="325"/>
      <c r="Q269" s="324"/>
      <c r="R269" s="323"/>
      <c r="S269" s="325"/>
      <c r="T269" s="325"/>
      <c r="U269" s="325"/>
      <c r="V269" s="329"/>
      <c r="W269" s="321"/>
      <c r="X269" s="85">
        <v>105</v>
      </c>
    </row>
    <row r="270" spans="1:24" s="85" customFormat="1" ht="75" x14ac:dyDescent="0.25">
      <c r="A270" s="322">
        <v>53</v>
      </c>
      <c r="B270" s="323" t="s">
        <v>56</v>
      </c>
      <c r="C270" s="323"/>
      <c r="D270" s="323"/>
      <c r="E270" s="323" t="s">
        <v>298</v>
      </c>
      <c r="F270" s="330" t="s">
        <v>819</v>
      </c>
      <c r="G270" s="324" t="s">
        <v>853</v>
      </c>
      <c r="H270" s="325">
        <v>48256</v>
      </c>
      <c r="I270" s="326">
        <f>IF(X270 = 106, H270 + SUM(S270:S270) - SUM(T270:T270) - SUM(P270:P270) - V270,0)</f>
        <v>48256</v>
      </c>
      <c r="J270" s="327">
        <v>2353020735</v>
      </c>
      <c r="K270" s="328" t="s">
        <v>286</v>
      </c>
      <c r="L270" s="323"/>
      <c r="M270" s="323" t="s">
        <v>808</v>
      </c>
      <c r="N270" s="330"/>
      <c r="O270" s="330" t="s">
        <v>288</v>
      </c>
      <c r="P270" s="325"/>
      <c r="Q270" s="324"/>
      <c r="R270" s="323"/>
      <c r="S270" s="325"/>
      <c r="T270" s="325"/>
      <c r="U270" s="325"/>
      <c r="V270" s="329"/>
      <c r="W270" s="321"/>
      <c r="X270" s="85">
        <v>106</v>
      </c>
    </row>
    <row r="271" spans="1:24" s="85" customFormat="1" ht="75" x14ac:dyDescent="0.25">
      <c r="A271" s="339">
        <v>54</v>
      </c>
      <c r="B271" s="340" t="s">
        <v>852</v>
      </c>
      <c r="C271" s="340"/>
      <c r="D271" s="340"/>
      <c r="E271" s="340" t="s">
        <v>291</v>
      </c>
      <c r="F271" s="355" t="s">
        <v>819</v>
      </c>
      <c r="G271" s="341" t="s">
        <v>854</v>
      </c>
      <c r="H271" s="342">
        <v>166685.48000000001</v>
      </c>
      <c r="I271" s="343">
        <f>IF(X271 = 107, H271 + SUM(S271:S271) - SUM(T271:T271) - SUM(P271:P271) - V271,0)</f>
        <v>166685.48000000001</v>
      </c>
      <c r="J271" s="344">
        <v>2353020735</v>
      </c>
      <c r="K271" s="345" t="s">
        <v>286</v>
      </c>
      <c r="L271" s="340"/>
      <c r="M271" s="340" t="s">
        <v>808</v>
      </c>
      <c r="N271" s="355"/>
      <c r="O271" s="355" t="s">
        <v>288</v>
      </c>
      <c r="P271" s="342"/>
      <c r="Q271" s="341"/>
      <c r="R271" s="340"/>
      <c r="S271" s="342"/>
      <c r="T271" s="342"/>
      <c r="U271" s="342"/>
      <c r="V271" s="349"/>
      <c r="W271" s="350"/>
      <c r="X271" s="85">
        <v>107</v>
      </c>
    </row>
    <row r="272" spans="1:24" s="85" customFormat="1" ht="75" x14ac:dyDescent="0.25">
      <c r="A272" s="339">
        <v>55</v>
      </c>
      <c r="B272" s="340" t="s">
        <v>56</v>
      </c>
      <c r="C272" s="340"/>
      <c r="D272" s="340"/>
      <c r="E272" s="340" t="s">
        <v>282</v>
      </c>
      <c r="F272" s="355" t="s">
        <v>819</v>
      </c>
      <c r="G272" s="341" t="s">
        <v>855</v>
      </c>
      <c r="H272" s="342">
        <v>50150.29</v>
      </c>
      <c r="I272" s="343">
        <f>IF(X272 = 108, H272 + SUM(S272:S272) - SUM(T272:T272) - SUM(P272:P272) - V272,0)</f>
        <v>50150.29</v>
      </c>
      <c r="J272" s="344">
        <v>2353020735</v>
      </c>
      <c r="K272" s="345" t="s">
        <v>286</v>
      </c>
      <c r="L272" s="340"/>
      <c r="M272" s="340" t="s">
        <v>808</v>
      </c>
      <c r="N272" s="355"/>
      <c r="O272" s="355" t="s">
        <v>288</v>
      </c>
      <c r="P272" s="342"/>
      <c r="Q272" s="341"/>
      <c r="R272" s="340"/>
      <c r="S272" s="342"/>
      <c r="T272" s="342"/>
      <c r="U272" s="342"/>
      <c r="V272" s="349"/>
      <c r="W272" s="350"/>
      <c r="X272" s="85">
        <v>108</v>
      </c>
    </row>
    <row r="273" spans="1:24" s="85" customFormat="1" ht="63" customHeight="1" x14ac:dyDescent="0.25">
      <c r="A273" s="339">
        <v>56</v>
      </c>
      <c r="B273" s="340" t="s">
        <v>56</v>
      </c>
      <c r="C273" s="340"/>
      <c r="D273" s="340"/>
      <c r="E273" s="340" t="s">
        <v>856</v>
      </c>
      <c r="F273" s="355" t="s">
        <v>819</v>
      </c>
      <c r="G273" s="341" t="s">
        <v>857</v>
      </c>
      <c r="H273" s="342">
        <v>70148.52</v>
      </c>
      <c r="I273" s="343">
        <f>IF(X273 = 109, H273 + SUM(S273:S273) - SUM(T273:T273) - SUM(P273:P273) - V273,0)</f>
        <v>70148.52</v>
      </c>
      <c r="J273" s="344">
        <v>2353020735</v>
      </c>
      <c r="K273" s="345" t="s">
        <v>286</v>
      </c>
      <c r="L273" s="340"/>
      <c r="M273" s="340" t="s">
        <v>808</v>
      </c>
      <c r="N273" s="355"/>
      <c r="O273" s="355" t="s">
        <v>288</v>
      </c>
      <c r="P273" s="342"/>
      <c r="Q273" s="341"/>
      <c r="R273" s="340"/>
      <c r="S273" s="342"/>
      <c r="T273" s="342"/>
      <c r="U273" s="342"/>
      <c r="V273" s="349"/>
      <c r="W273" s="350"/>
      <c r="X273" s="85">
        <v>109</v>
      </c>
    </row>
    <row r="274" spans="1:24" s="85" customFormat="1" ht="78.599999999999994" customHeight="1" x14ac:dyDescent="0.25">
      <c r="A274" s="339">
        <v>57</v>
      </c>
      <c r="B274" s="340" t="s">
        <v>56</v>
      </c>
      <c r="C274" s="340"/>
      <c r="D274" s="340"/>
      <c r="E274" s="340" t="s">
        <v>831</v>
      </c>
      <c r="F274" s="355" t="s">
        <v>827</v>
      </c>
      <c r="G274" s="341" t="s">
        <v>259</v>
      </c>
      <c r="H274" s="342">
        <v>81000</v>
      </c>
      <c r="I274" s="343">
        <f>IF(X274 = 110, H274 + SUM(S274:S274) - SUM(T274:T274) - SUM(P274:P274) - V274,0)</f>
        <v>81000</v>
      </c>
      <c r="J274" s="344">
        <v>2353016552</v>
      </c>
      <c r="K274" s="345" t="s">
        <v>830</v>
      </c>
      <c r="L274" s="340"/>
      <c r="M274" s="340" t="s">
        <v>795</v>
      </c>
      <c r="N274" s="355"/>
      <c r="O274" s="355" t="s">
        <v>260</v>
      </c>
      <c r="P274" s="342"/>
      <c r="Q274" s="341"/>
      <c r="R274" s="340"/>
      <c r="S274" s="342"/>
      <c r="T274" s="342"/>
      <c r="U274" s="342"/>
      <c r="V274" s="349"/>
      <c r="W274" s="350"/>
      <c r="X274" s="85">
        <v>110</v>
      </c>
    </row>
    <row r="275" spans="1:24" s="85" customFormat="1" ht="77.45" customHeight="1" x14ac:dyDescent="0.25">
      <c r="A275" s="339">
        <v>58</v>
      </c>
      <c r="B275" s="340" t="s">
        <v>56</v>
      </c>
      <c r="C275" s="340"/>
      <c r="D275" s="340"/>
      <c r="E275" s="340" t="s">
        <v>858</v>
      </c>
      <c r="F275" s="355" t="s">
        <v>827</v>
      </c>
      <c r="G275" s="341" t="s">
        <v>859</v>
      </c>
      <c r="H275" s="342">
        <v>27406.080000000002</v>
      </c>
      <c r="I275" s="343">
        <f>IF(X275 = 111, H275 + SUM(S275:S275) - SUM(T275:T275) - SUM(P275:P275) - V275,0)</f>
        <v>27406.080000000002</v>
      </c>
      <c r="J275" s="344">
        <v>2310163739</v>
      </c>
      <c r="K275" s="345" t="s">
        <v>151</v>
      </c>
      <c r="L275" s="340"/>
      <c r="M275" s="340" t="s">
        <v>795</v>
      </c>
      <c r="N275" s="355"/>
      <c r="O275" s="355" t="s">
        <v>860</v>
      </c>
      <c r="P275" s="342"/>
      <c r="Q275" s="341"/>
      <c r="R275" s="340"/>
      <c r="S275" s="342"/>
      <c r="T275" s="342"/>
      <c r="U275" s="342"/>
      <c r="V275" s="349"/>
      <c r="W275" s="350"/>
      <c r="X275" s="85">
        <v>111</v>
      </c>
    </row>
    <row r="276" spans="1:24" ht="18" x14ac:dyDescent="0.3">
      <c r="X276" s="2">
        <v>112</v>
      </c>
    </row>
  </sheetData>
  <sheetProtection algorithmName="SHA-512" hashValue="I9gKQhru7FDvmhKPon8h9Mrh344oEBVXLvy3mHUY24IGlTL70HqmaVThVria4Knpwb43J/kNGuvlLeHq9ZZOdg==" saltValue="q93ETIIx23GNALzpVhpttQ==" spinCount="100000" sheet="1" objects="1" scenarios="1" formatCells="0" formatColumns="0" formatRows="0"/>
  <mergeCells count="428">
    <mergeCell ref="L31:L42"/>
    <mergeCell ref="M31:M42"/>
    <mergeCell ref="L43:L54"/>
    <mergeCell ref="M43:M54"/>
    <mergeCell ref="K43:K54"/>
    <mergeCell ref="D31:D42"/>
    <mergeCell ref="E31:E42"/>
    <mergeCell ref="F31:F42"/>
    <mergeCell ref="G31:G42"/>
    <mergeCell ref="H31:H42"/>
    <mergeCell ref="I31:I42"/>
    <mergeCell ref="J31:J42"/>
    <mergeCell ref="K31:K42"/>
    <mergeCell ref="W190:W191"/>
    <mergeCell ref="D190:D191"/>
    <mergeCell ref="E190:E191"/>
    <mergeCell ref="F190:F191"/>
    <mergeCell ref="G190:G191"/>
    <mergeCell ref="H190:H191"/>
    <mergeCell ref="I190:I191"/>
    <mergeCell ref="J190:J191"/>
    <mergeCell ref="K190:K191"/>
    <mergeCell ref="L190:L191"/>
    <mergeCell ref="M190:M191"/>
    <mergeCell ref="A190:A191"/>
    <mergeCell ref="O190:O191"/>
    <mergeCell ref="U190:U191"/>
    <mergeCell ref="B190:B191"/>
    <mergeCell ref="V190:V191"/>
    <mergeCell ref="C190:C191"/>
    <mergeCell ref="D127:D131"/>
    <mergeCell ref="E127:E131"/>
    <mergeCell ref="F127:F131"/>
    <mergeCell ref="G127:G131"/>
    <mergeCell ref="H127:H131"/>
    <mergeCell ref="I127:I131"/>
    <mergeCell ref="J127:J131"/>
    <mergeCell ref="K127:K131"/>
    <mergeCell ref="L127:L131"/>
    <mergeCell ref="M127:M131"/>
    <mergeCell ref="A156:A165"/>
    <mergeCell ref="B156:B165"/>
    <mergeCell ref="C156:C165"/>
    <mergeCell ref="A127:A131"/>
    <mergeCell ref="B127:B131"/>
    <mergeCell ref="C127:C131"/>
    <mergeCell ref="G132:G147"/>
    <mergeCell ref="H132:H147"/>
    <mergeCell ref="L156:L165"/>
    <mergeCell ref="O156:O165"/>
    <mergeCell ref="U156:U165"/>
    <mergeCell ref="V156:V165"/>
    <mergeCell ref="O127:O131"/>
    <mergeCell ref="U127:U131"/>
    <mergeCell ref="V127:V131"/>
    <mergeCell ref="V148:V155"/>
    <mergeCell ref="D132:D147"/>
    <mergeCell ref="E132:E147"/>
    <mergeCell ref="F132:F147"/>
    <mergeCell ref="I132:I147"/>
    <mergeCell ref="U148:U155"/>
    <mergeCell ref="A148:A155"/>
    <mergeCell ref="J179:J183"/>
    <mergeCell ref="K179:K183"/>
    <mergeCell ref="L179:L183"/>
    <mergeCell ref="M179:M183"/>
    <mergeCell ref="A169:A178"/>
    <mergeCell ref="A132:A147"/>
    <mergeCell ref="B132:B147"/>
    <mergeCell ref="C132:C147"/>
    <mergeCell ref="B148:B155"/>
    <mergeCell ref="C148:C155"/>
    <mergeCell ref="D148:D155"/>
    <mergeCell ref="E148:E155"/>
    <mergeCell ref="F148:F155"/>
    <mergeCell ref="G148:G155"/>
    <mergeCell ref="H148:H155"/>
    <mergeCell ref="M148:M155"/>
    <mergeCell ref="D156:D165"/>
    <mergeCell ref="E156:E165"/>
    <mergeCell ref="F156:F165"/>
    <mergeCell ref="G156:G165"/>
    <mergeCell ref="H156:H165"/>
    <mergeCell ref="I156:I165"/>
    <mergeCell ref="J156:J165"/>
    <mergeCell ref="A179:A183"/>
    <mergeCell ref="O179:O183"/>
    <mergeCell ref="U179:U183"/>
    <mergeCell ref="B179:B183"/>
    <mergeCell ref="V179:V183"/>
    <mergeCell ref="C179:C183"/>
    <mergeCell ref="W179:W183"/>
    <mergeCell ref="D169:D178"/>
    <mergeCell ref="E169:E178"/>
    <mergeCell ref="F169:F178"/>
    <mergeCell ref="G169:G178"/>
    <mergeCell ref="H169:H178"/>
    <mergeCell ref="I169:I178"/>
    <mergeCell ref="J169:J178"/>
    <mergeCell ref="K169:K178"/>
    <mergeCell ref="L169:L178"/>
    <mergeCell ref="D179:D183"/>
    <mergeCell ref="C169:C178"/>
    <mergeCell ref="O169:O178"/>
    <mergeCell ref="U169:U178"/>
    <mergeCell ref="B169:B178"/>
    <mergeCell ref="I179:I183"/>
    <mergeCell ref="M169:M178"/>
    <mergeCell ref="W156:W165"/>
    <mergeCell ref="M156:M165"/>
    <mergeCell ref="E179:E183"/>
    <mergeCell ref="F179:F183"/>
    <mergeCell ref="G179:G183"/>
    <mergeCell ref="H179:H183"/>
    <mergeCell ref="S2:U2"/>
    <mergeCell ref="F2:G2"/>
    <mergeCell ref="N2:O2"/>
    <mergeCell ref="V23:V25"/>
    <mergeCell ref="O132:O147"/>
    <mergeCell ref="U132:U147"/>
    <mergeCell ref="V132:V147"/>
    <mergeCell ref="V169:V178"/>
    <mergeCell ref="W169:W178"/>
    <mergeCell ref="J132:J147"/>
    <mergeCell ref="K132:K147"/>
    <mergeCell ref="L132:L147"/>
    <mergeCell ref="M132:M147"/>
    <mergeCell ref="O148:O155"/>
    <mergeCell ref="W132:W147"/>
    <mergeCell ref="W148:W155"/>
    <mergeCell ref="W127:W131"/>
    <mergeCell ref="K156:K165"/>
    <mergeCell ref="O23:O25"/>
    <mergeCell ref="U23:U25"/>
    <mergeCell ref="B23:B25"/>
    <mergeCell ref="H23:H25"/>
    <mergeCell ref="I23:I25"/>
    <mergeCell ref="J23:J25"/>
    <mergeCell ref="K23:K25"/>
    <mergeCell ref="L23:L25"/>
    <mergeCell ref="M23:M25"/>
    <mergeCell ref="C23:C25"/>
    <mergeCell ref="D23:D25"/>
    <mergeCell ref="E23:E25"/>
    <mergeCell ref="F23:F25"/>
    <mergeCell ref="G23:G25"/>
    <mergeCell ref="A9:A22"/>
    <mergeCell ref="B9:B22"/>
    <mergeCell ref="C9:C22"/>
    <mergeCell ref="I148:I155"/>
    <mergeCell ref="J148:J155"/>
    <mergeCell ref="K148:K155"/>
    <mergeCell ref="L148:L155"/>
    <mergeCell ref="M26:M30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W23:W25"/>
    <mergeCell ref="A23:A25"/>
    <mergeCell ref="M55:M88"/>
    <mergeCell ref="A26:A30"/>
    <mergeCell ref="O26:O30"/>
    <mergeCell ref="U26:U30"/>
    <mergeCell ref="B26:B30"/>
    <mergeCell ref="V26:V30"/>
    <mergeCell ref="C26:C30"/>
    <mergeCell ref="W26:W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D43:D54"/>
    <mergeCell ref="E43:E54"/>
    <mergeCell ref="F43:F54"/>
    <mergeCell ref="G43:G54"/>
    <mergeCell ref="H43:H54"/>
    <mergeCell ref="I43:I54"/>
    <mergeCell ref="J43:J54"/>
    <mergeCell ref="L89:L100"/>
    <mergeCell ref="A89:A100"/>
    <mergeCell ref="O89:O100"/>
    <mergeCell ref="U89:U100"/>
    <mergeCell ref="B89:B100"/>
    <mergeCell ref="V89:V100"/>
    <mergeCell ref="C89:C100"/>
    <mergeCell ref="W89:W100"/>
    <mergeCell ref="A55:A88"/>
    <mergeCell ref="O55:O88"/>
    <mergeCell ref="U55:U88"/>
    <mergeCell ref="B55:B88"/>
    <mergeCell ref="V55:V88"/>
    <mergeCell ref="C55:C88"/>
    <mergeCell ref="W55:W88"/>
    <mergeCell ref="D55:D88"/>
    <mergeCell ref="E55:E88"/>
    <mergeCell ref="F55:F88"/>
    <mergeCell ref="G55:G88"/>
    <mergeCell ref="H55:H88"/>
    <mergeCell ref="I55:I88"/>
    <mergeCell ref="J55:J88"/>
    <mergeCell ref="K55:K88"/>
    <mergeCell ref="L55:L88"/>
    <mergeCell ref="C105:C126"/>
    <mergeCell ref="D89:D100"/>
    <mergeCell ref="E89:E100"/>
    <mergeCell ref="F89:F100"/>
    <mergeCell ref="G89:G100"/>
    <mergeCell ref="H89:H100"/>
    <mergeCell ref="I89:I100"/>
    <mergeCell ref="J89:J100"/>
    <mergeCell ref="K89:K100"/>
    <mergeCell ref="A31:A42"/>
    <mergeCell ref="O31:O42"/>
    <mergeCell ref="U31:U42"/>
    <mergeCell ref="B31:B42"/>
    <mergeCell ref="V31:V42"/>
    <mergeCell ref="C31:C42"/>
    <mergeCell ref="W31:W42"/>
    <mergeCell ref="W105:W126"/>
    <mergeCell ref="D105:D126"/>
    <mergeCell ref="E105:E126"/>
    <mergeCell ref="F105:F126"/>
    <mergeCell ref="G105:G126"/>
    <mergeCell ref="H105:H126"/>
    <mergeCell ref="I105:I126"/>
    <mergeCell ref="J105:J126"/>
    <mergeCell ref="K105:K126"/>
    <mergeCell ref="L105:L126"/>
    <mergeCell ref="M105:M126"/>
    <mergeCell ref="M89:M100"/>
    <mergeCell ref="A105:A126"/>
    <mergeCell ref="O105:O126"/>
    <mergeCell ref="U105:U126"/>
    <mergeCell ref="B105:B126"/>
    <mergeCell ref="V105:V126"/>
    <mergeCell ref="A193:A198"/>
    <mergeCell ref="O193:O198"/>
    <mergeCell ref="U193:U198"/>
    <mergeCell ref="B193:B198"/>
    <mergeCell ref="V193:V198"/>
    <mergeCell ref="C193:C198"/>
    <mergeCell ref="W193:W198"/>
    <mergeCell ref="D193:D198"/>
    <mergeCell ref="E193:E198"/>
    <mergeCell ref="F193:F198"/>
    <mergeCell ref="G193:G198"/>
    <mergeCell ref="H193:H198"/>
    <mergeCell ref="I193:I198"/>
    <mergeCell ref="J193:J198"/>
    <mergeCell ref="K193:K198"/>
    <mergeCell ref="L193:L198"/>
    <mergeCell ref="M193:M198"/>
    <mergeCell ref="A101:A104"/>
    <mergeCell ref="O101:O104"/>
    <mergeCell ref="U101:U104"/>
    <mergeCell ref="B101:B104"/>
    <mergeCell ref="V101:V104"/>
    <mergeCell ref="C101:C104"/>
    <mergeCell ref="W101:W104"/>
    <mergeCell ref="D101:D104"/>
    <mergeCell ref="E101:E104"/>
    <mergeCell ref="F101:F104"/>
    <mergeCell ref="G101:G104"/>
    <mergeCell ref="H101:H104"/>
    <mergeCell ref="I101:I104"/>
    <mergeCell ref="J101:J104"/>
    <mergeCell ref="K101:K104"/>
    <mergeCell ref="L101:L104"/>
    <mergeCell ref="M101:M104"/>
    <mergeCell ref="A43:A54"/>
    <mergeCell ref="O43:O54"/>
    <mergeCell ref="U43:U54"/>
    <mergeCell ref="B43:B54"/>
    <mergeCell ref="V43:V54"/>
    <mergeCell ref="C43:C54"/>
    <mergeCell ref="W43:W54"/>
    <mergeCell ref="A260:A261"/>
    <mergeCell ref="O260:O261"/>
    <mergeCell ref="U260:U261"/>
    <mergeCell ref="B260:B261"/>
    <mergeCell ref="V260:V261"/>
    <mergeCell ref="C260:C261"/>
    <mergeCell ref="W260:W261"/>
    <mergeCell ref="D260:D261"/>
    <mergeCell ref="E260:E261"/>
    <mergeCell ref="F260:F261"/>
    <mergeCell ref="G260:G261"/>
    <mergeCell ref="H260:H261"/>
    <mergeCell ref="I260:I261"/>
    <mergeCell ref="J260:J261"/>
    <mergeCell ref="K260:K261"/>
    <mergeCell ref="L260:L261"/>
    <mergeCell ref="M260:M261"/>
    <mergeCell ref="W211:W219"/>
    <mergeCell ref="D211:D219"/>
    <mergeCell ref="E211:E219"/>
    <mergeCell ref="F211:F219"/>
    <mergeCell ref="G211:G219"/>
    <mergeCell ref="H211:H219"/>
    <mergeCell ref="I211:I219"/>
    <mergeCell ref="J211:J219"/>
    <mergeCell ref="K211:K219"/>
    <mergeCell ref="L211:L219"/>
    <mergeCell ref="M211:M219"/>
    <mergeCell ref="A220:A234"/>
    <mergeCell ref="A211:A219"/>
    <mergeCell ref="O211:O219"/>
    <mergeCell ref="U211:U219"/>
    <mergeCell ref="B211:B219"/>
    <mergeCell ref="O220:O234"/>
    <mergeCell ref="U220:U234"/>
    <mergeCell ref="B220:B234"/>
    <mergeCell ref="V220:V234"/>
    <mergeCell ref="C220:C234"/>
    <mergeCell ref="V211:V219"/>
    <mergeCell ref="C211:C219"/>
    <mergeCell ref="W220:W234"/>
    <mergeCell ref="D220:D234"/>
    <mergeCell ref="E220:E234"/>
    <mergeCell ref="F220:F234"/>
    <mergeCell ref="G220:G234"/>
    <mergeCell ref="H220:H234"/>
    <mergeCell ref="I220:I234"/>
    <mergeCell ref="J220:J234"/>
    <mergeCell ref="K220:K234"/>
    <mergeCell ref="L220:L234"/>
    <mergeCell ref="M220:M234"/>
    <mergeCell ref="A245:A252"/>
    <mergeCell ref="O245:O252"/>
    <mergeCell ref="U245:U252"/>
    <mergeCell ref="B245:B252"/>
    <mergeCell ref="V245:V252"/>
    <mergeCell ref="C245:C252"/>
    <mergeCell ref="W245:W252"/>
    <mergeCell ref="D245:D252"/>
    <mergeCell ref="E245:E252"/>
    <mergeCell ref="F245:F252"/>
    <mergeCell ref="G245:G252"/>
    <mergeCell ref="H245:H252"/>
    <mergeCell ref="I245:I252"/>
    <mergeCell ref="J245:J252"/>
    <mergeCell ref="K245:K252"/>
    <mergeCell ref="L245:L252"/>
    <mergeCell ref="M245:M252"/>
    <mergeCell ref="A253:A258"/>
    <mergeCell ref="O253:O258"/>
    <mergeCell ref="U253:U258"/>
    <mergeCell ref="B253:B258"/>
    <mergeCell ref="V253:V258"/>
    <mergeCell ref="C253:C258"/>
    <mergeCell ref="W253:W258"/>
    <mergeCell ref="D253:D258"/>
    <mergeCell ref="E253:E258"/>
    <mergeCell ref="F253:F258"/>
    <mergeCell ref="G253:G258"/>
    <mergeCell ref="H253:H258"/>
    <mergeCell ref="I253:I258"/>
    <mergeCell ref="J253:J258"/>
    <mergeCell ref="K253:K258"/>
    <mergeCell ref="L253:L258"/>
    <mergeCell ref="M253:M258"/>
    <mergeCell ref="A239:A242"/>
    <mergeCell ref="O239:O242"/>
    <mergeCell ref="U239:U242"/>
    <mergeCell ref="B239:B242"/>
    <mergeCell ref="V239:V242"/>
    <mergeCell ref="C239:C242"/>
    <mergeCell ref="W239:W242"/>
    <mergeCell ref="D239:D242"/>
    <mergeCell ref="E239:E242"/>
    <mergeCell ref="F239:F242"/>
    <mergeCell ref="G239:G242"/>
    <mergeCell ref="H239:H242"/>
    <mergeCell ref="I239:I242"/>
    <mergeCell ref="J239:J242"/>
    <mergeCell ref="K239:K242"/>
    <mergeCell ref="L239:L242"/>
    <mergeCell ref="M239:M242"/>
    <mergeCell ref="A203:A210"/>
    <mergeCell ref="O203:O210"/>
    <mergeCell ref="U203:U210"/>
    <mergeCell ref="B203:B210"/>
    <mergeCell ref="V203:V210"/>
    <mergeCell ref="C203:C210"/>
    <mergeCell ref="W203:W210"/>
    <mergeCell ref="A243:A244"/>
    <mergeCell ref="O243:O244"/>
    <mergeCell ref="U243:U244"/>
    <mergeCell ref="B243:B244"/>
    <mergeCell ref="V243:V244"/>
    <mergeCell ref="C243:C244"/>
    <mergeCell ref="W243:W244"/>
    <mergeCell ref="D243:D244"/>
    <mergeCell ref="E243:E244"/>
    <mergeCell ref="F243:F244"/>
    <mergeCell ref="G243:G244"/>
    <mergeCell ref="H243:H244"/>
    <mergeCell ref="I243:I244"/>
    <mergeCell ref="J243:J244"/>
    <mergeCell ref="K243:K244"/>
    <mergeCell ref="L243:L244"/>
    <mergeCell ref="M243:M244"/>
    <mergeCell ref="M203:M210"/>
    <mergeCell ref="D203:D210"/>
    <mergeCell ref="E203:E210"/>
    <mergeCell ref="F203:F210"/>
    <mergeCell ref="G203:G210"/>
    <mergeCell ref="H203:H210"/>
    <mergeCell ref="I203:I210"/>
    <mergeCell ref="J203:J210"/>
    <mergeCell ref="K203:K210"/>
    <mergeCell ref="L203:L210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0"/>
  <sheetViews>
    <sheetView showGridLines="0" topLeftCell="D1" zoomScale="50" zoomScaleNormal="50" workbookViewId="0">
      <pane ySplit="8" topLeftCell="A9" activePane="bottomLeft" state="frozen"/>
      <selection pane="bottomLeft" activeCell="H9" sqref="H9:H15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657" t="s">
        <v>24</v>
      </c>
      <c r="F2" s="658"/>
      <c r="G2" s="80">
        <f>SUM(G9:G9999)</f>
        <v>1889780.05</v>
      </c>
      <c r="L2" s="705" t="s">
        <v>137</v>
      </c>
      <c r="M2" s="706"/>
      <c r="N2" s="69">
        <f>SUM(N9:N9999)</f>
        <v>1790052.3699999999</v>
      </c>
      <c r="P2" s="68"/>
      <c r="Q2" s="550" t="s">
        <v>45</v>
      </c>
      <c r="R2" s="551"/>
      <c r="S2" s="552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406">
        <v>1</v>
      </c>
      <c r="B9" s="412"/>
      <c r="C9" s="412"/>
      <c r="D9" s="412" t="s">
        <v>191</v>
      </c>
      <c r="E9" s="408">
        <v>44925</v>
      </c>
      <c r="F9" s="418" t="s">
        <v>192</v>
      </c>
      <c r="G9" s="410">
        <v>1097939</v>
      </c>
      <c r="H9" s="420">
        <f>IF(V9 = 4, G9 + SUM(Q9:Q15) - SUM(R9:R15) - SUM(N9:N15) - T9,0)</f>
        <v>99727.680000000168</v>
      </c>
      <c r="I9" s="696">
        <v>2312054894</v>
      </c>
      <c r="J9" s="412" t="s">
        <v>149</v>
      </c>
      <c r="K9" s="412" t="s">
        <v>223</v>
      </c>
      <c r="L9" s="351" t="s">
        <v>307</v>
      </c>
      <c r="M9" s="412" t="s">
        <v>224</v>
      </c>
      <c r="N9" s="335">
        <v>383959.73</v>
      </c>
      <c r="O9" s="351" t="s">
        <v>346</v>
      </c>
      <c r="P9" s="334"/>
      <c r="Q9" s="335"/>
      <c r="R9" s="335"/>
      <c r="S9" s="418"/>
      <c r="T9" s="410"/>
      <c r="U9" s="416"/>
      <c r="V9" s="85">
        <v>4</v>
      </c>
    </row>
    <row r="10" spans="1:22" x14ac:dyDescent="0.25">
      <c r="A10" s="429"/>
      <c r="B10" s="422"/>
      <c r="C10" s="422"/>
      <c r="D10" s="422"/>
      <c r="E10" s="424"/>
      <c r="F10" s="423"/>
      <c r="G10" s="425"/>
      <c r="H10" s="426"/>
      <c r="I10" s="697"/>
      <c r="J10" s="422"/>
      <c r="K10" s="422"/>
      <c r="L10" s="352" t="s">
        <v>345</v>
      </c>
      <c r="M10" s="422"/>
      <c r="N10" s="336">
        <v>76695.94</v>
      </c>
      <c r="O10" s="352" t="s">
        <v>354</v>
      </c>
      <c r="P10" s="337"/>
      <c r="Q10" s="336"/>
      <c r="R10" s="336"/>
      <c r="S10" s="423"/>
      <c r="T10" s="425"/>
      <c r="U10" s="428"/>
      <c r="V10" s="2">
        <v>4</v>
      </c>
    </row>
    <row r="11" spans="1:22" x14ac:dyDescent="0.25">
      <c r="A11" s="429"/>
      <c r="B11" s="422"/>
      <c r="C11" s="422"/>
      <c r="D11" s="422"/>
      <c r="E11" s="424"/>
      <c r="F11" s="423"/>
      <c r="G11" s="425"/>
      <c r="H11" s="426"/>
      <c r="I11" s="697"/>
      <c r="J11" s="422"/>
      <c r="K11" s="422"/>
      <c r="L11" s="352" t="s">
        <v>345</v>
      </c>
      <c r="M11" s="422"/>
      <c r="N11" s="336">
        <v>160000</v>
      </c>
      <c r="O11" s="352" t="s">
        <v>372</v>
      </c>
      <c r="P11" s="337"/>
      <c r="Q11" s="336"/>
      <c r="R11" s="336"/>
      <c r="S11" s="423"/>
      <c r="T11" s="425"/>
      <c r="U11" s="428"/>
      <c r="V11" s="2">
        <v>4</v>
      </c>
    </row>
    <row r="12" spans="1:22" x14ac:dyDescent="0.25">
      <c r="A12" s="429"/>
      <c r="B12" s="422"/>
      <c r="C12" s="422"/>
      <c r="D12" s="422"/>
      <c r="E12" s="424"/>
      <c r="F12" s="423"/>
      <c r="G12" s="425"/>
      <c r="H12" s="426"/>
      <c r="I12" s="697"/>
      <c r="J12" s="422"/>
      <c r="K12" s="422"/>
      <c r="L12" s="352" t="s">
        <v>371</v>
      </c>
      <c r="M12" s="422"/>
      <c r="N12" s="336">
        <v>134512.32999999999</v>
      </c>
      <c r="O12" s="352" t="s">
        <v>381</v>
      </c>
      <c r="P12" s="337"/>
      <c r="Q12" s="336"/>
      <c r="R12" s="336"/>
      <c r="S12" s="423"/>
      <c r="T12" s="425"/>
      <c r="U12" s="428"/>
      <c r="V12" s="2">
        <v>4</v>
      </c>
    </row>
    <row r="13" spans="1:22" x14ac:dyDescent="0.25">
      <c r="A13" s="429"/>
      <c r="B13" s="422"/>
      <c r="C13" s="422"/>
      <c r="D13" s="422"/>
      <c r="E13" s="424"/>
      <c r="F13" s="423"/>
      <c r="G13" s="425"/>
      <c r="H13" s="426"/>
      <c r="I13" s="697"/>
      <c r="J13" s="422"/>
      <c r="K13" s="422"/>
      <c r="L13" s="352" t="s">
        <v>460</v>
      </c>
      <c r="M13" s="422"/>
      <c r="N13" s="336">
        <v>46497.48</v>
      </c>
      <c r="O13" s="352" t="s">
        <v>464</v>
      </c>
      <c r="P13" s="337"/>
      <c r="Q13" s="336"/>
      <c r="R13" s="336"/>
      <c r="S13" s="423"/>
      <c r="T13" s="425"/>
      <c r="U13" s="428"/>
      <c r="V13" s="2">
        <v>4</v>
      </c>
    </row>
    <row r="14" spans="1:22" x14ac:dyDescent="0.25">
      <c r="A14" s="429"/>
      <c r="B14" s="422"/>
      <c r="C14" s="422"/>
      <c r="D14" s="422"/>
      <c r="E14" s="424"/>
      <c r="F14" s="423"/>
      <c r="G14" s="425"/>
      <c r="H14" s="426"/>
      <c r="I14" s="697"/>
      <c r="J14" s="422"/>
      <c r="K14" s="422"/>
      <c r="L14" s="352" t="s">
        <v>834</v>
      </c>
      <c r="M14" s="422"/>
      <c r="N14" s="336">
        <v>124014.53</v>
      </c>
      <c r="O14" s="352" t="s">
        <v>845</v>
      </c>
      <c r="P14" s="337"/>
      <c r="Q14" s="336"/>
      <c r="R14" s="336"/>
      <c r="S14" s="423"/>
      <c r="T14" s="425"/>
      <c r="U14" s="428"/>
      <c r="V14" s="2">
        <v>4</v>
      </c>
    </row>
    <row r="15" spans="1:22" x14ac:dyDescent="0.25">
      <c r="A15" s="407"/>
      <c r="B15" s="413"/>
      <c r="C15" s="413"/>
      <c r="D15" s="413"/>
      <c r="E15" s="409"/>
      <c r="F15" s="419"/>
      <c r="G15" s="411"/>
      <c r="H15" s="421"/>
      <c r="I15" s="698"/>
      <c r="J15" s="413"/>
      <c r="K15" s="413"/>
      <c r="L15" s="353" t="s">
        <v>847</v>
      </c>
      <c r="M15" s="413"/>
      <c r="N15" s="346">
        <v>72531.31</v>
      </c>
      <c r="O15" s="353" t="s">
        <v>837</v>
      </c>
      <c r="P15" s="347"/>
      <c r="Q15" s="346"/>
      <c r="R15" s="346"/>
      <c r="S15" s="419"/>
      <c r="T15" s="411"/>
      <c r="U15" s="417"/>
      <c r="V15" s="2">
        <v>4</v>
      </c>
    </row>
    <row r="16" spans="1:22" s="85" customFormat="1" ht="90" customHeight="1" x14ac:dyDescent="0.25">
      <c r="A16" s="707">
        <v>2</v>
      </c>
      <c r="B16" s="690"/>
      <c r="C16" s="690"/>
      <c r="D16" s="690" t="s">
        <v>485</v>
      </c>
      <c r="E16" s="699" t="s">
        <v>486</v>
      </c>
      <c r="F16" s="702" t="s">
        <v>473</v>
      </c>
      <c r="G16" s="681">
        <v>791841.05</v>
      </c>
      <c r="H16" s="684">
        <f>IF(V16 = 5, G16 + SUM(Q16:Q19) - SUM(R16:R19) - SUM(N16:N19) - T16,0)</f>
        <v>0</v>
      </c>
      <c r="I16" s="687">
        <v>7715995942</v>
      </c>
      <c r="J16" s="690" t="s">
        <v>475</v>
      </c>
      <c r="K16" s="690" t="s">
        <v>487</v>
      </c>
      <c r="L16" s="251" t="s">
        <v>609</v>
      </c>
      <c r="M16" s="690" t="s">
        <v>488</v>
      </c>
      <c r="N16" s="248">
        <v>357461.5</v>
      </c>
      <c r="O16" s="251" t="s">
        <v>604</v>
      </c>
      <c r="P16" s="247"/>
      <c r="Q16" s="248"/>
      <c r="R16" s="248"/>
      <c r="S16" s="702"/>
      <c r="T16" s="681"/>
      <c r="U16" s="693"/>
      <c r="V16" s="85">
        <v>5</v>
      </c>
    </row>
    <row r="17" spans="1:22" x14ac:dyDescent="0.25">
      <c r="A17" s="708"/>
      <c r="B17" s="691"/>
      <c r="C17" s="691"/>
      <c r="D17" s="691"/>
      <c r="E17" s="700"/>
      <c r="F17" s="703"/>
      <c r="G17" s="682"/>
      <c r="H17" s="685"/>
      <c r="I17" s="688"/>
      <c r="J17" s="691"/>
      <c r="K17" s="691"/>
      <c r="L17" s="253" t="s">
        <v>610</v>
      </c>
      <c r="M17" s="691"/>
      <c r="N17" s="254">
        <v>31204.25</v>
      </c>
      <c r="O17" s="253" t="s">
        <v>611</v>
      </c>
      <c r="P17" s="255"/>
      <c r="Q17" s="254"/>
      <c r="R17" s="254"/>
      <c r="S17" s="703"/>
      <c r="T17" s="682"/>
      <c r="U17" s="694"/>
      <c r="V17" s="2">
        <v>5</v>
      </c>
    </row>
    <row r="18" spans="1:22" x14ac:dyDescent="0.25">
      <c r="A18" s="708"/>
      <c r="B18" s="691"/>
      <c r="C18" s="691"/>
      <c r="D18" s="691"/>
      <c r="E18" s="700"/>
      <c r="F18" s="703"/>
      <c r="G18" s="682"/>
      <c r="H18" s="685"/>
      <c r="I18" s="688"/>
      <c r="J18" s="691"/>
      <c r="K18" s="691"/>
      <c r="L18" s="253" t="s">
        <v>574</v>
      </c>
      <c r="M18" s="691"/>
      <c r="N18" s="254">
        <v>268555.09999999998</v>
      </c>
      <c r="O18" s="253" t="s">
        <v>611</v>
      </c>
      <c r="P18" s="255"/>
      <c r="Q18" s="254"/>
      <c r="R18" s="254"/>
      <c r="S18" s="703"/>
      <c r="T18" s="682"/>
      <c r="U18" s="694"/>
      <c r="V18" s="2">
        <v>5</v>
      </c>
    </row>
    <row r="19" spans="1:22" x14ac:dyDescent="0.25">
      <c r="A19" s="709"/>
      <c r="B19" s="692"/>
      <c r="C19" s="692"/>
      <c r="D19" s="692"/>
      <c r="E19" s="701"/>
      <c r="F19" s="704"/>
      <c r="G19" s="683"/>
      <c r="H19" s="686"/>
      <c r="I19" s="689"/>
      <c r="J19" s="692"/>
      <c r="K19" s="692"/>
      <c r="L19" s="252" t="s">
        <v>608</v>
      </c>
      <c r="M19" s="692"/>
      <c r="N19" s="249">
        <v>134620.20000000001</v>
      </c>
      <c r="O19" s="252" t="s">
        <v>611</v>
      </c>
      <c r="P19" s="250"/>
      <c r="Q19" s="249"/>
      <c r="R19" s="249"/>
      <c r="S19" s="704"/>
      <c r="T19" s="683"/>
      <c r="U19" s="695"/>
      <c r="V19" s="2">
        <v>5</v>
      </c>
    </row>
    <row r="20" spans="1:22" ht="18" x14ac:dyDescent="0.3">
      <c r="V20" s="2">
        <v>6</v>
      </c>
    </row>
  </sheetData>
  <sheetProtection algorithmName="SHA-512" hashValue="Qubwl2CFSFcoVLJeii+RX4r+D03kq966f3oJY+OwVzVGKAVHzxk86K4hWdodr0O/Nb3CRjJ2zLH7bwiDCZ1+DA==" saltValue="NN1eK36DFfaNlNe5t4qJ8A==" spinCount="100000" sheet="1" objects="1" scenarios="1" formatCells="0" formatColumns="0" formatRows="0"/>
  <mergeCells count="33">
    <mergeCell ref="A16:A19"/>
    <mergeCell ref="M16:M19"/>
    <mergeCell ref="S16:S19"/>
    <mergeCell ref="B16:B19"/>
    <mergeCell ref="A9:A15"/>
    <mergeCell ref="B9:B15"/>
    <mergeCell ref="C9:C15"/>
    <mergeCell ref="D9:D15"/>
    <mergeCell ref="E9:E15"/>
    <mergeCell ref="F9:F15"/>
    <mergeCell ref="C16:C19"/>
    <mergeCell ref="D16:D19"/>
    <mergeCell ref="E16:E19"/>
    <mergeCell ref="F16:F19"/>
    <mergeCell ref="Q2:S2"/>
    <mergeCell ref="E2:F2"/>
    <mergeCell ref="L2:M2"/>
    <mergeCell ref="U9:U15"/>
    <mergeCell ref="G16:G19"/>
    <mergeCell ref="H16:H19"/>
    <mergeCell ref="I16:I19"/>
    <mergeCell ref="J16:J19"/>
    <mergeCell ref="K16:K19"/>
    <mergeCell ref="U16:U19"/>
    <mergeCell ref="M9:M15"/>
    <mergeCell ref="S9:S15"/>
    <mergeCell ref="T9:T15"/>
    <mergeCell ref="G9:G15"/>
    <mergeCell ref="H9:H15"/>
    <mergeCell ref="I9:I15"/>
    <mergeCell ref="J9:J15"/>
    <mergeCell ref="K9:K15"/>
    <mergeCell ref="T16:T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657" t="s">
        <v>139</v>
      </c>
      <c r="F2" s="658"/>
      <c r="G2" s="82">
        <f>SUM(G9:G9999)</f>
        <v>0</v>
      </c>
      <c r="O2" s="657" t="s">
        <v>24</v>
      </c>
      <c r="P2" s="658"/>
      <c r="Q2" s="80">
        <f>SUM(Q9:Q9999)</f>
        <v>0</v>
      </c>
      <c r="T2" s="550" t="s">
        <v>137</v>
      </c>
      <c r="U2" s="552"/>
      <c r="V2" s="69">
        <f>SUM(V9:V9999)</f>
        <v>0</v>
      </c>
      <c r="X2" s="68"/>
      <c r="Y2" s="550" t="s">
        <v>45</v>
      </c>
      <c r="Z2" s="551"/>
      <c r="AA2" s="552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6/sx1nTUkeFcmPSEEgnFeztT7B9dSiCBrzQDI1Nw1EuwR6SG0XPNo/9R5rTpEk2L5oZVT/nB/qrZddlFwiKJ3A==" saltValue="fDHCrGYOLYfMaNQYYmEXp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657" t="s">
        <v>139</v>
      </c>
      <c r="F2" s="658"/>
      <c r="G2" s="82">
        <f>SUM(G9:G9999)</f>
        <v>0</v>
      </c>
      <c r="H2" s="10"/>
      <c r="O2" s="657" t="s">
        <v>24</v>
      </c>
      <c r="P2" s="658"/>
      <c r="Q2" s="80">
        <f>SUM(Q9:Q9999)</f>
        <v>0</v>
      </c>
      <c r="T2" s="550" t="s">
        <v>137</v>
      </c>
      <c r="U2" s="552"/>
      <c r="V2" s="69">
        <f>SUM(V9:V9999)</f>
        <v>0</v>
      </c>
      <c r="X2" s="68"/>
      <c r="Y2" s="550" t="s">
        <v>45</v>
      </c>
      <c r="Z2" s="551"/>
      <c r="AA2" s="552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AGBKIqdapz7GmHiCIKikvPHqg3KwWflYKbJ676PkikaC99FVqRX+YtMdoyDI/katJz+xtsCEDwB6K9I9yah8dQ==" saltValue="nEzctUMvH9tJBPoCEkmxU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86"/>
  <sheetViews>
    <sheetView showGridLines="0" tabSelected="1" topLeftCell="F1" zoomScale="50" zoomScaleNormal="50" workbookViewId="0">
      <pane ySplit="8" topLeftCell="A33" activePane="bottomLeft" state="frozen"/>
      <selection pane="bottomLeft" activeCell="R77" sqref="R77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657" t="s">
        <v>139</v>
      </c>
      <c r="F2" s="658"/>
      <c r="G2" s="82">
        <f>SUM(G9:G9999)</f>
        <v>4363279.9799999995</v>
      </c>
      <c r="H2" s="10"/>
      <c r="O2" s="657" t="s">
        <v>24</v>
      </c>
      <c r="P2" s="658"/>
      <c r="Q2" s="80">
        <f>SUM(Q9:Q9999)</f>
        <v>3419390.05</v>
      </c>
      <c r="T2" s="550" t="s">
        <v>137</v>
      </c>
      <c r="U2" s="552"/>
      <c r="V2" s="69">
        <f>SUM(V9:V9999)</f>
        <v>2064745.7600000005</v>
      </c>
      <c r="X2" s="68"/>
      <c r="Y2" s="550" t="s">
        <v>45</v>
      </c>
      <c r="Z2" s="551"/>
      <c r="AA2" s="552"/>
      <c r="AB2" s="70">
        <f>SUM(AB9:AB9999)</f>
        <v>8112</v>
      </c>
    </row>
    <row r="4" spans="1:30" ht="39.950000000000003" customHeight="1" x14ac:dyDescent="0.3">
      <c r="P4" s="549"/>
      <c r="Q4" s="549"/>
      <c r="R4" s="549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734">
        <v>1</v>
      </c>
      <c r="B9" s="719" t="s">
        <v>56</v>
      </c>
      <c r="C9" s="719" t="s">
        <v>161</v>
      </c>
      <c r="D9" s="719"/>
      <c r="E9" s="719" t="s">
        <v>162</v>
      </c>
      <c r="F9" s="719" t="s">
        <v>163</v>
      </c>
      <c r="G9" s="722">
        <v>624240</v>
      </c>
      <c r="H9" s="725">
        <f>IF(AD9 = 1, G9 - Q9,0)</f>
        <v>66540</v>
      </c>
      <c r="I9" s="722"/>
      <c r="J9" s="722"/>
      <c r="K9" s="719"/>
      <c r="L9" s="719"/>
      <c r="M9" s="719" t="s">
        <v>167</v>
      </c>
      <c r="N9" s="728" t="s">
        <v>168</v>
      </c>
      <c r="O9" s="731">
        <v>2308080429</v>
      </c>
      <c r="P9" s="719" t="s">
        <v>169</v>
      </c>
      <c r="Q9" s="722">
        <v>557700</v>
      </c>
      <c r="R9" s="725">
        <f>IF(AD9 = 1, Q9 + SUM(Y9:Y17) - SUM(Z9:Z17) - SUM(V9:V17) - AB9,0)</f>
        <v>0</v>
      </c>
      <c r="S9" s="719" t="s">
        <v>171</v>
      </c>
      <c r="T9" s="109" t="s">
        <v>165</v>
      </c>
      <c r="U9" s="719" t="s">
        <v>170</v>
      </c>
      <c r="V9" s="104">
        <v>52728</v>
      </c>
      <c r="W9" s="109" t="s">
        <v>172</v>
      </c>
      <c r="X9" s="103"/>
      <c r="Y9" s="104"/>
      <c r="Z9" s="104"/>
      <c r="AA9" s="719" t="s">
        <v>303</v>
      </c>
      <c r="AB9" s="722">
        <v>8112</v>
      </c>
      <c r="AC9" s="716"/>
      <c r="AD9" s="85">
        <v>1</v>
      </c>
    </row>
    <row r="10" spans="1:30" x14ac:dyDescent="0.25">
      <c r="A10" s="735"/>
      <c r="B10" s="720"/>
      <c r="C10" s="720"/>
      <c r="D10" s="720"/>
      <c r="E10" s="720"/>
      <c r="F10" s="720"/>
      <c r="G10" s="723"/>
      <c r="H10" s="726"/>
      <c r="I10" s="723"/>
      <c r="J10" s="723"/>
      <c r="K10" s="720"/>
      <c r="L10" s="720"/>
      <c r="M10" s="720"/>
      <c r="N10" s="729"/>
      <c r="O10" s="732"/>
      <c r="P10" s="720"/>
      <c r="Q10" s="723"/>
      <c r="R10" s="726"/>
      <c r="S10" s="720"/>
      <c r="T10" s="110" t="s">
        <v>173</v>
      </c>
      <c r="U10" s="720"/>
      <c r="V10" s="105">
        <v>62868</v>
      </c>
      <c r="W10" s="110" t="s">
        <v>175</v>
      </c>
      <c r="X10" s="106"/>
      <c r="Y10" s="105"/>
      <c r="Z10" s="105"/>
      <c r="AA10" s="720"/>
      <c r="AB10" s="723"/>
      <c r="AC10" s="717"/>
      <c r="AD10" s="2">
        <v>1</v>
      </c>
    </row>
    <row r="11" spans="1:30" x14ac:dyDescent="0.25">
      <c r="A11" s="735"/>
      <c r="B11" s="720"/>
      <c r="C11" s="720"/>
      <c r="D11" s="720"/>
      <c r="E11" s="720"/>
      <c r="F11" s="720"/>
      <c r="G11" s="723"/>
      <c r="H11" s="726"/>
      <c r="I11" s="723"/>
      <c r="J11" s="723"/>
      <c r="K11" s="720"/>
      <c r="L11" s="720"/>
      <c r="M11" s="720"/>
      <c r="N11" s="729"/>
      <c r="O11" s="732"/>
      <c r="P11" s="720"/>
      <c r="Q11" s="723"/>
      <c r="R11" s="726"/>
      <c r="S11" s="720"/>
      <c r="T11" s="110" t="s">
        <v>178</v>
      </c>
      <c r="U11" s="720"/>
      <c r="V11" s="105">
        <v>60840</v>
      </c>
      <c r="W11" s="110" t="s">
        <v>177</v>
      </c>
      <c r="X11" s="106"/>
      <c r="Y11" s="105"/>
      <c r="Z11" s="105"/>
      <c r="AA11" s="720"/>
      <c r="AB11" s="723"/>
      <c r="AC11" s="717"/>
      <c r="AD11" s="2">
        <v>1</v>
      </c>
    </row>
    <row r="12" spans="1:30" x14ac:dyDescent="0.25">
      <c r="A12" s="735"/>
      <c r="B12" s="720"/>
      <c r="C12" s="720"/>
      <c r="D12" s="720"/>
      <c r="E12" s="720"/>
      <c r="F12" s="720"/>
      <c r="G12" s="723"/>
      <c r="H12" s="726"/>
      <c r="I12" s="723"/>
      <c r="J12" s="723"/>
      <c r="K12" s="720"/>
      <c r="L12" s="720"/>
      <c r="M12" s="720"/>
      <c r="N12" s="729"/>
      <c r="O12" s="732"/>
      <c r="P12" s="720"/>
      <c r="Q12" s="723"/>
      <c r="R12" s="726"/>
      <c r="S12" s="720"/>
      <c r="T12" s="110" t="s">
        <v>179</v>
      </c>
      <c r="U12" s="720"/>
      <c r="V12" s="105">
        <v>62868</v>
      </c>
      <c r="W12" s="110" t="s">
        <v>180</v>
      </c>
      <c r="X12" s="106"/>
      <c r="Y12" s="105"/>
      <c r="Z12" s="105"/>
      <c r="AA12" s="720"/>
      <c r="AB12" s="723"/>
      <c r="AC12" s="717"/>
      <c r="AD12" s="2">
        <v>1</v>
      </c>
    </row>
    <row r="13" spans="1:30" x14ac:dyDescent="0.25">
      <c r="A13" s="735"/>
      <c r="B13" s="720"/>
      <c r="C13" s="720"/>
      <c r="D13" s="720"/>
      <c r="E13" s="720"/>
      <c r="F13" s="720"/>
      <c r="G13" s="723"/>
      <c r="H13" s="726"/>
      <c r="I13" s="723"/>
      <c r="J13" s="723"/>
      <c r="K13" s="720"/>
      <c r="L13" s="720"/>
      <c r="M13" s="720"/>
      <c r="N13" s="729"/>
      <c r="O13" s="732"/>
      <c r="P13" s="720"/>
      <c r="Q13" s="723"/>
      <c r="R13" s="726"/>
      <c r="S13" s="720"/>
      <c r="T13" s="110" t="s">
        <v>183</v>
      </c>
      <c r="U13" s="720"/>
      <c r="V13" s="105">
        <v>62868</v>
      </c>
      <c r="W13" s="110" t="s">
        <v>182</v>
      </c>
      <c r="X13" s="106"/>
      <c r="Y13" s="105"/>
      <c r="Z13" s="105"/>
      <c r="AA13" s="720"/>
      <c r="AB13" s="723"/>
      <c r="AC13" s="717"/>
      <c r="AD13" s="2">
        <v>1</v>
      </c>
    </row>
    <row r="14" spans="1:30" x14ac:dyDescent="0.25">
      <c r="A14" s="735"/>
      <c r="B14" s="720"/>
      <c r="C14" s="720"/>
      <c r="D14" s="720"/>
      <c r="E14" s="720"/>
      <c r="F14" s="720"/>
      <c r="G14" s="723"/>
      <c r="H14" s="726"/>
      <c r="I14" s="723"/>
      <c r="J14" s="723"/>
      <c r="K14" s="720"/>
      <c r="L14" s="720"/>
      <c r="M14" s="720"/>
      <c r="N14" s="729"/>
      <c r="O14" s="732"/>
      <c r="P14" s="720"/>
      <c r="Q14" s="723"/>
      <c r="R14" s="726"/>
      <c r="S14" s="720"/>
      <c r="T14" s="110" t="s">
        <v>187</v>
      </c>
      <c r="U14" s="720"/>
      <c r="V14" s="105">
        <v>60840</v>
      </c>
      <c r="W14" s="110" t="s">
        <v>188</v>
      </c>
      <c r="X14" s="106"/>
      <c r="Y14" s="105"/>
      <c r="Z14" s="105"/>
      <c r="AA14" s="720"/>
      <c r="AB14" s="723"/>
      <c r="AC14" s="717"/>
      <c r="AD14" s="2">
        <v>1</v>
      </c>
    </row>
    <row r="15" spans="1:30" x14ac:dyDescent="0.25">
      <c r="A15" s="735"/>
      <c r="B15" s="720"/>
      <c r="C15" s="720"/>
      <c r="D15" s="720"/>
      <c r="E15" s="720"/>
      <c r="F15" s="720"/>
      <c r="G15" s="723"/>
      <c r="H15" s="726"/>
      <c r="I15" s="723"/>
      <c r="J15" s="723"/>
      <c r="K15" s="720"/>
      <c r="L15" s="720"/>
      <c r="M15" s="720"/>
      <c r="N15" s="729"/>
      <c r="O15" s="732"/>
      <c r="P15" s="720"/>
      <c r="Q15" s="723"/>
      <c r="R15" s="726"/>
      <c r="S15" s="720"/>
      <c r="T15" s="110" t="s">
        <v>196</v>
      </c>
      <c r="U15" s="720"/>
      <c r="V15" s="105">
        <v>62868</v>
      </c>
      <c r="W15" s="110" t="s">
        <v>195</v>
      </c>
      <c r="X15" s="106"/>
      <c r="Y15" s="105"/>
      <c r="Z15" s="105"/>
      <c r="AA15" s="720"/>
      <c r="AB15" s="723"/>
      <c r="AC15" s="717"/>
      <c r="AD15" s="2">
        <v>1</v>
      </c>
    </row>
    <row r="16" spans="1:30" x14ac:dyDescent="0.25">
      <c r="A16" s="735"/>
      <c r="B16" s="720"/>
      <c r="C16" s="720"/>
      <c r="D16" s="720"/>
      <c r="E16" s="720"/>
      <c r="F16" s="720"/>
      <c r="G16" s="723"/>
      <c r="H16" s="726"/>
      <c r="I16" s="723"/>
      <c r="J16" s="723"/>
      <c r="K16" s="720"/>
      <c r="L16" s="720"/>
      <c r="M16" s="720"/>
      <c r="N16" s="729"/>
      <c r="O16" s="732"/>
      <c r="P16" s="720"/>
      <c r="Q16" s="723"/>
      <c r="R16" s="726"/>
      <c r="S16" s="720"/>
      <c r="T16" s="110" t="s">
        <v>202</v>
      </c>
      <c r="U16" s="720"/>
      <c r="V16" s="105">
        <v>60840</v>
      </c>
      <c r="W16" s="110" t="s">
        <v>201</v>
      </c>
      <c r="X16" s="106"/>
      <c r="Y16" s="105"/>
      <c r="Z16" s="105"/>
      <c r="AA16" s="720"/>
      <c r="AB16" s="723"/>
      <c r="AC16" s="717"/>
      <c r="AD16" s="2">
        <v>1</v>
      </c>
    </row>
    <row r="17" spans="1:30" x14ac:dyDescent="0.25">
      <c r="A17" s="736"/>
      <c r="B17" s="721"/>
      <c r="C17" s="721"/>
      <c r="D17" s="721"/>
      <c r="E17" s="721"/>
      <c r="F17" s="721"/>
      <c r="G17" s="724"/>
      <c r="H17" s="727"/>
      <c r="I17" s="724"/>
      <c r="J17" s="724"/>
      <c r="K17" s="721"/>
      <c r="L17" s="721"/>
      <c r="M17" s="721"/>
      <c r="N17" s="730"/>
      <c r="O17" s="733"/>
      <c r="P17" s="721"/>
      <c r="Q17" s="724"/>
      <c r="R17" s="727"/>
      <c r="S17" s="721"/>
      <c r="T17" s="111" t="s">
        <v>262</v>
      </c>
      <c r="U17" s="721"/>
      <c r="V17" s="107">
        <v>62868</v>
      </c>
      <c r="W17" s="111" t="s">
        <v>261</v>
      </c>
      <c r="X17" s="108"/>
      <c r="Y17" s="107"/>
      <c r="Z17" s="107"/>
      <c r="AA17" s="721"/>
      <c r="AB17" s="724"/>
      <c r="AC17" s="718"/>
      <c r="AD17" s="2">
        <v>1</v>
      </c>
    </row>
    <row r="18" spans="1:30" s="85" customFormat="1" ht="72" customHeight="1" x14ac:dyDescent="0.25">
      <c r="A18" s="436">
        <v>2</v>
      </c>
      <c r="B18" s="433" t="s">
        <v>56</v>
      </c>
      <c r="C18" s="433" t="s">
        <v>205</v>
      </c>
      <c r="D18" s="433"/>
      <c r="E18" s="433" t="s">
        <v>206</v>
      </c>
      <c r="F18" s="433" t="s">
        <v>163</v>
      </c>
      <c r="G18" s="444">
        <v>742848</v>
      </c>
      <c r="H18" s="447">
        <f>IF(AD18 = 3, G18 - Q18,0)</f>
        <v>59427.839999999967</v>
      </c>
      <c r="I18" s="444"/>
      <c r="J18" s="444"/>
      <c r="K18" s="433"/>
      <c r="L18" s="433"/>
      <c r="M18" s="433" t="s">
        <v>206</v>
      </c>
      <c r="N18" s="438" t="s">
        <v>200</v>
      </c>
      <c r="O18" s="713">
        <v>2304067057</v>
      </c>
      <c r="P18" s="433" t="s">
        <v>207</v>
      </c>
      <c r="Q18" s="444">
        <v>683420.16000000003</v>
      </c>
      <c r="R18" s="447">
        <f>IF(AD18 = 3, Q18 + SUM(Y18:Y27) - SUM(Z18:Z27) - SUM(V18:V27) - AB18,0)</f>
        <v>0</v>
      </c>
      <c r="S18" s="433" t="s">
        <v>208</v>
      </c>
      <c r="T18" s="292" t="s">
        <v>307</v>
      </c>
      <c r="U18" s="433" t="s">
        <v>209</v>
      </c>
      <c r="V18" s="285">
        <v>72554.880000000005</v>
      </c>
      <c r="W18" s="292" t="s">
        <v>313</v>
      </c>
      <c r="X18" s="283"/>
      <c r="Y18" s="285"/>
      <c r="Z18" s="285"/>
      <c r="AA18" s="433"/>
      <c r="AB18" s="444"/>
      <c r="AC18" s="508"/>
      <c r="AD18" s="85">
        <v>3</v>
      </c>
    </row>
    <row r="19" spans="1:30" x14ac:dyDescent="0.25">
      <c r="A19" s="539"/>
      <c r="B19" s="434"/>
      <c r="C19" s="434"/>
      <c r="D19" s="434"/>
      <c r="E19" s="434"/>
      <c r="F19" s="434"/>
      <c r="G19" s="445"/>
      <c r="H19" s="448"/>
      <c r="I19" s="445"/>
      <c r="J19" s="445"/>
      <c r="K19" s="434"/>
      <c r="L19" s="434"/>
      <c r="M19" s="434"/>
      <c r="N19" s="443"/>
      <c r="O19" s="714"/>
      <c r="P19" s="434"/>
      <c r="Q19" s="445"/>
      <c r="R19" s="448"/>
      <c r="S19" s="434"/>
      <c r="T19" s="293" t="s">
        <v>346</v>
      </c>
      <c r="U19" s="434"/>
      <c r="V19" s="286">
        <v>65533.440000000002</v>
      </c>
      <c r="W19" s="293" t="s">
        <v>349</v>
      </c>
      <c r="X19" s="288"/>
      <c r="Y19" s="286"/>
      <c r="Z19" s="286"/>
      <c r="AA19" s="434"/>
      <c r="AB19" s="445"/>
      <c r="AC19" s="548"/>
      <c r="AD19" s="2">
        <v>3</v>
      </c>
    </row>
    <row r="20" spans="1:30" x14ac:dyDescent="0.25">
      <c r="A20" s="539"/>
      <c r="B20" s="434"/>
      <c r="C20" s="434"/>
      <c r="D20" s="434"/>
      <c r="E20" s="434"/>
      <c r="F20" s="434"/>
      <c r="G20" s="445"/>
      <c r="H20" s="448"/>
      <c r="I20" s="445"/>
      <c r="J20" s="445"/>
      <c r="K20" s="434"/>
      <c r="L20" s="434"/>
      <c r="M20" s="434"/>
      <c r="N20" s="443"/>
      <c r="O20" s="714"/>
      <c r="P20" s="434"/>
      <c r="Q20" s="445"/>
      <c r="R20" s="448"/>
      <c r="S20" s="434"/>
      <c r="T20" s="293" t="s">
        <v>377</v>
      </c>
      <c r="U20" s="434"/>
      <c r="V20" s="286">
        <v>72554.880000000005</v>
      </c>
      <c r="W20" s="293" t="s">
        <v>376</v>
      </c>
      <c r="X20" s="288"/>
      <c r="Y20" s="286"/>
      <c r="Z20" s="286"/>
      <c r="AA20" s="434"/>
      <c r="AB20" s="445"/>
      <c r="AC20" s="548"/>
      <c r="AD20" s="2">
        <v>3</v>
      </c>
    </row>
    <row r="21" spans="1:30" x14ac:dyDescent="0.25">
      <c r="A21" s="539"/>
      <c r="B21" s="434"/>
      <c r="C21" s="434"/>
      <c r="D21" s="434"/>
      <c r="E21" s="434"/>
      <c r="F21" s="434"/>
      <c r="G21" s="445"/>
      <c r="H21" s="448"/>
      <c r="I21" s="445"/>
      <c r="J21" s="445"/>
      <c r="K21" s="434"/>
      <c r="L21" s="434"/>
      <c r="M21" s="434"/>
      <c r="N21" s="443"/>
      <c r="O21" s="714"/>
      <c r="P21" s="434"/>
      <c r="Q21" s="445"/>
      <c r="R21" s="448"/>
      <c r="S21" s="434"/>
      <c r="T21" s="293" t="s">
        <v>455</v>
      </c>
      <c r="U21" s="434"/>
      <c r="V21" s="286">
        <v>70214.399999999994</v>
      </c>
      <c r="W21" s="293" t="s">
        <v>468</v>
      </c>
      <c r="X21" s="288"/>
      <c r="Y21" s="286"/>
      <c r="Z21" s="286"/>
      <c r="AA21" s="434"/>
      <c r="AB21" s="445"/>
      <c r="AC21" s="548"/>
      <c r="AD21" s="2">
        <v>3</v>
      </c>
    </row>
    <row r="22" spans="1:30" x14ac:dyDescent="0.25">
      <c r="A22" s="539"/>
      <c r="B22" s="434"/>
      <c r="C22" s="434"/>
      <c r="D22" s="434"/>
      <c r="E22" s="434"/>
      <c r="F22" s="434"/>
      <c r="G22" s="445"/>
      <c r="H22" s="448"/>
      <c r="I22" s="445"/>
      <c r="J22" s="445"/>
      <c r="K22" s="434"/>
      <c r="L22" s="434"/>
      <c r="M22" s="434"/>
      <c r="N22" s="443"/>
      <c r="O22" s="714"/>
      <c r="P22" s="434"/>
      <c r="Q22" s="445"/>
      <c r="R22" s="448"/>
      <c r="S22" s="434"/>
      <c r="T22" s="293" t="s">
        <v>507</v>
      </c>
      <c r="U22" s="434"/>
      <c r="V22" s="286">
        <v>72554.880000000005</v>
      </c>
      <c r="W22" s="293" t="s">
        <v>509</v>
      </c>
      <c r="X22" s="288"/>
      <c r="Y22" s="286"/>
      <c r="Z22" s="286"/>
      <c r="AA22" s="434"/>
      <c r="AB22" s="445"/>
      <c r="AC22" s="548"/>
      <c r="AD22" s="2">
        <v>3</v>
      </c>
    </row>
    <row r="23" spans="1:30" x14ac:dyDescent="0.25">
      <c r="A23" s="539"/>
      <c r="B23" s="434"/>
      <c r="C23" s="434"/>
      <c r="D23" s="434"/>
      <c r="E23" s="434"/>
      <c r="F23" s="434"/>
      <c r="G23" s="445"/>
      <c r="H23" s="448"/>
      <c r="I23" s="445"/>
      <c r="J23" s="445"/>
      <c r="K23" s="434"/>
      <c r="L23" s="434"/>
      <c r="M23" s="434"/>
      <c r="N23" s="443"/>
      <c r="O23" s="714"/>
      <c r="P23" s="434"/>
      <c r="Q23" s="445"/>
      <c r="R23" s="448"/>
      <c r="S23" s="434"/>
      <c r="T23" s="293" t="s">
        <v>559</v>
      </c>
      <c r="U23" s="434"/>
      <c r="V23" s="286">
        <v>70214.399999999994</v>
      </c>
      <c r="W23" s="293" t="s">
        <v>564</v>
      </c>
      <c r="X23" s="288"/>
      <c r="Y23" s="286"/>
      <c r="Z23" s="286"/>
      <c r="AA23" s="434"/>
      <c r="AB23" s="445"/>
      <c r="AC23" s="548"/>
      <c r="AD23" s="2">
        <v>3</v>
      </c>
    </row>
    <row r="24" spans="1:30" x14ac:dyDescent="0.25">
      <c r="A24" s="539"/>
      <c r="B24" s="434"/>
      <c r="C24" s="434"/>
      <c r="D24" s="434"/>
      <c r="E24" s="434"/>
      <c r="F24" s="434"/>
      <c r="G24" s="445"/>
      <c r="H24" s="448"/>
      <c r="I24" s="445"/>
      <c r="J24" s="445"/>
      <c r="K24" s="434"/>
      <c r="L24" s="434"/>
      <c r="M24" s="434"/>
      <c r="N24" s="443"/>
      <c r="O24" s="714"/>
      <c r="P24" s="434"/>
      <c r="Q24" s="445"/>
      <c r="R24" s="448"/>
      <c r="S24" s="434"/>
      <c r="T24" s="293" t="s">
        <v>603</v>
      </c>
      <c r="U24" s="434"/>
      <c r="V24" s="286">
        <v>72554.880000000005</v>
      </c>
      <c r="W24" s="293" t="s">
        <v>605</v>
      </c>
      <c r="X24" s="288"/>
      <c r="Y24" s="286"/>
      <c r="Z24" s="286"/>
      <c r="AA24" s="434"/>
      <c r="AB24" s="445"/>
      <c r="AC24" s="548"/>
      <c r="AD24" s="2">
        <v>3</v>
      </c>
    </row>
    <row r="25" spans="1:30" x14ac:dyDescent="0.25">
      <c r="A25" s="539"/>
      <c r="B25" s="434"/>
      <c r="C25" s="434"/>
      <c r="D25" s="434"/>
      <c r="E25" s="434"/>
      <c r="F25" s="434"/>
      <c r="G25" s="445"/>
      <c r="H25" s="448"/>
      <c r="I25" s="445"/>
      <c r="J25" s="445"/>
      <c r="K25" s="434"/>
      <c r="L25" s="434"/>
      <c r="M25" s="434"/>
      <c r="N25" s="443"/>
      <c r="O25" s="714"/>
      <c r="P25" s="434"/>
      <c r="Q25" s="445"/>
      <c r="R25" s="448"/>
      <c r="S25" s="434"/>
      <c r="T25" s="293" t="s">
        <v>646</v>
      </c>
      <c r="U25" s="434"/>
      <c r="V25" s="286">
        <v>72554.880000000005</v>
      </c>
      <c r="W25" s="293" t="s">
        <v>647</v>
      </c>
      <c r="X25" s="288"/>
      <c r="Y25" s="286"/>
      <c r="Z25" s="286"/>
      <c r="AA25" s="434"/>
      <c r="AB25" s="445"/>
      <c r="AC25" s="548"/>
      <c r="AD25" s="2">
        <v>3</v>
      </c>
    </row>
    <row r="26" spans="1:30" x14ac:dyDescent="0.25">
      <c r="A26" s="539"/>
      <c r="B26" s="434"/>
      <c r="C26" s="434"/>
      <c r="D26" s="434"/>
      <c r="E26" s="434"/>
      <c r="F26" s="434"/>
      <c r="G26" s="445"/>
      <c r="H26" s="448"/>
      <c r="I26" s="445"/>
      <c r="J26" s="445"/>
      <c r="K26" s="434"/>
      <c r="L26" s="434"/>
      <c r="M26" s="434"/>
      <c r="N26" s="443"/>
      <c r="O26" s="714"/>
      <c r="P26" s="434"/>
      <c r="Q26" s="445"/>
      <c r="R26" s="448"/>
      <c r="S26" s="434"/>
      <c r="T26" s="293" t="s">
        <v>697</v>
      </c>
      <c r="U26" s="434"/>
      <c r="V26" s="286">
        <v>70214.399999999994</v>
      </c>
      <c r="W26" s="293" t="s">
        <v>699</v>
      </c>
      <c r="X26" s="288"/>
      <c r="Y26" s="286"/>
      <c r="Z26" s="286"/>
      <c r="AA26" s="434"/>
      <c r="AB26" s="445"/>
      <c r="AC26" s="548"/>
      <c r="AD26" s="2">
        <v>3</v>
      </c>
    </row>
    <row r="27" spans="1:30" x14ac:dyDescent="0.25">
      <c r="A27" s="437"/>
      <c r="B27" s="435"/>
      <c r="C27" s="435"/>
      <c r="D27" s="435"/>
      <c r="E27" s="435"/>
      <c r="F27" s="435"/>
      <c r="G27" s="446"/>
      <c r="H27" s="449"/>
      <c r="I27" s="446"/>
      <c r="J27" s="446"/>
      <c r="K27" s="435"/>
      <c r="L27" s="435"/>
      <c r="M27" s="435"/>
      <c r="N27" s="439"/>
      <c r="O27" s="715"/>
      <c r="P27" s="435"/>
      <c r="Q27" s="446"/>
      <c r="R27" s="449"/>
      <c r="S27" s="435"/>
      <c r="T27" s="294" t="s">
        <v>700</v>
      </c>
      <c r="U27" s="435"/>
      <c r="V27" s="289">
        <v>44469.120000000003</v>
      </c>
      <c r="W27" s="294" t="s">
        <v>701</v>
      </c>
      <c r="X27" s="291"/>
      <c r="Y27" s="289"/>
      <c r="Z27" s="289"/>
      <c r="AA27" s="435"/>
      <c r="AB27" s="446"/>
      <c r="AC27" s="509"/>
      <c r="AD27" s="2">
        <v>3</v>
      </c>
    </row>
    <row r="28" spans="1:30" s="85" customFormat="1" ht="92.45" customHeight="1" x14ac:dyDescent="0.25">
      <c r="A28" s="406">
        <v>3</v>
      </c>
      <c r="B28" s="412" t="s">
        <v>56</v>
      </c>
      <c r="C28" s="412" t="s">
        <v>619</v>
      </c>
      <c r="D28" s="412"/>
      <c r="E28" s="412" t="s">
        <v>617</v>
      </c>
      <c r="F28" s="412" t="s">
        <v>618</v>
      </c>
      <c r="G28" s="410">
        <v>1084882.18</v>
      </c>
      <c r="H28" s="420">
        <f>IF(AD28 = 4, G28 - Q28,0)</f>
        <v>0</v>
      </c>
      <c r="I28" s="410"/>
      <c r="J28" s="410"/>
      <c r="K28" s="412"/>
      <c r="L28" s="412"/>
      <c r="M28" s="412" t="s">
        <v>620</v>
      </c>
      <c r="N28" s="408" t="s">
        <v>606</v>
      </c>
      <c r="O28" s="710">
        <v>2353020735</v>
      </c>
      <c r="P28" s="412" t="s">
        <v>286</v>
      </c>
      <c r="Q28" s="410">
        <v>1084882.18</v>
      </c>
      <c r="R28" s="420">
        <f>IF(AD28 = 4, Q28 + SUM(Y28:Y75) - SUM(Z28:Z75) - SUM(V28:V75) - AB28,0)</f>
        <v>253144.58000000007</v>
      </c>
      <c r="S28" s="412" t="s">
        <v>621</v>
      </c>
      <c r="T28" s="351" t="s">
        <v>652</v>
      </c>
      <c r="U28" s="412" t="s">
        <v>209</v>
      </c>
      <c r="V28" s="335">
        <v>87552.43</v>
      </c>
      <c r="W28" s="351" t="s">
        <v>655</v>
      </c>
      <c r="X28" s="333"/>
      <c r="Y28" s="335"/>
      <c r="Z28" s="335"/>
      <c r="AA28" s="412"/>
      <c r="AB28" s="410"/>
      <c r="AC28" s="416"/>
      <c r="AD28" s="85">
        <v>4</v>
      </c>
    </row>
    <row r="29" spans="1:30" x14ac:dyDescent="0.25">
      <c r="A29" s="429"/>
      <c r="B29" s="422"/>
      <c r="C29" s="422"/>
      <c r="D29" s="422"/>
      <c r="E29" s="422"/>
      <c r="F29" s="422"/>
      <c r="G29" s="425"/>
      <c r="H29" s="426"/>
      <c r="I29" s="425"/>
      <c r="J29" s="425"/>
      <c r="K29" s="422"/>
      <c r="L29" s="422"/>
      <c r="M29" s="422"/>
      <c r="N29" s="424"/>
      <c r="O29" s="711"/>
      <c r="P29" s="422"/>
      <c r="Q29" s="425"/>
      <c r="R29" s="426"/>
      <c r="S29" s="422"/>
      <c r="T29" s="352" t="s">
        <v>652</v>
      </c>
      <c r="U29" s="422"/>
      <c r="V29" s="336">
        <v>5588.57</v>
      </c>
      <c r="W29" s="352" t="s">
        <v>655</v>
      </c>
      <c r="X29" s="338"/>
      <c r="Y29" s="336"/>
      <c r="Z29" s="336"/>
      <c r="AA29" s="422"/>
      <c r="AB29" s="425"/>
      <c r="AC29" s="428"/>
      <c r="AD29" s="2">
        <v>4</v>
      </c>
    </row>
    <row r="30" spans="1:30" x14ac:dyDescent="0.25">
      <c r="A30" s="429"/>
      <c r="B30" s="422"/>
      <c r="C30" s="422"/>
      <c r="D30" s="422"/>
      <c r="E30" s="422"/>
      <c r="F30" s="422"/>
      <c r="G30" s="425"/>
      <c r="H30" s="426"/>
      <c r="I30" s="425"/>
      <c r="J30" s="425"/>
      <c r="K30" s="422"/>
      <c r="L30" s="422"/>
      <c r="M30" s="422"/>
      <c r="N30" s="424"/>
      <c r="O30" s="711"/>
      <c r="P30" s="422"/>
      <c r="Q30" s="425"/>
      <c r="R30" s="426"/>
      <c r="S30" s="422"/>
      <c r="T30" s="352" t="s">
        <v>652</v>
      </c>
      <c r="U30" s="422"/>
      <c r="V30" s="336">
        <v>30665.79</v>
      </c>
      <c r="W30" s="352" t="s">
        <v>655</v>
      </c>
      <c r="X30" s="338"/>
      <c r="Y30" s="336"/>
      <c r="Z30" s="336"/>
      <c r="AA30" s="422"/>
      <c r="AB30" s="425"/>
      <c r="AC30" s="428"/>
      <c r="AD30" s="2">
        <v>4</v>
      </c>
    </row>
    <row r="31" spans="1:30" x14ac:dyDescent="0.25">
      <c r="A31" s="429"/>
      <c r="B31" s="422"/>
      <c r="C31" s="422"/>
      <c r="D31" s="422"/>
      <c r="E31" s="422"/>
      <c r="F31" s="422"/>
      <c r="G31" s="425"/>
      <c r="H31" s="426"/>
      <c r="I31" s="425"/>
      <c r="J31" s="425"/>
      <c r="K31" s="422"/>
      <c r="L31" s="422"/>
      <c r="M31" s="422"/>
      <c r="N31" s="424"/>
      <c r="O31" s="711"/>
      <c r="P31" s="422"/>
      <c r="Q31" s="425"/>
      <c r="R31" s="426"/>
      <c r="S31" s="422"/>
      <c r="T31" s="352" t="s">
        <v>708</v>
      </c>
      <c r="U31" s="422"/>
      <c r="V31" s="336">
        <v>27310.5</v>
      </c>
      <c r="W31" s="352" t="s">
        <v>698</v>
      </c>
      <c r="X31" s="338"/>
      <c r="Y31" s="336"/>
      <c r="Z31" s="336"/>
      <c r="AA31" s="422"/>
      <c r="AB31" s="425"/>
      <c r="AC31" s="428"/>
      <c r="AD31" s="2">
        <v>4</v>
      </c>
    </row>
    <row r="32" spans="1:30" x14ac:dyDescent="0.25">
      <c r="A32" s="429"/>
      <c r="B32" s="422"/>
      <c r="C32" s="422"/>
      <c r="D32" s="422"/>
      <c r="E32" s="422"/>
      <c r="F32" s="422"/>
      <c r="G32" s="425"/>
      <c r="H32" s="426"/>
      <c r="I32" s="425"/>
      <c r="J32" s="425"/>
      <c r="K32" s="422"/>
      <c r="L32" s="422"/>
      <c r="M32" s="422"/>
      <c r="N32" s="424"/>
      <c r="O32" s="711"/>
      <c r="P32" s="422"/>
      <c r="Q32" s="425"/>
      <c r="R32" s="426"/>
      <c r="S32" s="422"/>
      <c r="T32" s="352" t="s">
        <v>708</v>
      </c>
      <c r="U32" s="422"/>
      <c r="V32" s="336">
        <v>77972.899999999994</v>
      </c>
      <c r="W32" s="352" t="s">
        <v>698</v>
      </c>
      <c r="X32" s="338"/>
      <c r="Y32" s="336"/>
      <c r="Z32" s="336"/>
      <c r="AA32" s="422"/>
      <c r="AB32" s="425"/>
      <c r="AC32" s="428"/>
      <c r="AD32" s="2">
        <v>4</v>
      </c>
    </row>
    <row r="33" spans="1:30" x14ac:dyDescent="0.25">
      <c r="A33" s="429"/>
      <c r="B33" s="422"/>
      <c r="C33" s="422"/>
      <c r="D33" s="422"/>
      <c r="E33" s="422"/>
      <c r="F33" s="422"/>
      <c r="G33" s="425"/>
      <c r="H33" s="426"/>
      <c r="I33" s="425"/>
      <c r="J33" s="425"/>
      <c r="K33" s="422"/>
      <c r="L33" s="422"/>
      <c r="M33" s="422"/>
      <c r="N33" s="424"/>
      <c r="O33" s="711"/>
      <c r="P33" s="422"/>
      <c r="Q33" s="425"/>
      <c r="R33" s="426"/>
      <c r="S33" s="422"/>
      <c r="T33" s="352" t="s">
        <v>708</v>
      </c>
      <c r="U33" s="422"/>
      <c r="V33" s="336">
        <v>4977.1000000000004</v>
      </c>
      <c r="W33" s="352" t="s">
        <v>698</v>
      </c>
      <c r="X33" s="338"/>
      <c r="Y33" s="336"/>
      <c r="Z33" s="336"/>
      <c r="AA33" s="422"/>
      <c r="AB33" s="425"/>
      <c r="AC33" s="428"/>
      <c r="AD33" s="2">
        <v>4</v>
      </c>
    </row>
    <row r="34" spans="1:30" x14ac:dyDescent="0.25">
      <c r="A34" s="429"/>
      <c r="B34" s="422"/>
      <c r="C34" s="422"/>
      <c r="D34" s="422"/>
      <c r="E34" s="422"/>
      <c r="F34" s="422"/>
      <c r="G34" s="425"/>
      <c r="H34" s="426"/>
      <c r="I34" s="425"/>
      <c r="J34" s="425"/>
      <c r="K34" s="422"/>
      <c r="L34" s="422"/>
      <c r="M34" s="422"/>
      <c r="N34" s="424"/>
      <c r="O34" s="711"/>
      <c r="P34" s="422"/>
      <c r="Q34" s="425"/>
      <c r="R34" s="426"/>
      <c r="S34" s="422"/>
      <c r="T34" s="352" t="s">
        <v>698</v>
      </c>
      <c r="U34" s="422"/>
      <c r="V34" s="336">
        <v>2262.87</v>
      </c>
      <c r="W34" s="352" t="s">
        <v>709</v>
      </c>
      <c r="X34" s="338"/>
      <c r="Y34" s="336"/>
      <c r="Z34" s="336"/>
      <c r="AA34" s="422"/>
      <c r="AB34" s="425"/>
      <c r="AC34" s="428"/>
      <c r="AD34" s="2">
        <v>4</v>
      </c>
    </row>
    <row r="35" spans="1:30" x14ac:dyDescent="0.25">
      <c r="A35" s="429"/>
      <c r="B35" s="422"/>
      <c r="C35" s="422"/>
      <c r="D35" s="422"/>
      <c r="E35" s="422"/>
      <c r="F35" s="422"/>
      <c r="G35" s="425"/>
      <c r="H35" s="426"/>
      <c r="I35" s="425"/>
      <c r="J35" s="425"/>
      <c r="K35" s="422"/>
      <c r="L35" s="422"/>
      <c r="M35" s="422"/>
      <c r="N35" s="424"/>
      <c r="O35" s="711"/>
      <c r="P35" s="422"/>
      <c r="Q35" s="425"/>
      <c r="R35" s="426"/>
      <c r="S35" s="422"/>
      <c r="T35" s="352" t="s">
        <v>706</v>
      </c>
      <c r="U35" s="422"/>
      <c r="V35" s="336">
        <v>4629.78</v>
      </c>
      <c r="W35" s="352" t="s">
        <v>710</v>
      </c>
      <c r="X35" s="338"/>
      <c r="Y35" s="336"/>
      <c r="Z35" s="336"/>
      <c r="AA35" s="422"/>
      <c r="AB35" s="425"/>
      <c r="AC35" s="428"/>
      <c r="AD35" s="2">
        <v>4</v>
      </c>
    </row>
    <row r="36" spans="1:30" x14ac:dyDescent="0.25">
      <c r="A36" s="429"/>
      <c r="B36" s="422"/>
      <c r="C36" s="422"/>
      <c r="D36" s="422"/>
      <c r="E36" s="422"/>
      <c r="F36" s="422"/>
      <c r="G36" s="425"/>
      <c r="H36" s="426"/>
      <c r="I36" s="425"/>
      <c r="J36" s="425"/>
      <c r="K36" s="422"/>
      <c r="L36" s="422"/>
      <c r="M36" s="422"/>
      <c r="N36" s="424"/>
      <c r="O36" s="711"/>
      <c r="P36" s="422"/>
      <c r="Q36" s="425"/>
      <c r="R36" s="426"/>
      <c r="S36" s="422"/>
      <c r="T36" s="352" t="s">
        <v>709</v>
      </c>
      <c r="U36" s="422"/>
      <c r="V36" s="336">
        <v>1612.62</v>
      </c>
      <c r="W36" s="352" t="s">
        <v>710</v>
      </c>
      <c r="X36" s="338"/>
      <c r="Y36" s="336"/>
      <c r="Z36" s="336"/>
      <c r="AA36" s="422"/>
      <c r="AB36" s="425"/>
      <c r="AC36" s="428"/>
      <c r="AD36" s="2">
        <v>4</v>
      </c>
    </row>
    <row r="37" spans="1:30" x14ac:dyDescent="0.25">
      <c r="A37" s="429"/>
      <c r="B37" s="422"/>
      <c r="C37" s="422"/>
      <c r="D37" s="422"/>
      <c r="E37" s="422"/>
      <c r="F37" s="422"/>
      <c r="G37" s="425"/>
      <c r="H37" s="426"/>
      <c r="I37" s="425"/>
      <c r="J37" s="425"/>
      <c r="K37" s="422"/>
      <c r="L37" s="422"/>
      <c r="M37" s="422"/>
      <c r="N37" s="424"/>
      <c r="O37" s="711"/>
      <c r="P37" s="422"/>
      <c r="Q37" s="425"/>
      <c r="R37" s="426"/>
      <c r="S37" s="422"/>
      <c r="T37" s="352" t="s">
        <v>706</v>
      </c>
      <c r="U37" s="422"/>
      <c r="V37" s="336">
        <v>3459.33</v>
      </c>
      <c r="W37" s="352" t="s">
        <v>710</v>
      </c>
      <c r="X37" s="338"/>
      <c r="Y37" s="336"/>
      <c r="Z37" s="336"/>
      <c r="AA37" s="422"/>
      <c r="AB37" s="425"/>
      <c r="AC37" s="428"/>
      <c r="AD37" s="2">
        <v>4</v>
      </c>
    </row>
    <row r="38" spans="1:30" x14ac:dyDescent="0.25">
      <c r="A38" s="429"/>
      <c r="B38" s="422"/>
      <c r="C38" s="422"/>
      <c r="D38" s="422"/>
      <c r="E38" s="422"/>
      <c r="F38" s="422"/>
      <c r="G38" s="425"/>
      <c r="H38" s="426"/>
      <c r="I38" s="425"/>
      <c r="J38" s="425"/>
      <c r="K38" s="422"/>
      <c r="L38" s="422"/>
      <c r="M38" s="422"/>
      <c r="N38" s="424"/>
      <c r="O38" s="711"/>
      <c r="P38" s="422"/>
      <c r="Q38" s="425"/>
      <c r="R38" s="426"/>
      <c r="S38" s="422"/>
      <c r="T38" s="352" t="s">
        <v>709</v>
      </c>
      <c r="U38" s="422"/>
      <c r="V38" s="336">
        <v>6097.7</v>
      </c>
      <c r="W38" s="352" t="s">
        <v>710</v>
      </c>
      <c r="X38" s="338"/>
      <c r="Y38" s="336"/>
      <c r="Z38" s="336"/>
      <c r="AA38" s="422"/>
      <c r="AB38" s="425"/>
      <c r="AC38" s="428"/>
      <c r="AD38" s="2">
        <v>4</v>
      </c>
    </row>
    <row r="39" spans="1:30" x14ac:dyDescent="0.25">
      <c r="A39" s="429"/>
      <c r="B39" s="422"/>
      <c r="C39" s="422"/>
      <c r="D39" s="422"/>
      <c r="E39" s="422"/>
      <c r="F39" s="422"/>
      <c r="G39" s="425"/>
      <c r="H39" s="426"/>
      <c r="I39" s="425"/>
      <c r="J39" s="425"/>
      <c r="K39" s="422"/>
      <c r="L39" s="422"/>
      <c r="M39" s="422"/>
      <c r="N39" s="424"/>
      <c r="O39" s="711"/>
      <c r="P39" s="422"/>
      <c r="Q39" s="425"/>
      <c r="R39" s="426"/>
      <c r="S39" s="422"/>
      <c r="T39" s="352" t="s">
        <v>706</v>
      </c>
      <c r="U39" s="422"/>
      <c r="V39" s="336">
        <v>12867.04</v>
      </c>
      <c r="W39" s="352" t="s">
        <v>710</v>
      </c>
      <c r="X39" s="338"/>
      <c r="Y39" s="336"/>
      <c r="Z39" s="336"/>
      <c r="AA39" s="422"/>
      <c r="AB39" s="425"/>
      <c r="AC39" s="428"/>
      <c r="AD39" s="2">
        <v>4</v>
      </c>
    </row>
    <row r="40" spans="1:30" x14ac:dyDescent="0.25">
      <c r="A40" s="429"/>
      <c r="B40" s="422"/>
      <c r="C40" s="422"/>
      <c r="D40" s="422"/>
      <c r="E40" s="422"/>
      <c r="F40" s="422"/>
      <c r="G40" s="425"/>
      <c r="H40" s="426"/>
      <c r="I40" s="425"/>
      <c r="J40" s="425"/>
      <c r="K40" s="422"/>
      <c r="L40" s="422"/>
      <c r="M40" s="422"/>
      <c r="N40" s="424"/>
      <c r="O40" s="711"/>
      <c r="P40" s="422"/>
      <c r="Q40" s="425"/>
      <c r="R40" s="426"/>
      <c r="S40" s="422"/>
      <c r="T40" s="352" t="s">
        <v>706</v>
      </c>
      <c r="U40" s="422"/>
      <c r="V40" s="336">
        <v>821.32</v>
      </c>
      <c r="W40" s="352" t="s">
        <v>710</v>
      </c>
      <c r="X40" s="338"/>
      <c r="Y40" s="336"/>
      <c r="Z40" s="336"/>
      <c r="AA40" s="422"/>
      <c r="AB40" s="425"/>
      <c r="AC40" s="428"/>
      <c r="AD40" s="2">
        <v>4</v>
      </c>
    </row>
    <row r="41" spans="1:30" x14ac:dyDescent="0.25">
      <c r="A41" s="429"/>
      <c r="B41" s="422"/>
      <c r="C41" s="422"/>
      <c r="D41" s="422"/>
      <c r="E41" s="422"/>
      <c r="F41" s="422"/>
      <c r="G41" s="425"/>
      <c r="H41" s="426"/>
      <c r="I41" s="425"/>
      <c r="J41" s="425"/>
      <c r="K41" s="422"/>
      <c r="L41" s="422"/>
      <c r="M41" s="422"/>
      <c r="N41" s="424"/>
      <c r="O41" s="711"/>
      <c r="P41" s="422"/>
      <c r="Q41" s="425"/>
      <c r="R41" s="426"/>
      <c r="S41" s="422"/>
      <c r="T41" s="352" t="s">
        <v>698</v>
      </c>
      <c r="U41" s="422"/>
      <c r="V41" s="336">
        <v>9611.76</v>
      </c>
      <c r="W41" s="352" t="s">
        <v>710</v>
      </c>
      <c r="X41" s="338"/>
      <c r="Y41" s="336"/>
      <c r="Z41" s="336"/>
      <c r="AA41" s="422"/>
      <c r="AB41" s="425"/>
      <c r="AC41" s="428"/>
      <c r="AD41" s="2">
        <v>4</v>
      </c>
    </row>
    <row r="42" spans="1:30" x14ac:dyDescent="0.25">
      <c r="A42" s="429"/>
      <c r="B42" s="422"/>
      <c r="C42" s="422"/>
      <c r="D42" s="422"/>
      <c r="E42" s="422"/>
      <c r="F42" s="422"/>
      <c r="G42" s="425"/>
      <c r="H42" s="426"/>
      <c r="I42" s="425"/>
      <c r="J42" s="425"/>
      <c r="K42" s="422"/>
      <c r="L42" s="422"/>
      <c r="M42" s="422"/>
      <c r="N42" s="424"/>
      <c r="O42" s="711"/>
      <c r="P42" s="422"/>
      <c r="Q42" s="425"/>
      <c r="R42" s="426"/>
      <c r="S42" s="422"/>
      <c r="T42" s="352" t="s">
        <v>706</v>
      </c>
      <c r="U42" s="422"/>
      <c r="V42" s="336">
        <v>7877.83</v>
      </c>
      <c r="W42" s="352" t="s">
        <v>695</v>
      </c>
      <c r="X42" s="338"/>
      <c r="Y42" s="336"/>
      <c r="Z42" s="336"/>
      <c r="AA42" s="422"/>
      <c r="AB42" s="425"/>
      <c r="AC42" s="428"/>
      <c r="AD42" s="2">
        <v>4</v>
      </c>
    </row>
    <row r="43" spans="1:30" x14ac:dyDescent="0.25">
      <c r="A43" s="429"/>
      <c r="B43" s="422"/>
      <c r="C43" s="422"/>
      <c r="D43" s="422"/>
      <c r="E43" s="422"/>
      <c r="F43" s="422"/>
      <c r="G43" s="425"/>
      <c r="H43" s="426"/>
      <c r="I43" s="425"/>
      <c r="J43" s="425"/>
      <c r="K43" s="422"/>
      <c r="L43" s="422"/>
      <c r="M43" s="422"/>
      <c r="N43" s="424"/>
      <c r="O43" s="711"/>
      <c r="P43" s="422"/>
      <c r="Q43" s="425"/>
      <c r="R43" s="426"/>
      <c r="S43" s="422"/>
      <c r="T43" s="352" t="s">
        <v>706</v>
      </c>
      <c r="U43" s="422"/>
      <c r="V43" s="336">
        <v>9628.4699999999993</v>
      </c>
      <c r="W43" s="352" t="s">
        <v>695</v>
      </c>
      <c r="X43" s="338"/>
      <c r="Y43" s="336"/>
      <c r="Z43" s="336"/>
      <c r="AA43" s="422"/>
      <c r="AB43" s="425"/>
      <c r="AC43" s="428"/>
      <c r="AD43" s="2">
        <v>4</v>
      </c>
    </row>
    <row r="44" spans="1:30" x14ac:dyDescent="0.25">
      <c r="A44" s="429"/>
      <c r="B44" s="422"/>
      <c r="C44" s="422"/>
      <c r="D44" s="422"/>
      <c r="E44" s="422"/>
      <c r="F44" s="422"/>
      <c r="G44" s="425"/>
      <c r="H44" s="426"/>
      <c r="I44" s="425"/>
      <c r="J44" s="425"/>
      <c r="K44" s="422"/>
      <c r="L44" s="422"/>
      <c r="M44" s="422"/>
      <c r="N44" s="424"/>
      <c r="O44" s="711"/>
      <c r="P44" s="422"/>
      <c r="Q44" s="425"/>
      <c r="R44" s="426"/>
      <c r="S44" s="422"/>
      <c r="T44" s="352" t="s">
        <v>695</v>
      </c>
      <c r="U44" s="422"/>
      <c r="V44" s="336">
        <v>5332.6</v>
      </c>
      <c r="W44" s="352" t="s">
        <v>711</v>
      </c>
      <c r="X44" s="338"/>
      <c r="Y44" s="336"/>
      <c r="Z44" s="336"/>
      <c r="AA44" s="422"/>
      <c r="AB44" s="425"/>
      <c r="AC44" s="428"/>
      <c r="AD44" s="2">
        <v>4</v>
      </c>
    </row>
    <row r="45" spans="1:30" x14ac:dyDescent="0.25">
      <c r="A45" s="429"/>
      <c r="B45" s="422"/>
      <c r="C45" s="422"/>
      <c r="D45" s="422"/>
      <c r="E45" s="422"/>
      <c r="F45" s="422"/>
      <c r="G45" s="425"/>
      <c r="H45" s="426"/>
      <c r="I45" s="425"/>
      <c r="J45" s="425"/>
      <c r="K45" s="422"/>
      <c r="L45" s="422"/>
      <c r="M45" s="422"/>
      <c r="N45" s="424"/>
      <c r="O45" s="711"/>
      <c r="P45" s="422"/>
      <c r="Q45" s="425"/>
      <c r="R45" s="426"/>
      <c r="S45" s="422"/>
      <c r="T45" s="352" t="s">
        <v>695</v>
      </c>
      <c r="U45" s="422"/>
      <c r="V45" s="336">
        <v>83542.399999999994</v>
      </c>
      <c r="W45" s="352" t="s">
        <v>711</v>
      </c>
      <c r="X45" s="338"/>
      <c r="Y45" s="336"/>
      <c r="Z45" s="336"/>
      <c r="AA45" s="422"/>
      <c r="AB45" s="425"/>
      <c r="AC45" s="428"/>
      <c r="AD45" s="2">
        <v>4</v>
      </c>
    </row>
    <row r="46" spans="1:30" x14ac:dyDescent="0.25">
      <c r="A46" s="429"/>
      <c r="B46" s="422"/>
      <c r="C46" s="422"/>
      <c r="D46" s="422"/>
      <c r="E46" s="422"/>
      <c r="F46" s="422"/>
      <c r="G46" s="425"/>
      <c r="H46" s="426"/>
      <c r="I46" s="425"/>
      <c r="J46" s="425"/>
      <c r="K46" s="422"/>
      <c r="L46" s="422"/>
      <c r="M46" s="422"/>
      <c r="N46" s="424"/>
      <c r="O46" s="711"/>
      <c r="P46" s="422"/>
      <c r="Q46" s="425"/>
      <c r="R46" s="426"/>
      <c r="S46" s="422"/>
      <c r="T46" s="352" t="s">
        <v>695</v>
      </c>
      <c r="U46" s="422"/>
      <c r="V46" s="336">
        <v>29261.25</v>
      </c>
      <c r="W46" s="352" t="s">
        <v>711</v>
      </c>
      <c r="X46" s="338"/>
      <c r="Y46" s="336"/>
      <c r="Z46" s="336"/>
      <c r="AA46" s="422"/>
      <c r="AB46" s="425"/>
      <c r="AC46" s="428"/>
      <c r="AD46" s="2">
        <v>4</v>
      </c>
    </row>
    <row r="47" spans="1:30" x14ac:dyDescent="0.25">
      <c r="A47" s="429"/>
      <c r="B47" s="422"/>
      <c r="C47" s="422"/>
      <c r="D47" s="422"/>
      <c r="E47" s="422"/>
      <c r="F47" s="422"/>
      <c r="G47" s="425"/>
      <c r="H47" s="426"/>
      <c r="I47" s="425"/>
      <c r="J47" s="425"/>
      <c r="K47" s="422"/>
      <c r="L47" s="422"/>
      <c r="M47" s="422"/>
      <c r="N47" s="424"/>
      <c r="O47" s="711"/>
      <c r="P47" s="422"/>
      <c r="Q47" s="425"/>
      <c r="R47" s="426"/>
      <c r="S47" s="422"/>
      <c r="T47" s="352" t="s">
        <v>732</v>
      </c>
      <c r="U47" s="422"/>
      <c r="V47" s="336">
        <v>5095.6000000000004</v>
      </c>
      <c r="W47" s="352" t="s">
        <v>735</v>
      </c>
      <c r="X47" s="338"/>
      <c r="Y47" s="336"/>
      <c r="Z47" s="336"/>
      <c r="AA47" s="422"/>
      <c r="AB47" s="425"/>
      <c r="AC47" s="428"/>
      <c r="AD47" s="2">
        <v>4</v>
      </c>
    </row>
    <row r="48" spans="1:30" x14ac:dyDescent="0.25">
      <c r="A48" s="429"/>
      <c r="B48" s="422"/>
      <c r="C48" s="422"/>
      <c r="D48" s="422"/>
      <c r="E48" s="422"/>
      <c r="F48" s="422"/>
      <c r="G48" s="425"/>
      <c r="H48" s="426"/>
      <c r="I48" s="425"/>
      <c r="J48" s="425"/>
      <c r="K48" s="422"/>
      <c r="L48" s="422"/>
      <c r="M48" s="422"/>
      <c r="N48" s="424"/>
      <c r="O48" s="711"/>
      <c r="P48" s="422"/>
      <c r="Q48" s="425"/>
      <c r="R48" s="426"/>
      <c r="S48" s="422"/>
      <c r="T48" s="352" t="s">
        <v>732</v>
      </c>
      <c r="U48" s="422"/>
      <c r="V48" s="336">
        <v>79829.399999999994</v>
      </c>
      <c r="W48" s="352" t="s">
        <v>735</v>
      </c>
      <c r="X48" s="338"/>
      <c r="Y48" s="336"/>
      <c r="Z48" s="336"/>
      <c r="AA48" s="422"/>
      <c r="AB48" s="425"/>
      <c r="AC48" s="428"/>
      <c r="AD48" s="2">
        <v>4</v>
      </c>
    </row>
    <row r="49" spans="1:30" x14ac:dyDescent="0.25">
      <c r="A49" s="429"/>
      <c r="B49" s="422"/>
      <c r="C49" s="422"/>
      <c r="D49" s="422"/>
      <c r="E49" s="422"/>
      <c r="F49" s="422"/>
      <c r="G49" s="425"/>
      <c r="H49" s="426"/>
      <c r="I49" s="425"/>
      <c r="J49" s="425"/>
      <c r="K49" s="422"/>
      <c r="L49" s="422"/>
      <c r="M49" s="422"/>
      <c r="N49" s="424"/>
      <c r="O49" s="711"/>
      <c r="P49" s="422"/>
      <c r="Q49" s="425"/>
      <c r="R49" s="426"/>
      <c r="S49" s="422"/>
      <c r="T49" s="352" t="s">
        <v>732</v>
      </c>
      <c r="U49" s="422"/>
      <c r="V49" s="336">
        <v>27960.75</v>
      </c>
      <c r="W49" s="352" t="s">
        <v>735</v>
      </c>
      <c r="X49" s="338"/>
      <c r="Y49" s="336"/>
      <c r="Z49" s="336"/>
      <c r="AA49" s="422"/>
      <c r="AB49" s="425"/>
      <c r="AC49" s="428"/>
      <c r="AD49" s="2">
        <v>4</v>
      </c>
    </row>
    <row r="50" spans="1:30" x14ac:dyDescent="0.25">
      <c r="A50" s="429"/>
      <c r="B50" s="422"/>
      <c r="C50" s="422"/>
      <c r="D50" s="422"/>
      <c r="E50" s="422"/>
      <c r="F50" s="422"/>
      <c r="G50" s="425"/>
      <c r="H50" s="426"/>
      <c r="I50" s="425"/>
      <c r="J50" s="425"/>
      <c r="K50" s="422"/>
      <c r="L50" s="422"/>
      <c r="M50" s="422"/>
      <c r="N50" s="424"/>
      <c r="O50" s="711"/>
      <c r="P50" s="422"/>
      <c r="Q50" s="425"/>
      <c r="R50" s="426"/>
      <c r="S50" s="422"/>
      <c r="T50" s="352" t="s">
        <v>731</v>
      </c>
      <c r="U50" s="422"/>
      <c r="V50" s="336">
        <v>4109.58</v>
      </c>
      <c r="W50" s="352" t="s">
        <v>738</v>
      </c>
      <c r="X50" s="338"/>
      <c r="Y50" s="336"/>
      <c r="Z50" s="336"/>
      <c r="AA50" s="422"/>
      <c r="AB50" s="425"/>
      <c r="AC50" s="428"/>
      <c r="AD50" s="2">
        <v>4</v>
      </c>
    </row>
    <row r="51" spans="1:30" x14ac:dyDescent="0.25">
      <c r="A51" s="429"/>
      <c r="B51" s="422"/>
      <c r="C51" s="422"/>
      <c r="D51" s="422"/>
      <c r="E51" s="422"/>
      <c r="F51" s="422"/>
      <c r="G51" s="425"/>
      <c r="H51" s="426"/>
      <c r="I51" s="425"/>
      <c r="J51" s="425"/>
      <c r="K51" s="422"/>
      <c r="L51" s="422"/>
      <c r="M51" s="422"/>
      <c r="N51" s="424"/>
      <c r="O51" s="711"/>
      <c r="P51" s="422"/>
      <c r="Q51" s="425"/>
      <c r="R51" s="426"/>
      <c r="S51" s="422"/>
      <c r="T51" s="352" t="s">
        <v>731</v>
      </c>
      <c r="U51" s="422"/>
      <c r="V51" s="336">
        <v>6992.69</v>
      </c>
      <c r="W51" s="352" t="s">
        <v>738</v>
      </c>
      <c r="X51" s="338"/>
      <c r="Y51" s="336"/>
      <c r="Z51" s="336"/>
      <c r="AA51" s="422"/>
      <c r="AB51" s="425"/>
      <c r="AC51" s="428"/>
      <c r="AD51" s="2">
        <v>4</v>
      </c>
    </row>
    <row r="52" spans="1:30" x14ac:dyDescent="0.25">
      <c r="A52" s="429"/>
      <c r="B52" s="422"/>
      <c r="C52" s="422"/>
      <c r="D52" s="422"/>
      <c r="E52" s="422"/>
      <c r="F52" s="422"/>
      <c r="G52" s="425"/>
      <c r="H52" s="426"/>
      <c r="I52" s="425"/>
      <c r="J52" s="425"/>
      <c r="K52" s="422"/>
      <c r="L52" s="422"/>
      <c r="M52" s="422"/>
      <c r="N52" s="424"/>
      <c r="O52" s="711"/>
      <c r="P52" s="422"/>
      <c r="Q52" s="425"/>
      <c r="R52" s="426"/>
      <c r="S52" s="422"/>
      <c r="T52" s="352" t="s">
        <v>731</v>
      </c>
      <c r="U52" s="422"/>
      <c r="V52" s="336">
        <v>8546.61</v>
      </c>
      <c r="W52" s="352" t="s">
        <v>738</v>
      </c>
      <c r="X52" s="338"/>
      <c r="Y52" s="336"/>
      <c r="Z52" s="336"/>
      <c r="AA52" s="422"/>
      <c r="AB52" s="425"/>
      <c r="AC52" s="428"/>
      <c r="AD52" s="2">
        <v>4</v>
      </c>
    </row>
    <row r="53" spans="1:30" x14ac:dyDescent="0.25">
      <c r="A53" s="429"/>
      <c r="B53" s="422"/>
      <c r="C53" s="422"/>
      <c r="D53" s="422"/>
      <c r="E53" s="422"/>
      <c r="F53" s="422"/>
      <c r="G53" s="425"/>
      <c r="H53" s="426"/>
      <c r="I53" s="425"/>
      <c r="J53" s="425"/>
      <c r="K53" s="422"/>
      <c r="L53" s="422"/>
      <c r="M53" s="422"/>
      <c r="N53" s="424"/>
      <c r="O53" s="711"/>
      <c r="P53" s="422"/>
      <c r="Q53" s="425"/>
      <c r="R53" s="426"/>
      <c r="S53" s="422"/>
      <c r="T53" s="352" t="s">
        <v>732</v>
      </c>
      <c r="U53" s="422"/>
      <c r="V53" s="336">
        <v>11028.89</v>
      </c>
      <c r="W53" s="352" t="s">
        <v>738</v>
      </c>
      <c r="X53" s="338"/>
      <c r="Y53" s="336"/>
      <c r="Z53" s="336"/>
      <c r="AA53" s="422"/>
      <c r="AB53" s="425"/>
      <c r="AC53" s="428"/>
      <c r="AD53" s="2">
        <v>4</v>
      </c>
    </row>
    <row r="54" spans="1:30" x14ac:dyDescent="0.25">
      <c r="A54" s="429"/>
      <c r="B54" s="422"/>
      <c r="C54" s="422"/>
      <c r="D54" s="422"/>
      <c r="E54" s="422"/>
      <c r="F54" s="422"/>
      <c r="G54" s="425"/>
      <c r="H54" s="426"/>
      <c r="I54" s="425"/>
      <c r="J54" s="425"/>
      <c r="K54" s="422"/>
      <c r="L54" s="422"/>
      <c r="M54" s="422"/>
      <c r="N54" s="424"/>
      <c r="O54" s="711"/>
      <c r="P54" s="422"/>
      <c r="Q54" s="425"/>
      <c r="R54" s="426"/>
      <c r="S54" s="422"/>
      <c r="T54" s="352" t="s">
        <v>732</v>
      </c>
      <c r="U54" s="422"/>
      <c r="V54" s="336">
        <v>703.99</v>
      </c>
      <c r="W54" s="352" t="s">
        <v>738</v>
      </c>
      <c r="X54" s="338"/>
      <c r="Y54" s="336"/>
      <c r="Z54" s="336"/>
      <c r="AA54" s="422"/>
      <c r="AB54" s="425"/>
      <c r="AC54" s="428"/>
      <c r="AD54" s="2">
        <v>4</v>
      </c>
    </row>
    <row r="55" spans="1:30" x14ac:dyDescent="0.25">
      <c r="A55" s="429"/>
      <c r="B55" s="422"/>
      <c r="C55" s="422"/>
      <c r="D55" s="422"/>
      <c r="E55" s="422"/>
      <c r="F55" s="422"/>
      <c r="G55" s="425"/>
      <c r="H55" s="426"/>
      <c r="I55" s="425"/>
      <c r="J55" s="425"/>
      <c r="K55" s="422"/>
      <c r="L55" s="422"/>
      <c r="M55" s="422"/>
      <c r="N55" s="424"/>
      <c r="O55" s="711"/>
      <c r="P55" s="422"/>
      <c r="Q55" s="425"/>
      <c r="R55" s="426"/>
      <c r="S55" s="422"/>
      <c r="T55" s="352" t="s">
        <v>732</v>
      </c>
      <c r="U55" s="422"/>
      <c r="V55" s="336">
        <v>2965.14</v>
      </c>
      <c r="W55" s="352" t="s">
        <v>738</v>
      </c>
      <c r="X55" s="338"/>
      <c r="Y55" s="336"/>
      <c r="Z55" s="336"/>
      <c r="AA55" s="422"/>
      <c r="AB55" s="425"/>
      <c r="AC55" s="428"/>
      <c r="AD55" s="2">
        <v>4</v>
      </c>
    </row>
    <row r="56" spans="1:30" x14ac:dyDescent="0.25">
      <c r="A56" s="429"/>
      <c r="B56" s="422"/>
      <c r="C56" s="422"/>
      <c r="D56" s="422"/>
      <c r="E56" s="422"/>
      <c r="F56" s="422"/>
      <c r="G56" s="425"/>
      <c r="H56" s="426"/>
      <c r="I56" s="425"/>
      <c r="J56" s="425"/>
      <c r="K56" s="422"/>
      <c r="L56" s="422"/>
      <c r="M56" s="422"/>
      <c r="N56" s="424"/>
      <c r="O56" s="711"/>
      <c r="P56" s="422"/>
      <c r="Q56" s="425"/>
      <c r="R56" s="426"/>
      <c r="S56" s="422"/>
      <c r="T56" s="352" t="s">
        <v>739</v>
      </c>
      <c r="U56" s="422"/>
      <c r="V56" s="336">
        <v>2753.8</v>
      </c>
      <c r="W56" s="352" t="s">
        <v>738</v>
      </c>
      <c r="X56" s="338"/>
      <c r="Y56" s="336"/>
      <c r="Z56" s="336"/>
      <c r="AA56" s="422"/>
      <c r="AB56" s="425"/>
      <c r="AC56" s="428"/>
      <c r="AD56" s="2">
        <v>4</v>
      </c>
    </row>
    <row r="57" spans="1:30" x14ac:dyDescent="0.25">
      <c r="A57" s="429"/>
      <c r="B57" s="422"/>
      <c r="C57" s="422"/>
      <c r="D57" s="422"/>
      <c r="E57" s="422"/>
      <c r="F57" s="422"/>
      <c r="G57" s="425"/>
      <c r="H57" s="426"/>
      <c r="I57" s="425"/>
      <c r="J57" s="425"/>
      <c r="K57" s="422"/>
      <c r="L57" s="422"/>
      <c r="M57" s="422"/>
      <c r="N57" s="424"/>
      <c r="O57" s="711"/>
      <c r="P57" s="422"/>
      <c r="Q57" s="425"/>
      <c r="R57" s="426"/>
      <c r="S57" s="422"/>
      <c r="T57" s="352" t="s">
        <v>739</v>
      </c>
      <c r="U57" s="422"/>
      <c r="V57" s="336">
        <v>11821.36</v>
      </c>
      <c r="W57" s="352" t="s">
        <v>738</v>
      </c>
      <c r="X57" s="338"/>
      <c r="Y57" s="336"/>
      <c r="Z57" s="336"/>
      <c r="AA57" s="422"/>
      <c r="AB57" s="425"/>
      <c r="AC57" s="428"/>
      <c r="AD57" s="2">
        <v>4</v>
      </c>
    </row>
    <row r="58" spans="1:30" x14ac:dyDescent="0.25">
      <c r="A58" s="429"/>
      <c r="B58" s="422"/>
      <c r="C58" s="422"/>
      <c r="D58" s="422"/>
      <c r="E58" s="422"/>
      <c r="F58" s="422"/>
      <c r="G58" s="425"/>
      <c r="H58" s="426"/>
      <c r="I58" s="425"/>
      <c r="J58" s="425"/>
      <c r="K58" s="422"/>
      <c r="L58" s="422"/>
      <c r="M58" s="422"/>
      <c r="N58" s="424"/>
      <c r="O58" s="711"/>
      <c r="P58" s="422"/>
      <c r="Q58" s="425"/>
      <c r="R58" s="426"/>
      <c r="S58" s="422"/>
      <c r="T58" s="352" t="s">
        <v>739</v>
      </c>
      <c r="U58" s="422"/>
      <c r="V58" s="336">
        <v>2783.07</v>
      </c>
      <c r="W58" s="352" t="s">
        <v>738</v>
      </c>
      <c r="X58" s="338"/>
      <c r="Y58" s="336"/>
      <c r="Z58" s="336"/>
      <c r="AA58" s="422"/>
      <c r="AB58" s="425"/>
      <c r="AC58" s="428"/>
      <c r="AD58" s="2">
        <v>4</v>
      </c>
    </row>
    <row r="59" spans="1:30" x14ac:dyDescent="0.25">
      <c r="A59" s="429"/>
      <c r="B59" s="422"/>
      <c r="C59" s="422"/>
      <c r="D59" s="422"/>
      <c r="E59" s="422"/>
      <c r="F59" s="422"/>
      <c r="G59" s="425"/>
      <c r="H59" s="426"/>
      <c r="I59" s="425"/>
      <c r="J59" s="425"/>
      <c r="K59" s="422"/>
      <c r="L59" s="422"/>
      <c r="M59" s="422"/>
      <c r="N59" s="424"/>
      <c r="O59" s="711"/>
      <c r="P59" s="422"/>
      <c r="Q59" s="425"/>
      <c r="R59" s="426"/>
      <c r="S59" s="422"/>
      <c r="T59" s="352" t="s">
        <v>739</v>
      </c>
      <c r="U59" s="422"/>
      <c r="V59" s="336">
        <v>728.28</v>
      </c>
      <c r="W59" s="352" t="s">
        <v>738</v>
      </c>
      <c r="X59" s="338"/>
      <c r="Y59" s="336"/>
      <c r="Z59" s="336"/>
      <c r="AA59" s="422"/>
      <c r="AB59" s="425"/>
      <c r="AC59" s="428"/>
      <c r="AD59" s="2">
        <v>4</v>
      </c>
    </row>
    <row r="60" spans="1:30" x14ac:dyDescent="0.25">
      <c r="A60" s="429"/>
      <c r="B60" s="422"/>
      <c r="C60" s="422"/>
      <c r="D60" s="422"/>
      <c r="E60" s="422"/>
      <c r="F60" s="422"/>
      <c r="G60" s="425"/>
      <c r="H60" s="426"/>
      <c r="I60" s="425"/>
      <c r="J60" s="425"/>
      <c r="K60" s="422"/>
      <c r="L60" s="422"/>
      <c r="M60" s="422"/>
      <c r="N60" s="424"/>
      <c r="O60" s="711"/>
      <c r="P60" s="422"/>
      <c r="Q60" s="425"/>
      <c r="R60" s="426"/>
      <c r="S60" s="422"/>
      <c r="T60" s="352" t="s">
        <v>747</v>
      </c>
      <c r="U60" s="422"/>
      <c r="V60" s="336">
        <v>25541.82</v>
      </c>
      <c r="W60" s="352" t="s">
        <v>834</v>
      </c>
      <c r="X60" s="338"/>
      <c r="Y60" s="336"/>
      <c r="Z60" s="336"/>
      <c r="AA60" s="422"/>
      <c r="AB60" s="425"/>
      <c r="AC60" s="428"/>
      <c r="AD60" s="2">
        <v>4</v>
      </c>
    </row>
    <row r="61" spans="1:30" x14ac:dyDescent="0.25">
      <c r="A61" s="429"/>
      <c r="B61" s="422"/>
      <c r="C61" s="422"/>
      <c r="D61" s="422"/>
      <c r="E61" s="422"/>
      <c r="F61" s="422"/>
      <c r="G61" s="425"/>
      <c r="H61" s="426"/>
      <c r="I61" s="425"/>
      <c r="J61" s="425"/>
      <c r="K61" s="422"/>
      <c r="L61" s="422"/>
      <c r="M61" s="422"/>
      <c r="N61" s="424"/>
      <c r="O61" s="711"/>
      <c r="P61" s="422"/>
      <c r="Q61" s="425"/>
      <c r="R61" s="426"/>
      <c r="S61" s="422"/>
      <c r="T61" s="352" t="s">
        <v>747</v>
      </c>
      <c r="U61" s="422"/>
      <c r="V61" s="336">
        <v>4654.83</v>
      </c>
      <c r="W61" s="352" t="s">
        <v>832</v>
      </c>
      <c r="X61" s="338"/>
      <c r="Y61" s="336"/>
      <c r="Z61" s="336"/>
      <c r="AA61" s="422"/>
      <c r="AB61" s="425"/>
      <c r="AC61" s="428"/>
      <c r="AD61" s="2">
        <v>4</v>
      </c>
    </row>
    <row r="62" spans="1:30" x14ac:dyDescent="0.25">
      <c r="A62" s="429"/>
      <c r="B62" s="422"/>
      <c r="C62" s="422"/>
      <c r="D62" s="422"/>
      <c r="E62" s="422"/>
      <c r="F62" s="422"/>
      <c r="G62" s="425"/>
      <c r="H62" s="426"/>
      <c r="I62" s="425"/>
      <c r="J62" s="425"/>
      <c r="K62" s="422"/>
      <c r="L62" s="422"/>
      <c r="M62" s="422"/>
      <c r="N62" s="424"/>
      <c r="O62" s="711"/>
      <c r="P62" s="422"/>
      <c r="Q62" s="425"/>
      <c r="R62" s="426"/>
      <c r="S62" s="422"/>
      <c r="T62" s="352" t="s">
        <v>747</v>
      </c>
      <c r="U62" s="422"/>
      <c r="V62" s="336">
        <v>72923.17</v>
      </c>
      <c r="W62" s="352" t="s">
        <v>832</v>
      </c>
      <c r="X62" s="338"/>
      <c r="Y62" s="336"/>
      <c r="Z62" s="336"/>
      <c r="AA62" s="422"/>
      <c r="AB62" s="425"/>
      <c r="AC62" s="428"/>
      <c r="AD62" s="2">
        <v>4</v>
      </c>
    </row>
    <row r="63" spans="1:30" x14ac:dyDescent="0.25">
      <c r="A63" s="429"/>
      <c r="B63" s="422"/>
      <c r="C63" s="422"/>
      <c r="D63" s="422"/>
      <c r="E63" s="422"/>
      <c r="F63" s="422"/>
      <c r="G63" s="425"/>
      <c r="H63" s="426"/>
      <c r="I63" s="425"/>
      <c r="J63" s="425"/>
      <c r="K63" s="422"/>
      <c r="L63" s="422"/>
      <c r="M63" s="422"/>
      <c r="N63" s="424"/>
      <c r="O63" s="711"/>
      <c r="P63" s="422"/>
      <c r="Q63" s="425"/>
      <c r="R63" s="426"/>
      <c r="S63" s="422"/>
      <c r="T63" s="352" t="s">
        <v>839</v>
      </c>
      <c r="U63" s="422"/>
      <c r="V63" s="336">
        <v>72477.61</v>
      </c>
      <c r="W63" s="352" t="s">
        <v>842</v>
      </c>
      <c r="X63" s="338"/>
      <c r="Y63" s="336"/>
      <c r="Z63" s="336"/>
      <c r="AA63" s="422"/>
      <c r="AB63" s="425"/>
      <c r="AC63" s="428"/>
      <c r="AD63" s="2">
        <v>4</v>
      </c>
    </row>
    <row r="64" spans="1:30" x14ac:dyDescent="0.25">
      <c r="A64" s="429"/>
      <c r="B64" s="422"/>
      <c r="C64" s="422"/>
      <c r="D64" s="422"/>
      <c r="E64" s="422"/>
      <c r="F64" s="422"/>
      <c r="G64" s="425"/>
      <c r="H64" s="426"/>
      <c r="I64" s="425"/>
      <c r="J64" s="425"/>
      <c r="K64" s="422"/>
      <c r="L64" s="422"/>
      <c r="M64" s="422"/>
      <c r="N64" s="424"/>
      <c r="O64" s="711"/>
      <c r="P64" s="422"/>
      <c r="Q64" s="425"/>
      <c r="R64" s="426"/>
      <c r="S64" s="422"/>
      <c r="T64" s="352" t="s">
        <v>839</v>
      </c>
      <c r="U64" s="422"/>
      <c r="V64" s="336">
        <v>4626.3900000000003</v>
      </c>
      <c r="W64" s="352" t="s">
        <v>842</v>
      </c>
      <c r="X64" s="338"/>
      <c r="Y64" s="336"/>
      <c r="Z64" s="336"/>
      <c r="AA64" s="422"/>
      <c r="AB64" s="425"/>
      <c r="AC64" s="428"/>
      <c r="AD64" s="2">
        <v>4</v>
      </c>
    </row>
    <row r="65" spans="1:30" x14ac:dyDescent="0.25">
      <c r="A65" s="429"/>
      <c r="B65" s="422"/>
      <c r="C65" s="422"/>
      <c r="D65" s="422"/>
      <c r="E65" s="422"/>
      <c r="F65" s="422"/>
      <c r="G65" s="425"/>
      <c r="H65" s="426"/>
      <c r="I65" s="425"/>
      <c r="J65" s="425"/>
      <c r="K65" s="422"/>
      <c r="L65" s="422"/>
      <c r="M65" s="422"/>
      <c r="N65" s="424"/>
      <c r="O65" s="711"/>
      <c r="P65" s="422"/>
      <c r="Q65" s="425"/>
      <c r="R65" s="426"/>
      <c r="S65" s="422"/>
      <c r="T65" s="352" t="s">
        <v>839</v>
      </c>
      <c r="U65" s="422"/>
      <c r="V65" s="336">
        <v>25385.759999999998</v>
      </c>
      <c r="W65" s="352" t="s">
        <v>850</v>
      </c>
      <c r="X65" s="338"/>
      <c r="Y65" s="336"/>
      <c r="Z65" s="336"/>
      <c r="AA65" s="422"/>
      <c r="AB65" s="425"/>
      <c r="AC65" s="428"/>
      <c r="AD65" s="2">
        <v>4</v>
      </c>
    </row>
    <row r="66" spans="1:30" x14ac:dyDescent="0.25">
      <c r="A66" s="429"/>
      <c r="B66" s="422"/>
      <c r="C66" s="422"/>
      <c r="D66" s="422"/>
      <c r="E66" s="422"/>
      <c r="F66" s="422"/>
      <c r="G66" s="425"/>
      <c r="H66" s="426"/>
      <c r="I66" s="425"/>
      <c r="J66" s="425"/>
      <c r="K66" s="422"/>
      <c r="L66" s="422"/>
      <c r="M66" s="422"/>
      <c r="N66" s="424"/>
      <c r="O66" s="711"/>
      <c r="P66" s="422"/>
      <c r="Q66" s="425"/>
      <c r="R66" s="426"/>
      <c r="S66" s="422"/>
      <c r="T66" s="352" t="s">
        <v>841</v>
      </c>
      <c r="U66" s="422"/>
      <c r="V66" s="336">
        <v>7464.77</v>
      </c>
      <c r="W66" s="352" t="s">
        <v>845</v>
      </c>
      <c r="X66" s="338"/>
      <c r="Y66" s="336"/>
      <c r="Z66" s="336"/>
      <c r="AA66" s="422"/>
      <c r="AB66" s="425"/>
      <c r="AC66" s="428"/>
      <c r="AD66" s="2">
        <v>4</v>
      </c>
    </row>
    <row r="67" spans="1:30" x14ac:dyDescent="0.25">
      <c r="A67" s="429"/>
      <c r="B67" s="422"/>
      <c r="C67" s="422"/>
      <c r="D67" s="422"/>
      <c r="E67" s="422"/>
      <c r="F67" s="422"/>
      <c r="G67" s="425"/>
      <c r="H67" s="426"/>
      <c r="I67" s="425"/>
      <c r="J67" s="425"/>
      <c r="K67" s="422"/>
      <c r="L67" s="422"/>
      <c r="M67" s="422"/>
      <c r="N67" s="424"/>
      <c r="O67" s="711"/>
      <c r="P67" s="422"/>
      <c r="Q67" s="425"/>
      <c r="R67" s="426"/>
      <c r="S67" s="422"/>
      <c r="T67" s="352" t="s">
        <v>841</v>
      </c>
      <c r="U67" s="422"/>
      <c r="V67" s="336">
        <v>6107.53</v>
      </c>
      <c r="W67" s="352" t="s">
        <v>845</v>
      </c>
      <c r="X67" s="338"/>
      <c r="Y67" s="336"/>
      <c r="Z67" s="336"/>
      <c r="AA67" s="422"/>
      <c r="AB67" s="425"/>
      <c r="AC67" s="428"/>
      <c r="AD67" s="2">
        <v>4</v>
      </c>
    </row>
    <row r="68" spans="1:30" x14ac:dyDescent="0.25">
      <c r="A68" s="429"/>
      <c r="B68" s="422"/>
      <c r="C68" s="422"/>
      <c r="D68" s="422"/>
      <c r="E68" s="422"/>
      <c r="F68" s="422"/>
      <c r="G68" s="425"/>
      <c r="H68" s="426"/>
      <c r="I68" s="425"/>
      <c r="J68" s="425"/>
      <c r="K68" s="422"/>
      <c r="L68" s="422"/>
      <c r="M68" s="422"/>
      <c r="N68" s="424"/>
      <c r="O68" s="711"/>
      <c r="P68" s="422"/>
      <c r="Q68" s="425"/>
      <c r="R68" s="426"/>
      <c r="S68" s="422"/>
      <c r="T68" s="352" t="s">
        <v>841</v>
      </c>
      <c r="U68" s="422"/>
      <c r="V68" s="336">
        <v>3589.38</v>
      </c>
      <c r="W68" s="352" t="s">
        <v>845</v>
      </c>
      <c r="X68" s="338"/>
      <c r="Y68" s="336"/>
      <c r="Z68" s="336"/>
      <c r="AA68" s="422"/>
      <c r="AB68" s="425"/>
      <c r="AC68" s="428"/>
      <c r="AD68" s="2">
        <v>4</v>
      </c>
    </row>
    <row r="69" spans="1:30" x14ac:dyDescent="0.25">
      <c r="A69" s="429"/>
      <c r="B69" s="422"/>
      <c r="C69" s="422"/>
      <c r="D69" s="422"/>
      <c r="E69" s="422"/>
      <c r="F69" s="422"/>
      <c r="G69" s="425"/>
      <c r="H69" s="426"/>
      <c r="I69" s="425"/>
      <c r="J69" s="425"/>
      <c r="K69" s="422"/>
      <c r="L69" s="422"/>
      <c r="M69" s="422"/>
      <c r="N69" s="424"/>
      <c r="O69" s="711"/>
      <c r="P69" s="422"/>
      <c r="Q69" s="425"/>
      <c r="R69" s="426"/>
      <c r="S69" s="422"/>
      <c r="T69" s="352" t="s">
        <v>841</v>
      </c>
      <c r="U69" s="422"/>
      <c r="V69" s="336">
        <v>9480.9699999999993</v>
      </c>
      <c r="W69" s="352" t="s">
        <v>845</v>
      </c>
      <c r="X69" s="338"/>
      <c r="Y69" s="336"/>
      <c r="Z69" s="336"/>
      <c r="AA69" s="422"/>
      <c r="AB69" s="425"/>
      <c r="AC69" s="428"/>
      <c r="AD69" s="2">
        <v>4</v>
      </c>
    </row>
    <row r="70" spans="1:30" x14ac:dyDescent="0.25">
      <c r="A70" s="429"/>
      <c r="B70" s="422"/>
      <c r="C70" s="422"/>
      <c r="D70" s="422"/>
      <c r="E70" s="422"/>
      <c r="F70" s="422"/>
      <c r="G70" s="425"/>
      <c r="H70" s="426"/>
      <c r="I70" s="425"/>
      <c r="J70" s="425"/>
      <c r="K70" s="422"/>
      <c r="L70" s="422"/>
      <c r="M70" s="422"/>
      <c r="N70" s="424"/>
      <c r="O70" s="711"/>
      <c r="P70" s="422"/>
      <c r="Q70" s="425"/>
      <c r="R70" s="426"/>
      <c r="S70" s="422"/>
      <c r="T70" s="352" t="s">
        <v>841</v>
      </c>
      <c r="U70" s="422"/>
      <c r="V70" s="336">
        <v>605.19000000000005</v>
      </c>
      <c r="W70" s="352" t="s">
        <v>845</v>
      </c>
      <c r="X70" s="338"/>
      <c r="Y70" s="336"/>
      <c r="Z70" s="336"/>
      <c r="AA70" s="422"/>
      <c r="AB70" s="425"/>
      <c r="AC70" s="428"/>
      <c r="AD70" s="2">
        <v>4</v>
      </c>
    </row>
    <row r="71" spans="1:30" x14ac:dyDescent="0.25">
      <c r="A71" s="429"/>
      <c r="B71" s="422"/>
      <c r="C71" s="422"/>
      <c r="D71" s="422"/>
      <c r="E71" s="422"/>
      <c r="F71" s="422"/>
      <c r="G71" s="425"/>
      <c r="H71" s="426"/>
      <c r="I71" s="425"/>
      <c r="J71" s="425"/>
      <c r="K71" s="422"/>
      <c r="L71" s="422"/>
      <c r="M71" s="422"/>
      <c r="N71" s="424"/>
      <c r="O71" s="711"/>
      <c r="P71" s="422"/>
      <c r="Q71" s="425"/>
      <c r="R71" s="426"/>
      <c r="S71" s="422"/>
      <c r="T71" s="352" t="s">
        <v>841</v>
      </c>
      <c r="U71" s="422"/>
      <c r="V71" s="336">
        <v>2548.98</v>
      </c>
      <c r="W71" s="352" t="s">
        <v>845</v>
      </c>
      <c r="X71" s="338"/>
      <c r="Y71" s="336"/>
      <c r="Z71" s="336"/>
      <c r="AA71" s="422"/>
      <c r="AB71" s="425"/>
      <c r="AC71" s="428"/>
      <c r="AD71" s="2">
        <v>4</v>
      </c>
    </row>
    <row r="72" spans="1:30" x14ac:dyDescent="0.25">
      <c r="A72" s="429"/>
      <c r="B72" s="422"/>
      <c r="C72" s="422"/>
      <c r="D72" s="422"/>
      <c r="E72" s="422"/>
      <c r="F72" s="422"/>
      <c r="G72" s="425"/>
      <c r="H72" s="426"/>
      <c r="I72" s="425"/>
      <c r="J72" s="425"/>
      <c r="K72" s="422"/>
      <c r="L72" s="422"/>
      <c r="M72" s="422"/>
      <c r="N72" s="424"/>
      <c r="O72" s="711"/>
      <c r="P72" s="422"/>
      <c r="Q72" s="425"/>
      <c r="R72" s="426"/>
      <c r="S72" s="422"/>
      <c r="T72" s="352" t="s">
        <v>841</v>
      </c>
      <c r="U72" s="422"/>
      <c r="V72" s="336">
        <v>11710.88</v>
      </c>
      <c r="W72" s="352" t="s">
        <v>845</v>
      </c>
      <c r="X72" s="338"/>
      <c r="Y72" s="336"/>
      <c r="Z72" s="336"/>
      <c r="AA72" s="422"/>
      <c r="AB72" s="425"/>
      <c r="AC72" s="428"/>
      <c r="AD72" s="2">
        <v>4</v>
      </c>
    </row>
    <row r="73" spans="1:30" x14ac:dyDescent="0.25">
      <c r="A73" s="429"/>
      <c r="B73" s="422"/>
      <c r="C73" s="422"/>
      <c r="D73" s="422"/>
      <c r="E73" s="422"/>
      <c r="F73" s="422"/>
      <c r="G73" s="425"/>
      <c r="H73" s="426"/>
      <c r="I73" s="425"/>
      <c r="J73" s="425"/>
      <c r="K73" s="422"/>
      <c r="L73" s="422"/>
      <c r="M73" s="422"/>
      <c r="N73" s="424"/>
      <c r="O73" s="711"/>
      <c r="P73" s="422"/>
      <c r="Q73" s="425"/>
      <c r="R73" s="426"/>
      <c r="S73" s="422"/>
      <c r="T73" s="352" t="s">
        <v>841</v>
      </c>
      <c r="U73" s="422"/>
      <c r="V73" s="336">
        <v>2757.06</v>
      </c>
      <c r="W73" s="352" t="s">
        <v>845</v>
      </c>
      <c r="X73" s="338"/>
      <c r="Y73" s="336"/>
      <c r="Z73" s="336"/>
      <c r="AA73" s="422"/>
      <c r="AB73" s="425"/>
      <c r="AC73" s="428"/>
      <c r="AD73" s="2">
        <v>4</v>
      </c>
    </row>
    <row r="74" spans="1:30" x14ac:dyDescent="0.25">
      <c r="A74" s="429"/>
      <c r="B74" s="422"/>
      <c r="C74" s="422"/>
      <c r="D74" s="422"/>
      <c r="E74" s="422"/>
      <c r="F74" s="422"/>
      <c r="G74" s="425"/>
      <c r="H74" s="426"/>
      <c r="I74" s="425"/>
      <c r="J74" s="425"/>
      <c r="K74" s="422"/>
      <c r="L74" s="422"/>
      <c r="M74" s="422"/>
      <c r="N74" s="424"/>
      <c r="O74" s="711"/>
      <c r="P74" s="422"/>
      <c r="Q74" s="425"/>
      <c r="R74" s="426"/>
      <c r="S74" s="422"/>
      <c r="T74" s="352" t="s">
        <v>841</v>
      </c>
      <c r="U74" s="422"/>
      <c r="V74" s="336">
        <v>4327.3999999999996</v>
      </c>
      <c r="W74" s="352" t="s">
        <v>845</v>
      </c>
      <c r="X74" s="338"/>
      <c r="Y74" s="336"/>
      <c r="Z74" s="336"/>
      <c r="AA74" s="422"/>
      <c r="AB74" s="425"/>
      <c r="AC74" s="428"/>
      <c r="AD74" s="2">
        <v>4</v>
      </c>
    </row>
    <row r="75" spans="1:30" x14ac:dyDescent="0.25">
      <c r="A75" s="407"/>
      <c r="B75" s="413"/>
      <c r="C75" s="413"/>
      <c r="D75" s="413"/>
      <c r="E75" s="413"/>
      <c r="F75" s="413"/>
      <c r="G75" s="411"/>
      <c r="H75" s="421"/>
      <c r="I75" s="411"/>
      <c r="J75" s="411"/>
      <c r="K75" s="413"/>
      <c r="L75" s="413"/>
      <c r="M75" s="413"/>
      <c r="N75" s="409"/>
      <c r="O75" s="712"/>
      <c r="P75" s="413"/>
      <c r="Q75" s="411"/>
      <c r="R75" s="421"/>
      <c r="S75" s="413"/>
      <c r="T75" s="353" t="s">
        <v>841</v>
      </c>
      <c r="U75" s="413"/>
      <c r="V75" s="346">
        <v>1144.44</v>
      </c>
      <c r="W75" s="353" t="s">
        <v>845</v>
      </c>
      <c r="X75" s="348"/>
      <c r="Y75" s="346"/>
      <c r="Z75" s="346"/>
      <c r="AA75" s="413"/>
      <c r="AB75" s="411"/>
      <c r="AC75" s="417"/>
      <c r="AD75" s="2">
        <v>4</v>
      </c>
    </row>
    <row r="76" spans="1:30" s="85" customFormat="1" ht="88.9" customHeight="1" x14ac:dyDescent="0.25">
      <c r="A76" s="322">
        <v>4</v>
      </c>
      <c r="B76" s="323" t="s">
        <v>56</v>
      </c>
      <c r="C76" s="323" t="s">
        <v>805</v>
      </c>
      <c r="D76" s="323"/>
      <c r="E76" s="323" t="s">
        <v>806</v>
      </c>
      <c r="F76" s="323" t="s">
        <v>618</v>
      </c>
      <c r="G76" s="325">
        <v>700940.87</v>
      </c>
      <c r="H76" s="326">
        <f>IF(AD76 = 5, G76 - Q76,0)</f>
        <v>0</v>
      </c>
      <c r="I76" s="325"/>
      <c r="J76" s="325"/>
      <c r="K76" s="323"/>
      <c r="L76" s="323"/>
      <c r="M76" s="323" t="s">
        <v>804</v>
      </c>
      <c r="N76" s="330" t="s">
        <v>807</v>
      </c>
      <c r="O76" s="332">
        <v>2353020735</v>
      </c>
      <c r="P76" s="323" t="s">
        <v>286</v>
      </c>
      <c r="Q76" s="325">
        <v>700940.87</v>
      </c>
      <c r="R76" s="326">
        <f>IF(AD76 = 5, Q76 + SUM(Y76:Y76) - SUM(Z76:Z76) - SUM(V76:V76) - AB76,0)</f>
        <v>700940.87</v>
      </c>
      <c r="S76" s="323" t="s">
        <v>808</v>
      </c>
      <c r="T76" s="330"/>
      <c r="U76" s="323" t="s">
        <v>209</v>
      </c>
      <c r="V76" s="325"/>
      <c r="W76" s="330"/>
      <c r="X76" s="323"/>
      <c r="Y76" s="325"/>
      <c r="Z76" s="325"/>
      <c r="AA76" s="323"/>
      <c r="AB76" s="325"/>
      <c r="AC76" s="321"/>
      <c r="AD76" s="85">
        <v>5</v>
      </c>
    </row>
    <row r="77" spans="1:30" s="85" customFormat="1" ht="100.9" customHeight="1" x14ac:dyDescent="0.25">
      <c r="A77" s="322">
        <v>5</v>
      </c>
      <c r="B77" s="323" t="s">
        <v>56</v>
      </c>
      <c r="C77" s="323" t="s">
        <v>809</v>
      </c>
      <c r="D77" s="323"/>
      <c r="E77" s="323" t="s">
        <v>811</v>
      </c>
      <c r="F77" s="323" t="s">
        <v>812</v>
      </c>
      <c r="G77" s="325">
        <v>1210368.93</v>
      </c>
      <c r="H77" s="326">
        <f>IF(AD77 = 6, G77 - Q77,0)</f>
        <v>817922.08999999985</v>
      </c>
      <c r="I77" s="325"/>
      <c r="J77" s="325"/>
      <c r="K77" s="323"/>
      <c r="L77" s="323"/>
      <c r="M77" s="323" t="s">
        <v>810</v>
      </c>
      <c r="N77" s="330" t="s">
        <v>807</v>
      </c>
      <c r="O77" s="332">
        <v>2304067057</v>
      </c>
      <c r="P77" s="323" t="s">
        <v>207</v>
      </c>
      <c r="Q77" s="325">
        <v>392446.84</v>
      </c>
      <c r="R77" s="326">
        <f>IF(AD77 = 6, Q77 + SUM(Y77:Y77) - SUM(Z77:Z77) - SUM(V77:V77) - AB77,0)</f>
        <v>392446.84</v>
      </c>
      <c r="S77" s="323" t="s">
        <v>813</v>
      </c>
      <c r="T77" s="330"/>
      <c r="U77" s="323" t="s">
        <v>814</v>
      </c>
      <c r="V77" s="325"/>
      <c r="W77" s="330"/>
      <c r="X77" s="323"/>
      <c r="Y77" s="325"/>
      <c r="Z77" s="325"/>
      <c r="AA77" s="323"/>
      <c r="AB77" s="325"/>
      <c r="AC77" s="321"/>
      <c r="AD77" s="85">
        <v>6</v>
      </c>
    </row>
    <row r="78" spans="1:30" ht="18" x14ac:dyDescent="0.3">
      <c r="M78" s="3"/>
      <c r="AD78" s="2">
        <v>7</v>
      </c>
    </row>
    <row r="79" spans="1:30" ht="18" x14ac:dyDescent="0.3">
      <c r="M79" s="3"/>
    </row>
    <row r="80" spans="1:30" ht="18" x14ac:dyDescent="0.3">
      <c r="M80" s="3"/>
    </row>
    <row r="81" spans="13:13" ht="18" x14ac:dyDescent="0.3">
      <c r="M81" s="3"/>
    </row>
    <row r="82" spans="13:13" ht="18" x14ac:dyDescent="0.3">
      <c r="M82" s="3"/>
    </row>
    <row r="83" spans="13:13" ht="18" x14ac:dyDescent="0.3">
      <c r="M83" s="3"/>
    </row>
    <row r="84" spans="13:13" ht="18" x14ac:dyDescent="0.3">
      <c r="M84" s="3"/>
    </row>
    <row r="85" spans="13:13" ht="18" x14ac:dyDescent="0.3">
      <c r="M85" s="3"/>
    </row>
    <row r="86" spans="13:13" ht="18" x14ac:dyDescent="0.3">
      <c r="M86" s="3"/>
    </row>
  </sheetData>
  <sheetProtection algorithmName="SHA-512" hashValue="cc6ODJlEfqebuRj7gUY+yh7wVMuX0Hdvr2/vcboObjv4wFDRf/tle0Xb8cj7Qf87FqWpeTfm843RB4Y/6gCLGQ==" saltValue="165R/mYny7CyleeH5zRu3Q==" spinCount="100000" sheet="1" objects="1" scenarios="1" formatCells="0" formatColumns="0" formatRows="0"/>
  <mergeCells count="74">
    <mergeCell ref="A9:A17"/>
    <mergeCell ref="U9:U17"/>
    <mergeCell ref="AA9:AA17"/>
    <mergeCell ref="B9:B17"/>
    <mergeCell ref="AB9:AB17"/>
    <mergeCell ref="C9:C17"/>
    <mergeCell ref="S9:S17"/>
    <mergeCell ref="P4:R4"/>
    <mergeCell ref="E2:F2"/>
    <mergeCell ref="O2:P2"/>
    <mergeCell ref="Y2:AA2"/>
    <mergeCell ref="T2:U2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AC18:AC27"/>
    <mergeCell ref="D18:D27"/>
    <mergeCell ref="E18:E27"/>
    <mergeCell ref="F18:F27"/>
    <mergeCell ref="G18:G27"/>
    <mergeCell ref="H18:H27"/>
    <mergeCell ref="I18:I27"/>
    <mergeCell ref="J18:J27"/>
    <mergeCell ref="K18:K27"/>
    <mergeCell ref="L18:L27"/>
    <mergeCell ref="M18:M27"/>
    <mergeCell ref="N18:N27"/>
    <mergeCell ref="U18:U27"/>
    <mergeCell ref="S18:S27"/>
    <mergeCell ref="AA18:AA27"/>
    <mergeCell ref="A28:A75"/>
    <mergeCell ref="A18:A27"/>
    <mergeCell ref="B18:B27"/>
    <mergeCell ref="AB18:AB27"/>
    <mergeCell ref="C18:C27"/>
    <mergeCell ref="O18:O27"/>
    <mergeCell ref="P18:P27"/>
    <mergeCell ref="Q18:Q27"/>
    <mergeCell ref="R18:R27"/>
    <mergeCell ref="U28:U75"/>
    <mergeCell ref="AA28:AA75"/>
    <mergeCell ref="B28:B75"/>
    <mergeCell ref="AB28:AB75"/>
    <mergeCell ref="C28:C75"/>
    <mergeCell ref="S28:S75"/>
    <mergeCell ref="AC28:AC75"/>
    <mergeCell ref="D28:D75"/>
    <mergeCell ref="E28:E75"/>
    <mergeCell ref="F28:F75"/>
    <mergeCell ref="G28:G75"/>
    <mergeCell ref="H28:H75"/>
    <mergeCell ref="I28:I75"/>
    <mergeCell ref="J28:J75"/>
    <mergeCell ref="K28:K75"/>
    <mergeCell ref="L28:L75"/>
    <mergeCell ref="M28:M75"/>
    <mergeCell ref="N28:N75"/>
    <mergeCell ref="O28:O75"/>
    <mergeCell ref="P28:P75"/>
    <mergeCell ref="Q28:Q75"/>
    <mergeCell ref="R28:R7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161</v>
      </c>
      <c r="B1" s="47">
        <v>58</v>
      </c>
      <c r="C1" s="47">
        <v>9</v>
      </c>
      <c r="D1" s="739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740"/>
      <c r="E2" s="32"/>
      <c r="F2" s="62">
        <v>107</v>
      </c>
      <c r="G2" s="66">
        <v>111</v>
      </c>
      <c r="H2" s="65">
        <v>5</v>
      </c>
      <c r="I2" s="64">
        <v>0</v>
      </c>
      <c r="J2" s="63">
        <v>0</v>
      </c>
      <c r="K2" s="67">
        <v>6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275</v>
      </c>
      <c r="B4" s="44">
        <v>58</v>
      </c>
      <c r="C4" s="44">
        <v>9</v>
      </c>
      <c r="D4" s="741" t="s">
        <v>102</v>
      </c>
      <c r="E4" s="32"/>
      <c r="F4" s="62">
        <v>108</v>
      </c>
      <c r="G4" s="66">
        <v>112</v>
      </c>
      <c r="H4" s="65">
        <v>6</v>
      </c>
      <c r="I4" s="64">
        <v>0</v>
      </c>
      <c r="J4" s="63">
        <v>0</v>
      </c>
      <c r="K4" s="67">
        <v>7</v>
      </c>
    </row>
    <row r="5" spans="1:11" x14ac:dyDescent="0.25">
      <c r="A5" s="43" t="s">
        <v>89</v>
      </c>
      <c r="B5" s="44" t="s">
        <v>88</v>
      </c>
      <c r="C5" s="44" t="s">
        <v>87</v>
      </c>
      <c r="D5" s="742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19</v>
      </c>
      <c r="B7" s="46">
        <v>2</v>
      </c>
      <c r="C7" s="46">
        <v>9</v>
      </c>
      <c r="D7" s="743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744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745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746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747" t="s">
        <v>49</v>
      </c>
      <c r="E13" s="32"/>
      <c r="F13" s="32"/>
      <c r="G13" s="32"/>
    </row>
    <row r="14" spans="1:11" ht="31.5" x14ac:dyDescent="0.25">
      <c r="A14" s="39" t="s">
        <v>96</v>
      </c>
      <c r="B14" s="40" t="s">
        <v>97</v>
      </c>
      <c r="C14" s="40" t="s">
        <v>98</v>
      </c>
      <c r="D14" s="748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77</v>
      </c>
      <c r="B16" s="38">
        <v>5</v>
      </c>
      <c r="C16" s="38">
        <v>9</v>
      </c>
      <c r="D16" s="737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738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2024-01-15T04:05:51Z</dcterms:modified>
</cp:coreProperties>
</file>