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10" windowHeight="12960" firstSheet="3" activeTab="4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9" i="17" l="1"/>
  <c r="R9" i="17"/>
  <c r="G2" i="17"/>
  <c r="Q2" i="17"/>
  <c r="V2" i="17"/>
  <c r="AB2" i="17"/>
  <c r="H9" i="22"/>
  <c r="R9" i="22"/>
  <c r="G2" i="22"/>
  <c r="Q2" i="22"/>
  <c r="V2" i="22"/>
  <c r="AB2" i="22"/>
  <c r="G2" i="19"/>
  <c r="N2" i="19"/>
  <c r="T2" i="19"/>
  <c r="I52" i="31"/>
  <c r="I51" i="31"/>
  <c r="I50" i="31"/>
  <c r="I49" i="31"/>
  <c r="I48" i="31"/>
  <c r="I46" i="31"/>
  <c r="I33" i="31"/>
  <c r="I9" i="31"/>
  <c r="I17" i="31"/>
  <c r="I41" i="31"/>
  <c r="I28" i="31"/>
  <c r="I30" i="31"/>
  <c r="I26" i="31"/>
  <c r="H2" i="31"/>
  <c r="P2" i="31"/>
  <c r="V2" i="31"/>
  <c r="I11" i="27"/>
  <c r="H2" i="27"/>
  <c r="P2" i="27"/>
  <c r="V2" i="27"/>
  <c r="I19" i="31"/>
  <c r="I24" i="31"/>
  <c r="H9" i="19"/>
  <c r="I22" i="31"/>
  <c r="I17" i="27" l="1"/>
  <c r="I16" i="27"/>
  <c r="I15" i="27"/>
  <c r="I45" i="31"/>
  <c r="I43" i="31"/>
  <c r="I13" i="27"/>
  <c r="I9" i="27"/>
  <c r="G2" i="20" l="1"/>
  <c r="Q2" i="20"/>
  <c r="V2" i="20"/>
  <c r="AB2" i="20"/>
  <c r="H11" i="17" l="1"/>
  <c r="R11" i="17"/>
  <c r="I32" i="31" l="1"/>
  <c r="I21" i="31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<sst xmlns="http://schemas.openxmlformats.org/spreadsheetml/2006/main" count="768" uniqueCount="293">
  <si>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</si>
  <si>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</si>
  <si>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</si>
  <si>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</si>
  <si>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</si>
  <si>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</si>
  <si>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</si>
  <si>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</si>
  <si>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</si>
  <si>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</si>
  <si>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</si>
  <si>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</si>
  <si>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</si>
  <si>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</si>
  <si>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</si>
  <si>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</si>
  <si>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</si>
  <si>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</si>
  <si>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</si>
  <si>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</si>
  <si>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</si>
  <si>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</si>
  <si>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</si>
  <si>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</si>
  <si>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</si>
  <si>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</si>
  <si>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</si>
  <si>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</si>
  <si>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</si>
  <si>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</si>
  <si>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</si>
  <si>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</si>
  <si>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</si>
  <si>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</si>
  <si>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</si>
  <si>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</si>
  <si>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</si>
  <si>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</si>
  <si>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</si>
  <si>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</si>
  <si>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</si>
  <si>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</si>
  <si>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</si>
  <si>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</si>
  <si>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</si>
  <si>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</si>
  <si>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</si>
  <si>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</si>
  <si>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</si>
  <si>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</si>
  <si>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</si>
  <si>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</si>
  <si>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</si>
  <si>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</si>
  <si>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</si>
  <si>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</si>
  <si>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</si>
  <si>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</si>
  <si>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</si>
  <si>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</si>
  <si>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</si>
  <si>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</si>
  <si>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</si>
  <si>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</si>
  <si>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</si>
  <si>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</si>
  <si>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</si>
  <si>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</si>
  <si>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</si>
  <si>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</si>
  <si>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</si>
  <si>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</si>
  <si>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</si>
  <si>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</si>
  <si>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</si>
  <si>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</si>
  <si>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</si>
  <si>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</si>
  <si>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</si>
  <si>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</si>
  <si>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</si>
  <si>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</si>
  <si>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</si>
  <si>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</si>
  <si>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</si>
  <si>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</si>
  <si>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</si>
  <si>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</si>
  <si>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</si>
  <si>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</si>
  <si>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</si>
  <si>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</si>
  <si>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</si>
  <si>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</si>
  <si>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</si>
  <si>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</si>
  <si>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</si>
  <si>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</si>
  <si>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</si>
  <si>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</si>
  <si>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</si>
  <si>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</si>
  <si>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</si>
  <si>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</si>
  <si>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</si>
  <si>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</si>
  <si>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</si>
  <si>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</si>
  <si>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</si>
  <si>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</si>
  <si>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</si>
  <si>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</si>
  <si>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</si>
  <si>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</si>
  <si>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</si>
  <si>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</si>
  <si>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</si>
  <si>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</si>
  <si>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</si>
  <si>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</si>
  <si>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</si>
  <si>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</si>
  <si>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</si>
  <si>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</si>
  <si>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</si>
  <si>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</si>
  <si>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</si>
  <si>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</si>
  <si>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</si>
  <si>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</si>
  <si>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</si>
  <si>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</si>
  <si>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</si>
  <si>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</si>
  <si>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</si>
  <si>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</si>
  <si>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</si>
  <si>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</si>
  <si>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</si>
  <si>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</si>
  <si>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</si>
  <si>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</si>
  <si>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</si>
  <si>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</si>
  <si>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</si>
  <si>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</si>
  <si>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</si>
  <si>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</si>
  <si>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</si>
  <si>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</si>
  <si>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</si>
  <si>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</si>
  <si>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</si>
  <si>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</si>
  <si>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</si>
  <si>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</si>
  <si>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</si>
  <si>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</si>
  <si>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</si>
  <si>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</si>
  <si>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</si>
  <si>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</si>
  <si>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</si>
  <si>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</si>
  <si>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</si>
  <si>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</si>
  <si>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</si>
  <si>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</si>
  <si>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</si>
  <si>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</si>
  <si>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</si>
  <si>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</si>
  <si>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</si>
  <si>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</si>
  <si>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</si>
  <si>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</si>
  <si>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</si>
  <si>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</si>
  <si>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</si>
  <si>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</si>
  <si>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</si>
  <si>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</si>
  <si>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</si>
  <si>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</si>
  <si>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</si>
  <si>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</si>
  <si>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</si>
  <si>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</si>
  <si>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</si>
  <si>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</si>
  <si>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</si>
  <si>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</si>
  <si>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</si>
  <si>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</si>
  <si>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</si>
  <si>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</si>
  <si>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</si>
  <si>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</si>
  <si>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</si>
  <si>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</si>
  <si>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</si>
  <si>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</si>
  <si>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</si>
  <si>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</si>
  <si>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</si>
  <si>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</si>
  <si>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</si>
  <si>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</si>
  <si>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</si>
  <si>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</si>
  <si>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03.02.2025г.</t>
  </si>
  <si>
    <t>поставка товаров</t>
  </si>
  <si>
    <t>ООО "Компьютер бизнес сервис СИБИЭС"</t>
  </si>
  <si>
    <t>с 03.02.2025г. по 21.02.2025г.</t>
  </si>
  <si>
    <t>в течение 10 рабочих дней с даты подписания документов о приемке товара</t>
  </si>
  <si>
    <t>06.02.2025г.</t>
  </si>
  <si>
    <t>2353002623</t>
  </si>
  <si>
    <t>09.01.2025г.</t>
  </si>
  <si>
    <t>поставка нефтепродуктов</t>
  </si>
  <si>
    <t>235300578903</t>
  </si>
  <si>
    <t>ИП Калайчев Ш.С.</t>
  </si>
  <si>
    <t>с 09.01.2025г. по 28.02.2025г.</t>
  </si>
  <si>
    <t>31.01.2025г.</t>
  </si>
  <si>
    <t>в течение 10 рабочих дней с даты получения документов о поставке товаров</t>
  </si>
  <si>
    <t>11.02.2025г.</t>
  </si>
  <si>
    <t>235300203781</t>
  </si>
  <si>
    <t>ИП Ледовская С.В.</t>
  </si>
  <si>
    <t>12.02.2025г.</t>
  </si>
  <si>
    <t>услуги по выполнению предрейсового и послерейсового технического осмотра ТС</t>
  </si>
  <si>
    <t>Тимашевская РО КРО ОО "ВОА"</t>
  </si>
  <si>
    <t>с 27.01.2025г. по 31.12.2025г.</t>
  </si>
  <si>
    <t>в течение 10 рабочих дней с момента выставления счета</t>
  </si>
  <si>
    <t>13.02.2025г.</t>
  </si>
  <si>
    <t>№6</t>
  </si>
  <si>
    <t>поставка товара</t>
  </si>
  <si>
    <t>ИП Латышева Н.П.</t>
  </si>
  <si>
    <t>с 13.02.2025г.по 31.12.2025г.</t>
  </si>
  <si>
    <t>14.02.2025г.</t>
  </si>
  <si>
    <t>№3</t>
  </si>
  <si>
    <t>05.02.2025г.</t>
  </si>
  <si>
    <t>ремонт автомобиля</t>
  </si>
  <si>
    <t>ИП Аполонов А.А.</t>
  </si>
  <si>
    <t>17.02.2025г.</t>
  </si>
  <si>
    <t>25.02.2025г.</t>
  </si>
  <si>
    <t>неисключительное право использования программы для ЭВМ</t>
  </si>
  <si>
    <t>234602203000</t>
  </si>
  <si>
    <t>ИП Архангельский А.А.</t>
  </si>
  <si>
    <t>26.02.2025г.</t>
  </si>
  <si>
    <t>в течение 10 рабочих дней со дня подписания акта оказанных услуг</t>
  </si>
  <si>
    <t>№2</t>
  </si>
  <si>
    <t>24.02.2025г.</t>
  </si>
  <si>
    <t>с 24.02.2025г. по 17.03.2025г.</t>
  </si>
  <si>
    <t>ремонт принтера</t>
  </si>
  <si>
    <t xml:space="preserve">с 17.02.2025г. по 07.03.2025г. </t>
  </si>
  <si>
    <t>27.02.2025г.</t>
  </si>
  <si>
    <t>24.01.2025г.</t>
  </si>
  <si>
    <t>07.02.2025г.</t>
  </si>
  <si>
    <t>20.02.2025г.</t>
  </si>
  <si>
    <t>04.03.2025г.</t>
  </si>
  <si>
    <t>18.02.2025г.</t>
  </si>
  <si>
    <t>18.08.2025г.</t>
  </si>
  <si>
    <t>28.02.2025г.</t>
  </si>
  <si>
    <t>13.03.2025г.</t>
  </si>
  <si>
    <t>14.03.2025г.</t>
  </si>
  <si>
    <t>17.03.2025г.</t>
  </si>
  <si>
    <t>18.03.2025г.</t>
  </si>
  <si>
    <t>10.03.2025г.</t>
  </si>
  <si>
    <t>ИП Карлов И.В.</t>
  </si>
  <si>
    <t>05.02.2025г. по 25.02.2025г.</t>
  </si>
  <si>
    <t>с 10.03.2025г. по 30.04.2025г.</t>
  </si>
  <si>
    <t>ремонт транспортных средств</t>
  </si>
  <si>
    <t>с 28.02.2025г. по 31.03.2025г.</t>
  </si>
  <si>
    <t>11.03.2025г.</t>
  </si>
  <si>
    <t>№01-06/2025</t>
  </si>
  <si>
    <t>эеспертно-оценочные работы</t>
  </si>
  <si>
    <t>Тимашевская торгово-промышленная палата</t>
  </si>
  <si>
    <t>№4</t>
  </si>
  <si>
    <t>с 17.03.2025г. По 02.04.2025г.</t>
  </si>
  <si>
    <t>20.03.2025г.</t>
  </si>
  <si>
    <t>№23-12190</t>
  </si>
  <si>
    <t>полиграфическая продукция</t>
  </si>
  <si>
    <t>ООО "СБМ"</t>
  </si>
  <si>
    <t>с 26.02.2025г. по 31.12.2025г.</t>
  </si>
  <si>
    <t>в течение 10 рабочих дней с момента получения продукции</t>
  </si>
  <si>
    <t>25.03.2025г.</t>
  </si>
  <si>
    <t>№14/26.02</t>
  </si>
  <si>
    <t>учебники для библиотечного фонда</t>
  </si>
  <si>
    <t>ООО "Вольный странник"</t>
  </si>
  <si>
    <t>12.03.2025г.</t>
  </si>
  <si>
    <t>21.03.2025г.</t>
  </si>
  <si>
    <t>31.03.2025г.</t>
  </si>
  <si>
    <t>03.03.2025г.</t>
  </si>
  <si>
    <t>13.02.2024г.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</si>
</sst>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2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165" fontId="1" fillId="0" borderId="20" xfId="0" applyNumberFormat="1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G12" sqref="G12:I12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78" t="s">
        <v>141</v>
      </c>
      <c r="B1" s="179"/>
      <c r="C1" s="179"/>
      <c r="D1" s="179"/>
      <c r="E1" s="178" t="s">
        <v>154</v>
      </c>
      <c r="F1" s="179"/>
      <c r="G1" s="179"/>
      <c r="H1" s="179"/>
      <c r="I1" s="179"/>
      <c r="J1" s="179"/>
      <c r="K1" s="179"/>
      <c r="L1" s="179"/>
      <c r="M1" s="179"/>
      <c r="N1" s="180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154" t="s">
        <v>25</v>
      </c>
      <c r="B4" s="155"/>
      <c r="C4" s="4">
        <v>12296919.029999999</v>
      </c>
      <c r="D4" s="5"/>
      <c r="E4" s="156" t="s">
        <v>140</v>
      </c>
      <c r="F4" s="157"/>
      <c r="G4" s="158"/>
      <c r="H4" s="159">
        <v>2000000</v>
      </c>
      <c r="I4" s="160"/>
      <c r="J4" s="161"/>
      <c r="K4" s="17"/>
      <c r="L4" s="81" t="s">
        <v>55</v>
      </c>
      <c r="M4" s="156">
        <v>4962082.2699999996</v>
      </c>
      <c r="N4" s="158"/>
    </row>
    <row r="5" spans="1:14" ht="30.75" customHeight="1" thickBot="1" x14ac:dyDescent="0.3">
      <c r="A5" s="154" t="s">
        <v>26</v>
      </c>
      <c r="B5" s="155"/>
      <c r="C5" s="6">
        <f>C4-G15+J15</f>
        <v>6950732.8099999996</v>
      </c>
      <c r="D5" s="5"/>
      <c r="E5" s="156" t="s">
        <v>53</v>
      </c>
      <c r="F5" s="157"/>
      <c r="G5" s="158"/>
      <c r="H5" s="146">
        <f>H4-G12</f>
        <v>1729362.5</v>
      </c>
      <c r="I5" s="147"/>
      <c r="J5" s="148"/>
      <c r="K5" s="17"/>
      <c r="L5" s="81" t="s">
        <v>54</v>
      </c>
      <c r="M5" s="149">
        <f>M4-G13+J13</f>
        <v>3534660.7199999997</v>
      </c>
      <c r="N5" s="150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162" t="s">
        <v>27</v>
      </c>
      <c r="B8" s="163"/>
      <c r="C8" s="164"/>
      <c r="D8" s="162" t="s">
        <v>28</v>
      </c>
      <c r="E8" s="163"/>
      <c r="F8" s="164"/>
      <c r="G8" s="165" t="s">
        <v>29</v>
      </c>
      <c r="H8" s="166"/>
      <c r="I8" s="167"/>
      <c r="J8" s="165" t="s">
        <v>142</v>
      </c>
      <c r="K8" s="166"/>
      <c r="L8" s="167"/>
      <c r="M8" s="162" t="s">
        <v>30</v>
      </c>
      <c r="N8" s="164"/>
    </row>
    <row r="9" spans="1:14" ht="41.25" customHeight="1" thickBot="1" x14ac:dyDescent="0.3">
      <c r="A9" s="168" t="s">
        <v>31</v>
      </c>
      <c r="B9" s="169"/>
      <c r="C9" s="170"/>
      <c r="D9" s="171">
        <f>'Состоявшиеся аукционы'!G2</f>
        <v>740880</v>
      </c>
      <c r="E9" s="171"/>
      <c r="F9" s="171"/>
      <c r="G9" s="171">
        <f>'Состоявшиеся аукционы'!Q2</f>
        <v>674200.8</v>
      </c>
      <c r="H9" s="171"/>
      <c r="I9" s="171"/>
      <c r="J9" s="151">
        <f>'Состоявшиеся аукционы'!AB2</f>
        <v>0</v>
      </c>
      <c r="K9" s="153"/>
      <c r="L9" s="152"/>
      <c r="M9" s="171">
        <f t="shared" ref="M9:M15" si="0">D9-G9</f>
        <v>66679.199999999953</v>
      </c>
      <c r="N9" s="171"/>
    </row>
    <row r="10" spans="1:14" ht="78.75" customHeight="1" thickBot="1" x14ac:dyDescent="0.3">
      <c r="A10" s="168" t="s">
        <v>49</v>
      </c>
      <c r="B10" s="169"/>
      <c r="C10" s="170"/>
      <c r="D10" s="171">
        <f>'Несостоявшиеся аукционы'!G2</f>
        <v>1539365.26</v>
      </c>
      <c r="E10" s="171"/>
      <c r="F10" s="171"/>
      <c r="G10" s="171">
        <f>'Несостоявшиеся аукционы'!Q2</f>
        <v>1539365.26</v>
      </c>
      <c r="H10" s="171"/>
      <c r="I10" s="171"/>
      <c r="J10" s="151">
        <f>'Несостоявшиеся аукционы'!AB2</f>
        <v>0</v>
      </c>
      <c r="K10" s="153"/>
      <c r="L10" s="152"/>
      <c r="M10" s="171">
        <f t="shared" si="0"/>
        <v>0</v>
      </c>
      <c r="N10" s="171"/>
    </row>
    <row r="11" spans="1:14" ht="40.5" customHeight="1" thickBot="1" x14ac:dyDescent="0.3">
      <c r="A11" s="168" t="s">
        <v>83</v>
      </c>
      <c r="B11" s="169"/>
      <c r="C11" s="170"/>
      <c r="D11" s="151">
        <f>'Иные конкурентные закупки'!G2</f>
        <v>0</v>
      </c>
      <c r="E11" s="153"/>
      <c r="F11" s="152"/>
      <c r="G11" s="151">
        <f>'Иные конкурентные закупки'!Q2</f>
        <v>0</v>
      </c>
      <c r="H11" s="153"/>
      <c r="I11" s="152"/>
      <c r="J11" s="151">
        <f>'Иные конкурентные закупки'!AB2</f>
        <v>0</v>
      </c>
      <c r="K11" s="153"/>
      <c r="L11" s="152"/>
      <c r="M11" s="151">
        <f t="shared" si="0"/>
        <v>0</v>
      </c>
      <c r="N11" s="152"/>
    </row>
    <row r="12" spans="1:14" ht="54.75" customHeight="1" thickBot="1" x14ac:dyDescent="0.3">
      <c r="A12" s="175" t="s">
        <v>50</v>
      </c>
      <c r="B12" s="176"/>
      <c r="C12" s="177"/>
      <c r="D12" s="171">
        <f>'Ед. поставщик п.4 ч.1'!H2</f>
        <v>270637.5</v>
      </c>
      <c r="E12" s="171"/>
      <c r="F12" s="171"/>
      <c r="G12" s="171">
        <f>D12</f>
        <v>270637.5</v>
      </c>
      <c r="H12" s="171"/>
      <c r="I12" s="171"/>
      <c r="J12" s="151">
        <f>'Ед. поставщик п.4 ч.1'!V2</f>
        <v>0</v>
      </c>
      <c r="K12" s="153"/>
      <c r="L12" s="152"/>
      <c r="M12" s="171">
        <f t="shared" si="0"/>
        <v>0</v>
      </c>
      <c r="N12" s="171"/>
    </row>
    <row r="13" spans="1:14" ht="45.75" customHeight="1" thickBot="1" x14ac:dyDescent="0.3">
      <c r="A13" s="175" t="s">
        <v>51</v>
      </c>
      <c r="B13" s="176"/>
      <c r="C13" s="177"/>
      <c r="D13" s="171">
        <f>'Ед. поставщик п.5 ч.1'!H2</f>
        <v>1427421.5499999998</v>
      </c>
      <c r="E13" s="171"/>
      <c r="F13" s="171"/>
      <c r="G13" s="171">
        <f>D13</f>
        <v>1427421.5499999998</v>
      </c>
      <c r="H13" s="171"/>
      <c r="I13" s="171"/>
      <c r="J13" s="151">
        <f>'Ед. поставщик п.5 ч.1'!V2</f>
        <v>0</v>
      </c>
      <c r="K13" s="153"/>
      <c r="L13" s="152"/>
      <c r="M13" s="171">
        <f t="shared" si="0"/>
        <v>0</v>
      </c>
      <c r="N13" s="171"/>
    </row>
    <row r="14" spans="1:14" ht="45.75" customHeight="1" thickBot="1" x14ac:dyDescent="0.3">
      <c r="A14" s="193" t="s">
        <v>52</v>
      </c>
      <c r="B14" s="194"/>
      <c r="C14" s="195"/>
      <c r="D14" s="151">
        <f>'Ед.поставщик за искл. п.4,5 ч.1'!G2</f>
        <v>1434561.11</v>
      </c>
      <c r="E14" s="153"/>
      <c r="F14" s="152"/>
      <c r="G14" s="151">
        <f>D14</f>
        <v>1434561.11</v>
      </c>
      <c r="H14" s="153"/>
      <c r="I14" s="152"/>
      <c r="J14" s="151">
        <f>'Ед.поставщик за искл. п.4,5 ч.1'!T2</f>
        <v>0</v>
      </c>
      <c r="K14" s="153"/>
      <c r="L14" s="152"/>
      <c r="M14" s="171">
        <f t="shared" si="0"/>
        <v>0</v>
      </c>
      <c r="N14" s="171"/>
    </row>
    <row r="15" spans="1:14" ht="21" thickBot="1" x14ac:dyDescent="0.3">
      <c r="A15" s="172" t="s">
        <v>143</v>
      </c>
      <c r="B15" s="173"/>
      <c r="C15" s="174"/>
      <c r="D15" s="171">
        <f>SUM(D9:D14)</f>
        <v>5412865.4199999999</v>
      </c>
      <c r="E15" s="171"/>
      <c r="F15" s="171"/>
      <c r="G15" s="151">
        <f>SUM(G9:G14)</f>
        <v>5346186.22</v>
      </c>
      <c r="H15" s="153"/>
      <c r="I15" s="152"/>
      <c r="J15" s="151">
        <f>SUM(J9:J14)</f>
        <v>0</v>
      </c>
      <c r="K15" s="153"/>
      <c r="L15" s="152"/>
      <c r="M15" s="171">
        <f t="shared" si="0"/>
        <v>66679.200000000186</v>
      </c>
      <c r="N15" s="171"/>
    </row>
    <row r="18" spans="1:12" ht="15.75" thickBot="1" x14ac:dyDescent="0.3"/>
    <row r="19" spans="1:12" ht="23.25" customHeight="1" x14ac:dyDescent="0.25">
      <c r="A19" s="181" t="s">
        <v>35</v>
      </c>
      <c r="B19" s="182"/>
      <c r="C19" s="183"/>
      <c r="D19" s="18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2564465.64</v>
      </c>
      <c r="E19" s="188"/>
      <c r="F19" s="188"/>
      <c r="G19" s="189"/>
      <c r="I19" s="15"/>
      <c r="J19" s="15"/>
      <c r="K19" s="15"/>
      <c r="L19" s="15"/>
    </row>
    <row r="20" spans="1:12" ht="24" customHeight="1" thickBot="1" x14ac:dyDescent="0.3">
      <c r="A20" s="184"/>
      <c r="B20" s="185"/>
      <c r="C20" s="186"/>
      <c r="D20" s="190"/>
      <c r="E20" s="191"/>
      <c r="F20" s="191"/>
      <c r="G20" s="192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8"/>
  <sheetViews>
    <sheetView showGridLines="0" topLeftCell="G1" zoomScale="60" zoomScaleNormal="60" workbookViewId="0">
      <pane ySplit="8" topLeftCell="A15" activePane="bottomLeft" state="frozen"/>
      <selection activeCell="I1" sqref="I1"/>
      <selection pane="bottomLeft" activeCell="I11" sqref="I11:I12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SUM(H9:H10000)</f>
        <v>270637.5</v>
      </c>
      <c r="K2" s="212"/>
      <c r="L2" s="212"/>
      <c r="M2" s="212"/>
      <c r="N2" s="213" t="s">
        <v>137</v>
      </c>
      <c r="O2" s="215"/>
      <c r="P2" s="69">
        <f>SUM(P9:P10000)</f>
        <v>270637.5</v>
      </c>
      <c r="R2" s="68"/>
      <c r="S2" s="213" t="s">
        <v>45</v>
      </c>
      <c r="T2" s="214"/>
      <c r="U2" s="215"/>
      <c r="V2" s="70">
        <f>SUM(V9:V10000)</f>
        <v>0</v>
      </c>
    </row>
    <row r="3" spans="1:24" x14ac:dyDescent="0.25">
      <c r="A3" s="212"/>
      <c r="B3" s="212"/>
      <c r="C3" s="212"/>
      <c r="D3" s="212"/>
      <c r="E3" s="212"/>
      <c r="N3" s="68"/>
    </row>
    <row r="4" spans="1:24" ht="39.950000000000003" customHeight="1" x14ac:dyDescent="0.25">
      <c r="J4" s="216"/>
      <c r="K4" s="216"/>
      <c r="M4" s="216"/>
      <c r="N4" s="216"/>
      <c r="O4" s="216"/>
      <c r="P4" s="216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217">
        <v>1</v>
      </c>
      <c r="B9" s="223" t="s">
        <v>56</v>
      </c>
      <c r="C9" s="223"/>
      <c r="D9" s="223"/>
      <c r="E9" s="229" t="s">
        <v>161</v>
      </c>
      <c r="F9" s="219" t="s">
        <v>210</v>
      </c>
      <c r="G9" s="223" t="s">
        <v>211</v>
      </c>
      <c r="H9" s="221">
        <v>24800</v>
      </c>
      <c r="I9" s="231">
        <f>IF(X9 = 145, H9 + SUM(S9:S10) - SUM(T9:T10) - SUM(P9:P10) - V9,0)</f>
        <v>0</v>
      </c>
      <c r="J9" s="223" t="s">
        <v>216</v>
      </c>
      <c r="K9" s="223" t="s">
        <v>212</v>
      </c>
      <c r="L9" s="223"/>
      <c r="M9" s="223" t="s">
        <v>213</v>
      </c>
      <c r="N9" s="105" t="s">
        <v>210</v>
      </c>
      <c r="O9" s="219" t="s">
        <v>214</v>
      </c>
      <c r="P9" s="106">
        <v>8000</v>
      </c>
      <c r="Q9" s="107" t="s">
        <v>215</v>
      </c>
      <c r="R9" s="108"/>
      <c r="S9" s="106"/>
      <c r="T9" s="106"/>
      <c r="U9" s="221"/>
      <c r="V9" s="225"/>
      <c r="W9" s="227"/>
      <c r="X9" s="85">
        <v>145</v>
      </c>
    </row>
    <row r="10" spans="1:24" s="104" customFormat="1" x14ac:dyDescent="0.25">
      <c r="A10" s="218"/>
      <c r="B10" s="224"/>
      <c r="C10" s="224"/>
      <c r="D10" s="224"/>
      <c r="E10" s="230"/>
      <c r="F10" s="220"/>
      <c r="G10" s="224"/>
      <c r="H10" s="222"/>
      <c r="I10" s="232"/>
      <c r="J10" s="224"/>
      <c r="K10" s="224"/>
      <c r="L10" s="224"/>
      <c r="M10" s="224"/>
      <c r="N10" s="109" t="s">
        <v>210</v>
      </c>
      <c r="O10" s="220"/>
      <c r="P10" s="110">
        <v>16800</v>
      </c>
      <c r="Q10" s="111" t="s">
        <v>215</v>
      </c>
      <c r="R10" s="112"/>
      <c r="S10" s="110"/>
      <c r="T10" s="110"/>
      <c r="U10" s="222"/>
      <c r="V10" s="226"/>
      <c r="W10" s="228"/>
      <c r="X10" s="104">
        <v>145</v>
      </c>
    </row>
    <row r="11" spans="1:24" s="85" customFormat="1" ht="72" customHeight="1" x14ac:dyDescent="0.25">
      <c r="A11" s="208">
        <v>2</v>
      </c>
      <c r="B11" s="198" t="s">
        <v>56</v>
      </c>
      <c r="C11" s="198"/>
      <c r="D11" s="198"/>
      <c r="E11" s="200" t="s">
        <v>161</v>
      </c>
      <c r="F11" s="202" t="s">
        <v>217</v>
      </c>
      <c r="G11" s="198" t="s">
        <v>218</v>
      </c>
      <c r="H11" s="204">
        <v>156799.5</v>
      </c>
      <c r="I11" s="206">
        <f>IF(X11 = 146, H11 + SUM(S11:S12) - SUM(T11:T12) - SUM(P11:P12) - V11,0)</f>
        <v>0</v>
      </c>
      <c r="J11" s="198" t="s">
        <v>219</v>
      </c>
      <c r="K11" s="198" t="s">
        <v>220</v>
      </c>
      <c r="L11" s="198"/>
      <c r="M11" s="198" t="s">
        <v>221</v>
      </c>
      <c r="N11" s="131" t="s">
        <v>222</v>
      </c>
      <c r="O11" s="202" t="s">
        <v>223</v>
      </c>
      <c r="P11" s="122">
        <v>61490</v>
      </c>
      <c r="Q11" s="123" t="s">
        <v>224</v>
      </c>
      <c r="R11" s="124"/>
      <c r="S11" s="122"/>
      <c r="T11" s="122"/>
      <c r="U11" s="204"/>
      <c r="V11" s="210"/>
      <c r="W11" s="196"/>
      <c r="X11" s="85">
        <v>146</v>
      </c>
    </row>
    <row r="12" spans="1:24" s="104" customFormat="1" x14ac:dyDescent="0.25">
      <c r="A12" s="209"/>
      <c r="B12" s="199"/>
      <c r="C12" s="199"/>
      <c r="D12" s="199"/>
      <c r="E12" s="201"/>
      <c r="F12" s="203"/>
      <c r="G12" s="199"/>
      <c r="H12" s="205"/>
      <c r="I12" s="207"/>
      <c r="J12" s="199"/>
      <c r="K12" s="199"/>
      <c r="L12" s="199"/>
      <c r="M12" s="199"/>
      <c r="N12" s="133" t="s">
        <v>261</v>
      </c>
      <c r="O12" s="203"/>
      <c r="P12" s="128">
        <v>95309.5</v>
      </c>
      <c r="Q12" s="129" t="s">
        <v>263</v>
      </c>
      <c r="R12" s="130"/>
      <c r="S12" s="128"/>
      <c r="T12" s="128"/>
      <c r="U12" s="205"/>
      <c r="V12" s="211"/>
      <c r="W12" s="197"/>
      <c r="X12" s="104">
        <v>146</v>
      </c>
    </row>
    <row r="13" spans="1:24" s="85" customFormat="1" ht="36" customHeight="1" x14ac:dyDescent="0.25">
      <c r="A13" s="217">
        <v>3</v>
      </c>
      <c r="B13" s="223" t="s">
        <v>56</v>
      </c>
      <c r="C13" s="223"/>
      <c r="D13" s="223"/>
      <c r="E13" s="229" t="s">
        <v>161</v>
      </c>
      <c r="F13" s="219" t="s">
        <v>210</v>
      </c>
      <c r="G13" s="223" t="s">
        <v>211</v>
      </c>
      <c r="H13" s="221">
        <v>26438</v>
      </c>
      <c r="I13" s="231">
        <f>IF(X13 = 147, H13 + SUM(S13:S14) - SUM(T13:T14) - SUM(P13:P14) - V13,0)</f>
        <v>0</v>
      </c>
      <c r="J13" s="223" t="s">
        <v>225</v>
      </c>
      <c r="K13" s="223" t="s">
        <v>226</v>
      </c>
      <c r="L13" s="223"/>
      <c r="M13" s="223" t="s">
        <v>213</v>
      </c>
      <c r="N13" s="105" t="s">
        <v>210</v>
      </c>
      <c r="O13" s="219" t="s">
        <v>214</v>
      </c>
      <c r="P13" s="106">
        <v>16139</v>
      </c>
      <c r="Q13" s="107" t="s">
        <v>224</v>
      </c>
      <c r="R13" s="108"/>
      <c r="S13" s="106"/>
      <c r="T13" s="106"/>
      <c r="U13" s="221"/>
      <c r="V13" s="225"/>
      <c r="W13" s="227"/>
      <c r="X13" s="85">
        <v>147</v>
      </c>
    </row>
    <row r="14" spans="1:24" s="104" customFormat="1" x14ac:dyDescent="0.25">
      <c r="A14" s="218"/>
      <c r="B14" s="224"/>
      <c r="C14" s="224"/>
      <c r="D14" s="224"/>
      <c r="E14" s="230"/>
      <c r="F14" s="220"/>
      <c r="G14" s="224"/>
      <c r="H14" s="222"/>
      <c r="I14" s="232"/>
      <c r="J14" s="224"/>
      <c r="K14" s="224"/>
      <c r="L14" s="224"/>
      <c r="M14" s="224"/>
      <c r="N14" s="109" t="s">
        <v>210</v>
      </c>
      <c r="O14" s="220"/>
      <c r="P14" s="110">
        <v>10299</v>
      </c>
      <c r="Q14" s="111" t="s">
        <v>224</v>
      </c>
      <c r="R14" s="112"/>
      <c r="S14" s="110"/>
      <c r="T14" s="110"/>
      <c r="U14" s="222"/>
      <c r="V14" s="226"/>
      <c r="W14" s="228"/>
      <c r="X14" s="104">
        <v>147</v>
      </c>
    </row>
    <row r="15" spans="1:24" s="85" customFormat="1" ht="75" x14ac:dyDescent="0.25">
      <c r="A15" s="86">
        <v>4</v>
      </c>
      <c r="B15" s="88" t="s">
        <v>56</v>
      </c>
      <c r="C15" s="88"/>
      <c r="D15" s="88"/>
      <c r="E15" s="91" t="s">
        <v>161</v>
      </c>
      <c r="F15" s="103" t="s">
        <v>243</v>
      </c>
      <c r="G15" s="88" t="s">
        <v>244</v>
      </c>
      <c r="H15" s="87">
        <v>8000</v>
      </c>
      <c r="I15" s="92">
        <f>IF(X15 = 148, H15 + SUM(S15:S15) - SUM(T15:T15) - SUM(P15:P15) - V15,0)</f>
        <v>0</v>
      </c>
      <c r="J15" s="88" t="s">
        <v>245</v>
      </c>
      <c r="K15" s="88" t="s">
        <v>246</v>
      </c>
      <c r="L15" s="88"/>
      <c r="M15" s="88" t="s">
        <v>221</v>
      </c>
      <c r="N15" s="103" t="s">
        <v>243</v>
      </c>
      <c r="O15" s="103" t="s">
        <v>248</v>
      </c>
      <c r="P15" s="87">
        <v>8000</v>
      </c>
      <c r="Q15" s="91" t="s">
        <v>247</v>
      </c>
      <c r="R15" s="88"/>
      <c r="S15" s="87"/>
      <c r="T15" s="87"/>
      <c r="U15" s="87"/>
      <c r="V15" s="95"/>
      <c r="W15" s="90"/>
      <c r="X15" s="85">
        <v>148</v>
      </c>
    </row>
    <row r="16" spans="1:24" s="85" customFormat="1" ht="93.75" x14ac:dyDescent="0.25">
      <c r="A16" s="86">
        <v>5</v>
      </c>
      <c r="B16" s="88" t="s">
        <v>56</v>
      </c>
      <c r="C16" s="88"/>
      <c r="D16" s="88"/>
      <c r="E16" s="91" t="s">
        <v>249</v>
      </c>
      <c r="F16" s="103" t="s">
        <v>250</v>
      </c>
      <c r="G16" s="88" t="s">
        <v>211</v>
      </c>
      <c r="H16" s="87">
        <v>46500</v>
      </c>
      <c r="I16" s="92">
        <f>IF(X16 = 149, H16 + SUM(S16:S16) - SUM(T16:T16) - SUM(P16:P16) - V16,0)</f>
        <v>0</v>
      </c>
      <c r="J16" s="88" t="s">
        <v>216</v>
      </c>
      <c r="K16" s="88" t="s">
        <v>212</v>
      </c>
      <c r="L16" s="88"/>
      <c r="M16" s="88" t="s">
        <v>251</v>
      </c>
      <c r="N16" s="103" t="s">
        <v>250</v>
      </c>
      <c r="O16" s="103" t="s">
        <v>214</v>
      </c>
      <c r="P16" s="87">
        <v>46500</v>
      </c>
      <c r="Q16" s="91">
        <v>45715</v>
      </c>
      <c r="R16" s="88"/>
      <c r="S16" s="87"/>
      <c r="T16" s="87"/>
      <c r="U16" s="87"/>
      <c r="V16" s="95"/>
      <c r="W16" s="90"/>
      <c r="X16" s="85">
        <v>149</v>
      </c>
    </row>
    <row r="17" spans="1:24" s="85" customFormat="1" ht="75" x14ac:dyDescent="0.25">
      <c r="A17" s="86">
        <v>6</v>
      </c>
      <c r="B17" s="88" t="s">
        <v>56</v>
      </c>
      <c r="C17" s="88"/>
      <c r="D17" s="88"/>
      <c r="E17" s="91" t="s">
        <v>238</v>
      </c>
      <c r="F17" s="103" t="s">
        <v>242</v>
      </c>
      <c r="G17" s="88" t="s">
        <v>252</v>
      </c>
      <c r="H17" s="87">
        <v>8100</v>
      </c>
      <c r="I17" s="92">
        <f>IF(X17 = 150, H17 + SUM(S17:S17) - SUM(T17:T17) - SUM(P17:P17) - V17,0)</f>
        <v>0</v>
      </c>
      <c r="J17" s="88" t="s">
        <v>216</v>
      </c>
      <c r="K17" s="88" t="s">
        <v>212</v>
      </c>
      <c r="L17" s="88"/>
      <c r="M17" s="88" t="s">
        <v>253</v>
      </c>
      <c r="N17" s="103" t="s">
        <v>250</v>
      </c>
      <c r="O17" s="103" t="s">
        <v>248</v>
      </c>
      <c r="P17" s="87">
        <v>8100</v>
      </c>
      <c r="Q17" s="91" t="s">
        <v>254</v>
      </c>
      <c r="R17" s="88"/>
      <c r="S17" s="87"/>
      <c r="T17" s="87"/>
      <c r="U17" s="87"/>
      <c r="V17" s="95"/>
      <c r="W17" s="90"/>
      <c r="X17" s="85">
        <v>150</v>
      </c>
    </row>
    <row r="18" spans="1:24" x14ac:dyDescent="0.25">
      <c r="X18" s="2">
        <v>151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58">
    <mergeCell ref="W13:W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13:A14"/>
    <mergeCell ref="O13:O14"/>
    <mergeCell ref="U13:U14"/>
    <mergeCell ref="B13:B14"/>
    <mergeCell ref="V13:V14"/>
    <mergeCell ref="C13:C14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9:A10"/>
    <mergeCell ref="O9:O10"/>
    <mergeCell ref="U9:U10"/>
    <mergeCell ref="B9:B10"/>
    <mergeCell ref="V9:V10"/>
    <mergeCell ref="C9:C10"/>
    <mergeCell ref="A3:E3"/>
    <mergeCell ref="S2:U2"/>
    <mergeCell ref="N2:O2"/>
    <mergeCell ref="J4:K4"/>
    <mergeCell ref="M4:N4"/>
    <mergeCell ref="O4:P4"/>
    <mergeCell ref="K2:M2"/>
    <mergeCell ref="A11:A12"/>
    <mergeCell ref="O11:O12"/>
    <mergeCell ref="U11:U12"/>
    <mergeCell ref="B11:B12"/>
    <mergeCell ref="V11:V12"/>
    <mergeCell ref="C11:C12"/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53"/>
  <sheetViews>
    <sheetView showGridLines="0" topLeftCell="G1" zoomScale="60" zoomScaleNormal="60" workbookViewId="0">
      <pane ySplit="8" topLeftCell="A49" activePane="bottomLeft" state="frozen"/>
      <selection pane="bottomLeft" activeCell="O52" sqref="O52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269" t="s">
        <v>24</v>
      </c>
      <c r="G2" s="270"/>
      <c r="H2" s="80">
        <f>SUM(H9:H10019)</f>
        <v>1427421.5499999998</v>
      </c>
      <c r="I2" s="68"/>
      <c r="N2" s="213" t="s">
        <v>137</v>
      </c>
      <c r="O2" s="215"/>
      <c r="P2" s="69">
        <f>SUM(P9:P10019)</f>
        <v>629180.03999999992</v>
      </c>
      <c r="R2" s="68"/>
      <c r="S2" s="213" t="s">
        <v>45</v>
      </c>
      <c r="T2" s="214"/>
      <c r="U2" s="215"/>
      <c r="V2" s="70">
        <f>SUM(V9:V10019)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208">
        <v>1</v>
      </c>
      <c r="B9" s="198" t="s">
        <v>56</v>
      </c>
      <c r="C9" s="198"/>
      <c r="D9" s="198"/>
      <c r="E9" s="198" t="s">
        <v>152</v>
      </c>
      <c r="F9" s="202" t="s">
        <v>163</v>
      </c>
      <c r="G9" s="200" t="s">
        <v>164</v>
      </c>
      <c r="H9" s="204">
        <v>431034.73</v>
      </c>
      <c r="I9" s="206">
        <f>IF(X9 = 156, H9 + SUM(S9:S16) - SUM(T9:T16) - SUM(P9:P16) - V9,0)</f>
        <v>172136.37</v>
      </c>
      <c r="J9" s="263">
        <v>2308119595</v>
      </c>
      <c r="K9" s="266" t="s">
        <v>165</v>
      </c>
      <c r="L9" s="198"/>
      <c r="M9" s="198" t="s">
        <v>166</v>
      </c>
      <c r="N9" s="131">
        <v>45717</v>
      </c>
      <c r="O9" s="202" t="s">
        <v>167</v>
      </c>
      <c r="P9" s="122">
        <v>22821.16</v>
      </c>
      <c r="Q9" s="123" t="s">
        <v>258</v>
      </c>
      <c r="R9" s="124"/>
      <c r="S9" s="122"/>
      <c r="T9" s="122"/>
      <c r="U9" s="204"/>
      <c r="V9" s="255"/>
      <c r="W9" s="196"/>
      <c r="X9" s="85">
        <v>156</v>
      </c>
    </row>
    <row r="10" spans="1:24" s="104" customFormat="1" x14ac:dyDescent="0.25">
      <c r="A10" s="260"/>
      <c r="B10" s="259"/>
      <c r="C10" s="259"/>
      <c r="D10" s="259"/>
      <c r="E10" s="259"/>
      <c r="F10" s="253"/>
      <c r="G10" s="261"/>
      <c r="H10" s="254"/>
      <c r="I10" s="262"/>
      <c r="J10" s="264"/>
      <c r="K10" s="267"/>
      <c r="L10" s="259"/>
      <c r="M10" s="259"/>
      <c r="N10" s="132">
        <v>45689</v>
      </c>
      <c r="O10" s="253"/>
      <c r="P10" s="125">
        <v>23926.44</v>
      </c>
      <c r="Q10" s="126" t="s">
        <v>259</v>
      </c>
      <c r="R10" s="127"/>
      <c r="S10" s="125"/>
      <c r="T10" s="125"/>
      <c r="U10" s="254"/>
      <c r="V10" s="256"/>
      <c r="W10" s="258"/>
      <c r="X10" s="104">
        <v>156</v>
      </c>
    </row>
    <row r="11" spans="1:24" s="104" customFormat="1" x14ac:dyDescent="0.25">
      <c r="A11" s="260"/>
      <c r="B11" s="259"/>
      <c r="C11" s="259"/>
      <c r="D11" s="259"/>
      <c r="E11" s="259"/>
      <c r="F11" s="253"/>
      <c r="G11" s="261"/>
      <c r="H11" s="254"/>
      <c r="I11" s="262"/>
      <c r="J11" s="264"/>
      <c r="K11" s="267"/>
      <c r="L11" s="259"/>
      <c r="M11" s="259"/>
      <c r="N11" s="132">
        <v>45658</v>
      </c>
      <c r="O11" s="253"/>
      <c r="P11" s="125">
        <v>26239.72</v>
      </c>
      <c r="Q11" s="126" t="s">
        <v>181</v>
      </c>
      <c r="R11" s="127"/>
      <c r="S11" s="125"/>
      <c r="T11" s="125"/>
      <c r="U11" s="254"/>
      <c r="V11" s="256"/>
      <c r="W11" s="258"/>
      <c r="X11" s="104">
        <v>156</v>
      </c>
    </row>
    <row r="12" spans="1:24" s="104" customFormat="1" x14ac:dyDescent="0.25">
      <c r="A12" s="260"/>
      <c r="B12" s="259"/>
      <c r="C12" s="259"/>
      <c r="D12" s="259"/>
      <c r="E12" s="259"/>
      <c r="F12" s="253"/>
      <c r="G12" s="261"/>
      <c r="H12" s="254"/>
      <c r="I12" s="262"/>
      <c r="J12" s="264"/>
      <c r="K12" s="267"/>
      <c r="L12" s="259"/>
      <c r="M12" s="259"/>
      <c r="N12" s="132">
        <v>45689</v>
      </c>
      <c r="O12" s="253"/>
      <c r="P12" s="125">
        <v>30419.5</v>
      </c>
      <c r="Q12" s="126" t="s">
        <v>260</v>
      </c>
      <c r="R12" s="127"/>
      <c r="S12" s="125"/>
      <c r="T12" s="125"/>
      <c r="U12" s="254"/>
      <c r="V12" s="256"/>
      <c r="W12" s="258"/>
      <c r="X12" s="104">
        <v>156</v>
      </c>
    </row>
    <row r="13" spans="1:24" s="104" customFormat="1" x14ac:dyDescent="0.25">
      <c r="A13" s="260"/>
      <c r="B13" s="259"/>
      <c r="C13" s="259"/>
      <c r="D13" s="259"/>
      <c r="E13" s="259"/>
      <c r="F13" s="253"/>
      <c r="G13" s="261"/>
      <c r="H13" s="254"/>
      <c r="I13" s="262"/>
      <c r="J13" s="264"/>
      <c r="K13" s="267"/>
      <c r="L13" s="259"/>
      <c r="M13" s="259"/>
      <c r="N13" s="132">
        <v>45688</v>
      </c>
      <c r="O13" s="253"/>
      <c r="P13" s="125">
        <v>49822.09</v>
      </c>
      <c r="Q13" s="126" t="s">
        <v>259</v>
      </c>
      <c r="R13" s="127"/>
      <c r="S13" s="125"/>
      <c r="T13" s="125"/>
      <c r="U13" s="254"/>
      <c r="V13" s="256"/>
      <c r="W13" s="258"/>
      <c r="X13" s="104">
        <v>156</v>
      </c>
    </row>
    <row r="14" spans="1:24" s="104" customFormat="1" x14ac:dyDescent="0.25">
      <c r="A14" s="260"/>
      <c r="B14" s="259"/>
      <c r="C14" s="259"/>
      <c r="D14" s="259"/>
      <c r="E14" s="259"/>
      <c r="F14" s="253"/>
      <c r="G14" s="261"/>
      <c r="H14" s="254"/>
      <c r="I14" s="262"/>
      <c r="J14" s="264"/>
      <c r="K14" s="267"/>
      <c r="L14" s="259"/>
      <c r="M14" s="259"/>
      <c r="N14" s="132">
        <v>45717</v>
      </c>
      <c r="O14" s="253"/>
      <c r="P14" s="125">
        <v>22821.16</v>
      </c>
      <c r="Q14" s="126" t="s">
        <v>258</v>
      </c>
      <c r="R14" s="127"/>
      <c r="S14" s="125"/>
      <c r="T14" s="125"/>
      <c r="U14" s="254"/>
      <c r="V14" s="256"/>
      <c r="W14" s="258"/>
      <c r="X14" s="104">
        <v>156</v>
      </c>
    </row>
    <row r="15" spans="1:24" s="104" customFormat="1" x14ac:dyDescent="0.25">
      <c r="A15" s="260"/>
      <c r="B15" s="259"/>
      <c r="C15" s="259"/>
      <c r="D15" s="259"/>
      <c r="E15" s="259"/>
      <c r="F15" s="253"/>
      <c r="G15" s="261"/>
      <c r="H15" s="254"/>
      <c r="I15" s="262"/>
      <c r="J15" s="264"/>
      <c r="K15" s="267"/>
      <c r="L15" s="259"/>
      <c r="M15" s="259"/>
      <c r="N15" s="132">
        <v>45716</v>
      </c>
      <c r="O15" s="253"/>
      <c r="P15" s="125">
        <v>41231.519999999997</v>
      </c>
      <c r="Q15" s="126" t="s">
        <v>265</v>
      </c>
      <c r="R15" s="127"/>
      <c r="S15" s="125"/>
      <c r="T15" s="125"/>
      <c r="U15" s="254"/>
      <c r="V15" s="256"/>
      <c r="W15" s="258"/>
      <c r="X15" s="104">
        <v>156</v>
      </c>
    </row>
    <row r="16" spans="1:24" s="104" customFormat="1" x14ac:dyDescent="0.25">
      <c r="A16" s="209"/>
      <c r="B16" s="199"/>
      <c r="C16" s="199"/>
      <c r="D16" s="199"/>
      <c r="E16" s="199"/>
      <c r="F16" s="203"/>
      <c r="G16" s="201"/>
      <c r="H16" s="205"/>
      <c r="I16" s="207"/>
      <c r="J16" s="265"/>
      <c r="K16" s="268"/>
      <c r="L16" s="199"/>
      <c r="M16" s="199"/>
      <c r="N16" s="133">
        <v>45717</v>
      </c>
      <c r="O16" s="203"/>
      <c r="P16" s="128">
        <v>41616.769999999997</v>
      </c>
      <c r="Q16" s="129" t="s">
        <v>265</v>
      </c>
      <c r="R16" s="130"/>
      <c r="S16" s="128"/>
      <c r="T16" s="128"/>
      <c r="U16" s="205"/>
      <c r="V16" s="257"/>
      <c r="W16" s="197"/>
      <c r="X16" s="104">
        <v>156</v>
      </c>
    </row>
    <row r="17" spans="1:24" s="85" customFormat="1" ht="72" customHeight="1" x14ac:dyDescent="0.25">
      <c r="A17" s="208">
        <v>2</v>
      </c>
      <c r="B17" s="198" t="s">
        <v>56</v>
      </c>
      <c r="C17" s="198"/>
      <c r="D17" s="198"/>
      <c r="E17" s="198" t="s">
        <v>168</v>
      </c>
      <c r="F17" s="202" t="s">
        <v>163</v>
      </c>
      <c r="G17" s="200" t="s">
        <v>169</v>
      </c>
      <c r="H17" s="204">
        <v>104228</v>
      </c>
      <c r="I17" s="206">
        <f>IF(X17 = 157, H17 + SUM(S17:S18) - SUM(T17:T18) - SUM(P17:P18) - V17,0)</f>
        <v>97272</v>
      </c>
      <c r="J17" s="263">
        <v>2353006498</v>
      </c>
      <c r="K17" s="266" t="s">
        <v>170</v>
      </c>
      <c r="L17" s="198"/>
      <c r="M17" s="198" t="s">
        <v>171</v>
      </c>
      <c r="N17" s="131" t="s">
        <v>261</v>
      </c>
      <c r="O17" s="202" t="s">
        <v>172</v>
      </c>
      <c r="P17" s="122">
        <v>4440</v>
      </c>
      <c r="Q17" s="123" t="s">
        <v>263</v>
      </c>
      <c r="R17" s="124"/>
      <c r="S17" s="122"/>
      <c r="T17" s="122"/>
      <c r="U17" s="204"/>
      <c r="V17" s="255"/>
      <c r="W17" s="196"/>
      <c r="X17" s="85">
        <v>157</v>
      </c>
    </row>
    <row r="18" spans="1:24" s="104" customFormat="1" x14ac:dyDescent="0.25">
      <c r="A18" s="209"/>
      <c r="B18" s="199"/>
      <c r="C18" s="199"/>
      <c r="D18" s="199"/>
      <c r="E18" s="199"/>
      <c r="F18" s="203"/>
      <c r="G18" s="201"/>
      <c r="H18" s="205"/>
      <c r="I18" s="207"/>
      <c r="J18" s="265"/>
      <c r="K18" s="268"/>
      <c r="L18" s="199"/>
      <c r="M18" s="199"/>
      <c r="N18" s="133" t="s">
        <v>222</v>
      </c>
      <c r="O18" s="203"/>
      <c r="P18" s="128">
        <v>2516</v>
      </c>
      <c r="Q18" s="129" t="s">
        <v>264</v>
      </c>
      <c r="R18" s="130"/>
      <c r="S18" s="128"/>
      <c r="T18" s="128"/>
      <c r="U18" s="205"/>
      <c r="V18" s="257"/>
      <c r="W18" s="197"/>
      <c r="X18" s="104">
        <v>157</v>
      </c>
    </row>
    <row r="19" spans="1:24" s="85" customFormat="1" ht="54" customHeight="1" x14ac:dyDescent="0.25">
      <c r="A19" s="208">
        <v>3</v>
      </c>
      <c r="B19" s="198" t="s">
        <v>56</v>
      </c>
      <c r="C19" s="198"/>
      <c r="D19" s="198"/>
      <c r="E19" s="198" t="s">
        <v>173</v>
      </c>
      <c r="F19" s="202" t="s">
        <v>163</v>
      </c>
      <c r="G19" s="200" t="s">
        <v>174</v>
      </c>
      <c r="H19" s="204">
        <v>50565.84</v>
      </c>
      <c r="I19" s="206">
        <f>IF(X19 = 158, H19 + SUM(S19:S20) - SUM(T19:T20) - SUM(P19:P20) - V19,0)</f>
        <v>42481.14</v>
      </c>
      <c r="J19" s="263">
        <v>2308131994</v>
      </c>
      <c r="K19" s="266" t="s">
        <v>155</v>
      </c>
      <c r="L19" s="198"/>
      <c r="M19" s="198" t="s">
        <v>171</v>
      </c>
      <c r="N19" s="131">
        <v>45688</v>
      </c>
      <c r="O19" s="202" t="s">
        <v>175</v>
      </c>
      <c r="P19" s="122">
        <v>4042.35</v>
      </c>
      <c r="Q19" s="123" t="s">
        <v>227</v>
      </c>
      <c r="R19" s="124"/>
      <c r="S19" s="122"/>
      <c r="T19" s="122"/>
      <c r="U19" s="204"/>
      <c r="V19" s="255"/>
      <c r="W19" s="196"/>
      <c r="X19" s="85">
        <v>158</v>
      </c>
    </row>
    <row r="20" spans="1:24" s="104" customFormat="1" x14ac:dyDescent="0.25">
      <c r="A20" s="209"/>
      <c r="B20" s="199"/>
      <c r="C20" s="199"/>
      <c r="D20" s="199"/>
      <c r="E20" s="199"/>
      <c r="F20" s="203"/>
      <c r="G20" s="201"/>
      <c r="H20" s="205"/>
      <c r="I20" s="207"/>
      <c r="J20" s="265"/>
      <c r="K20" s="268"/>
      <c r="L20" s="199"/>
      <c r="M20" s="199"/>
      <c r="N20" s="133" t="s">
        <v>261</v>
      </c>
      <c r="O20" s="203"/>
      <c r="P20" s="128">
        <v>4042.35</v>
      </c>
      <c r="Q20" s="129" t="s">
        <v>262</v>
      </c>
      <c r="R20" s="130"/>
      <c r="S20" s="128"/>
      <c r="T20" s="128"/>
      <c r="U20" s="205"/>
      <c r="V20" s="257"/>
      <c r="W20" s="197"/>
      <c r="X20" s="104">
        <v>158</v>
      </c>
    </row>
    <row r="21" spans="1:24" s="85" customFormat="1" ht="56.25" x14ac:dyDescent="0.25">
      <c r="A21" s="86">
        <v>4</v>
      </c>
      <c r="B21" s="88" t="s">
        <v>56</v>
      </c>
      <c r="C21" s="88"/>
      <c r="D21" s="88"/>
      <c r="E21" s="88" t="s">
        <v>176</v>
      </c>
      <c r="F21" s="96" t="s">
        <v>163</v>
      </c>
      <c r="G21" s="91" t="s">
        <v>177</v>
      </c>
      <c r="H21" s="87">
        <v>9600</v>
      </c>
      <c r="I21" s="92">
        <f>IF(X21 = 159, H21 + SUM(S21:S21) - SUM(T21:T21) - SUM(P21:P21) - V21,0)</f>
        <v>9600</v>
      </c>
      <c r="J21" s="93">
        <v>2369000660</v>
      </c>
      <c r="K21" s="94" t="s">
        <v>153</v>
      </c>
      <c r="L21" s="88"/>
      <c r="M21" s="88" t="s">
        <v>171</v>
      </c>
      <c r="N21" s="96"/>
      <c r="O21" s="96" t="s">
        <v>179</v>
      </c>
      <c r="P21" s="87"/>
      <c r="Q21" s="91"/>
      <c r="R21" s="88"/>
      <c r="S21" s="87"/>
      <c r="T21" s="87"/>
      <c r="U21" s="87"/>
      <c r="V21" s="89"/>
      <c r="W21" s="90"/>
      <c r="X21" s="85">
        <v>159</v>
      </c>
    </row>
    <row r="22" spans="1:24" s="85" customFormat="1" ht="54" customHeight="1" x14ac:dyDescent="0.25">
      <c r="A22" s="208">
        <v>5</v>
      </c>
      <c r="B22" s="198" t="s">
        <v>56</v>
      </c>
      <c r="C22" s="198"/>
      <c r="D22" s="198"/>
      <c r="E22" s="198" t="s">
        <v>161</v>
      </c>
      <c r="F22" s="202" t="s">
        <v>163</v>
      </c>
      <c r="G22" s="200" t="s">
        <v>178</v>
      </c>
      <c r="H22" s="204">
        <v>27331.200000000001</v>
      </c>
      <c r="I22" s="206">
        <f>IF(X22 = 160, H22 + SUM(S22:S23) - SUM(T22:T23) - SUM(P22:P23) - V22,0)</f>
        <v>22776</v>
      </c>
      <c r="J22" s="263">
        <v>2310163739</v>
      </c>
      <c r="K22" s="266" t="s">
        <v>147</v>
      </c>
      <c r="L22" s="198"/>
      <c r="M22" s="198" t="s">
        <v>171</v>
      </c>
      <c r="N22" s="131" t="s">
        <v>222</v>
      </c>
      <c r="O22" s="202" t="s">
        <v>180</v>
      </c>
      <c r="P22" s="122">
        <v>2277.6</v>
      </c>
      <c r="Q22" s="123" t="s">
        <v>243</v>
      </c>
      <c r="R22" s="124"/>
      <c r="S22" s="122"/>
      <c r="T22" s="122"/>
      <c r="U22" s="204"/>
      <c r="V22" s="255"/>
      <c r="W22" s="196"/>
      <c r="X22" s="85">
        <v>160</v>
      </c>
    </row>
    <row r="23" spans="1:24" s="104" customFormat="1" x14ac:dyDescent="0.25">
      <c r="A23" s="209"/>
      <c r="B23" s="199"/>
      <c r="C23" s="199"/>
      <c r="D23" s="199"/>
      <c r="E23" s="199"/>
      <c r="F23" s="203"/>
      <c r="G23" s="201"/>
      <c r="H23" s="205"/>
      <c r="I23" s="207"/>
      <c r="J23" s="265"/>
      <c r="K23" s="268"/>
      <c r="L23" s="199"/>
      <c r="M23" s="199"/>
      <c r="N23" s="133" t="s">
        <v>261</v>
      </c>
      <c r="O23" s="203"/>
      <c r="P23" s="128">
        <v>2277.6</v>
      </c>
      <c r="Q23" s="129" t="s">
        <v>258</v>
      </c>
      <c r="R23" s="130"/>
      <c r="S23" s="128"/>
      <c r="T23" s="128"/>
      <c r="U23" s="205"/>
      <c r="V23" s="257"/>
      <c r="W23" s="197"/>
      <c r="X23" s="104">
        <v>160</v>
      </c>
    </row>
    <row r="24" spans="1:24" s="85" customFormat="1" ht="36" customHeight="1" x14ac:dyDescent="0.25">
      <c r="A24" s="208">
        <v>6</v>
      </c>
      <c r="B24" s="198" t="s">
        <v>56</v>
      </c>
      <c r="C24" s="198"/>
      <c r="D24" s="198"/>
      <c r="E24" s="198" t="s">
        <v>160</v>
      </c>
      <c r="F24" s="202" t="s">
        <v>181</v>
      </c>
      <c r="G24" s="200" t="s">
        <v>182</v>
      </c>
      <c r="H24" s="204">
        <v>90689</v>
      </c>
      <c r="I24" s="206">
        <f>IF(X24 = 161, H24 + SUM(S24:S25) - SUM(T24:T25) - SUM(P24:P25) - V24,0)</f>
        <v>78286.720000000001</v>
      </c>
      <c r="J24" s="263">
        <v>2369002347</v>
      </c>
      <c r="K24" s="266" t="s">
        <v>150</v>
      </c>
      <c r="L24" s="198"/>
      <c r="M24" s="198" t="s">
        <v>171</v>
      </c>
      <c r="N24" s="131" t="s">
        <v>222</v>
      </c>
      <c r="O24" s="202" t="s">
        <v>183</v>
      </c>
      <c r="P24" s="122">
        <v>6201.14</v>
      </c>
      <c r="Q24" s="123" t="s">
        <v>237</v>
      </c>
      <c r="R24" s="124"/>
      <c r="S24" s="122"/>
      <c r="T24" s="122"/>
      <c r="U24" s="204"/>
      <c r="V24" s="255"/>
      <c r="W24" s="196"/>
      <c r="X24" s="85">
        <v>161</v>
      </c>
    </row>
    <row r="25" spans="1:24" s="104" customFormat="1" x14ac:dyDescent="0.25">
      <c r="A25" s="209"/>
      <c r="B25" s="199"/>
      <c r="C25" s="199"/>
      <c r="D25" s="199"/>
      <c r="E25" s="199"/>
      <c r="F25" s="203"/>
      <c r="G25" s="201"/>
      <c r="H25" s="205"/>
      <c r="I25" s="207"/>
      <c r="J25" s="265"/>
      <c r="K25" s="268"/>
      <c r="L25" s="199"/>
      <c r="M25" s="199"/>
      <c r="N25" s="133" t="s">
        <v>261</v>
      </c>
      <c r="O25" s="203"/>
      <c r="P25" s="128">
        <v>6201.14</v>
      </c>
      <c r="Q25" s="129" t="s">
        <v>262</v>
      </c>
      <c r="R25" s="130"/>
      <c r="S25" s="128"/>
      <c r="T25" s="128"/>
      <c r="U25" s="205"/>
      <c r="V25" s="257"/>
      <c r="W25" s="197"/>
      <c r="X25" s="104">
        <v>161</v>
      </c>
    </row>
    <row r="26" spans="1:24" s="85" customFormat="1" ht="54" customHeight="1" x14ac:dyDescent="0.25">
      <c r="A26" s="208">
        <v>7</v>
      </c>
      <c r="B26" s="198" t="s">
        <v>56</v>
      </c>
      <c r="C26" s="198"/>
      <c r="D26" s="198"/>
      <c r="E26" s="198" t="s">
        <v>184</v>
      </c>
      <c r="F26" s="202" t="s">
        <v>163</v>
      </c>
      <c r="G26" s="200" t="s">
        <v>185</v>
      </c>
      <c r="H26" s="204">
        <v>17400</v>
      </c>
      <c r="I26" s="206">
        <f>IF(X26 = 162, H26 + SUM(S26:S27) - SUM(T26:T27) - SUM(P26:P27) - V26,0)</f>
        <v>14500</v>
      </c>
      <c r="J26" s="263">
        <v>231107998282</v>
      </c>
      <c r="K26" s="266" t="s">
        <v>162</v>
      </c>
      <c r="L26" s="198"/>
      <c r="M26" s="198" t="s">
        <v>171</v>
      </c>
      <c r="N26" s="131">
        <v>45688</v>
      </c>
      <c r="O26" s="202" t="s">
        <v>186</v>
      </c>
      <c r="P26" s="122">
        <v>1450</v>
      </c>
      <c r="Q26" s="123" t="s">
        <v>227</v>
      </c>
      <c r="R26" s="124"/>
      <c r="S26" s="122"/>
      <c r="T26" s="122"/>
      <c r="U26" s="204"/>
      <c r="V26" s="255"/>
      <c r="W26" s="196"/>
      <c r="X26" s="85">
        <v>162</v>
      </c>
    </row>
    <row r="27" spans="1:24" s="104" customFormat="1" x14ac:dyDescent="0.25">
      <c r="A27" s="209"/>
      <c r="B27" s="199"/>
      <c r="C27" s="199"/>
      <c r="D27" s="199"/>
      <c r="E27" s="199"/>
      <c r="F27" s="203"/>
      <c r="G27" s="201"/>
      <c r="H27" s="205"/>
      <c r="I27" s="207"/>
      <c r="J27" s="265"/>
      <c r="K27" s="268"/>
      <c r="L27" s="199"/>
      <c r="M27" s="199"/>
      <c r="N27" s="133" t="s">
        <v>261</v>
      </c>
      <c r="O27" s="203"/>
      <c r="P27" s="128">
        <v>1450</v>
      </c>
      <c r="Q27" s="129" t="s">
        <v>263</v>
      </c>
      <c r="R27" s="130"/>
      <c r="S27" s="128"/>
      <c r="T27" s="128"/>
      <c r="U27" s="205"/>
      <c r="V27" s="257"/>
      <c r="W27" s="197"/>
      <c r="X27" s="104">
        <v>162</v>
      </c>
    </row>
    <row r="28" spans="1:24" s="85" customFormat="1" ht="90" customHeight="1" x14ac:dyDescent="0.25">
      <c r="A28" s="208">
        <v>8</v>
      </c>
      <c r="B28" s="198" t="s">
        <v>56</v>
      </c>
      <c r="C28" s="198"/>
      <c r="D28" s="198"/>
      <c r="E28" s="198" t="s">
        <v>187</v>
      </c>
      <c r="F28" s="202" t="s">
        <v>163</v>
      </c>
      <c r="G28" s="200" t="s">
        <v>188</v>
      </c>
      <c r="H28" s="204">
        <v>30000</v>
      </c>
      <c r="I28" s="206">
        <f>IF(X28 = 163, H28 + SUM(S28:S29) - SUM(T28:T29) - SUM(P28:P29) - V28,0)</f>
        <v>25000</v>
      </c>
      <c r="J28" s="263">
        <v>231107998282</v>
      </c>
      <c r="K28" s="266" t="s">
        <v>162</v>
      </c>
      <c r="L28" s="198"/>
      <c r="M28" s="198" t="s">
        <v>171</v>
      </c>
      <c r="N28" s="131" t="s">
        <v>222</v>
      </c>
      <c r="O28" s="202" t="s">
        <v>186</v>
      </c>
      <c r="P28" s="122">
        <v>2500</v>
      </c>
      <c r="Q28" s="123" t="s">
        <v>227</v>
      </c>
      <c r="R28" s="124"/>
      <c r="S28" s="122"/>
      <c r="T28" s="122"/>
      <c r="U28" s="204"/>
      <c r="V28" s="255"/>
      <c r="W28" s="196"/>
      <c r="X28" s="85">
        <v>163</v>
      </c>
    </row>
    <row r="29" spans="1:24" s="104" customFormat="1" x14ac:dyDescent="0.25">
      <c r="A29" s="209"/>
      <c r="B29" s="199"/>
      <c r="C29" s="199"/>
      <c r="D29" s="199"/>
      <c r="E29" s="199"/>
      <c r="F29" s="203"/>
      <c r="G29" s="201"/>
      <c r="H29" s="205"/>
      <c r="I29" s="207"/>
      <c r="J29" s="265"/>
      <c r="K29" s="268"/>
      <c r="L29" s="199"/>
      <c r="M29" s="199"/>
      <c r="N29" s="133" t="s">
        <v>261</v>
      </c>
      <c r="O29" s="203"/>
      <c r="P29" s="128">
        <v>2500</v>
      </c>
      <c r="Q29" s="129" t="s">
        <v>263</v>
      </c>
      <c r="R29" s="130"/>
      <c r="S29" s="128"/>
      <c r="T29" s="128"/>
      <c r="U29" s="205"/>
      <c r="V29" s="257"/>
      <c r="W29" s="197"/>
      <c r="X29" s="104">
        <v>163</v>
      </c>
    </row>
    <row r="30" spans="1:24" s="85" customFormat="1" ht="54" customHeight="1" x14ac:dyDescent="0.25">
      <c r="A30" s="208">
        <v>9</v>
      </c>
      <c r="B30" s="198" t="s">
        <v>56</v>
      </c>
      <c r="C30" s="198"/>
      <c r="D30" s="198"/>
      <c r="E30" s="198" t="s">
        <v>189</v>
      </c>
      <c r="F30" s="202" t="s">
        <v>163</v>
      </c>
      <c r="G30" s="200" t="s">
        <v>190</v>
      </c>
      <c r="H30" s="204">
        <v>18000</v>
      </c>
      <c r="I30" s="206">
        <f>IF(X30 = 164, H30 + SUM(S30:S31) - SUM(T30:T31) - SUM(P30:P31) - V30,0)</f>
        <v>15000</v>
      </c>
      <c r="J30" s="263">
        <v>231107998282</v>
      </c>
      <c r="K30" s="266" t="s">
        <v>162</v>
      </c>
      <c r="L30" s="198"/>
      <c r="M30" s="198" t="s">
        <v>171</v>
      </c>
      <c r="N30" s="131">
        <v>45688</v>
      </c>
      <c r="O30" s="202" t="s">
        <v>186</v>
      </c>
      <c r="P30" s="122">
        <v>1500</v>
      </c>
      <c r="Q30" s="123" t="s">
        <v>227</v>
      </c>
      <c r="R30" s="124"/>
      <c r="S30" s="122"/>
      <c r="T30" s="122"/>
      <c r="U30" s="204"/>
      <c r="V30" s="255"/>
      <c r="W30" s="196"/>
      <c r="X30" s="85">
        <v>164</v>
      </c>
    </row>
    <row r="31" spans="1:24" s="104" customFormat="1" x14ac:dyDescent="0.25">
      <c r="A31" s="209"/>
      <c r="B31" s="199"/>
      <c r="C31" s="199"/>
      <c r="D31" s="199"/>
      <c r="E31" s="199"/>
      <c r="F31" s="203"/>
      <c r="G31" s="201"/>
      <c r="H31" s="205"/>
      <c r="I31" s="207"/>
      <c r="J31" s="265"/>
      <c r="K31" s="268"/>
      <c r="L31" s="199"/>
      <c r="M31" s="199"/>
      <c r="N31" s="133" t="s">
        <v>261</v>
      </c>
      <c r="O31" s="203"/>
      <c r="P31" s="128">
        <v>1500</v>
      </c>
      <c r="Q31" s="129" t="s">
        <v>263</v>
      </c>
      <c r="R31" s="130"/>
      <c r="S31" s="128"/>
      <c r="T31" s="128"/>
      <c r="U31" s="205"/>
      <c r="V31" s="257"/>
      <c r="W31" s="197"/>
      <c r="X31" s="104">
        <v>164</v>
      </c>
    </row>
    <row r="32" spans="1:24" s="85" customFormat="1" ht="56.25" x14ac:dyDescent="0.25">
      <c r="A32" s="86">
        <v>10</v>
      </c>
      <c r="B32" s="88" t="s">
        <v>56</v>
      </c>
      <c r="C32" s="88"/>
      <c r="D32" s="88"/>
      <c r="E32" s="88" t="s">
        <v>159</v>
      </c>
      <c r="F32" s="96" t="s">
        <v>181</v>
      </c>
      <c r="G32" s="91" t="s">
        <v>191</v>
      </c>
      <c r="H32" s="87">
        <v>10951.2</v>
      </c>
      <c r="I32" s="92">
        <f>IF(X32 = 165, H32 + SUM(S32:S32) - SUM(T32:T32) - SUM(P32:P32) - V32,0)</f>
        <v>8350.2000000000007</v>
      </c>
      <c r="J32" s="93">
        <v>2353020735</v>
      </c>
      <c r="K32" s="94" t="s">
        <v>192</v>
      </c>
      <c r="L32" s="88"/>
      <c r="M32" s="88" t="s">
        <v>193</v>
      </c>
      <c r="N32" s="96" t="s">
        <v>181</v>
      </c>
      <c r="O32" s="96" t="s">
        <v>186</v>
      </c>
      <c r="P32" s="87">
        <v>2601</v>
      </c>
      <c r="Q32" s="91" t="s">
        <v>265</v>
      </c>
      <c r="R32" s="88"/>
      <c r="S32" s="87"/>
      <c r="T32" s="87"/>
      <c r="U32" s="87"/>
      <c r="V32" s="89"/>
      <c r="W32" s="90"/>
      <c r="X32" s="85">
        <v>165</v>
      </c>
    </row>
    <row r="33" spans="1:24" s="85" customFormat="1" ht="90" customHeight="1" x14ac:dyDescent="0.25">
      <c r="A33" s="208">
        <v>11</v>
      </c>
      <c r="B33" s="198" t="s">
        <v>56</v>
      </c>
      <c r="C33" s="198"/>
      <c r="D33" s="198"/>
      <c r="E33" s="198" t="s">
        <v>160</v>
      </c>
      <c r="F33" s="202" t="s">
        <v>181</v>
      </c>
      <c r="G33" s="200" t="s">
        <v>194</v>
      </c>
      <c r="H33" s="204">
        <v>353508.48</v>
      </c>
      <c r="I33" s="206">
        <f>IF(X33 = 166, H33 + SUM(S33:S40) - SUM(T33:T40) - SUM(P33:P40) - V33,0)</f>
        <v>236127.08</v>
      </c>
      <c r="J33" s="263">
        <v>2353020735</v>
      </c>
      <c r="K33" s="266" t="s">
        <v>192</v>
      </c>
      <c r="L33" s="198"/>
      <c r="M33" s="198" t="s">
        <v>193</v>
      </c>
      <c r="N33" s="131" t="s">
        <v>261</v>
      </c>
      <c r="O33" s="202" t="s">
        <v>186</v>
      </c>
      <c r="P33" s="122">
        <v>65758</v>
      </c>
      <c r="Q33" s="123" t="s">
        <v>265</v>
      </c>
      <c r="R33" s="124"/>
      <c r="S33" s="122"/>
      <c r="T33" s="122"/>
      <c r="U33" s="204"/>
      <c r="V33" s="255"/>
      <c r="W33" s="196"/>
      <c r="X33" s="85">
        <v>166</v>
      </c>
    </row>
    <row r="34" spans="1:24" s="104" customFormat="1" x14ac:dyDescent="0.25">
      <c r="A34" s="260"/>
      <c r="B34" s="259"/>
      <c r="C34" s="259"/>
      <c r="D34" s="259"/>
      <c r="E34" s="259"/>
      <c r="F34" s="253"/>
      <c r="G34" s="261"/>
      <c r="H34" s="254"/>
      <c r="I34" s="262"/>
      <c r="J34" s="264"/>
      <c r="K34" s="267"/>
      <c r="L34" s="259"/>
      <c r="M34" s="259"/>
      <c r="N34" s="132" t="s">
        <v>261</v>
      </c>
      <c r="O34" s="253"/>
      <c r="P34" s="125">
        <v>6283.2</v>
      </c>
      <c r="Q34" s="126" t="s">
        <v>265</v>
      </c>
      <c r="R34" s="127"/>
      <c r="S34" s="125"/>
      <c r="T34" s="125"/>
      <c r="U34" s="254"/>
      <c r="V34" s="256"/>
      <c r="W34" s="258"/>
      <c r="X34" s="104">
        <v>166</v>
      </c>
    </row>
    <row r="35" spans="1:24" s="104" customFormat="1" x14ac:dyDescent="0.25">
      <c r="A35" s="260"/>
      <c r="B35" s="259"/>
      <c r="C35" s="259"/>
      <c r="D35" s="259"/>
      <c r="E35" s="259"/>
      <c r="F35" s="253"/>
      <c r="G35" s="261"/>
      <c r="H35" s="254"/>
      <c r="I35" s="262"/>
      <c r="J35" s="264"/>
      <c r="K35" s="267"/>
      <c r="L35" s="259"/>
      <c r="M35" s="259"/>
      <c r="N35" s="132" t="s">
        <v>261</v>
      </c>
      <c r="O35" s="253"/>
      <c r="P35" s="125">
        <v>1570.8</v>
      </c>
      <c r="Q35" s="126" t="s">
        <v>265</v>
      </c>
      <c r="R35" s="127"/>
      <c r="S35" s="125"/>
      <c r="T35" s="125"/>
      <c r="U35" s="254"/>
      <c r="V35" s="256"/>
      <c r="W35" s="258"/>
      <c r="X35" s="104">
        <v>166</v>
      </c>
    </row>
    <row r="36" spans="1:24" s="104" customFormat="1" x14ac:dyDescent="0.25">
      <c r="A36" s="260"/>
      <c r="B36" s="259"/>
      <c r="C36" s="259"/>
      <c r="D36" s="259"/>
      <c r="E36" s="259"/>
      <c r="F36" s="253"/>
      <c r="G36" s="261"/>
      <c r="H36" s="254"/>
      <c r="I36" s="262"/>
      <c r="J36" s="264"/>
      <c r="K36" s="267"/>
      <c r="L36" s="259"/>
      <c r="M36" s="259"/>
      <c r="N36" s="132" t="s">
        <v>261</v>
      </c>
      <c r="O36" s="253"/>
      <c r="P36" s="125">
        <v>10998.25</v>
      </c>
      <c r="Q36" s="126" t="s">
        <v>265</v>
      </c>
      <c r="R36" s="127"/>
      <c r="S36" s="125"/>
      <c r="T36" s="125"/>
      <c r="U36" s="254"/>
      <c r="V36" s="256"/>
      <c r="W36" s="258"/>
      <c r="X36" s="104">
        <v>166</v>
      </c>
    </row>
    <row r="37" spans="1:24" s="104" customFormat="1" x14ac:dyDescent="0.25">
      <c r="A37" s="260"/>
      <c r="B37" s="259"/>
      <c r="C37" s="259"/>
      <c r="D37" s="259"/>
      <c r="E37" s="259"/>
      <c r="F37" s="253"/>
      <c r="G37" s="261"/>
      <c r="H37" s="254"/>
      <c r="I37" s="262"/>
      <c r="J37" s="264"/>
      <c r="K37" s="267"/>
      <c r="L37" s="259"/>
      <c r="M37" s="259"/>
      <c r="N37" s="132" t="s">
        <v>261</v>
      </c>
      <c r="O37" s="253"/>
      <c r="P37" s="125">
        <v>13442.15</v>
      </c>
      <c r="Q37" s="126" t="s">
        <v>265</v>
      </c>
      <c r="R37" s="127"/>
      <c r="S37" s="125"/>
      <c r="T37" s="125"/>
      <c r="U37" s="254"/>
      <c r="V37" s="256"/>
      <c r="W37" s="258"/>
      <c r="X37" s="104">
        <v>166</v>
      </c>
    </row>
    <row r="38" spans="1:24" s="104" customFormat="1" x14ac:dyDescent="0.25">
      <c r="A38" s="260"/>
      <c r="B38" s="259"/>
      <c r="C38" s="259"/>
      <c r="D38" s="259"/>
      <c r="E38" s="259"/>
      <c r="F38" s="253"/>
      <c r="G38" s="261"/>
      <c r="H38" s="254"/>
      <c r="I38" s="262"/>
      <c r="J38" s="264"/>
      <c r="K38" s="267"/>
      <c r="L38" s="259"/>
      <c r="M38" s="259"/>
      <c r="N38" s="132" t="s">
        <v>261</v>
      </c>
      <c r="O38" s="253"/>
      <c r="P38" s="125">
        <v>8225</v>
      </c>
      <c r="Q38" s="126" t="s">
        <v>265</v>
      </c>
      <c r="R38" s="127"/>
      <c r="S38" s="125"/>
      <c r="T38" s="125"/>
      <c r="U38" s="254"/>
      <c r="V38" s="256"/>
      <c r="W38" s="258"/>
      <c r="X38" s="104">
        <v>166</v>
      </c>
    </row>
    <row r="39" spans="1:24" s="104" customFormat="1" x14ac:dyDescent="0.25">
      <c r="A39" s="260"/>
      <c r="B39" s="259"/>
      <c r="C39" s="259"/>
      <c r="D39" s="259"/>
      <c r="E39" s="259"/>
      <c r="F39" s="253"/>
      <c r="G39" s="261"/>
      <c r="H39" s="254"/>
      <c r="I39" s="262"/>
      <c r="J39" s="264"/>
      <c r="K39" s="267"/>
      <c r="L39" s="259"/>
      <c r="M39" s="259"/>
      <c r="N39" s="132" t="s">
        <v>261</v>
      </c>
      <c r="O39" s="253"/>
      <c r="P39" s="125">
        <v>8304</v>
      </c>
      <c r="Q39" s="126" t="s">
        <v>265</v>
      </c>
      <c r="R39" s="127"/>
      <c r="S39" s="125"/>
      <c r="T39" s="125"/>
      <c r="U39" s="254"/>
      <c r="V39" s="256"/>
      <c r="W39" s="258"/>
      <c r="X39" s="104">
        <v>166</v>
      </c>
    </row>
    <row r="40" spans="1:24" s="104" customFormat="1" x14ac:dyDescent="0.25">
      <c r="A40" s="209"/>
      <c r="B40" s="199"/>
      <c r="C40" s="199"/>
      <c r="D40" s="199"/>
      <c r="E40" s="199"/>
      <c r="F40" s="203"/>
      <c r="G40" s="201"/>
      <c r="H40" s="205"/>
      <c r="I40" s="207"/>
      <c r="J40" s="265"/>
      <c r="K40" s="268"/>
      <c r="L40" s="199"/>
      <c r="M40" s="199"/>
      <c r="N40" s="133" t="s">
        <v>261</v>
      </c>
      <c r="O40" s="203"/>
      <c r="P40" s="128">
        <v>2800</v>
      </c>
      <c r="Q40" s="129" t="s">
        <v>265</v>
      </c>
      <c r="R40" s="130"/>
      <c r="S40" s="128"/>
      <c r="T40" s="128"/>
      <c r="U40" s="205"/>
      <c r="V40" s="257"/>
      <c r="W40" s="197"/>
      <c r="X40" s="104">
        <v>166</v>
      </c>
    </row>
    <row r="41" spans="1:24" s="85" customFormat="1" ht="54" customHeight="1" x14ac:dyDescent="0.25">
      <c r="A41" s="208">
        <v>12</v>
      </c>
      <c r="B41" s="198" t="s">
        <v>56</v>
      </c>
      <c r="C41" s="198"/>
      <c r="D41" s="198"/>
      <c r="E41" s="198" t="s">
        <v>161</v>
      </c>
      <c r="F41" s="202" t="s">
        <v>181</v>
      </c>
      <c r="G41" s="200" t="s">
        <v>228</v>
      </c>
      <c r="H41" s="204">
        <v>84968</v>
      </c>
      <c r="I41" s="206">
        <f>IF(X41 = 168, H41 + SUM(S41:S42) - SUM(T41:T42) - SUM(P41:P42) - V41,0)</f>
        <v>76712</v>
      </c>
      <c r="J41" s="263">
        <v>2353017179</v>
      </c>
      <c r="K41" s="266" t="s">
        <v>229</v>
      </c>
      <c r="L41" s="198"/>
      <c r="M41" s="198" t="s">
        <v>230</v>
      </c>
      <c r="N41" s="131" t="s">
        <v>222</v>
      </c>
      <c r="O41" s="202" t="s">
        <v>231</v>
      </c>
      <c r="P41" s="122">
        <v>2924</v>
      </c>
      <c r="Q41" s="123" t="s">
        <v>232</v>
      </c>
      <c r="R41" s="124"/>
      <c r="S41" s="122"/>
      <c r="T41" s="122"/>
      <c r="U41" s="204"/>
      <c r="V41" s="255"/>
      <c r="W41" s="196"/>
      <c r="X41" s="85">
        <v>168</v>
      </c>
    </row>
    <row r="42" spans="1:24" s="104" customFormat="1" x14ac:dyDescent="0.25">
      <c r="A42" s="209"/>
      <c r="B42" s="199"/>
      <c r="C42" s="199"/>
      <c r="D42" s="199"/>
      <c r="E42" s="199"/>
      <c r="F42" s="203"/>
      <c r="G42" s="201"/>
      <c r="H42" s="205"/>
      <c r="I42" s="207"/>
      <c r="J42" s="265"/>
      <c r="K42" s="268"/>
      <c r="L42" s="199"/>
      <c r="M42" s="199"/>
      <c r="N42" s="133" t="s">
        <v>261</v>
      </c>
      <c r="O42" s="203"/>
      <c r="P42" s="128">
        <v>5332</v>
      </c>
      <c r="Q42" s="129" t="s">
        <v>264</v>
      </c>
      <c r="R42" s="130"/>
      <c r="S42" s="128"/>
      <c r="T42" s="128"/>
      <c r="U42" s="205"/>
      <c r="V42" s="257"/>
      <c r="W42" s="197"/>
      <c r="X42" s="104">
        <v>168</v>
      </c>
    </row>
    <row r="43" spans="1:24" s="85" customFormat="1" ht="36" customHeight="1" x14ac:dyDescent="0.25">
      <c r="A43" s="217">
        <v>13</v>
      </c>
      <c r="B43" s="223" t="s">
        <v>56</v>
      </c>
      <c r="C43" s="223"/>
      <c r="D43" s="223"/>
      <c r="E43" s="223" t="s">
        <v>233</v>
      </c>
      <c r="F43" s="219" t="s">
        <v>232</v>
      </c>
      <c r="G43" s="229" t="s">
        <v>234</v>
      </c>
      <c r="H43" s="221">
        <v>16305</v>
      </c>
      <c r="I43" s="231">
        <f>IF(X43 = 169, H43 + SUM(S43:S44) - SUM(T43:T44) - SUM(P43:P44) - V43,0)</f>
        <v>0</v>
      </c>
      <c r="J43" s="273">
        <v>235000239811</v>
      </c>
      <c r="K43" s="275" t="s">
        <v>235</v>
      </c>
      <c r="L43" s="223"/>
      <c r="M43" s="223" t="s">
        <v>236</v>
      </c>
      <c r="N43" s="105" t="s">
        <v>232</v>
      </c>
      <c r="O43" s="219" t="s">
        <v>231</v>
      </c>
      <c r="P43" s="106">
        <v>12880</v>
      </c>
      <c r="Q43" s="107" t="s">
        <v>237</v>
      </c>
      <c r="R43" s="108"/>
      <c r="S43" s="106"/>
      <c r="T43" s="106"/>
      <c r="U43" s="221"/>
      <c r="V43" s="271"/>
      <c r="W43" s="227"/>
      <c r="X43" s="85">
        <v>169</v>
      </c>
    </row>
    <row r="44" spans="1:24" s="104" customFormat="1" x14ac:dyDescent="0.25">
      <c r="A44" s="218"/>
      <c r="B44" s="224"/>
      <c r="C44" s="224"/>
      <c r="D44" s="224"/>
      <c r="E44" s="224"/>
      <c r="F44" s="220"/>
      <c r="G44" s="230"/>
      <c r="H44" s="222"/>
      <c r="I44" s="232"/>
      <c r="J44" s="274"/>
      <c r="K44" s="276"/>
      <c r="L44" s="224"/>
      <c r="M44" s="224"/>
      <c r="N44" s="109" t="s">
        <v>232</v>
      </c>
      <c r="O44" s="220"/>
      <c r="P44" s="110">
        <v>3425</v>
      </c>
      <c r="Q44" s="111" t="s">
        <v>237</v>
      </c>
      <c r="R44" s="112"/>
      <c r="S44" s="110"/>
      <c r="T44" s="110"/>
      <c r="U44" s="222"/>
      <c r="V44" s="272"/>
      <c r="W44" s="228"/>
      <c r="X44" s="104">
        <v>169</v>
      </c>
    </row>
    <row r="45" spans="1:24" s="85" customFormat="1" ht="56.25" x14ac:dyDescent="0.25">
      <c r="A45" s="86">
        <v>14</v>
      </c>
      <c r="B45" s="88" t="s">
        <v>56</v>
      </c>
      <c r="C45" s="88"/>
      <c r="D45" s="88"/>
      <c r="E45" s="88" t="s">
        <v>238</v>
      </c>
      <c r="F45" s="103" t="s">
        <v>239</v>
      </c>
      <c r="G45" s="91" t="s">
        <v>240</v>
      </c>
      <c r="H45" s="87">
        <v>53310</v>
      </c>
      <c r="I45" s="92">
        <f>IF(X45 = 170, H45 + SUM(S45:S45) - SUM(T45:T45) - SUM(P45:P45) - V45,0)</f>
        <v>0</v>
      </c>
      <c r="J45" s="93">
        <v>235303483777</v>
      </c>
      <c r="K45" s="94" t="s">
        <v>241</v>
      </c>
      <c r="L45" s="88"/>
      <c r="M45" s="88" t="s">
        <v>268</v>
      </c>
      <c r="N45" s="103" t="s">
        <v>224</v>
      </c>
      <c r="O45" s="103" t="s">
        <v>179</v>
      </c>
      <c r="P45" s="87">
        <v>53310</v>
      </c>
      <c r="Q45" s="91" t="s">
        <v>242</v>
      </c>
      <c r="R45" s="88"/>
      <c r="S45" s="87"/>
      <c r="T45" s="87"/>
      <c r="U45" s="87"/>
      <c r="V45" s="89"/>
      <c r="W45" s="90"/>
      <c r="X45" s="85">
        <v>170</v>
      </c>
    </row>
    <row r="46" spans="1:24" s="85" customFormat="1" ht="36" customHeight="1" x14ac:dyDescent="0.25">
      <c r="A46" s="249">
        <v>15</v>
      </c>
      <c r="B46" s="235" t="s">
        <v>56</v>
      </c>
      <c r="C46" s="235"/>
      <c r="D46" s="235"/>
      <c r="E46" s="235" t="s">
        <v>160</v>
      </c>
      <c r="F46" s="237" t="s">
        <v>266</v>
      </c>
      <c r="G46" s="239" t="s">
        <v>234</v>
      </c>
      <c r="H46" s="241">
        <v>73830</v>
      </c>
      <c r="I46" s="243">
        <f>IF(X46 = 171, H46 + SUM(S46:S47) - SUM(T46:T47) - SUM(P46:P47) - V46,0)</f>
        <v>0</v>
      </c>
      <c r="J46" s="245">
        <v>235305540660</v>
      </c>
      <c r="K46" s="247" t="s">
        <v>267</v>
      </c>
      <c r="L46" s="235"/>
      <c r="M46" s="235" t="s">
        <v>269</v>
      </c>
      <c r="N46" s="138" t="s">
        <v>263</v>
      </c>
      <c r="O46" s="237" t="s">
        <v>231</v>
      </c>
      <c r="P46" s="134">
        <v>50900</v>
      </c>
      <c r="Q46" s="135" t="s">
        <v>264</v>
      </c>
      <c r="R46" s="141"/>
      <c r="S46" s="134"/>
      <c r="T46" s="134"/>
      <c r="U46" s="241"/>
      <c r="V46" s="251"/>
      <c r="W46" s="233"/>
      <c r="X46" s="85">
        <v>171</v>
      </c>
    </row>
    <row r="47" spans="1:24" s="104" customFormat="1" x14ac:dyDescent="0.25">
      <c r="A47" s="250"/>
      <c r="B47" s="236"/>
      <c r="C47" s="236"/>
      <c r="D47" s="236"/>
      <c r="E47" s="236"/>
      <c r="F47" s="238"/>
      <c r="G47" s="240"/>
      <c r="H47" s="242"/>
      <c r="I47" s="244"/>
      <c r="J47" s="246"/>
      <c r="K47" s="248"/>
      <c r="L47" s="236"/>
      <c r="M47" s="236"/>
      <c r="N47" s="139" t="s">
        <v>263</v>
      </c>
      <c r="O47" s="238"/>
      <c r="P47" s="136">
        <v>22930</v>
      </c>
      <c r="Q47" s="137" t="s">
        <v>264</v>
      </c>
      <c r="R47" s="142"/>
      <c r="S47" s="136"/>
      <c r="T47" s="136"/>
      <c r="U47" s="242"/>
      <c r="V47" s="252"/>
      <c r="W47" s="234"/>
      <c r="X47" s="104">
        <v>171</v>
      </c>
    </row>
    <row r="48" spans="1:24" s="85" customFormat="1" ht="56.25" x14ac:dyDescent="0.25">
      <c r="A48" s="113">
        <v>16</v>
      </c>
      <c r="B48" s="114" t="s">
        <v>56</v>
      </c>
      <c r="C48" s="114"/>
      <c r="D48" s="114"/>
      <c r="E48" s="114" t="s">
        <v>238</v>
      </c>
      <c r="F48" s="140" t="s">
        <v>261</v>
      </c>
      <c r="G48" s="115" t="s">
        <v>270</v>
      </c>
      <c r="H48" s="116">
        <v>12630</v>
      </c>
      <c r="I48" s="117">
        <f>IF(X48 = 172, H48 + SUM(S48:S48) - SUM(T48:T48) - SUM(P48:P48) - V48,0)</f>
        <v>0</v>
      </c>
      <c r="J48" s="93">
        <v>235303483777</v>
      </c>
      <c r="K48" s="94" t="s">
        <v>241</v>
      </c>
      <c r="L48" s="114"/>
      <c r="M48" s="114" t="s">
        <v>271</v>
      </c>
      <c r="N48" s="140" t="s">
        <v>261</v>
      </c>
      <c r="O48" s="103" t="s">
        <v>179</v>
      </c>
      <c r="P48" s="116">
        <v>12630</v>
      </c>
      <c r="Q48" s="115" t="s">
        <v>272</v>
      </c>
      <c r="R48" s="114"/>
      <c r="S48" s="116"/>
      <c r="T48" s="116"/>
      <c r="U48" s="116"/>
      <c r="V48" s="120"/>
      <c r="W48" s="121"/>
      <c r="X48" s="85">
        <v>172</v>
      </c>
    </row>
    <row r="49" spans="1:24" s="85" customFormat="1" ht="75" x14ac:dyDescent="0.25">
      <c r="A49" s="113">
        <v>17</v>
      </c>
      <c r="B49" s="114" t="s">
        <v>56</v>
      </c>
      <c r="C49" s="114"/>
      <c r="D49" s="114"/>
      <c r="E49" s="114" t="s">
        <v>273</v>
      </c>
      <c r="F49" s="140" t="s">
        <v>247</v>
      </c>
      <c r="G49" s="115" t="s">
        <v>274</v>
      </c>
      <c r="H49" s="116">
        <v>10000</v>
      </c>
      <c r="I49" s="117">
        <f>IF(X49 = 173, H49 + SUM(S49:S49) - SUM(T49:T49) - SUM(P49:P49) - V49,0)</f>
        <v>0</v>
      </c>
      <c r="J49" s="118">
        <v>235301015365</v>
      </c>
      <c r="K49" s="119" t="s">
        <v>275</v>
      </c>
      <c r="L49" s="114"/>
      <c r="M49" s="114"/>
      <c r="N49" s="140" t="s">
        <v>254</v>
      </c>
      <c r="O49" s="140" t="s">
        <v>179</v>
      </c>
      <c r="P49" s="116">
        <v>10000</v>
      </c>
      <c r="Q49" s="115" t="s">
        <v>272</v>
      </c>
      <c r="R49" s="114"/>
      <c r="S49" s="116"/>
      <c r="T49" s="116"/>
      <c r="U49" s="116"/>
      <c r="V49" s="120"/>
      <c r="W49" s="121"/>
      <c r="X49" s="85">
        <v>173</v>
      </c>
    </row>
    <row r="50" spans="1:24" s="85" customFormat="1" ht="56.25" x14ac:dyDescent="0.25">
      <c r="A50" s="113">
        <v>18</v>
      </c>
      <c r="B50" s="114" t="s">
        <v>56</v>
      </c>
      <c r="C50" s="114"/>
      <c r="D50" s="114"/>
      <c r="E50" s="114" t="s">
        <v>276</v>
      </c>
      <c r="F50" s="140" t="s">
        <v>264</v>
      </c>
      <c r="G50" s="115" t="s">
        <v>270</v>
      </c>
      <c r="H50" s="116">
        <v>9760</v>
      </c>
      <c r="I50" s="117">
        <f>IF(X50 = 174, H50 + SUM(S50:S50) - SUM(T50:T50) - SUM(P50:P50) - V50,0)</f>
        <v>0</v>
      </c>
      <c r="J50" s="93">
        <v>235303483777</v>
      </c>
      <c r="K50" s="94" t="s">
        <v>241</v>
      </c>
      <c r="L50" s="114"/>
      <c r="M50" s="114" t="s">
        <v>277</v>
      </c>
      <c r="N50" s="140" t="s">
        <v>264</v>
      </c>
      <c r="O50" s="103" t="s">
        <v>179</v>
      </c>
      <c r="P50" s="116">
        <v>9760</v>
      </c>
      <c r="Q50" s="115" t="s">
        <v>278</v>
      </c>
      <c r="R50" s="114"/>
      <c r="S50" s="116"/>
      <c r="T50" s="116"/>
      <c r="U50" s="116"/>
      <c r="V50" s="120"/>
      <c r="W50" s="121"/>
      <c r="X50" s="85">
        <v>174</v>
      </c>
    </row>
    <row r="51" spans="1:24" s="85" customFormat="1" ht="37.5" x14ac:dyDescent="0.25">
      <c r="A51" s="113">
        <v>19</v>
      </c>
      <c r="B51" s="114" t="s">
        <v>56</v>
      </c>
      <c r="C51" s="114"/>
      <c r="D51" s="114"/>
      <c r="E51" s="114" t="s">
        <v>279</v>
      </c>
      <c r="F51" s="140" t="s">
        <v>247</v>
      </c>
      <c r="G51" s="115" t="s">
        <v>280</v>
      </c>
      <c r="H51" s="116">
        <v>20685.099999999999</v>
      </c>
      <c r="I51" s="117">
        <f>IF(X51 = 175, H51 + SUM(S51:S51) - SUM(T51:T51) - SUM(P51:P51) - V51,0)</f>
        <v>0</v>
      </c>
      <c r="J51" s="118">
        <v>7706526550</v>
      </c>
      <c r="K51" s="119" t="s">
        <v>281</v>
      </c>
      <c r="L51" s="114"/>
      <c r="M51" s="114" t="s">
        <v>282</v>
      </c>
      <c r="N51" s="140" t="s">
        <v>263</v>
      </c>
      <c r="O51" s="140" t="s">
        <v>283</v>
      </c>
      <c r="P51" s="116">
        <v>20685.099999999999</v>
      </c>
      <c r="Q51" s="115" t="s">
        <v>284</v>
      </c>
      <c r="R51" s="114"/>
      <c r="S51" s="116"/>
      <c r="T51" s="116"/>
      <c r="U51" s="116"/>
      <c r="V51" s="120"/>
      <c r="W51" s="121"/>
      <c r="X51" s="85">
        <v>175</v>
      </c>
    </row>
    <row r="52" spans="1:24" s="85" customFormat="1" ht="37.5" x14ac:dyDescent="0.25">
      <c r="A52" s="113">
        <v>20</v>
      </c>
      <c r="B52" s="114" t="s">
        <v>56</v>
      </c>
      <c r="C52" s="114"/>
      <c r="D52" s="114"/>
      <c r="E52" s="114" t="s">
        <v>285</v>
      </c>
      <c r="F52" s="140" t="s">
        <v>247</v>
      </c>
      <c r="G52" s="115" t="s">
        <v>286</v>
      </c>
      <c r="H52" s="116">
        <v>2625</v>
      </c>
      <c r="I52" s="117">
        <f>IF(X52 = 176, H52 + SUM(S52:S52) - SUM(T52:T52) - SUM(P52:P52) - V52,0)</f>
        <v>0</v>
      </c>
      <c r="J52" s="118">
        <v>7728499444</v>
      </c>
      <c r="K52" s="119" t="s">
        <v>287</v>
      </c>
      <c r="L52" s="114"/>
      <c r="M52" s="114" t="s">
        <v>282</v>
      </c>
      <c r="N52" s="140" t="s">
        <v>247</v>
      </c>
      <c r="O52" s="140" t="s">
        <v>283</v>
      </c>
      <c r="P52" s="116">
        <v>2625</v>
      </c>
      <c r="Q52" s="115" t="s">
        <v>284</v>
      </c>
      <c r="R52" s="114"/>
      <c r="S52" s="116"/>
      <c r="T52" s="116"/>
      <c r="U52" s="116"/>
      <c r="V52" s="120"/>
      <c r="W52" s="121"/>
      <c r="X52" s="85">
        <v>176</v>
      </c>
    </row>
    <row r="53" spans="1:24" x14ac:dyDescent="0.25">
      <c r="X53" s="2">
        <v>177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207">
    <mergeCell ref="W43:W44"/>
    <mergeCell ref="S2:U2"/>
    <mergeCell ref="F2:G2"/>
    <mergeCell ref="N2:O2"/>
    <mergeCell ref="A43:A44"/>
    <mergeCell ref="O43:O44"/>
    <mergeCell ref="U43:U44"/>
    <mergeCell ref="B43:B44"/>
    <mergeCell ref="V43:V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A22:A23"/>
    <mergeCell ref="O22:O23"/>
    <mergeCell ref="U22:U23"/>
    <mergeCell ref="B22:B23"/>
    <mergeCell ref="A19:A20"/>
    <mergeCell ref="O19:O20"/>
    <mergeCell ref="U19:U20"/>
    <mergeCell ref="B19:B20"/>
    <mergeCell ref="A17:A18"/>
    <mergeCell ref="O17:O18"/>
    <mergeCell ref="U17:U18"/>
    <mergeCell ref="V24:V25"/>
    <mergeCell ref="C24:C25"/>
    <mergeCell ref="W9:W16"/>
    <mergeCell ref="V22:V23"/>
    <mergeCell ref="C22:C23"/>
    <mergeCell ref="W22:W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H24:H25"/>
    <mergeCell ref="I24:I25"/>
    <mergeCell ref="J24:J25"/>
    <mergeCell ref="K24:K25"/>
    <mergeCell ref="L24:L25"/>
    <mergeCell ref="M24:M25"/>
    <mergeCell ref="A24:A25"/>
    <mergeCell ref="O24:O25"/>
    <mergeCell ref="U24:U25"/>
    <mergeCell ref="B24:B25"/>
    <mergeCell ref="A26:A27"/>
    <mergeCell ref="O26:O27"/>
    <mergeCell ref="U26:U27"/>
    <mergeCell ref="B26:B27"/>
    <mergeCell ref="V26:V27"/>
    <mergeCell ref="C26:C27"/>
    <mergeCell ref="V19:V20"/>
    <mergeCell ref="C19:C20"/>
    <mergeCell ref="W19:W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W24:W25"/>
    <mergeCell ref="D24:D25"/>
    <mergeCell ref="E24:E25"/>
    <mergeCell ref="F24:F25"/>
    <mergeCell ref="G24:G25"/>
    <mergeCell ref="W26:W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8:A29"/>
    <mergeCell ref="O28:O29"/>
    <mergeCell ref="U28:U29"/>
    <mergeCell ref="B28:B29"/>
    <mergeCell ref="V28:V29"/>
    <mergeCell ref="C28:C29"/>
    <mergeCell ref="W30:W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A30:A31"/>
    <mergeCell ref="O30:O31"/>
    <mergeCell ref="U30:U31"/>
    <mergeCell ref="B30:B31"/>
    <mergeCell ref="V30:V31"/>
    <mergeCell ref="C30:C31"/>
    <mergeCell ref="W28:W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W41:W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O41:O42"/>
    <mergeCell ref="U41:U42"/>
    <mergeCell ref="V41:V42"/>
    <mergeCell ref="B17:B18"/>
    <mergeCell ref="V17:V18"/>
    <mergeCell ref="C17:C18"/>
    <mergeCell ref="W17:W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A9:A16"/>
    <mergeCell ref="O9:O16"/>
    <mergeCell ref="U9:U16"/>
    <mergeCell ref="B9:B16"/>
    <mergeCell ref="V9:V16"/>
    <mergeCell ref="C9:C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W33:W40"/>
    <mergeCell ref="D33:D40"/>
    <mergeCell ref="A33:A40"/>
    <mergeCell ref="B33:B40"/>
    <mergeCell ref="C33:C40"/>
    <mergeCell ref="E33:E40"/>
    <mergeCell ref="F33:F40"/>
    <mergeCell ref="G33:G40"/>
    <mergeCell ref="H33:H40"/>
    <mergeCell ref="I33:I40"/>
    <mergeCell ref="J33:J40"/>
    <mergeCell ref="K33:K40"/>
    <mergeCell ref="L33:L40"/>
    <mergeCell ref="M33:M40"/>
    <mergeCell ref="A46:A47"/>
    <mergeCell ref="O46:O47"/>
    <mergeCell ref="U46:U47"/>
    <mergeCell ref="B46:B47"/>
    <mergeCell ref="V46:V47"/>
    <mergeCell ref="C46:C47"/>
    <mergeCell ref="O33:O40"/>
    <mergeCell ref="U33:U40"/>
    <mergeCell ref="V33:V40"/>
    <mergeCell ref="A41:A42"/>
    <mergeCell ref="B41:B42"/>
    <mergeCell ref="C41:C42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1"/>
  <sheetViews>
    <sheetView showGridLines="0" view="pageBreakPreview" topLeftCell="H1" zoomScale="60" zoomScaleNormal="50" workbookViewId="0">
      <pane ySplit="8" topLeftCell="A9" activePane="bottomLeft" state="frozen"/>
      <selection pane="bottomLeft" activeCell="L13" sqref="L13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269" t="s">
        <v>24</v>
      </c>
      <c r="F2" s="270"/>
      <c r="G2" s="80">
        <f>SUM(G9:G9999)</f>
        <v>1434561.11</v>
      </c>
      <c r="L2" s="279" t="s">
        <v>137</v>
      </c>
      <c r="M2" s="280"/>
      <c r="N2" s="69">
        <f>SUM(N9:N9999)</f>
        <v>734266.57000000007</v>
      </c>
      <c r="P2" s="68"/>
      <c r="Q2" s="213" t="s">
        <v>45</v>
      </c>
      <c r="R2" s="214"/>
      <c r="S2" s="215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249">
        <v>1</v>
      </c>
      <c r="B9" s="235"/>
      <c r="C9" s="235"/>
      <c r="D9" s="235" t="s">
        <v>148</v>
      </c>
      <c r="E9" s="237" t="s">
        <v>163</v>
      </c>
      <c r="F9" s="239" t="s">
        <v>149</v>
      </c>
      <c r="G9" s="241">
        <v>1434561.11</v>
      </c>
      <c r="H9" s="243">
        <f>IF(V9 = 6, G9 + SUM(Q9:Q10) - SUM(R9:R10) - SUM(N9:N10) - T9,0)</f>
        <v>700294.54</v>
      </c>
      <c r="I9" s="277">
        <v>2312054894</v>
      </c>
      <c r="J9" s="235" t="s">
        <v>146</v>
      </c>
      <c r="K9" s="235" t="s">
        <v>195</v>
      </c>
      <c r="L9" s="138" t="s">
        <v>222</v>
      </c>
      <c r="M9" s="235" t="s">
        <v>151</v>
      </c>
      <c r="N9" s="134">
        <v>368073.78</v>
      </c>
      <c r="O9" s="138" t="s">
        <v>259</v>
      </c>
      <c r="P9" s="135"/>
      <c r="Q9" s="134"/>
      <c r="R9" s="134"/>
      <c r="S9" s="239"/>
      <c r="T9" s="241"/>
      <c r="U9" s="233"/>
      <c r="V9" s="85">
        <v>6</v>
      </c>
    </row>
    <row r="10" spans="1:22" s="104" customFormat="1" x14ac:dyDescent="0.25">
      <c r="A10" s="250"/>
      <c r="B10" s="236"/>
      <c r="C10" s="236"/>
      <c r="D10" s="236"/>
      <c r="E10" s="238"/>
      <c r="F10" s="240"/>
      <c r="G10" s="242"/>
      <c r="H10" s="244"/>
      <c r="I10" s="278"/>
      <c r="J10" s="236"/>
      <c r="K10" s="236"/>
      <c r="L10" s="139" t="s">
        <v>261</v>
      </c>
      <c r="M10" s="236"/>
      <c r="N10" s="136">
        <v>366192.79</v>
      </c>
      <c r="O10" s="139" t="s">
        <v>262</v>
      </c>
      <c r="P10" s="137"/>
      <c r="Q10" s="136"/>
      <c r="R10" s="136"/>
      <c r="S10" s="240"/>
      <c r="T10" s="242"/>
      <c r="U10" s="234"/>
      <c r="V10" s="104">
        <v>6</v>
      </c>
    </row>
    <row r="11" spans="1:22" x14ac:dyDescent="0.25">
      <c r="V11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18">
    <mergeCell ref="Q2:S2"/>
    <mergeCell ref="E2:F2"/>
    <mergeCell ref="L2:M2"/>
    <mergeCell ref="A9:A10"/>
    <mergeCell ref="M9:M10"/>
    <mergeCell ref="S9:S10"/>
    <mergeCell ref="B9:B10"/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1"/>
  <sheetViews>
    <sheetView showGridLines="0" tabSelected="1" topLeftCell="J1" zoomScale="50" zoomScaleNormal="50" workbookViewId="0">
      <pane ySplit="8" topLeftCell="A9" activePane="bottomLeft" state="frozen"/>
      <selection pane="bottomLeft" activeCell="U14" sqref="U14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69" t="s">
        <v>139</v>
      </c>
      <c r="F2" s="270"/>
      <c r="G2" s="82">
        <f>SUM(G9:G10000)</f>
        <v>740880</v>
      </c>
      <c r="O2" s="269" t="s">
        <v>24</v>
      </c>
      <c r="P2" s="270"/>
      <c r="Q2" s="80">
        <f>SUM(Q9:Q10000)</f>
        <v>674200.8</v>
      </c>
      <c r="T2" s="213" t="s">
        <v>137</v>
      </c>
      <c r="U2" s="215"/>
      <c r="V2" s="69">
        <f>SUM(V9:V10000)</f>
        <v>270597.59999999998</v>
      </c>
      <c r="X2" s="68"/>
      <c r="Y2" s="213" t="s">
        <v>45</v>
      </c>
      <c r="Z2" s="214"/>
      <c r="AA2" s="215"/>
      <c r="AB2" s="70">
        <f>SUM(AB9:AB10000)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customHeight="1" x14ac:dyDescent="0.25">
      <c r="A9" s="208">
        <v>1</v>
      </c>
      <c r="B9" s="198"/>
      <c r="C9" s="198" t="s">
        <v>201</v>
      </c>
      <c r="D9" s="198" t="s">
        <v>205</v>
      </c>
      <c r="E9" s="198" t="s">
        <v>197</v>
      </c>
      <c r="F9" s="198" t="s">
        <v>198</v>
      </c>
      <c r="G9" s="204">
        <v>740880</v>
      </c>
      <c r="H9" s="206">
        <f>IF(AD9 = 1, G9 - Q9,0)</f>
        <v>66679.199999999953</v>
      </c>
      <c r="I9" s="204">
        <v>2</v>
      </c>
      <c r="J9" s="204">
        <v>0</v>
      </c>
      <c r="K9" s="198" t="s">
        <v>200</v>
      </c>
      <c r="L9" s="198" t="s">
        <v>204</v>
      </c>
      <c r="M9" s="198" t="s">
        <v>199</v>
      </c>
      <c r="N9" s="202">
        <v>45649</v>
      </c>
      <c r="O9" s="198" t="s">
        <v>156</v>
      </c>
      <c r="P9" s="198" t="s">
        <v>157</v>
      </c>
      <c r="Q9" s="204">
        <v>674200.8</v>
      </c>
      <c r="R9" s="206">
        <f>IF(AD9 = 1, Q9 + SUM(Y9:Y10) - SUM(Z9:Z10) - SUM(V9:V10) - AB9,0)</f>
        <v>403603.20000000007</v>
      </c>
      <c r="S9" s="198" t="s">
        <v>196</v>
      </c>
      <c r="T9" s="131" t="s">
        <v>210</v>
      </c>
      <c r="U9" s="200" t="s">
        <v>158</v>
      </c>
      <c r="V9" s="122">
        <v>142178.4</v>
      </c>
      <c r="W9" s="131" t="s">
        <v>292</v>
      </c>
      <c r="X9" s="124"/>
      <c r="Y9" s="122"/>
      <c r="Z9" s="122"/>
      <c r="AA9" s="200"/>
      <c r="AB9" s="204"/>
      <c r="AC9" s="198"/>
      <c r="AD9" s="85">
        <v>1</v>
      </c>
    </row>
    <row r="10" spans="1:30" s="104" customFormat="1" x14ac:dyDescent="0.25">
      <c r="A10" s="209"/>
      <c r="B10" s="199"/>
      <c r="C10" s="199"/>
      <c r="D10" s="199"/>
      <c r="E10" s="199"/>
      <c r="F10" s="199"/>
      <c r="G10" s="205"/>
      <c r="H10" s="207"/>
      <c r="I10" s="205"/>
      <c r="J10" s="205"/>
      <c r="K10" s="199"/>
      <c r="L10" s="199"/>
      <c r="M10" s="199"/>
      <c r="N10" s="203"/>
      <c r="O10" s="199"/>
      <c r="P10" s="199"/>
      <c r="Q10" s="205"/>
      <c r="R10" s="207"/>
      <c r="S10" s="199"/>
      <c r="T10" s="133" t="s">
        <v>291</v>
      </c>
      <c r="U10" s="201"/>
      <c r="V10" s="128">
        <v>128419.2</v>
      </c>
      <c r="W10" s="133" t="s">
        <v>262</v>
      </c>
      <c r="X10" s="130"/>
      <c r="Y10" s="128"/>
      <c r="Z10" s="128"/>
      <c r="AA10" s="201"/>
      <c r="AB10" s="205"/>
      <c r="AC10" s="199"/>
      <c r="AD10" s="104">
        <v>1</v>
      </c>
    </row>
    <row r="11" spans="1:30" x14ac:dyDescent="0.25">
      <c r="A11" s="97"/>
      <c r="B11" s="98"/>
      <c r="C11" s="98"/>
      <c r="D11" s="98"/>
      <c r="E11" s="98"/>
      <c r="F11" s="98"/>
      <c r="G11" s="101"/>
      <c r="H11" s="102">
        <f>IF(AD11 = 3, G11 - Q11,0)</f>
        <v>0</v>
      </c>
      <c r="I11" s="101"/>
      <c r="J11" s="101"/>
      <c r="K11" s="98"/>
      <c r="L11" s="98"/>
      <c r="M11" s="98"/>
      <c r="N11" s="100"/>
      <c r="O11" s="98"/>
      <c r="P11" s="98"/>
      <c r="Q11" s="101"/>
      <c r="R11" s="102">
        <f>IF(AD11 = 3, Q11 + SUM(Y11:Y11) - SUM(Z11:Z11) - SUM(V11:V11) - AB11,0)</f>
        <v>0</v>
      </c>
      <c r="S11" s="98"/>
      <c r="T11" s="100"/>
      <c r="U11" s="99"/>
      <c r="V11" s="101"/>
      <c r="W11" s="100"/>
      <c r="X11" s="98"/>
      <c r="Y11" s="101"/>
      <c r="Z11" s="101"/>
      <c r="AA11" s="99"/>
      <c r="AB11" s="101"/>
      <c r="AC11" s="98"/>
      <c r="AD11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27">
    <mergeCell ref="E2:F2"/>
    <mergeCell ref="O2:P2"/>
    <mergeCell ref="Y2:AA2"/>
    <mergeCell ref="T2:U2"/>
    <mergeCell ref="A9:A10"/>
    <mergeCell ref="U9:U10"/>
    <mergeCell ref="AA9:AA10"/>
    <mergeCell ref="B9:B10"/>
    <mergeCell ref="Q9:Q10"/>
    <mergeCell ref="R9:R10"/>
    <mergeCell ref="S9:S10"/>
    <mergeCell ref="AB9:AB10"/>
    <mergeCell ref="C9:C10"/>
    <mergeCell ref="AC9:A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24"/>
  <sheetViews>
    <sheetView showGridLines="0" topLeftCell="J1" zoomScale="50" zoomScaleNormal="50" workbookViewId="0">
      <pane ySplit="8" topLeftCell="A10" activePane="bottomLeft" state="frozen"/>
      <selection pane="bottomLeft" activeCell="V9" sqref="V9:V23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69" t="s">
        <v>139</v>
      </c>
      <c r="F2" s="270"/>
      <c r="G2" s="82">
        <f>SUM(G9:G10005)</f>
        <v>1539365.26</v>
      </c>
      <c r="H2" s="10"/>
      <c r="O2" s="269" t="s">
        <v>24</v>
      </c>
      <c r="P2" s="270"/>
      <c r="Q2" s="80">
        <f>SUM(Q9:Q10005)</f>
        <v>1539365.26</v>
      </c>
      <c r="T2" s="213" t="s">
        <v>137</v>
      </c>
      <c r="U2" s="215"/>
      <c r="V2" s="69">
        <f>SUM(V9:V10005)</f>
        <v>659783.93000000005</v>
      </c>
      <c r="X2" s="68"/>
      <c r="Y2" s="213" t="s">
        <v>45</v>
      </c>
      <c r="Z2" s="214"/>
      <c r="AA2" s="215"/>
      <c r="AB2" s="70">
        <f>SUM(AB9:AB10005)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0" customHeight="1" x14ac:dyDescent="0.25">
      <c r="A9" s="249">
        <v>1</v>
      </c>
      <c r="B9" s="235"/>
      <c r="C9" s="235" t="s">
        <v>201</v>
      </c>
      <c r="D9" s="235" t="s">
        <v>205</v>
      </c>
      <c r="E9" s="235" t="s">
        <v>203</v>
      </c>
      <c r="F9" s="235" t="s">
        <v>202</v>
      </c>
      <c r="G9" s="241">
        <v>1539365.26</v>
      </c>
      <c r="H9" s="243">
        <f>IF(AD9 = 1, G9 - Q9,0)</f>
        <v>0</v>
      </c>
      <c r="I9" s="241">
        <v>1</v>
      </c>
      <c r="J9" s="241"/>
      <c r="K9" s="235" t="s">
        <v>200</v>
      </c>
      <c r="L9" s="235" t="s">
        <v>204</v>
      </c>
      <c r="M9" s="235" t="s">
        <v>206</v>
      </c>
      <c r="N9" s="237">
        <v>45642</v>
      </c>
      <c r="O9" s="235" t="s">
        <v>207</v>
      </c>
      <c r="P9" s="235" t="s">
        <v>208</v>
      </c>
      <c r="Q9" s="241">
        <v>1539365.26</v>
      </c>
      <c r="R9" s="243">
        <f>IF(AD9 = 1, Q9 + SUM(Y9:Y23) - SUM(Z9:Z23) - SUM(V9:V23) - AB9,0)</f>
        <v>879581.33</v>
      </c>
      <c r="S9" s="235"/>
      <c r="T9" s="138" t="s">
        <v>255</v>
      </c>
      <c r="U9" s="235" t="s">
        <v>209</v>
      </c>
      <c r="V9" s="134">
        <v>28490</v>
      </c>
      <c r="W9" s="138" t="s">
        <v>237</v>
      </c>
      <c r="X9" s="141"/>
      <c r="Y9" s="134"/>
      <c r="Z9" s="134"/>
      <c r="AA9" s="235"/>
      <c r="AB9" s="241"/>
      <c r="AC9" s="233"/>
      <c r="AD9" s="85">
        <v>1</v>
      </c>
    </row>
    <row r="10" spans="1:30" s="104" customFormat="1" x14ac:dyDescent="0.25">
      <c r="A10" s="286"/>
      <c r="B10" s="281"/>
      <c r="C10" s="281"/>
      <c r="D10" s="281"/>
      <c r="E10" s="281"/>
      <c r="F10" s="281"/>
      <c r="G10" s="282"/>
      <c r="H10" s="283"/>
      <c r="I10" s="282"/>
      <c r="J10" s="282"/>
      <c r="K10" s="281"/>
      <c r="L10" s="281"/>
      <c r="M10" s="281"/>
      <c r="N10" s="285"/>
      <c r="O10" s="281"/>
      <c r="P10" s="281"/>
      <c r="Q10" s="282"/>
      <c r="R10" s="283"/>
      <c r="S10" s="281"/>
      <c r="T10" s="145" t="s">
        <v>256</v>
      </c>
      <c r="U10" s="281"/>
      <c r="V10" s="143">
        <v>39375</v>
      </c>
      <c r="W10" s="145" t="s">
        <v>237</v>
      </c>
      <c r="X10" s="144"/>
      <c r="Y10" s="143"/>
      <c r="Z10" s="143"/>
      <c r="AA10" s="281"/>
      <c r="AB10" s="282"/>
      <c r="AC10" s="284"/>
      <c r="AD10" s="104">
        <v>1</v>
      </c>
    </row>
    <row r="11" spans="1:30" s="104" customFormat="1" x14ac:dyDescent="0.25">
      <c r="A11" s="286"/>
      <c r="B11" s="281"/>
      <c r="C11" s="281"/>
      <c r="D11" s="281"/>
      <c r="E11" s="281"/>
      <c r="F11" s="281"/>
      <c r="G11" s="282"/>
      <c r="H11" s="283"/>
      <c r="I11" s="282"/>
      <c r="J11" s="282"/>
      <c r="K11" s="281"/>
      <c r="L11" s="281"/>
      <c r="M11" s="281"/>
      <c r="N11" s="285"/>
      <c r="O11" s="281"/>
      <c r="P11" s="281"/>
      <c r="Q11" s="282"/>
      <c r="R11" s="283"/>
      <c r="S11" s="281"/>
      <c r="T11" s="145" t="s">
        <v>256</v>
      </c>
      <c r="U11" s="281"/>
      <c r="V11" s="143">
        <v>122320.95</v>
      </c>
      <c r="W11" s="145" t="s">
        <v>250</v>
      </c>
      <c r="X11" s="144"/>
      <c r="Y11" s="143"/>
      <c r="Z11" s="143"/>
      <c r="AA11" s="281"/>
      <c r="AB11" s="282"/>
      <c r="AC11" s="284"/>
      <c r="AD11" s="104">
        <v>1</v>
      </c>
    </row>
    <row r="12" spans="1:30" s="104" customFormat="1" x14ac:dyDescent="0.25">
      <c r="A12" s="286"/>
      <c r="B12" s="281"/>
      <c r="C12" s="281"/>
      <c r="D12" s="281"/>
      <c r="E12" s="281"/>
      <c r="F12" s="281"/>
      <c r="G12" s="282"/>
      <c r="H12" s="283"/>
      <c r="I12" s="282"/>
      <c r="J12" s="282"/>
      <c r="K12" s="281"/>
      <c r="L12" s="281"/>
      <c r="M12" s="281"/>
      <c r="N12" s="285"/>
      <c r="O12" s="281"/>
      <c r="P12" s="281"/>
      <c r="Q12" s="282"/>
      <c r="R12" s="283"/>
      <c r="S12" s="281"/>
      <c r="T12" s="145" t="s">
        <v>256</v>
      </c>
      <c r="U12" s="281"/>
      <c r="V12" s="143">
        <v>7807.8</v>
      </c>
      <c r="W12" s="145" t="s">
        <v>250</v>
      </c>
      <c r="X12" s="144"/>
      <c r="Y12" s="143"/>
      <c r="Z12" s="143"/>
      <c r="AA12" s="281"/>
      <c r="AB12" s="282"/>
      <c r="AC12" s="284"/>
      <c r="AD12" s="104">
        <v>1</v>
      </c>
    </row>
    <row r="13" spans="1:30" s="104" customFormat="1" x14ac:dyDescent="0.25">
      <c r="A13" s="286"/>
      <c r="B13" s="281"/>
      <c r="C13" s="281"/>
      <c r="D13" s="281"/>
      <c r="E13" s="281"/>
      <c r="F13" s="281"/>
      <c r="G13" s="282"/>
      <c r="H13" s="283"/>
      <c r="I13" s="282"/>
      <c r="J13" s="282"/>
      <c r="K13" s="281"/>
      <c r="L13" s="281"/>
      <c r="M13" s="281"/>
      <c r="N13" s="285"/>
      <c r="O13" s="281"/>
      <c r="P13" s="281"/>
      <c r="Q13" s="282"/>
      <c r="R13" s="283"/>
      <c r="S13" s="281"/>
      <c r="T13" s="145" t="s">
        <v>255</v>
      </c>
      <c r="U13" s="281"/>
      <c r="V13" s="143">
        <v>88506</v>
      </c>
      <c r="W13" s="145" t="s">
        <v>250</v>
      </c>
      <c r="X13" s="144"/>
      <c r="Y13" s="143"/>
      <c r="Z13" s="143"/>
      <c r="AA13" s="281"/>
      <c r="AB13" s="282"/>
      <c r="AC13" s="284"/>
      <c r="AD13" s="104">
        <v>1</v>
      </c>
    </row>
    <row r="14" spans="1:30" s="104" customFormat="1" x14ac:dyDescent="0.25">
      <c r="A14" s="286"/>
      <c r="B14" s="281"/>
      <c r="C14" s="281"/>
      <c r="D14" s="281"/>
      <c r="E14" s="281"/>
      <c r="F14" s="281"/>
      <c r="G14" s="282"/>
      <c r="H14" s="283"/>
      <c r="I14" s="282"/>
      <c r="J14" s="282"/>
      <c r="K14" s="281"/>
      <c r="L14" s="281"/>
      <c r="M14" s="281"/>
      <c r="N14" s="285"/>
      <c r="O14" s="281"/>
      <c r="P14" s="281"/>
      <c r="Q14" s="282"/>
      <c r="R14" s="283"/>
      <c r="S14" s="281"/>
      <c r="T14" s="145" t="s">
        <v>255</v>
      </c>
      <c r="U14" s="281"/>
      <c r="V14" s="143">
        <v>5649.38</v>
      </c>
      <c r="W14" s="145" t="s">
        <v>250</v>
      </c>
      <c r="X14" s="144"/>
      <c r="Y14" s="143"/>
      <c r="Z14" s="143"/>
      <c r="AA14" s="281"/>
      <c r="AB14" s="282"/>
      <c r="AC14" s="284"/>
      <c r="AD14" s="104">
        <v>1</v>
      </c>
    </row>
    <row r="15" spans="1:30" s="104" customFormat="1" x14ac:dyDescent="0.25">
      <c r="A15" s="286"/>
      <c r="B15" s="281"/>
      <c r="C15" s="281"/>
      <c r="D15" s="281"/>
      <c r="E15" s="281"/>
      <c r="F15" s="281"/>
      <c r="G15" s="282"/>
      <c r="H15" s="283"/>
      <c r="I15" s="282"/>
      <c r="J15" s="282"/>
      <c r="K15" s="281"/>
      <c r="L15" s="281"/>
      <c r="M15" s="281"/>
      <c r="N15" s="285"/>
      <c r="O15" s="281"/>
      <c r="P15" s="281"/>
      <c r="Q15" s="282"/>
      <c r="R15" s="283"/>
      <c r="S15" s="281"/>
      <c r="T15" s="145" t="s">
        <v>257</v>
      </c>
      <c r="U15" s="281"/>
      <c r="V15" s="143">
        <v>7065.19</v>
      </c>
      <c r="W15" s="145" t="s">
        <v>247</v>
      </c>
      <c r="X15" s="144"/>
      <c r="Y15" s="143"/>
      <c r="Z15" s="143"/>
      <c r="AA15" s="281"/>
      <c r="AB15" s="282"/>
      <c r="AC15" s="284"/>
      <c r="AD15" s="104">
        <v>1</v>
      </c>
    </row>
    <row r="16" spans="1:30" s="104" customFormat="1" x14ac:dyDescent="0.25">
      <c r="A16" s="286"/>
      <c r="B16" s="281"/>
      <c r="C16" s="281"/>
      <c r="D16" s="281"/>
      <c r="E16" s="281"/>
      <c r="F16" s="281"/>
      <c r="G16" s="282"/>
      <c r="H16" s="283"/>
      <c r="I16" s="282"/>
      <c r="J16" s="282"/>
      <c r="K16" s="281"/>
      <c r="L16" s="281"/>
      <c r="M16" s="281"/>
      <c r="N16" s="285"/>
      <c r="O16" s="281"/>
      <c r="P16" s="281"/>
      <c r="Q16" s="282"/>
      <c r="R16" s="283"/>
      <c r="S16" s="281"/>
      <c r="T16" s="145" t="s">
        <v>257</v>
      </c>
      <c r="U16" s="281"/>
      <c r="V16" s="143">
        <v>110686.87</v>
      </c>
      <c r="W16" s="145" t="s">
        <v>247</v>
      </c>
      <c r="X16" s="144"/>
      <c r="Y16" s="143"/>
      <c r="Z16" s="143"/>
      <c r="AA16" s="281"/>
      <c r="AB16" s="282"/>
      <c r="AC16" s="284"/>
      <c r="AD16" s="104">
        <v>1</v>
      </c>
    </row>
    <row r="17" spans="1:30" s="104" customFormat="1" x14ac:dyDescent="0.25">
      <c r="A17" s="286"/>
      <c r="B17" s="281"/>
      <c r="C17" s="281"/>
      <c r="D17" s="281"/>
      <c r="E17" s="281"/>
      <c r="F17" s="281"/>
      <c r="G17" s="282"/>
      <c r="H17" s="283"/>
      <c r="I17" s="282"/>
      <c r="J17" s="282"/>
      <c r="K17" s="281"/>
      <c r="L17" s="281"/>
      <c r="M17" s="281"/>
      <c r="N17" s="285"/>
      <c r="O17" s="281"/>
      <c r="P17" s="281"/>
      <c r="Q17" s="282"/>
      <c r="R17" s="283"/>
      <c r="S17" s="281"/>
      <c r="T17" s="145" t="s">
        <v>257</v>
      </c>
      <c r="U17" s="281"/>
      <c r="V17" s="143">
        <v>35630</v>
      </c>
      <c r="W17" s="145" t="s">
        <v>247</v>
      </c>
      <c r="X17" s="144"/>
      <c r="Y17" s="143"/>
      <c r="Z17" s="143"/>
      <c r="AA17" s="281"/>
      <c r="AB17" s="282"/>
      <c r="AC17" s="284"/>
      <c r="AD17" s="104">
        <v>1</v>
      </c>
    </row>
    <row r="18" spans="1:30" s="104" customFormat="1" x14ac:dyDescent="0.25">
      <c r="A18" s="286"/>
      <c r="B18" s="281"/>
      <c r="C18" s="281"/>
      <c r="D18" s="281"/>
      <c r="E18" s="281"/>
      <c r="F18" s="281"/>
      <c r="G18" s="282"/>
      <c r="H18" s="283"/>
      <c r="I18" s="282"/>
      <c r="J18" s="282"/>
      <c r="K18" s="281"/>
      <c r="L18" s="281"/>
      <c r="M18" s="281"/>
      <c r="N18" s="285"/>
      <c r="O18" s="281"/>
      <c r="P18" s="281"/>
      <c r="Q18" s="282"/>
      <c r="R18" s="283"/>
      <c r="S18" s="281"/>
      <c r="T18" s="145" t="s">
        <v>288</v>
      </c>
      <c r="U18" s="281"/>
      <c r="V18" s="143">
        <v>4608.34</v>
      </c>
      <c r="W18" s="145" t="s">
        <v>263</v>
      </c>
      <c r="X18" s="144"/>
      <c r="Y18" s="143"/>
      <c r="Z18" s="143"/>
      <c r="AA18" s="281"/>
      <c r="AB18" s="282"/>
      <c r="AC18" s="284"/>
      <c r="AD18" s="104">
        <v>1</v>
      </c>
    </row>
    <row r="19" spans="1:30" s="104" customFormat="1" x14ac:dyDescent="0.25">
      <c r="A19" s="286"/>
      <c r="B19" s="281"/>
      <c r="C19" s="281"/>
      <c r="D19" s="281"/>
      <c r="E19" s="281"/>
      <c r="F19" s="281"/>
      <c r="G19" s="282"/>
      <c r="H19" s="283"/>
      <c r="I19" s="282"/>
      <c r="J19" s="282"/>
      <c r="K19" s="281"/>
      <c r="L19" s="281"/>
      <c r="M19" s="281"/>
      <c r="N19" s="285"/>
      <c r="O19" s="281"/>
      <c r="P19" s="281"/>
      <c r="Q19" s="282"/>
      <c r="R19" s="283"/>
      <c r="S19" s="281"/>
      <c r="T19" s="145" t="s">
        <v>288</v>
      </c>
      <c r="U19" s="281"/>
      <c r="V19" s="143">
        <v>72196.539999999994</v>
      </c>
      <c r="W19" s="145" t="s">
        <v>263</v>
      </c>
      <c r="X19" s="144"/>
      <c r="Y19" s="143"/>
      <c r="Z19" s="143"/>
      <c r="AA19" s="281"/>
      <c r="AB19" s="282"/>
      <c r="AC19" s="284"/>
      <c r="AD19" s="104">
        <v>1</v>
      </c>
    </row>
    <row r="20" spans="1:30" s="104" customFormat="1" x14ac:dyDescent="0.25">
      <c r="A20" s="286"/>
      <c r="B20" s="281"/>
      <c r="C20" s="281"/>
      <c r="D20" s="281"/>
      <c r="E20" s="281"/>
      <c r="F20" s="281"/>
      <c r="G20" s="282"/>
      <c r="H20" s="283"/>
      <c r="I20" s="282"/>
      <c r="J20" s="282"/>
      <c r="K20" s="281"/>
      <c r="L20" s="281"/>
      <c r="M20" s="281"/>
      <c r="N20" s="285"/>
      <c r="O20" s="281"/>
      <c r="P20" s="281"/>
      <c r="Q20" s="282"/>
      <c r="R20" s="283"/>
      <c r="S20" s="281"/>
      <c r="T20" s="145" t="s">
        <v>288</v>
      </c>
      <c r="U20" s="281"/>
      <c r="V20" s="143">
        <v>23240</v>
      </c>
      <c r="W20" s="145" t="s">
        <v>263</v>
      </c>
      <c r="X20" s="144"/>
      <c r="Y20" s="143"/>
      <c r="Z20" s="143"/>
      <c r="AA20" s="281"/>
      <c r="AB20" s="282"/>
      <c r="AC20" s="284"/>
      <c r="AD20" s="104">
        <v>1</v>
      </c>
    </row>
    <row r="21" spans="1:30" s="104" customFormat="1" x14ac:dyDescent="0.25">
      <c r="A21" s="286"/>
      <c r="B21" s="281"/>
      <c r="C21" s="281"/>
      <c r="D21" s="281"/>
      <c r="E21" s="281"/>
      <c r="F21" s="281"/>
      <c r="G21" s="282"/>
      <c r="H21" s="283"/>
      <c r="I21" s="282"/>
      <c r="J21" s="282"/>
      <c r="K21" s="281"/>
      <c r="L21" s="281"/>
      <c r="M21" s="281"/>
      <c r="N21" s="285"/>
      <c r="O21" s="281"/>
      <c r="P21" s="281"/>
      <c r="Q21" s="282"/>
      <c r="R21" s="283"/>
      <c r="S21" s="281"/>
      <c r="T21" s="145" t="s">
        <v>289</v>
      </c>
      <c r="U21" s="281"/>
      <c r="V21" s="143">
        <v>26530</v>
      </c>
      <c r="W21" s="145" t="s">
        <v>290</v>
      </c>
      <c r="X21" s="144"/>
      <c r="Y21" s="143"/>
      <c r="Z21" s="143"/>
      <c r="AA21" s="281"/>
      <c r="AB21" s="282"/>
      <c r="AC21" s="284"/>
      <c r="AD21" s="104">
        <v>1</v>
      </c>
    </row>
    <row r="22" spans="1:30" s="104" customFormat="1" x14ac:dyDescent="0.25">
      <c r="A22" s="286"/>
      <c r="B22" s="281"/>
      <c r="C22" s="281"/>
      <c r="D22" s="281"/>
      <c r="E22" s="281"/>
      <c r="F22" s="281"/>
      <c r="G22" s="282"/>
      <c r="H22" s="283"/>
      <c r="I22" s="282"/>
      <c r="J22" s="282"/>
      <c r="K22" s="281"/>
      <c r="L22" s="281"/>
      <c r="M22" s="281"/>
      <c r="N22" s="285"/>
      <c r="O22" s="281"/>
      <c r="P22" s="281"/>
      <c r="Q22" s="282"/>
      <c r="R22" s="283"/>
      <c r="S22" s="281"/>
      <c r="T22" s="145" t="s">
        <v>289</v>
      </c>
      <c r="U22" s="281"/>
      <c r="V22" s="143">
        <v>82417.14</v>
      </c>
      <c r="W22" s="145" t="s">
        <v>290</v>
      </c>
      <c r="X22" s="144"/>
      <c r="Y22" s="143"/>
      <c r="Z22" s="143"/>
      <c r="AA22" s="281"/>
      <c r="AB22" s="282"/>
      <c r="AC22" s="284"/>
      <c r="AD22" s="104">
        <v>1</v>
      </c>
    </row>
    <row r="23" spans="1:30" s="104" customFormat="1" x14ac:dyDescent="0.25">
      <c r="A23" s="250"/>
      <c r="B23" s="236"/>
      <c r="C23" s="236"/>
      <c r="D23" s="236"/>
      <c r="E23" s="236"/>
      <c r="F23" s="236"/>
      <c r="G23" s="242"/>
      <c r="H23" s="244"/>
      <c r="I23" s="242"/>
      <c r="J23" s="242"/>
      <c r="K23" s="236"/>
      <c r="L23" s="236"/>
      <c r="M23" s="236"/>
      <c r="N23" s="238"/>
      <c r="O23" s="236"/>
      <c r="P23" s="236"/>
      <c r="Q23" s="242"/>
      <c r="R23" s="244"/>
      <c r="S23" s="236"/>
      <c r="T23" s="139" t="s">
        <v>289</v>
      </c>
      <c r="U23" s="236"/>
      <c r="V23" s="136">
        <v>5260.72</v>
      </c>
      <c r="W23" s="139" t="s">
        <v>290</v>
      </c>
      <c r="X23" s="142"/>
      <c r="Y23" s="136"/>
      <c r="Z23" s="136"/>
      <c r="AA23" s="236"/>
      <c r="AB23" s="242"/>
      <c r="AC23" s="234"/>
      <c r="AD23" s="104">
        <v>1</v>
      </c>
    </row>
    <row r="24" spans="1:30" x14ac:dyDescent="0.25">
      <c r="AD24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27">
    <mergeCell ref="A9:A23"/>
    <mergeCell ref="U9:U23"/>
    <mergeCell ref="E2:F2"/>
    <mergeCell ref="O2:P2"/>
    <mergeCell ref="Y2:AA2"/>
    <mergeCell ref="T2:U2"/>
    <mergeCell ref="AA9:AA23"/>
    <mergeCell ref="B9:B23"/>
    <mergeCell ref="AB9:AB23"/>
    <mergeCell ref="C9:C23"/>
    <mergeCell ref="AC9:AC23"/>
    <mergeCell ref="D9:D23"/>
    <mergeCell ref="E9:E23"/>
    <mergeCell ref="F9:F23"/>
    <mergeCell ref="G9:G23"/>
    <mergeCell ref="H9:H23"/>
    <mergeCell ref="I9:I23"/>
    <mergeCell ref="J9:J23"/>
    <mergeCell ref="K9:K23"/>
    <mergeCell ref="L9:L23"/>
    <mergeCell ref="M9:M23"/>
    <mergeCell ref="N9:N23"/>
    <mergeCell ref="O9:O23"/>
    <mergeCell ref="P9:P23"/>
    <mergeCell ref="Q9:Q23"/>
    <mergeCell ref="R9:R23"/>
    <mergeCell ref="S9:S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269" t="s">
        <v>139</v>
      </c>
      <c r="F2" s="270"/>
      <c r="G2" s="82">
        <f>SUM(G9:G9999)</f>
        <v>0</v>
      </c>
      <c r="H2" s="10"/>
      <c r="O2" s="269" t="s">
        <v>24</v>
      </c>
      <c r="P2" s="270"/>
      <c r="Q2" s="80">
        <f>SUM(Q9:Q9999)</f>
        <v>0</v>
      </c>
      <c r="T2" s="213" t="s">
        <v>137</v>
      </c>
      <c r="U2" s="215"/>
      <c r="V2" s="69">
        <f>SUM(V9:V9999)</f>
        <v>0</v>
      </c>
      <c r="X2" s="68"/>
      <c r="Y2" s="213" t="s">
        <v>45</v>
      </c>
      <c r="Z2" s="214"/>
      <c r="AA2" s="215"/>
      <c r="AB2" s="70">
        <f>SUM(AB9:AB9999)</f>
        <v>0</v>
      </c>
    </row>
    <row r="4" spans="1:30" ht="39.950000000000003" customHeight="1" x14ac:dyDescent="0.25">
      <c r="P4" s="212"/>
      <c r="Q4" s="212"/>
      <c r="R4" s="212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25">
      <c r="M9" s="3"/>
      <c r="AD9" s="2">
        <v>10</v>
      </c>
    </row>
    <row r="10" spans="1:30" x14ac:dyDescent="0.25">
      <c r="M10" s="3"/>
    </row>
    <row r="11" spans="1:30" x14ac:dyDescent="0.25">
      <c r="M11" s="3"/>
    </row>
    <row r="12" spans="1:30" x14ac:dyDescent="0.25">
      <c r="M12" s="3"/>
    </row>
    <row r="13" spans="1:30" x14ac:dyDescent="0.25">
      <c r="M13" s="3"/>
    </row>
    <row r="14" spans="1:30" x14ac:dyDescent="0.25">
      <c r="M14" s="3"/>
    </row>
    <row r="15" spans="1:30" x14ac:dyDescent="0.25">
      <c r="M15" s="3"/>
    </row>
    <row r="16" spans="1:30" x14ac:dyDescent="0.25">
      <c r="M16" s="3"/>
    </row>
    <row r="17" spans="13:13" x14ac:dyDescent="0.25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17</v>
      </c>
      <c r="B1" s="47">
        <v>6</v>
      </c>
      <c r="C1" s="47">
        <v>9</v>
      </c>
      <c r="D1" s="289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290"/>
      <c r="E2" s="32"/>
      <c r="F2" s="62">
        <v>150</v>
      </c>
      <c r="G2" s="66">
        <v>176</v>
      </c>
      <c r="H2" s="65">
        <v>9</v>
      </c>
      <c r="I2" s="64">
        <v>2</v>
      </c>
      <c r="J2" s="63">
        <v>1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52</v>
      </c>
      <c r="B4" s="44">
        <v>20</v>
      </c>
      <c r="C4" s="44">
        <v>9</v>
      </c>
      <c r="D4" s="291" t="s">
        <v>102</v>
      </c>
      <c r="E4" s="32"/>
      <c r="F4" s="62">
        <v>151</v>
      </c>
      <c r="G4" s="66">
        <v>177</v>
      </c>
      <c r="H4" s="65">
        <v>10</v>
      </c>
      <c r="I4" s="64">
        <v>3</v>
      </c>
      <c r="J4" s="63">
        <v>2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292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10</v>
      </c>
      <c r="B7" s="46">
        <v>1</v>
      </c>
      <c r="C7" s="46">
        <v>9</v>
      </c>
      <c r="D7" s="293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294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10</v>
      </c>
      <c r="B10" s="42">
        <v>1</v>
      </c>
      <c r="C10" s="42">
        <v>9</v>
      </c>
      <c r="D10" s="295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296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23</v>
      </c>
      <c r="B13" s="40">
        <v>1</v>
      </c>
      <c r="C13" s="40">
        <v>9</v>
      </c>
      <c r="D13" s="297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298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</v>
      </c>
      <c r="B16" s="38">
        <v>0</v>
      </c>
      <c r="C16" s="38">
        <v>9</v>
      </c>
      <c r="D16" s="287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288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2025-04-04T08:50:52Z</dcterms:modified>
</cp:coreProperties>
</file>