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-105" yWindow="-105" windowWidth="20730" windowHeight="11760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44525" iterate="1"/>
</workbook>
</file>

<file path=xl/calcChain.xml><?xml version="1.0" encoding="utf-8"?>
<calcChain xmlns="http://schemas.openxmlformats.org/spreadsheetml/2006/main">
  <c r="H2" i="27" l="1"/>
  <c r="P2" i="27"/>
  <c r="V2" i="27"/>
  <c r="G2" i="17" l="1"/>
  <c r="Q2" i="17"/>
  <c r="V2" i="17"/>
  <c r="AB2" i="17"/>
  <c r="G2" i="20"/>
  <c r="Q2" i="20"/>
  <c r="V2" i="20"/>
  <c r="AB2" i="20"/>
  <c r="G2" i="22"/>
  <c r="Q2" i="22"/>
  <c r="V2" i="22"/>
  <c r="AB2" i="22"/>
  <c r="G2" i="19"/>
  <c r="N2" i="19"/>
  <c r="T2" i="19"/>
  <c r="I240" i="31" l="1"/>
  <c r="I239" i="31"/>
  <c r="H2" i="31"/>
  <c r="P2" i="31"/>
  <c r="V2" i="31"/>
  <c r="I238" i="31"/>
  <c r="H13" i="19"/>
  <c r="I237" i="31"/>
  <c r="I236" i="31"/>
  <c r="I104" i="27"/>
  <c r="I103" i="27"/>
  <c r="H32" i="20"/>
  <c r="R32" i="20"/>
  <c r="I23" i="27"/>
  <c r="I223" i="31"/>
  <c r="I90" i="31"/>
  <c r="I216" i="31"/>
  <c r="I126" i="31"/>
  <c r="I43" i="27"/>
  <c r="I177" i="31"/>
  <c r="I54" i="31"/>
  <c r="I140" i="31"/>
  <c r="I36" i="31"/>
  <c r="H9" i="20"/>
  <c r="R9" i="20"/>
  <c r="I66" i="31"/>
  <c r="I78" i="31"/>
  <c r="I9" i="31"/>
  <c r="I229" i="31"/>
  <c r="I78" i="27"/>
  <c r="I82" i="27"/>
  <c r="I182" i="31"/>
  <c r="I75" i="27"/>
  <c r="I234" i="31"/>
  <c r="I100" i="27"/>
  <c r="I207" i="31"/>
  <c r="I191" i="31"/>
  <c r="I90" i="27"/>
  <c r="I102" i="27"/>
  <c r="I228" i="31"/>
  <c r="I227" i="31"/>
  <c r="I99" i="27"/>
  <c r="H9" i="19"/>
  <c r="I219" i="31"/>
  <c r="I92" i="27"/>
  <c r="I222" i="31"/>
  <c r="I221" i="31"/>
  <c r="I98" i="27"/>
  <c r="I97" i="27"/>
  <c r="I96" i="27"/>
  <c r="I95" i="27"/>
  <c r="I94" i="27"/>
  <c r="I215" i="31"/>
  <c r="I174" i="31" l="1"/>
  <c r="I157" i="31"/>
  <c r="I181" i="31"/>
  <c r="I74" i="27"/>
  <c r="I176" i="31"/>
  <c r="I73" i="27"/>
  <c r="I72" i="27"/>
  <c r="I70" i="27"/>
  <c r="I171" i="31"/>
  <c r="I173" i="31" l="1"/>
  <c r="I170" i="31"/>
  <c r="I69" i="27"/>
  <c r="I68" i="27"/>
  <c r="I39" i="27"/>
  <c r="I166" i="31"/>
  <c r="I169" i="31"/>
  <c r="I67" i="27"/>
  <c r="I66" i="27"/>
  <c r="I168" i="31"/>
  <c r="I165" i="31"/>
  <c r="I65" i="27"/>
  <c r="I37" i="27"/>
  <c r="I63" i="27"/>
  <c r="I62" i="27"/>
  <c r="I150" i="31"/>
  <c r="I12" i="27"/>
  <c r="I27" i="27"/>
  <c r="I61" i="27"/>
  <c r="I162" i="31"/>
  <c r="I164" i="31"/>
  <c r="I161" i="31"/>
  <c r="I60" i="27"/>
  <c r="I59" i="27"/>
  <c r="I58" i="27"/>
  <c r="I57" i="27"/>
  <c r="I56" i="27"/>
  <c r="I55" i="27"/>
  <c r="I54" i="27"/>
  <c r="I53" i="27"/>
  <c r="H17" i="20"/>
  <c r="R17" i="20"/>
  <c r="I156" i="31"/>
  <c r="I52" i="27"/>
  <c r="I42" i="27"/>
  <c r="I155" i="31"/>
  <c r="I38" i="27"/>
  <c r="I154" i="31"/>
  <c r="I146" i="31"/>
  <c r="I144" i="31"/>
  <c r="I50" i="31"/>
  <c r="I48" i="31"/>
  <c r="I116" i="31" l="1"/>
  <c r="I111" i="31"/>
  <c r="I139" i="31"/>
  <c r="I138" i="31"/>
  <c r="I22" i="27" l="1"/>
  <c r="I11" i="27"/>
  <c r="I10" i="27"/>
  <c r="I110" i="31"/>
  <c r="I53" i="31" l="1"/>
  <c r="I9" i="27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<sst xmlns="http://schemas.openxmlformats.org/spreadsheetml/2006/main" count="1528" uniqueCount="727">
  <si>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</si>
  <si>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</si>
  <si>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</si>
  <si>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</si>
  <si>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</si>
  <si>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</si>
  <si>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</si>
  <si>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</si>
  <si>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</si>
  <si>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</si>
  <si>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</si>
  <si>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</si>
  <si>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</si>
  <si>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</si>
  <si>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</si>
  <si>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</si>
  <si>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</si>
  <si>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</si>
  <si>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</si>
  <si>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</si>
  <si>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</si>
  <si>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</si>
  <si>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</si>
  <si>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</si>
  <si>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</si>
  <si>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</si>
  <si>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</si>
  <si>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</si>
  <si>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</si>
  <si>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</si>
  <si>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</si>
  <si>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</si>
  <si>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</si>
  <si>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</si>
  <si>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</si>
  <si>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</si>
  <si>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</si>
  <si>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</si>
  <si>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</si>
  <si>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</si>
  <si>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</si>
  <si>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</si>
  <si>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</si>
  <si>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</si>
  <si>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</si>
  <si>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</si>
  <si>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</si>
  <si>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</si>
  <si>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</si>
  <si>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</si>
  <si>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</si>
  <si>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</si>
  <si>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</si>
  <si>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</si>
  <si>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</si>
  <si>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</si>
  <si>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</si>
  <si>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</si>
  <si>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</si>
  <si>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</si>
  <si>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</si>
  <si>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</si>
  <si>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</si>
  <si>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</si>
  <si>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</si>
  <si>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</si>
  <si>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</si>
  <si>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</si>
  <si>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</si>
  <si>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</si>
  <si>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</si>
  <si>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</si>
  <si>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</si>
  <si>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</si>
  <si>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</si>
  <si>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</si>
  <si>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</si>
  <si>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</si>
  <si>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</si>
  <si>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</si>
  <si>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</si>
  <si>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</si>
  <si>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</si>
  <si>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</si>
  <si>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</si>
  <si>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</si>
  <si>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</si>
  <si>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</si>
  <si>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</si>
  <si>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</si>
  <si>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</si>
  <si>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</si>
  <si>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</si>
  <si>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</si>
  <si>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</si>
  <si>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</si>
  <si>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</si>
  <si>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</si>
  <si>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</si>
  <si>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</si>
  <si>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</si>
  <si>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</si>
  <si>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</si>
  <si>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</si>
  <si>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</si>
  <si>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</si>
  <si>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</si>
  <si>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</si>
  <si>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</si>
  <si>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</si>
  <si>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</si>
  <si>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</si>
  <si>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</si>
  <si>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</si>
  <si>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</si>
  <si>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</si>
  <si>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</si>
  <si>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</si>
  <si>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</si>
  <si>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</si>
  <si>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</si>
  <si>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</si>
  <si>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</si>
  <si>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</si>
  <si>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</si>
  <si>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</si>
  <si>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</si>
  <si>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</si>
  <si>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</si>
  <si>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</si>
  <si>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</si>
  <si>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</si>
  <si>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</si>
  <si>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</si>
  <si>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</si>
  <si>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</si>
  <si>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</si>
  <si>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</si>
  <si>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</si>
  <si>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</si>
  <si>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</si>
  <si>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</si>
  <si>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</si>
  <si>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</si>
  <si>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</si>
  <si>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</si>
  <si>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№23070500354</t>
  </si>
  <si>
    <t>электрическая энергия</t>
  </si>
  <si>
    <t>ПАО "ТНС энерго Кубань"</t>
  </si>
  <si>
    <t>30% до 10 числа месяца, 40% до 25 числа месяца, до 18 числа месяца</t>
  </si>
  <si>
    <t>с 01.01.2022г. по 31.12.2022г.</t>
  </si>
  <si>
    <t>№19576/ТМ</t>
  </si>
  <si>
    <t>услуги по обращению с твердыми  коммунальными отходами</t>
  </si>
  <si>
    <t>АО "Мусороуборочная компания"</t>
  </si>
  <si>
    <t>до 10 числа месяца, следующего за месяцем, в котором была оказана услуга</t>
  </si>
  <si>
    <t>№17</t>
  </si>
  <si>
    <t>охранные услуги</t>
  </si>
  <si>
    <t>ООО ЧОО "Легион"</t>
  </si>
  <si>
    <t>с 01.01.2022г. по 28.02.2022г.</t>
  </si>
  <si>
    <t>в течение 30 календарных дней с момента предоставления документов на оплату</t>
  </si>
  <si>
    <t>бензин</t>
  </si>
  <si>
    <t>ИП Калайчев Ш.С.</t>
  </si>
  <si>
    <t>с 01.01.2022г. по 31.03.2022г.</t>
  </si>
  <si>
    <t>№3799/220</t>
  </si>
  <si>
    <t>поставка периодич.печат.изданий</t>
  </si>
  <si>
    <t>7724490000</t>
  </si>
  <si>
    <t>АО "Почта России"</t>
  </si>
  <si>
    <t>с 01.02.2022г. по 30.06.2022г.</t>
  </si>
  <si>
    <t>№38</t>
  </si>
  <si>
    <t>сетевое оборудование, маршрутизатор, коммутатор</t>
  </si>
  <si>
    <t>ООО "Компьютер бизнес сервис сибиэс"</t>
  </si>
  <si>
    <t>в течение 5 дней со дня заключения сторонами договора</t>
  </si>
  <si>
    <t>1770</t>
  </si>
  <si>
    <t>поставка тепловой энергии</t>
  </si>
  <si>
    <t>АО "АТЭК"</t>
  </si>
  <si>
    <t xml:space="preserve">3235301532622000001 </t>
  </si>
  <si>
    <t>б/н</t>
  </si>
  <si>
    <t xml:space="preserve">водоснабжение </t>
  </si>
  <si>
    <t>МУП ЖКХ Поселковое</t>
  </si>
  <si>
    <t>№ 34000760</t>
  </si>
  <si>
    <t>охрана объекта с использованием кнопки тревожной сигнализации</t>
  </si>
  <si>
    <t>ФГКУ "УВО ВНГ России по Краснодарскому краю"</t>
  </si>
  <si>
    <t>№ 47-С</t>
  </si>
  <si>
    <t>техническое обслуживание "Стрелец-мониторинг"</t>
  </si>
  <si>
    <t>ООО "Сигнал"</t>
  </si>
  <si>
    <t>№14/22</t>
  </si>
  <si>
    <t>предрейсовый и послереейсовый мед, тех осмотр</t>
  </si>
  <si>
    <t>РО КРО ОО "ВОА"</t>
  </si>
  <si>
    <t>№17-04/2022</t>
  </si>
  <si>
    <t>услуги по оценке рыночной стоимости</t>
  </si>
  <si>
    <t>Союз "Тимашевская торгово-промышленная палата"</t>
  </si>
  <si>
    <t>20.01.2022</t>
  </si>
  <si>
    <t>№ SYUT-001459</t>
  </si>
  <si>
    <t>2312068671</t>
  </si>
  <si>
    <t>дезинфицирующие средства</t>
  </si>
  <si>
    <t>№ 326</t>
  </si>
  <si>
    <t>услуги по подготовке декларации</t>
  </si>
  <si>
    <t>2353023292</t>
  </si>
  <si>
    <t>ООО "Экопроект"</t>
  </si>
  <si>
    <t>до 31.12.2022</t>
  </si>
  <si>
    <t>услуги связи</t>
  </si>
  <si>
    <t>ПАО "Ростелеком"</t>
  </si>
  <si>
    <t>№14/2</t>
  </si>
  <si>
    <t>услуги по организации горячего питания</t>
  </si>
  <si>
    <t>ООО "Тимашевское ПРТ Райпо"</t>
  </si>
  <si>
    <t>с 10.01.2022г. по 28.02.2022г.</t>
  </si>
  <si>
    <t>№ 3</t>
  </si>
  <si>
    <t>услуги по организации питания</t>
  </si>
  <si>
    <t>2353020735</t>
  </si>
  <si>
    <t>с 10.01.2022г. по 20.05.2022г.</t>
  </si>
  <si>
    <t>№14</t>
  </si>
  <si>
    <t>стоимость горячего питания</t>
  </si>
  <si>
    <t>№ 177</t>
  </si>
  <si>
    <t>№ 14</t>
  </si>
  <si>
    <t>исключительное право использования программного обеспечения</t>
  </si>
  <si>
    <t>ООО "АйТи Мониторинг"</t>
  </si>
  <si>
    <t>за неисключительное право использования программного продукта</t>
  </si>
  <si>
    <t>6663003127</t>
  </si>
  <si>
    <t>АО "ПФ "СКБ Контур"</t>
  </si>
  <si>
    <t>№25</t>
  </si>
  <si>
    <t>ремонт транспортного средства</t>
  </si>
  <si>
    <t>ИП Аполонов А.А.</t>
  </si>
  <si>
    <t>№ 14/22</t>
  </si>
  <si>
    <t>дератизация</t>
  </si>
  <si>
    <t>ООО "Дезинфекция"</t>
  </si>
  <si>
    <t>услуги по тхническому сопровождению системы мониторинга транспортных средств</t>
  </si>
  <si>
    <t>2369000660</t>
  </si>
  <si>
    <t>ООО "КАНкорт"</t>
  </si>
  <si>
    <t>с 01.01.2022 г. по 31.12.2022г.</t>
  </si>
  <si>
    <t>№14ОВЗ</t>
  </si>
  <si>
    <t>услуги по организации горячего питания (набор продуктов питания)</t>
  </si>
  <si>
    <t>с 01.03.2022г. по 20.03.2022г.</t>
  </si>
  <si>
    <t xml:space="preserve">223235301532623530100100090018010244 </t>
  </si>
  <si>
    <t xml:space="preserve">0818300019922000032 </t>
  </si>
  <si>
    <t xml:space="preserve">Оказание охранных услуг </t>
  </si>
  <si>
    <t xml:space="preserve">223235301532623530100100100015629244 </t>
  </si>
  <si>
    <t xml:space="preserve">0818300019922000015 </t>
  </si>
  <si>
    <t xml:space="preserve">Оказание услуги по организации питания учащихся муниципальных бюджетных общеобразовательных учреждений средних общеобразовательных школ муниципального образования Тимашевский район. </t>
  </si>
  <si>
    <t>5 апреля 2022г.</t>
  </si>
  <si>
    <t>14 апреля 2022г.</t>
  </si>
  <si>
    <t>4 мая 2022г.</t>
  </si>
  <si>
    <t>2 марта 2022г.</t>
  </si>
  <si>
    <t>1 апреля 2022г.</t>
  </si>
  <si>
    <t>16 мая 2022г.</t>
  </si>
  <si>
    <t>18 апреля 2022г.</t>
  </si>
  <si>
    <t>25 мая 2022г.</t>
  </si>
  <si>
    <t>20 апреля 2022г.</t>
  </si>
  <si>
    <t>12 мая 2022г.</t>
  </si>
  <si>
    <t>13 мая 2022г.</t>
  </si>
  <si>
    <t>12 апреля 2022г.</t>
  </si>
  <si>
    <t>11 мая 2022г.</t>
  </si>
  <si>
    <t>14 марта 2022г.</t>
  </si>
  <si>
    <t>31.марта.2022г.</t>
  </si>
  <si>
    <t>29 апреля 2022г.</t>
  </si>
  <si>
    <t>26 апреля 2022г.</t>
  </si>
  <si>
    <t>27 апреля 2022г.</t>
  </si>
  <si>
    <t>№14-И</t>
  </si>
  <si>
    <t>услуги по приготовлению горячего питания</t>
  </si>
  <si>
    <t>в течении 30 дней с момента подписания акта оказанных услуг</t>
  </si>
  <si>
    <t xml:space="preserve">ООО "Тимашевское ПРТ Райпо"                                       </t>
  </si>
  <si>
    <t>31 марта 2022г.</t>
  </si>
  <si>
    <t xml:space="preserve"> </t>
  </si>
  <si>
    <t>№ 15</t>
  </si>
  <si>
    <t>6 апреля 2022г.</t>
  </si>
  <si>
    <t>0818300019922000015</t>
  </si>
  <si>
    <t>21 марта 2022г.</t>
  </si>
  <si>
    <t>ООО "Тимашевское ПРТ райпо"</t>
  </si>
  <si>
    <t>В течение 10 рабочих дней после подписания акта приема-передачи оказанных услуг</t>
  </si>
  <si>
    <t>22 пареля 2022г.</t>
  </si>
  <si>
    <t>28 апреля 2022г.</t>
  </si>
  <si>
    <t>18 мая 2022г.</t>
  </si>
  <si>
    <t>№ 34</t>
  </si>
  <si>
    <t>с 01.03.2022г. по 31.03.2022г.</t>
  </si>
  <si>
    <t>в теченее 30 дней с момента подписания акта оказанных услуг</t>
  </si>
  <si>
    <t>№ 23-8560</t>
  </si>
  <si>
    <t>услуги по изготовлению и поставке полиграфической продукции</t>
  </si>
  <si>
    <t>7706526550</t>
  </si>
  <si>
    <t>ООО "СпецБланк-Москва"</t>
  </si>
  <si>
    <t>с 16.02.2022г. по 31.12.2022г.</t>
  </si>
  <si>
    <t>11 апреля 2022г.</t>
  </si>
  <si>
    <t>в течение 30 дней с момента подписания документов на оплату</t>
  </si>
  <si>
    <t>№ 20</t>
  </si>
  <si>
    <t>06 мая 2022г.</t>
  </si>
  <si>
    <t>в течение 30 календарных дней с даты получения документов о поставке товара и счета на оплату</t>
  </si>
  <si>
    <t>с 01.04.2022г. по 30.06.2022г.</t>
  </si>
  <si>
    <t>№ 63</t>
  </si>
  <si>
    <t>учебная литература</t>
  </si>
  <si>
    <t>7715995942</t>
  </si>
  <si>
    <t>АО "Издательство"Просвещение"</t>
  </si>
  <si>
    <t>с 11.04.2022г. по 05.08.2022г.</t>
  </si>
  <si>
    <t>в течение 15 рабочих дней с момента подпсания товарной накладной</t>
  </si>
  <si>
    <t>6 мая 2022г.</t>
  </si>
  <si>
    <t>№ 40</t>
  </si>
  <si>
    <t>учебно-педагогическая документация</t>
  </si>
  <si>
    <t>2310132554</t>
  </si>
  <si>
    <t>ООО "Краснодарский учколлектор"</t>
  </si>
  <si>
    <t>с 30.03.2022г, по 05.08.2022г.</t>
  </si>
  <si>
    <t>28.04..2022</t>
  </si>
  <si>
    <t>услуги по предоставлению места для стоянки автобусов</t>
  </si>
  <si>
    <t>2353017179</t>
  </si>
  <si>
    <t>Тимашевская РО КРО ОО "ВОА"</t>
  </si>
  <si>
    <t>с 30.03.2022г, по 31.12.2022г.</t>
  </si>
  <si>
    <t>№ 14/04-2022-Т</t>
  </si>
  <si>
    <t xml:space="preserve">охранные услуги </t>
  </si>
  <si>
    <t>2308080429</t>
  </si>
  <si>
    <t>ООО"Охранное предприятие"Телохранитель-Секьюрити"</t>
  </si>
  <si>
    <t xml:space="preserve">с 01.04.2022г. по 04.04.2022г. </t>
  </si>
  <si>
    <t>19 мая 2022г.</t>
  </si>
  <si>
    <t>в течение  15 дней с даты подписания акта выполненных работ и документов на оплату</t>
  </si>
  <si>
    <t xml:space="preserve">с 14.03.2022г. по 31.05.2022г. </t>
  </si>
  <si>
    <t>0818300019922000032</t>
  </si>
  <si>
    <t>4 апреля 2022г.</t>
  </si>
  <si>
    <t>ООО "Охранное предприятие "Телохранитель-Секьюрити"</t>
  </si>
  <si>
    <t>с 21.03.2022г. по 25.05.2022г.</t>
  </si>
  <si>
    <t>Не позднее 10 рабочих дней с момента подписания Заказчиком документа о приемке выполненных работ и представленного Подрядчиком документа на оплату</t>
  </si>
  <si>
    <t>с 05.04.2022г. по 31.12.2022г.</t>
  </si>
  <si>
    <t>В течение 10 дней с момента заключения договора.</t>
  </si>
  <si>
    <t xml:space="preserve">с 01.03.2022г. по 31.12.2022г. </t>
  </si>
  <si>
    <t>В течение 10 дней со дня заключения сторонами договора</t>
  </si>
  <si>
    <t>12/22/2</t>
  </si>
  <si>
    <t>дезинсекция, дератизация</t>
  </si>
  <si>
    <t xml:space="preserve">с 05.04.2022г. по 31.08.2022г. </t>
  </si>
  <si>
    <t xml:space="preserve">с 31.12.2021г. по 31.12.2022г. </t>
  </si>
  <si>
    <t>30 мая 2022г.</t>
  </si>
  <si>
    <t>1 июня 2022г.</t>
  </si>
  <si>
    <t>№ 27</t>
  </si>
  <si>
    <t>235300809163</t>
  </si>
  <si>
    <t>ИП Коваленко Г.Н.</t>
  </si>
  <si>
    <t>с 09.06.2022г. по  31.12.2022г.</t>
  </si>
  <si>
    <t>№ 28</t>
  </si>
  <si>
    <t>Заправка картриджей</t>
  </si>
  <si>
    <t>в течение 15 рабочих дней с момента подпсания документа о приемке оказанных услуг</t>
  </si>
  <si>
    <t>№ 23</t>
  </si>
  <si>
    <t>2310047193</t>
  </si>
  <si>
    <t>ООО"ОИПЦ"Перспективы образования"</t>
  </si>
  <si>
    <t>в течение 15 рабочих дней с момента подписания товарной накладной</t>
  </si>
  <si>
    <t>с 06.06.2022г. по  05.08.2022г.</t>
  </si>
  <si>
    <t>ассенизация</t>
  </si>
  <si>
    <t>2333011443</t>
  </si>
  <si>
    <t>ООО "Водоканал"</t>
  </si>
  <si>
    <t>в течение 10 дней с момента подписания документа о приемке оказанных услуг</t>
  </si>
  <si>
    <t>с 27.05.2022г. по 31.12.2022г.</t>
  </si>
  <si>
    <t>№ 20/22</t>
  </si>
  <si>
    <t>№ СП-Т-88/22</t>
  </si>
  <si>
    <t>Информационно-консультационный семинар</t>
  </si>
  <si>
    <t>2311163812</t>
  </si>
  <si>
    <t>ООО "Акадкмия стратегического управления (ООО"АСМ-Партнер")</t>
  </si>
  <si>
    <t>в течение 10 рабочих дней с момента подписания документа о приемке оказанных услуг</t>
  </si>
  <si>
    <t xml:space="preserve">с 25.05.2022г. по 31.12.2022г. </t>
  </si>
  <si>
    <t>№ 81/22</t>
  </si>
  <si>
    <t>ГБУЗ "Тимашевская ЦРБ"</t>
  </si>
  <si>
    <t>2353006498</t>
  </si>
  <si>
    <t>медосмотр работников</t>
  </si>
  <si>
    <t xml:space="preserve">с 20.04.2022г. по 30.12.2022г. </t>
  </si>
  <si>
    <t>№ 81-1/22</t>
  </si>
  <si>
    <t>№ 23050417/22</t>
  </si>
  <si>
    <t>№ 389</t>
  </si>
  <si>
    <t>подготовка и разработка журнала движения отходов</t>
  </si>
  <si>
    <t>с 30.05.2022г. по 31.12.2022г.</t>
  </si>
  <si>
    <t>в течение 15 дней с момента подписания документа оприемке оказанных услуг</t>
  </si>
  <si>
    <t>ООО "Сервис-ЮГ-ККМ"</t>
  </si>
  <si>
    <t>№ ДГ-22/26</t>
  </si>
  <si>
    <t>№ 21</t>
  </si>
  <si>
    <t>с 01.05.2022г. по 31.08.2022г.</t>
  </si>
  <si>
    <t>в течение 15 рабочих дней с даты получения документов о поставке и счета на оплату</t>
  </si>
  <si>
    <t>№ 82</t>
  </si>
  <si>
    <t>ООО "Русское слово-учебник"</t>
  </si>
  <si>
    <t>с 05.05.2022г. по 05.08.2022г.</t>
  </si>
  <si>
    <t>в течение 15 рабочих дней с даты получения документов о приемке товара</t>
  </si>
  <si>
    <t>№ 29</t>
  </si>
  <si>
    <t>запчасти</t>
  </si>
  <si>
    <t>с 14.05.2022г. по 31.12.2022г.</t>
  </si>
  <si>
    <t>ООО "Навигатор Плюс"</t>
  </si>
  <si>
    <t>в течение 15 дней с момента подписания документа о приемке товара</t>
  </si>
  <si>
    <t>№ б/н</t>
  </si>
  <si>
    <t>27.05.2022г.</t>
  </si>
  <si>
    <t>предоставление неисключительного права использования программы для ЭВМ</t>
  </si>
  <si>
    <t>в течение 15 рабочих дней со дня подписания акта оказанных услуг</t>
  </si>
  <si>
    <t>ИП Архангельский А.А.</t>
  </si>
  <si>
    <t>с 01.01.2022г. по 30.06.2022г.</t>
  </si>
  <si>
    <t>31 мая 2022г.</t>
  </si>
  <si>
    <t>01 июня 2022г.</t>
  </si>
  <si>
    <t>2 июня 2022г.</t>
  </si>
  <si>
    <t>3 июня 2022г.</t>
  </si>
  <si>
    <t>10 июня 2022г.</t>
  </si>
  <si>
    <t>14 июня 2022г.</t>
  </si>
  <si>
    <t>15 июня 2022г.</t>
  </si>
  <si>
    <t>16 июня 2022г.</t>
  </si>
  <si>
    <t>9 февраля 2022г.</t>
  </si>
  <si>
    <t>22 июня 2022г.</t>
  </si>
  <si>
    <t>№ 72</t>
  </si>
  <si>
    <t>21.06.2022г.</t>
  </si>
  <si>
    <t>Дезинфицирующее средство</t>
  </si>
  <si>
    <t>ООО"Сервис ЮГ-ККМ"</t>
  </si>
  <si>
    <t>с 21.06.2022г. по 31.12.2022г.</t>
  </si>
  <si>
    <t>в течение 15 рабочих дней  со дня подписания документа о приемке товара</t>
  </si>
  <si>
    <t>№ 4005/220</t>
  </si>
  <si>
    <t>07.06.2022г.</t>
  </si>
  <si>
    <t>поставка периодических печатных изданий</t>
  </si>
  <si>
    <t>с 01.07.2022г. по 31.12.2022г.</t>
  </si>
  <si>
    <t>авансовый платеж 100% в течение 7 рабочих дней с даты заключения контракта</t>
  </si>
  <si>
    <t>Соглашение о расторжении дог.№14/2 от 14.03.2022г.</t>
  </si>
  <si>
    <t>Соглашеие о расторжении дог.№14 от 01.04.2022г.</t>
  </si>
  <si>
    <t>Соглашение о расторжении дог.№14/2 от 01.04.2022г.</t>
  </si>
  <si>
    <t>Соглашение о расторжении дог.№14 от 04.05.2022г.</t>
  </si>
  <si>
    <t xml:space="preserve">с 10.01.2022г. по 18.03.2022г. </t>
  </si>
  <si>
    <t>№ 14-И</t>
  </si>
  <si>
    <t>09.03.2022г.</t>
  </si>
  <si>
    <t xml:space="preserve">с 01.04.2022г. по 29.04.2022г. </t>
  </si>
  <si>
    <t>в течение 30 дней с момента подписания акта оказанных услуг</t>
  </si>
  <si>
    <t>с 01.05.2022г. по 21.05.2022г.</t>
  </si>
  <si>
    <t>27 июня 2022г.</t>
  </si>
  <si>
    <t xml:space="preserve">09.03.2022г. </t>
  </si>
  <si>
    <t>Услуги по пприготовлению горячего питаня</t>
  </si>
  <si>
    <t>17 мая 2022г.</t>
  </si>
  <si>
    <t>услуги по приготовлению горячего питания ( набор продуктов питания)</t>
  </si>
  <si>
    <t xml:space="preserve">Доп.соглашение №1 </t>
  </si>
  <si>
    <t>-U12С</t>
  </si>
  <si>
    <t>Соглашение о расторжении контракта б/н от 02.06.2022г.</t>
  </si>
  <si>
    <t>Соглашение о расторжении контракта б/н от 04.04.2022г.</t>
  </si>
  <si>
    <t>Соглашение о расторжении    дог.№ 15 от 02.06.2022г.</t>
  </si>
  <si>
    <t>№ 14-П</t>
  </si>
  <si>
    <t>услуги по организации питания детей в период летнего лагеря</t>
  </si>
  <si>
    <t>с 30.05.2022г. по 19.06.2022г.</t>
  </si>
  <si>
    <t>в течение 15 рабочих дней со дня подписания акта о приемке оказанных услуг</t>
  </si>
  <si>
    <t>№ 14-Л</t>
  </si>
  <si>
    <t>01.01.2022г.</t>
  </si>
  <si>
    <t>№ 112/22</t>
  </si>
  <si>
    <t>14.06.2022г.</t>
  </si>
  <si>
    <t>Проведение медосмотров сотрудников</t>
  </si>
  <si>
    <t>с 14.06.2022г. по 30.12.2022г.</t>
  </si>
  <si>
    <t>в течение 10 рабочих дней с момента подписания акта оказанных услуг</t>
  </si>
  <si>
    <t>№ 112-1/22</t>
  </si>
  <si>
    <t>Соглашение о расторжении контракта б/н от 01.07.2022г.</t>
  </si>
  <si>
    <t>Соглашение о расторжении контракта б/н от    14.07.2022г.</t>
  </si>
  <si>
    <t>Дополнительное соглашение №1 от 19.07.2022г.</t>
  </si>
  <si>
    <t>№ 17</t>
  </si>
  <si>
    <t>27.07.2022г.</t>
  </si>
  <si>
    <t>Краска, эмали</t>
  </si>
  <si>
    <t>ИП Быстров А.А.</t>
  </si>
  <si>
    <t>с 27.07.2022г. по 31.12.2022г.</t>
  </si>
  <si>
    <t>04 июля 2022г.</t>
  </si>
  <si>
    <t>29 июля 2022г.</t>
  </si>
  <si>
    <t>8 июля 2022г.</t>
  </si>
  <si>
    <t>08 июля 2022г.</t>
  </si>
  <si>
    <t>12 июля 2022г.</t>
  </si>
  <si>
    <t>6 июля 2022г.</t>
  </si>
  <si>
    <t>15 июля 2022г.</t>
  </si>
  <si>
    <t>20 июля 2022г.</t>
  </si>
  <si>
    <t>27 июля 2022г.</t>
  </si>
  <si>
    <t>1 августа 2022г.</t>
  </si>
  <si>
    <t>09.08,2022г.</t>
  </si>
  <si>
    <t>Оказание экскурсионных услуг</t>
  </si>
  <si>
    <t>2353016418</t>
  </si>
  <si>
    <t>Православный Приход храма Вознесения Господя</t>
  </si>
  <si>
    <t>с 09.08.2022г. по  31.12.2022г.</t>
  </si>
  <si>
    <t>в течение 10 календарных дней с момента подписания акта оказанных услуг</t>
  </si>
  <si>
    <t>№23050556/22</t>
  </si>
  <si>
    <t>15.08.2022г.</t>
  </si>
  <si>
    <t>Предоставление права использования и абонентское обслуживание Системы "Контур-Экстерн"</t>
  </si>
  <si>
    <t xml:space="preserve">с 15.08.2022г. по 31.12.2022г. </t>
  </si>
  <si>
    <t>в течение 7 рабочих дней с момента выставления счета на оплату</t>
  </si>
  <si>
    <t>№ 153</t>
  </si>
  <si>
    <t>19.08.2022г.</t>
  </si>
  <si>
    <t>ИП Латышева Н.П.</t>
  </si>
  <si>
    <t>с 19.08.2022г. по 31.12.2022г.</t>
  </si>
  <si>
    <t>с 26.04.2022г. по 31.12.2022г.</t>
  </si>
  <si>
    <t>ИП Костерев Д.В.</t>
  </si>
  <si>
    <t>Стенд на ПВХ, баннер</t>
  </si>
  <si>
    <t>26.04.2022г.</t>
  </si>
  <si>
    <t>№ 66</t>
  </si>
  <si>
    <t>№ 551</t>
  </si>
  <si>
    <t>23.08.2022г.</t>
  </si>
  <si>
    <t>Блок СКЗИ тахографа</t>
  </si>
  <si>
    <t>с 23.08.2022г. по 31.12.2022г.</t>
  </si>
  <si>
    <t>в течение 10 рабочих дней с момента выставления счета и акта выполненных работ</t>
  </si>
  <si>
    <t>№ 157</t>
  </si>
  <si>
    <t>30.08.2022г.</t>
  </si>
  <si>
    <t>Посуда</t>
  </si>
  <si>
    <t>с 30.08.2022г. по 31.12.2022г.</t>
  </si>
  <si>
    <t>16 августа 2022г.</t>
  </si>
  <si>
    <t>3 августа 2022г.</t>
  </si>
  <si>
    <t>03 августа 2022г.</t>
  </si>
  <si>
    <t>2 августа 2022г.</t>
  </si>
  <si>
    <t>4 августа 2022г.</t>
  </si>
  <si>
    <t>05 августа 2022г.</t>
  </si>
  <si>
    <t>5 августа 2022г.</t>
  </si>
  <si>
    <t>08 августа 2022г.</t>
  </si>
  <si>
    <t>12 августа 2022г.</t>
  </si>
  <si>
    <t>15 августа 2022г.</t>
  </si>
  <si>
    <t>25 августа 2022г.</t>
  </si>
  <si>
    <t>26 августа 2022г.</t>
  </si>
  <si>
    <t>31 августа 2022г.</t>
  </si>
  <si>
    <t>1 сентября 2022г.</t>
  </si>
  <si>
    <t>7 сентября 2022г.</t>
  </si>
  <si>
    <t>5 сентября 2022г.</t>
  </si>
  <si>
    <t>29.08.2022г.</t>
  </si>
  <si>
    <t>31.08.2022г.</t>
  </si>
  <si>
    <t>Ремонт транспортного средства</t>
  </si>
  <si>
    <t>с 29.08.2022г. по 31.12.2022г.</t>
  </si>
  <si>
    <t>с 31.08.2022г. по 31.12.2022г.</t>
  </si>
  <si>
    <t>в течение 10 рабочих дней с момента подписания документа о приемке товара</t>
  </si>
  <si>
    <t>в течение 15 рабочих дней с даты подписания акта оказанных услуг</t>
  </si>
  <si>
    <t>235303483777</t>
  </si>
  <si>
    <t>Салфетницы</t>
  </si>
  <si>
    <t>01.09.2022г.</t>
  </si>
  <si>
    <t>Организаця горячего питания(стоимость питания)</t>
  </si>
  <si>
    <t>с 01.09.2022г по 16.092022г.</t>
  </si>
  <si>
    <t xml:space="preserve">в течение 10 рабочих дней с момента подписания акта оказанных услуг </t>
  </si>
  <si>
    <t>№ 14/2</t>
  </si>
  <si>
    <t>Организаця горячего питания(услуги по приготовлению)</t>
  </si>
  <si>
    <t>№ 22</t>
  </si>
  <si>
    <t>Поставка нефтепродуктов</t>
  </si>
  <si>
    <t>И.П.Калайчев Ш.С.</t>
  </si>
  <si>
    <t>с 01.09.2022г.по 31.12.2022г.</t>
  </si>
  <si>
    <t>в течение 10 рабочих дней с даты  получения документов о поставке товара</t>
  </si>
  <si>
    <t>№ 166</t>
  </si>
  <si>
    <t>с 09.09.2022г.по 31.12.2022г.</t>
  </si>
  <si>
    <t>09.09.2022г.</t>
  </si>
  <si>
    <t>в течение 10 рабочих дней с момента подписания товарной накладной</t>
  </si>
  <si>
    <t>№ 23-9450</t>
  </si>
  <si>
    <t>05.09.2022г.</t>
  </si>
  <si>
    <t>Изготовление и поставка аттестатов</t>
  </si>
  <si>
    <t xml:space="preserve">с 05.09.2022г. по 31.12.2022г. </t>
  </si>
  <si>
    <t>в течение 7 рабочих дней с момента получения накладной и акта сдачи-приемки</t>
  </si>
  <si>
    <t>6 сентября 2022г</t>
  </si>
  <si>
    <t>06 сентября.2022г.</t>
  </si>
  <si>
    <t>12 сентября 2022г.</t>
  </si>
  <si>
    <t>19 сентября 2022г.</t>
  </si>
  <si>
    <t>23 сентября 2022г.</t>
  </si>
  <si>
    <t>26 сентября 2022г.</t>
  </si>
  <si>
    <t>28 сентября 2022г.</t>
  </si>
  <si>
    <t>20 сентября 2022г.</t>
  </si>
  <si>
    <t>19.09.2022г.</t>
  </si>
  <si>
    <t>№ 4</t>
  </si>
  <si>
    <t>Организация горячего питания 5-11класс          ( стоимость питания)</t>
  </si>
  <si>
    <t>с 01.09.2022г по 28.12.2022г.</t>
  </si>
  <si>
    <t>Организаця горячего питания 1-4класс (стоимость питания)</t>
  </si>
  <si>
    <t>Организаця горячего питания 1-4 кл.(услуги по приготовлению)</t>
  </si>
  <si>
    <t>Организация горячего питания (инвалиды)  (набор продуктов питания)</t>
  </si>
  <si>
    <t>с 01.09.2022г. по 28.12.2022г.</t>
  </si>
  <si>
    <t>Организация горячего питания (ОВЗ)  (услуги по приготовлению)</t>
  </si>
  <si>
    <t>№ 14 ОВЗ</t>
  </si>
  <si>
    <t>Организация горячего питания (ОВЗ)  (набор продуктов питания)</t>
  </si>
  <si>
    <t>Соглашение о расторжении б/н от 01.04.2022г.</t>
  </si>
  <si>
    <t>Соглашение о расторжении от 01.09.2022г.</t>
  </si>
  <si>
    <t>Соглашение о расторжении б/н    от 19.09.2022г.</t>
  </si>
  <si>
    <t>№ 15-И</t>
  </si>
  <si>
    <t>Организация горячего питания (инвалиды)  (услуги по приготовлению)</t>
  </si>
  <si>
    <t>Дополнительное соглашение №1 от 01.09.2022г.</t>
  </si>
  <si>
    <t>№ SYUT- 014665</t>
  </si>
  <si>
    <t>14.10.2022г.</t>
  </si>
  <si>
    <t>Поставка дезинфицирующего средства</t>
  </si>
  <si>
    <t>с 14.10.2022г. по  31.12.2022г.</t>
  </si>
  <si>
    <t>с 19.09.2022г по 30.11.2022г.</t>
  </si>
  <si>
    <t>с 01.09.2022г по 16.09.2022г.</t>
  </si>
  <si>
    <t>№ 1/2022/18</t>
  </si>
  <si>
    <t>03.10.2022г.</t>
  </si>
  <si>
    <t>Услуги музея</t>
  </si>
  <si>
    <t>2310052884</t>
  </si>
  <si>
    <t>с 01.11.2022г. по 30.11.2022г.</t>
  </si>
  <si>
    <t xml:space="preserve">Предоплата 30% в течение 5 рабочих дней со дня получения счета на оплату, окончательный расчет в течение 5 рабочих дней, с момента подписания акта оказанных услуг </t>
  </si>
  <si>
    <t>19.10.2022г.</t>
  </si>
  <si>
    <t>ОСГО владельцев транспортных средств</t>
  </si>
  <si>
    <t>7710026574</t>
  </si>
  <si>
    <t>САО "ВСК"</t>
  </si>
  <si>
    <t>с 19.10.2022г. по 31.12.2022г.</t>
  </si>
  <si>
    <t>в течение 10 рабочих дней с момента подписания акта выполненных работ</t>
  </si>
  <si>
    <t xml:space="preserve"> № 218</t>
  </si>
  <si>
    <t>20.10.2022г.</t>
  </si>
  <si>
    <t>Поставка мягкого модуля</t>
  </si>
  <si>
    <t>2308172990</t>
  </si>
  <si>
    <t>ООО "Лидер-Юг"</t>
  </si>
  <si>
    <t>с 20.10.2022г. по 31.12.2022г.</t>
  </si>
  <si>
    <t>в течение 10 рабочих дней с момента подписания документов,подтверждающих поставку товара</t>
  </si>
  <si>
    <t>3 октября 2022г.</t>
  </si>
  <si>
    <t>4 октября 2022г.</t>
  </si>
  <si>
    <t>10 октября 2022г.</t>
  </si>
  <si>
    <t>11 октября 2022г.</t>
  </si>
  <si>
    <t>17 октября 2022г.</t>
  </si>
  <si>
    <t>18 октября 2022г.</t>
  </si>
  <si>
    <t>19 октября 2022г.</t>
  </si>
  <si>
    <t>21 октября 2022г.</t>
  </si>
  <si>
    <t>5 октября 2022г.</t>
  </si>
  <si>
    <t>13 октября 2022г.</t>
  </si>
  <si>
    <t>25 октября 2022г.</t>
  </si>
  <si>
    <t>26 октября 2022г.</t>
  </si>
  <si>
    <t>№ 87/Т</t>
  </si>
  <si>
    <t>21.10.2022г.</t>
  </si>
  <si>
    <t>Обследование системы центрального отопления (гидроопрессовка)</t>
  </si>
  <si>
    <t>2310217409</t>
  </si>
  <si>
    <t>ООО "АТЭК-Сервис"</t>
  </si>
  <si>
    <t>с 21.10.2022г. по 31.12.2022г.</t>
  </si>
  <si>
    <t>Дополнительное соглашение №2 от 17.10.2022г.</t>
  </si>
  <si>
    <t>02.11.2022г.</t>
  </si>
  <si>
    <t>Экскурсионные услуги</t>
  </si>
  <si>
    <t xml:space="preserve">с 02.11.2022г. по 31.12.2022г. </t>
  </si>
  <si>
    <t>в течение 10 календарных дней с момента подписания документа о приемке услуг и документов на оплату</t>
  </si>
  <si>
    <t>с 15.10.2022г. по 31.12.2022г.</t>
  </si>
  <si>
    <t>№ 1770</t>
  </si>
  <si>
    <t>Поставка тепловой энергии</t>
  </si>
  <si>
    <t>До 18 числа текущего месяца в размере 30% и до 25 числа следующего месяца за фактически потребленную теплоэнергию</t>
  </si>
  <si>
    <t>№ ОН5-27/22</t>
  </si>
  <si>
    <t>10.11.2022г.</t>
  </si>
  <si>
    <t>Образовательные услуги (курсы повышения квалификации)</t>
  </si>
  <si>
    <t>ООО "АСМ-Партнер"</t>
  </si>
  <si>
    <t xml:space="preserve">с 10.11.2022г. по 31.12.2022г. </t>
  </si>
  <si>
    <t>авансовый платеж 100% в течение 5 календарных дней с даты заключения контракта</t>
  </si>
  <si>
    <t>07.11.2022г.</t>
  </si>
  <si>
    <t>Ремонт системы контроля управления доступом (СКУД)</t>
  </si>
  <si>
    <t>ИП Даценко И.Н.</t>
  </si>
  <si>
    <t>с 07.11.2022г. по 31.12.2022г.</t>
  </si>
  <si>
    <t>в течение 10 рабочих дней с момента подписания документа о выполнении работ</t>
  </si>
  <si>
    <t>№ 175Т</t>
  </si>
  <si>
    <t>15.11.2022г.</t>
  </si>
  <si>
    <t>ООО "Редакция газеты "Каневскиеи зори"</t>
  </si>
  <si>
    <t>с 15.11.2022г. по 15.11.2023г.</t>
  </si>
  <si>
    <t>не позднее 10 календарных дней, с момента подписания  документа о приемке услуг и предоставления документа на оплату</t>
  </si>
  <si>
    <t>Изготовление подарочной  продукции (книги о музее)</t>
  </si>
  <si>
    <t>№ 216</t>
  </si>
  <si>
    <t>Поставка кухонной посуды</t>
  </si>
  <si>
    <t>ИП Латышев Е.А.</t>
  </si>
  <si>
    <t>В течение 7 дней, с момента заключения  сторонами контракта</t>
  </si>
  <si>
    <t>В течение 10 рабочих дней, с момента подписания товарной накладной.</t>
  </si>
  <si>
    <t>03 ноября 2022г.</t>
  </si>
  <si>
    <t>08 ноября 2022г.</t>
  </si>
  <si>
    <t>10 ноября 2022г.</t>
  </si>
  <si>
    <t>22 ноября 2022г.</t>
  </si>
  <si>
    <t>30 ноября 2022г.</t>
  </si>
  <si>
    <t>01 ноября 2022г.</t>
  </si>
  <si>
    <t>02 ноября 2022г.</t>
  </si>
  <si>
    <t>7 ноября 2022г.</t>
  </si>
  <si>
    <t>31 октября 2022г.</t>
  </si>
  <si>
    <t>07 ноября 2022г.</t>
  </si>
  <si>
    <t>09 ноября 2022г.</t>
  </si>
  <si>
    <t>11 ноября 2022г.</t>
  </si>
  <si>
    <t>14 ноября 2022г.</t>
  </si>
  <si>
    <t>16 ноября 2022г.</t>
  </si>
  <si>
    <t>18 ноября 2022г.</t>
  </si>
  <si>
    <t>4201/220</t>
  </si>
  <si>
    <t>01.12.2022г.</t>
  </si>
  <si>
    <t>Поставка периодических печатных изданий</t>
  </si>
  <si>
    <t>с 01.01.2023г. по 30.06.2023г.</t>
  </si>
  <si>
    <t>Дополнительное соглашение б/н от 01.11.2022г,</t>
  </si>
  <si>
    <t>Дополнительное соглашение б/н от 01.12.2022г,</t>
  </si>
  <si>
    <t>Предрейсовый и послерейсовый осмотр водителей и техосмотр транспортных средств</t>
  </si>
  <si>
    <t>с 01.12.2022г.по 31.12.2022г.</t>
  </si>
  <si>
    <t>В течение 10 рабочих дней, с момента выставления счета и акта выполненных работ</t>
  </si>
  <si>
    <t>13.декабря 2022г.</t>
  </si>
  <si>
    <t>№ 239</t>
  </si>
  <si>
    <t>02.12.2022г.</t>
  </si>
  <si>
    <t>Морозильный ларь</t>
  </si>
  <si>
    <t>№ 70-45</t>
  </si>
  <si>
    <t>05.12.2022г.</t>
  </si>
  <si>
    <t>Мебель ученическая</t>
  </si>
  <si>
    <t>ИП Орехова А.В.</t>
  </si>
  <si>
    <t>с 05.12.2022г.по 30.12.2022г.</t>
  </si>
  <si>
    <t>В течение 7 рабочих дней, со дня поставки товара и подписания товарной накладной</t>
  </si>
  <si>
    <t>№ 1-2022-28</t>
  </si>
  <si>
    <t>ГБУК КК "КГИАМЗ им. Е.Д.Фелицына"</t>
  </si>
  <si>
    <t>ГБУК КК "КГИАМЗ им. Е.Д.Фелицына</t>
  </si>
  <si>
    <t xml:space="preserve">с 01.12.2022г. по 23.12.2022г. </t>
  </si>
  <si>
    <t>Дополнительное соглашение б/н от 28.11.2022г.</t>
  </si>
  <si>
    <t>№ 558</t>
  </si>
  <si>
    <t>12.12.2022г.</t>
  </si>
  <si>
    <t>Услуги по подготовке декларации НВОС</t>
  </si>
  <si>
    <t>с 12.12.2022г. по 31.12.2022г.</t>
  </si>
  <si>
    <t>в течение 7 рабочих дней с момента подписания Заказчиком документа и оказания услуг</t>
  </si>
  <si>
    <t>Организация горячего питания 1-4 класс (стоимость питания)</t>
  </si>
  <si>
    <t>с 01.12.2022г. по 28.12.2022г.</t>
  </si>
  <si>
    <t>В течение 10 рабочих дней с ммента подписания акта  оказанных услуг</t>
  </si>
  <si>
    <t>Организация горячего питания 1-4 кл. (услуги по приготовлению)</t>
  </si>
  <si>
    <t>01 декабря 2022г.</t>
  </si>
  <si>
    <t>05 декабря 2022г.</t>
  </si>
  <si>
    <t>7 денабря 2022г.</t>
  </si>
  <si>
    <t>7 декабря 2022г.</t>
  </si>
  <si>
    <t>8 декабря 2022г.</t>
  </si>
  <si>
    <t>13 декабря 2022г.</t>
  </si>
  <si>
    <t>16 декабря 2022г.</t>
  </si>
  <si>
    <t>23 декабря 2022г.</t>
  </si>
  <si>
    <t>27 декабря 2022г.</t>
  </si>
  <si>
    <t>28 декабря 2022г.</t>
  </si>
  <si>
    <t>1 декабря 2022г.</t>
  </si>
  <si>
    <t>15 декабря 2022г.</t>
  </si>
  <si>
    <t>20 декабря 2022г.</t>
  </si>
  <si>
    <t>2 декабря 2022г.</t>
  </si>
  <si>
    <t>30 ноября.2022г.</t>
  </si>
  <si>
    <t>6 декабря 2022г.</t>
  </si>
  <si>
    <t>9 ноября 2022г.</t>
  </si>
  <si>
    <t>21.декабря 2022г.</t>
  </si>
  <si>
    <t>9 декабря 2022г.</t>
  </si>
  <si>
    <t>21 декабря 2022г.</t>
  </si>
  <si>
    <t>12 декабря 2022г.</t>
  </si>
  <si>
    <t>30 сентября 2022г.</t>
  </si>
  <si>
    <t>223235301532623530100100180018010244</t>
  </si>
  <si>
    <t>08183000199220003360001</t>
  </si>
  <si>
    <t>ООО ЧОО "ЛЕГИОН"</t>
  </si>
  <si>
    <t>С 01.01.2023г. по 19.10.2023г.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</si>
  <si>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</si>
  <si>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</si>
  <si>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</si>
  <si>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</si>
  <si>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</si>
  <si>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</si>
  <si>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</si>
  <si>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</si>
  <si>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</si>
  <si>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</si>
  <si>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АО                                  " Мусороуборочная компания"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</si>
  <si>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</si>
  <si>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</si>
  <si>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</si>
  <si>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</si>
  <si>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</si>
  <si>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Дополнительное соглашение № 2 от 20.12.2022г.</t>
  </si>
  <si>
    <t>Соглашение о расторжении б/н от 01.12.2022г.</t>
  </si>
  <si>
    <t>Соглашение о расторжении б/н от 29.12.2022г.</t>
  </si>
  <si>
    <t>Соглашение о расторжении б/н      от 29.12.2022г.</t>
  </si>
  <si>
    <t>№ 14/23</t>
  </si>
  <si>
    <t>31.12.2022г.</t>
  </si>
  <si>
    <t>Услуги по дератизации,  дезинсекции</t>
  </si>
  <si>
    <t>с 31.12.2022г. по 31.12.2023г.</t>
  </si>
  <si>
    <t>Поквартально, в течение 10 рабочих дней с момента подписания акта оказанных услуг</t>
  </si>
  <si>
    <t>Электрическая энергия</t>
  </si>
  <si>
    <t>30% до 10 числа месяца, 40% до 25 числа месяца, остальное-до 18 числа месяца</t>
  </si>
  <si>
    <t>Охрана объекта с использованием кнопки тревожной сигнализации</t>
  </si>
  <si>
    <t>в течение 10 рабочих дней с момента предоставления документов на оплату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</si>
</sst>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  <numFmt numFmtId="169" formatCode="dd/mm/yyyy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97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18" borderId="14" xfId="0" applyNumberFormat="1" applyFont="1" applyFill="1" applyBorder="1" applyAlignment="1">
      <alignment horizontal="center" vertical="center" wrapText="1"/>
    </xf>
    <xf numFmtId="49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4" xfId="0" applyFont="1" applyFill="1" applyBorder="1" applyAlignment="1" applyProtection="1">
      <alignment horizontal="center" vertical="center" wrapText="1"/>
      <protection locked="0"/>
    </xf>
    <xf numFmtId="14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" xfId="0" applyNumberFormat="1" applyFont="1" applyFill="1" applyBorder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168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4" fontId="1" fillId="0" borderId="24" xfId="0" applyNumberFormat="1" applyFont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4" fontId="1" fillId="0" borderId="24" xfId="0" applyNumberFormat="1" applyFont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4" fontId="1" fillId="0" borderId="27" xfId="0" applyNumberFormat="1" applyFont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2" xfId="0" applyNumberFormat="1" applyFont="1" applyBorder="1" applyAlignment="1" applyProtection="1">
      <alignment horizontal="center" vertical="center" wrapText="1"/>
      <protection locked="0"/>
    </xf>
    <xf numFmtId="165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0" borderId="32" xfId="0" applyNumberFormat="1" applyFont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9" xfId="0" applyNumberFormat="1" applyFont="1" applyBorder="1" applyAlignment="1" applyProtection="1">
      <alignment horizontal="center" vertical="center" wrapText="1"/>
      <protection locked="0"/>
    </xf>
    <xf numFmtId="165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Border="1" applyAlignment="1" applyProtection="1">
      <alignment horizontal="center" vertical="center" wrapText="1"/>
      <protection locked="0"/>
    </xf>
    <xf numFmtId="4" fontId="1" fillId="0" borderId="42" xfId="0" applyNumberFormat="1" applyFont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9" xfId="0" applyNumberFormat="1" applyFont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Border="1" applyAlignment="1" applyProtection="1">
      <alignment horizontal="center" vertical="center" wrapText="1"/>
      <protection locked="0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>
      <alignment horizontal="center" vertical="center" wrapText="1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Border="1" applyAlignment="1" applyProtection="1">
      <alignment horizontal="center" vertical="center" wrapText="1"/>
      <protection locked="0"/>
    </xf>
    <xf numFmtId="49" fontId="1" fillId="0" borderId="49" xfId="0" applyNumberFormat="1" applyFont="1" applyBorder="1" applyAlignment="1" applyProtection="1">
      <alignment horizontal="center" vertical="center" wrapText="1"/>
      <protection locked="0"/>
    </xf>
    <xf numFmtId="4" fontId="1" fillId="0" borderId="52" xfId="0" applyNumberFormat="1" applyFont="1" applyBorder="1" applyAlignment="1" applyProtection="1">
      <alignment horizontal="center" vertical="center" wrapText="1"/>
      <protection locked="0"/>
    </xf>
    <xf numFmtId="49" fontId="1" fillId="0" borderId="52" xfId="0" applyNumberFormat="1" applyFont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Border="1" applyAlignment="1" applyProtection="1">
      <alignment horizontal="center" vertical="center" wrapText="1"/>
      <protection locked="0"/>
    </xf>
    <xf numFmtId="14" fontId="1" fillId="0" borderId="52" xfId="0" applyNumberFormat="1" applyFont="1" applyBorder="1" applyAlignment="1" applyProtection="1">
      <alignment horizontal="center" vertical="center" wrapText="1"/>
      <protection locked="0"/>
    </xf>
    <xf numFmtId="168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5" xfId="0" applyNumberFormat="1" applyFont="1" applyBorder="1" applyAlignment="1" applyProtection="1">
      <alignment horizontal="center" vertical="center" wrapText="1"/>
      <protection locked="0"/>
    </xf>
    <xf numFmtId="165" fontId="1" fillId="0" borderId="55" xfId="0" applyNumberFormat="1" applyFont="1" applyBorder="1" applyAlignment="1" applyProtection="1">
      <alignment horizontal="center" vertical="center" wrapText="1"/>
      <protection locked="0"/>
    </xf>
    <xf numFmtId="49" fontId="1" fillId="0" borderId="55" xfId="0" applyNumberFormat="1" applyFont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5" xfId="0" applyNumberFormat="1" applyFont="1" applyBorder="1" applyAlignment="1" applyProtection="1">
      <alignment horizontal="center" vertical="center" wrapText="1"/>
      <protection locked="0"/>
    </xf>
    <xf numFmtId="4" fontId="1" fillId="0" borderId="56" xfId="0" applyNumberFormat="1" applyFont="1" applyBorder="1" applyAlignment="1" applyProtection="1">
      <alignment horizontal="center" vertical="center" wrapText="1"/>
      <protection locked="0"/>
    </xf>
    <xf numFmtId="165" fontId="1" fillId="0" borderId="56" xfId="0" applyNumberFormat="1" applyFont="1" applyBorder="1" applyAlignment="1" applyProtection="1">
      <alignment horizontal="center" vertical="center" wrapText="1"/>
      <protection locked="0"/>
    </xf>
    <xf numFmtId="49" fontId="1" fillId="0" borderId="56" xfId="0" applyNumberFormat="1" applyFont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Border="1" applyAlignment="1" applyProtection="1">
      <alignment horizontal="center" vertical="center" wrapText="1"/>
      <protection locked="0"/>
    </xf>
    <xf numFmtId="168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1" xfId="0" applyNumberFormat="1" applyFont="1" applyBorder="1" applyAlignment="1" applyProtection="1">
      <alignment horizontal="center" vertical="center" wrapText="1"/>
      <protection locked="0"/>
    </xf>
    <xf numFmtId="4" fontId="1" fillId="0" borderId="61" xfId="0" applyNumberFormat="1" applyFont="1" applyBorder="1" applyAlignment="1" applyProtection="1">
      <alignment horizontal="center" vertical="center" wrapText="1"/>
      <protection locked="0"/>
    </xf>
    <xf numFmtId="165" fontId="1" fillId="0" borderId="61" xfId="0" applyNumberFormat="1" applyFont="1" applyBorder="1" applyAlignment="1" applyProtection="1">
      <alignment horizontal="center" vertical="center" wrapText="1"/>
      <protection locked="0"/>
    </xf>
    <xf numFmtId="49" fontId="1" fillId="0" borderId="61" xfId="0" applyNumberFormat="1" applyFont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>
      <alignment horizontal="center" vertical="center" wrapText="1"/>
    </xf>
    <xf numFmtId="4" fontId="1" fillId="18" borderId="58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>
      <alignment horizontal="center" vertical="center" wrapText="1"/>
    </xf>
    <xf numFmtId="4" fontId="1" fillId="18" borderId="67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>
      <alignment horizontal="center" vertical="center" wrapText="1"/>
    </xf>
    <xf numFmtId="49" fontId="1" fillId="18" borderId="67" xfId="0" applyNumberFormat="1" applyFont="1" applyFill="1" applyBorder="1" applyAlignment="1">
      <alignment horizontal="center" vertical="center" wrapText="1"/>
    </xf>
    <xf numFmtId="168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>
      <alignment horizontal="center" vertical="center" wrapText="1"/>
    </xf>
    <xf numFmtId="4" fontId="1" fillId="18" borderId="69" xfId="0" applyNumberFormat="1" applyFont="1" applyFill="1" applyBorder="1" applyAlignment="1">
      <alignment horizontal="center" vertical="center" wrapText="1"/>
    </xf>
    <xf numFmtId="16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>
      <alignment horizontal="center" vertical="center" wrapText="1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16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16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3" xfId="0" applyNumberFormat="1" applyFont="1" applyBorder="1" applyAlignment="1" applyProtection="1">
      <alignment horizontal="center" vertical="center" wrapText="1"/>
      <protection locked="0"/>
    </xf>
    <xf numFmtId="165" fontId="1" fillId="0" borderId="73" xfId="0" applyNumberFormat="1" applyFont="1" applyBorder="1" applyAlignment="1" applyProtection="1">
      <alignment horizontal="center" vertical="center" wrapText="1"/>
      <protection locked="0"/>
    </xf>
    <xf numFmtId="49" fontId="1" fillId="0" borderId="73" xfId="0" applyNumberFormat="1" applyFont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3" xfId="0" applyNumberFormat="1" applyFont="1" applyBorder="1" applyAlignment="1" applyProtection="1">
      <alignment horizontal="center" vertical="center" wrapText="1"/>
      <protection locked="0"/>
    </xf>
    <xf numFmtId="14" fontId="1" fillId="0" borderId="74" xfId="0" applyNumberFormat="1" applyFont="1" applyBorder="1" applyAlignment="1" applyProtection="1">
      <alignment horizontal="center" vertical="center" wrapText="1"/>
      <protection locked="0"/>
    </xf>
    <xf numFmtId="4" fontId="1" fillId="0" borderId="74" xfId="0" applyNumberFormat="1" applyFont="1" applyBorder="1" applyAlignment="1" applyProtection="1">
      <alignment horizontal="center" vertical="center" wrapText="1"/>
      <protection locked="0"/>
    </xf>
    <xf numFmtId="165" fontId="1" fillId="0" borderId="74" xfId="0" applyNumberFormat="1" applyFont="1" applyBorder="1" applyAlignment="1" applyProtection="1">
      <alignment horizontal="center" vertical="center" wrapText="1"/>
      <protection locked="0"/>
    </xf>
    <xf numFmtId="49" fontId="1" fillId="0" borderId="74" xfId="0" applyNumberFormat="1" applyFont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>
      <alignment horizontal="center" vertical="center" wrapText="1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>
      <alignment horizontal="center" vertical="center" wrapText="1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168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7" xfId="0" applyNumberFormat="1" applyFont="1" applyBorder="1" applyAlignment="1" applyProtection="1">
      <alignment horizontal="center" vertical="center" wrapText="1"/>
      <protection locked="0"/>
    </xf>
    <xf numFmtId="165" fontId="1" fillId="0" borderId="77" xfId="0" applyNumberFormat="1" applyFont="1" applyBorder="1" applyAlignment="1" applyProtection="1">
      <alignment horizontal="center" vertical="center" wrapText="1"/>
      <protection locked="0"/>
    </xf>
    <xf numFmtId="49" fontId="1" fillId="0" borderId="77" xfId="0" applyNumberFormat="1" applyFont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7" xfId="0" applyNumberFormat="1" applyFont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2" xfId="0" applyNumberFormat="1" applyFont="1" applyBorder="1" applyAlignment="1" applyProtection="1">
      <alignment horizontal="center" vertical="center" wrapText="1"/>
      <protection locked="0"/>
    </xf>
    <xf numFmtId="165" fontId="1" fillId="0" borderId="82" xfId="0" applyNumberFormat="1" applyFont="1" applyBorder="1" applyAlignment="1" applyProtection="1">
      <alignment horizontal="center" vertical="center" wrapText="1"/>
      <protection locked="0"/>
    </xf>
    <xf numFmtId="49" fontId="1" fillId="0" borderId="82" xfId="0" applyNumberFormat="1" applyFont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2" xfId="0" applyNumberFormat="1" applyFont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>
      <alignment horizontal="center" vertical="center" wrapText="1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>
      <alignment horizontal="center" vertical="center" wrapText="1"/>
    </xf>
    <xf numFmtId="0" fontId="1" fillId="18" borderId="84" xfId="0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>
      <alignment horizontal="center" vertical="center" wrapText="1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>
      <alignment horizontal="center" vertical="center" wrapText="1"/>
    </xf>
    <xf numFmtId="0" fontId="1" fillId="18" borderId="85" xfId="0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0" xfId="0" applyNumberFormat="1" applyFont="1" applyBorder="1" applyAlignment="1" applyProtection="1">
      <alignment horizontal="center" vertical="center" wrapText="1"/>
      <protection locked="0"/>
    </xf>
    <xf numFmtId="165" fontId="1" fillId="0" borderId="90" xfId="0" applyNumberFormat="1" applyFont="1" applyBorder="1" applyAlignment="1" applyProtection="1">
      <alignment horizontal="center" vertical="center" wrapText="1"/>
      <protection locked="0"/>
    </xf>
    <xf numFmtId="49" fontId="1" fillId="0" borderId="90" xfId="0" applyNumberFormat="1" applyFont="1" applyBorder="1" applyAlignment="1" applyProtection="1">
      <alignment horizontal="center" vertical="center" wrapText="1"/>
      <protection locked="0"/>
    </xf>
    <xf numFmtId="49" fontId="1" fillId="18" borderId="91" xfId="0" applyNumberFormat="1" applyFont="1" applyFill="1" applyBorder="1" applyAlignment="1">
      <alignment horizontal="center" vertical="center" wrapText="1"/>
    </xf>
    <xf numFmtId="49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>
      <alignment horizontal="center" vertical="center" wrapText="1"/>
    </xf>
    <xf numFmtId="4" fontId="1" fillId="0" borderId="91" xfId="0" applyNumberFormat="1" applyFont="1" applyBorder="1" applyAlignment="1" applyProtection="1">
      <alignment horizontal="center" vertical="center" wrapText="1"/>
      <protection locked="0"/>
    </xf>
    <xf numFmtId="165" fontId="1" fillId="0" borderId="91" xfId="0" applyNumberFormat="1" applyFont="1" applyBorder="1" applyAlignment="1" applyProtection="1">
      <alignment horizontal="center" vertical="center" wrapText="1"/>
      <protection locked="0"/>
    </xf>
    <xf numFmtId="49" fontId="1" fillId="0" borderId="91" xfId="0" applyNumberFormat="1" applyFont="1" applyBorder="1" applyAlignment="1" applyProtection="1">
      <alignment horizontal="center" vertical="center" wrapText="1"/>
      <protection locked="0"/>
    </xf>
    <xf numFmtId="0" fontId="1" fillId="18" borderId="91" xfId="0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0" xfId="0" applyNumberFormat="1" applyFont="1" applyBorder="1" applyAlignment="1" applyProtection="1">
      <alignment horizontal="center" vertical="center" wrapText="1"/>
      <protection locked="0"/>
    </xf>
    <xf numFmtId="14" fontId="1" fillId="0" borderId="91" xfId="0" applyNumberFormat="1" applyFont="1" applyBorder="1" applyAlignment="1" applyProtection="1">
      <alignment horizontal="center" vertical="center" wrapText="1"/>
      <protection locked="0"/>
    </xf>
    <xf numFmtId="49" fontId="1" fillId="18" borderId="86" xfId="0" applyNumberFormat="1" applyFont="1" applyFill="1" applyBorder="1" applyAlignment="1">
      <alignment horizontal="center" vertical="center" wrapText="1"/>
    </xf>
    <xf numFmtId="4" fontId="1" fillId="18" borderId="87" xfId="0" applyNumberFormat="1" applyFont="1" applyFill="1" applyBorder="1" applyAlignment="1">
      <alignment horizontal="center" vertical="center" wrapText="1"/>
    </xf>
    <xf numFmtId="167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168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>
      <alignment horizontal="center" vertical="center" wrapText="1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>
      <alignment horizontal="center" vertical="center" wrapText="1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165" fontId="16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4" xfId="0" applyNumberFormat="1" applyFont="1" applyBorder="1" applyAlignment="1" applyProtection="1">
      <alignment horizontal="center" vertical="center" wrapText="1"/>
      <protection locked="0"/>
    </xf>
    <xf numFmtId="165" fontId="1" fillId="0" borderId="94" xfId="0" applyNumberFormat="1" applyFont="1" applyBorder="1" applyAlignment="1" applyProtection="1">
      <alignment horizontal="center" vertical="center" wrapText="1"/>
      <protection locked="0"/>
    </xf>
    <xf numFmtId="49" fontId="1" fillId="0" borderId="94" xfId="0" applyNumberFormat="1" applyFont="1" applyBorder="1" applyAlignment="1" applyProtection="1">
      <alignment horizontal="center" vertical="center" wrapText="1"/>
      <protection locked="0"/>
    </xf>
    <xf numFmtId="1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4" xfId="0" applyNumberFormat="1" applyFont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9" xfId="0" applyNumberFormat="1" applyFont="1" applyBorder="1" applyAlignment="1" applyProtection="1">
      <alignment horizontal="center" vertical="center" wrapText="1"/>
      <protection locked="0"/>
    </xf>
    <xf numFmtId="165" fontId="1" fillId="0" borderId="99" xfId="0" applyNumberFormat="1" applyFont="1" applyBorder="1" applyAlignment="1" applyProtection="1">
      <alignment horizontal="center" vertical="center" wrapText="1"/>
      <protection locked="0"/>
    </xf>
    <xf numFmtId="1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9" xfId="0" applyNumberFormat="1" applyFont="1" applyBorder="1" applyAlignment="1" applyProtection="1">
      <alignment horizontal="center" vertical="center" wrapText="1"/>
      <protection locked="0"/>
    </xf>
    <xf numFmtId="2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0" xfId="0" applyFont="1" applyFill="1" applyBorder="1" applyAlignment="1" applyProtection="1">
      <alignment horizontal="center" vertical="center" wrapText="1"/>
      <protection locked="0"/>
    </xf>
    <xf numFmtId="49" fontId="1" fillId="18" borderId="100" xfId="0" applyNumberFormat="1" applyFont="1" applyFill="1" applyBorder="1" applyAlignment="1">
      <alignment horizontal="center" vertical="center" wrapText="1"/>
    </xf>
    <xf numFmtId="49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0" xfId="0" applyNumberFormat="1" applyFont="1" applyFill="1" applyBorder="1" applyAlignment="1">
      <alignment horizontal="center" vertical="center" wrapText="1"/>
    </xf>
    <xf numFmtId="165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1" xfId="0" applyNumberFormat="1" applyFont="1" applyFill="1" applyBorder="1" applyAlignment="1">
      <alignment horizontal="center" vertical="center" wrapText="1"/>
    </xf>
    <xf numFmtId="49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1" xfId="0" applyNumberFormat="1" applyFont="1" applyFill="1" applyBorder="1" applyAlignment="1">
      <alignment horizontal="center" vertical="center" wrapText="1"/>
    </xf>
    <xf numFmtId="167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1" xfId="0" applyFont="1" applyFill="1" applyBorder="1" applyAlignment="1" applyProtection="1">
      <alignment horizontal="center" vertical="center" wrapText="1"/>
      <protection locked="0"/>
    </xf>
    <xf numFmtId="1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10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3" xfId="0" applyNumberFormat="1" applyFont="1" applyBorder="1" applyAlignment="1" applyProtection="1">
      <alignment horizontal="center" vertical="center" wrapText="1"/>
      <protection locked="0"/>
    </xf>
    <xf numFmtId="165" fontId="1" fillId="0" borderId="103" xfId="0" applyNumberFormat="1" applyFont="1" applyBorder="1" applyAlignment="1" applyProtection="1">
      <alignment horizontal="center" vertical="center" wrapText="1"/>
      <protection locked="0"/>
    </xf>
    <xf numFmtId="49" fontId="1" fillId="0" borderId="103" xfId="0" applyNumberFormat="1" applyFont="1" applyBorder="1" applyAlignment="1" applyProtection="1">
      <alignment horizontal="center" vertical="center" wrapText="1"/>
      <protection locked="0"/>
    </xf>
    <xf numFmtId="4" fontId="1" fillId="0" borderId="104" xfId="0" applyNumberFormat="1" applyFont="1" applyBorder="1" applyAlignment="1" applyProtection="1">
      <alignment horizontal="center" vertical="center" wrapText="1"/>
      <protection locked="0"/>
    </xf>
    <xf numFmtId="165" fontId="1" fillId="0" borderId="104" xfId="0" applyNumberFormat="1" applyFont="1" applyBorder="1" applyAlignment="1" applyProtection="1">
      <alignment horizontal="center" vertical="center" wrapText="1"/>
      <protection locked="0"/>
    </xf>
    <xf numFmtId="49" fontId="1" fillId="0" borderId="104" xfId="0" applyNumberFormat="1" applyFont="1" applyBorder="1" applyAlignment="1" applyProtection="1">
      <alignment horizontal="center" vertical="center" wrapText="1"/>
      <protection locked="0"/>
    </xf>
    <xf numFmtId="1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3" xfId="0" applyNumberFormat="1" applyFont="1" applyBorder="1" applyAlignment="1" applyProtection="1">
      <alignment horizontal="center" vertical="center" wrapText="1"/>
      <protection locked="0"/>
    </xf>
    <xf numFmtId="14" fontId="1" fillId="0" borderId="104" xfId="0" applyNumberFormat="1" applyFont="1" applyBorder="1" applyAlignment="1" applyProtection="1">
      <alignment horizontal="center" vertical="center" wrapText="1"/>
      <protection locked="0"/>
    </xf>
    <xf numFmtId="49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9" xfId="0" applyNumberFormat="1" applyFont="1" applyBorder="1" applyAlignment="1" applyProtection="1">
      <alignment horizontal="center" vertical="center" wrapText="1"/>
      <protection locked="0"/>
    </xf>
    <xf numFmtId="165" fontId="1" fillId="0" borderId="109" xfId="0" applyNumberFormat="1" applyFont="1" applyBorder="1" applyAlignment="1" applyProtection="1">
      <alignment horizontal="center" vertical="center" wrapText="1"/>
      <protection locked="0"/>
    </xf>
    <xf numFmtId="49" fontId="1" fillId="0" borderId="109" xfId="0" applyNumberFormat="1" applyFont="1" applyBorder="1" applyAlignment="1" applyProtection="1">
      <alignment horizontal="center" vertical="center" wrapText="1"/>
      <protection locked="0"/>
    </xf>
    <xf numFmtId="1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9" xfId="0" applyNumberFormat="1" applyFont="1" applyBorder="1" applyAlignment="1" applyProtection="1">
      <alignment horizontal="center" vertical="center" wrapText="1"/>
      <protection locked="0"/>
    </xf>
    <xf numFmtId="14" fontId="1" fillId="0" borderId="111" xfId="0" applyNumberFormat="1" applyFont="1" applyBorder="1" applyAlignment="1" applyProtection="1">
      <alignment horizontal="center" vertical="center" wrapText="1"/>
      <protection locked="0"/>
    </xf>
    <xf numFmtId="4" fontId="1" fillId="0" borderId="111" xfId="0" applyNumberFormat="1" applyFont="1" applyBorder="1" applyAlignment="1" applyProtection="1">
      <alignment horizontal="center" vertical="center" wrapText="1"/>
      <protection locked="0"/>
    </xf>
    <xf numFmtId="165" fontId="1" fillId="0" borderId="111" xfId="0" applyNumberFormat="1" applyFont="1" applyBorder="1" applyAlignment="1" applyProtection="1">
      <alignment horizontal="center" vertical="center" wrapText="1"/>
      <protection locked="0"/>
    </xf>
    <xf numFmtId="49" fontId="1" fillId="0" borderId="111" xfId="0" applyNumberFormat="1" applyFont="1" applyBorder="1" applyAlignment="1" applyProtection="1">
      <alignment horizontal="center" vertical="center" wrapText="1"/>
      <protection locked="0"/>
    </xf>
    <xf numFmtId="0" fontId="1" fillId="18" borderId="113" xfId="0" applyFont="1" applyFill="1" applyBorder="1" applyAlignment="1" applyProtection="1">
      <alignment horizontal="center" vertical="center" wrapText="1"/>
      <protection locked="0"/>
    </xf>
    <xf numFmtId="2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3" xfId="0" applyNumberFormat="1" applyFont="1" applyFill="1" applyBorder="1" applyAlignment="1">
      <alignment horizontal="center" vertical="center" wrapText="1"/>
    </xf>
    <xf numFmtId="49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3" xfId="0" applyNumberFormat="1" applyFont="1" applyFill="1" applyBorder="1" applyAlignment="1">
      <alignment horizontal="center" vertical="center" wrapText="1"/>
    </xf>
    <xf numFmtId="167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18" borderId="93" xfId="0" applyFont="1" applyFill="1" applyBorder="1" applyAlignment="1" applyProtection="1">
      <alignment horizontal="center" vertical="center" wrapText="1"/>
      <protection locked="0"/>
    </xf>
    <xf numFmtId="0" fontId="1" fillId="18" borderId="94" xfId="0" applyFont="1" applyFill="1" applyBorder="1" applyAlignment="1" applyProtection="1">
      <alignment horizontal="center" vertical="center" wrapText="1"/>
      <protection locked="0"/>
    </xf>
    <xf numFmtId="49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>
      <alignment horizontal="center" vertical="center" wrapText="1"/>
    </xf>
    <xf numFmtId="4" fontId="1" fillId="18" borderId="94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>
      <alignment horizontal="center" vertical="center" wrapText="1"/>
    </xf>
    <xf numFmtId="49" fontId="1" fillId="18" borderId="60" xfId="0" applyNumberFormat="1" applyFont="1" applyFill="1" applyBorder="1" applyAlignment="1">
      <alignment horizontal="center" vertical="center" wrapText="1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>
      <alignment horizontal="center" vertical="center" wrapText="1"/>
    </xf>
    <xf numFmtId="49" fontId="1" fillId="18" borderId="81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>
      <alignment horizontal="center" vertical="center" wrapText="1"/>
    </xf>
    <xf numFmtId="4" fontId="1" fillId="18" borderId="61" xfId="0" applyNumberFormat="1" applyFont="1" applyFill="1" applyBorder="1" applyAlignment="1">
      <alignment horizontal="center" vertical="center" wrapText="1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>
      <alignment horizontal="center" vertical="center" wrapText="1"/>
    </xf>
    <xf numFmtId="49" fontId="1" fillId="18" borderId="73" xfId="0" applyNumberFormat="1" applyFont="1" applyFill="1" applyBorder="1" applyAlignment="1">
      <alignment horizontal="center" vertical="center" wrapText="1"/>
    </xf>
    <xf numFmtId="49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0" xfId="0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4" fontId="1" fillId="18" borderId="82" xfId="0" applyNumberFormat="1" applyFont="1" applyFill="1" applyBorder="1" applyAlignment="1">
      <alignment horizontal="center" vertical="center" wrapText="1"/>
    </xf>
    <xf numFmtId="168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18" borderId="74" xfId="0" applyNumberFormat="1" applyFont="1" applyFill="1" applyBorder="1" applyAlignment="1">
      <alignment horizontal="center" vertical="center" wrapText="1"/>
    </xf>
    <xf numFmtId="4" fontId="1" fillId="18" borderId="73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>
      <alignment horizontal="center" vertical="center" wrapText="1"/>
    </xf>
    <xf numFmtId="4" fontId="1" fillId="18" borderId="5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54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5" xfId="0" applyNumberFormat="1" applyFont="1" applyFill="1" applyBorder="1" applyAlignment="1">
      <alignment horizontal="center" vertical="center" wrapText="1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2" xfId="0" applyNumberFormat="1" applyFont="1" applyFill="1" applyBorder="1" applyAlignment="1">
      <alignment horizontal="center" vertical="center" wrapText="1"/>
    </xf>
    <xf numFmtId="49" fontId="1" fillId="18" borderId="103" xfId="0" applyNumberFormat="1" applyFont="1" applyFill="1" applyBorder="1" applyAlignment="1">
      <alignment horizontal="center" vertical="center" wrapText="1"/>
    </xf>
    <xf numFmtId="49" fontId="1" fillId="18" borderId="104" xfId="0" applyNumberFormat="1" applyFont="1" applyFill="1" applyBorder="1" applyAlignment="1">
      <alignment horizontal="center" vertical="center" wrapText="1"/>
    </xf>
    <xf numFmtId="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168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2" xfId="0" applyFont="1" applyFill="1" applyBorder="1" applyAlignment="1" applyProtection="1">
      <alignment horizontal="center" vertical="center" wrapText="1"/>
      <protection locked="0"/>
    </xf>
    <xf numFmtId="0" fontId="1" fillId="18" borderId="103" xfId="0" applyFont="1" applyFill="1" applyBorder="1" applyAlignment="1" applyProtection="1">
      <alignment horizontal="center" vertical="center" wrapText="1"/>
      <protection locked="0"/>
    </xf>
    <xf numFmtId="0" fontId="1" fillId="18" borderId="104" xfId="0" applyFont="1" applyFill="1" applyBorder="1" applyAlignment="1" applyProtection="1">
      <alignment horizontal="center" vertical="center" wrapText="1"/>
      <protection locked="0"/>
    </xf>
    <xf numFmtId="168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2" xfId="0" applyNumberFormat="1" applyFont="1" applyFill="1" applyBorder="1" applyAlignment="1">
      <alignment horizontal="center" vertical="center" wrapText="1"/>
    </xf>
    <xf numFmtId="4" fontId="1" fillId="18" borderId="104" xfId="0" applyNumberFormat="1" applyFont="1" applyFill="1" applyBorder="1" applyAlignment="1">
      <alignment horizontal="center" vertical="center" wrapText="1"/>
    </xf>
    <xf numFmtId="165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102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10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3" xfId="0" applyNumberFormat="1" applyFont="1" applyFill="1" applyBorder="1" applyAlignment="1">
      <alignment horizontal="center" vertical="center" wrapText="1"/>
    </xf>
    <xf numFmtId="49" fontId="1" fillId="18" borderId="94" xfId="0" applyNumberFormat="1" applyFont="1" applyFill="1" applyBorder="1" applyAlignment="1">
      <alignment horizontal="center" vertical="center" wrapText="1"/>
    </xf>
    <xf numFmtId="168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3" xfId="0" applyNumberFormat="1" applyFont="1" applyFill="1" applyBorder="1" applyAlignment="1">
      <alignment horizontal="center" vertical="center" wrapText="1"/>
    </xf>
    <xf numFmtId="168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>
      <alignment horizontal="center" vertical="center" wrapText="1"/>
    </xf>
    <xf numFmtId="49" fontId="1" fillId="18" borderId="77" xfId="0" applyNumberFormat="1" applyFont="1" applyFill="1" applyBorder="1" applyAlignment="1">
      <alignment horizontal="center" vertical="center" wrapText="1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>
      <alignment horizontal="center" vertical="center" wrapText="1"/>
    </xf>
    <xf numFmtId="4" fontId="1" fillId="18" borderId="77" xfId="0" applyNumberFormat="1" applyFont="1" applyFill="1" applyBorder="1" applyAlignment="1">
      <alignment horizontal="center" vertical="center" wrapText="1"/>
    </xf>
    <xf numFmtId="16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>
      <alignment horizontal="center" vertical="center" wrapText="1"/>
    </xf>
    <xf numFmtId="4" fontId="1" fillId="18" borderId="90" xfId="0" applyNumberFormat="1" applyFont="1" applyFill="1" applyBorder="1" applyAlignment="1">
      <alignment horizontal="center" vertical="center" wrapText="1"/>
    </xf>
    <xf numFmtId="4" fontId="1" fillId="18" borderId="91" xfId="0" applyNumberFormat="1" applyFont="1" applyFill="1" applyBorder="1" applyAlignment="1">
      <alignment horizontal="center" vertical="center" wrapText="1"/>
    </xf>
    <xf numFmtId="16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9" xfId="0" applyFont="1" applyFill="1" applyBorder="1" applyAlignment="1" applyProtection="1">
      <alignment horizontal="center" vertical="center" wrapText="1"/>
      <protection locked="0"/>
    </xf>
    <xf numFmtId="0" fontId="1" fillId="18" borderId="90" xfId="0" applyFont="1" applyFill="1" applyBorder="1" applyAlignment="1" applyProtection="1">
      <alignment horizontal="center" vertical="center" wrapText="1"/>
      <protection locked="0"/>
    </xf>
    <xf numFmtId="0" fontId="1" fillId="18" borderId="91" xfId="0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>
      <alignment horizontal="center" vertical="center" wrapText="1"/>
    </xf>
    <xf numFmtId="49" fontId="1" fillId="18" borderId="91" xfId="0" applyNumberFormat="1" applyFont="1" applyFill="1" applyBorder="1" applyAlignment="1">
      <alignment horizontal="center" vertical="center" wrapText="1"/>
    </xf>
    <xf numFmtId="49" fontId="1" fillId="18" borderId="90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16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5" xfId="0" applyNumberFormat="1" applyFont="1" applyFill="1" applyBorder="1" applyAlignment="1">
      <alignment horizontal="center" vertical="center" wrapText="1"/>
    </xf>
    <xf numFmtId="49" fontId="1" fillId="18" borderId="108" xfId="0" applyNumberFormat="1" applyFont="1" applyFill="1" applyBorder="1" applyAlignment="1">
      <alignment horizontal="center" vertical="center" wrapText="1"/>
    </xf>
    <xf numFmtId="1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7" xfId="0" applyFont="1" applyFill="1" applyBorder="1" applyAlignment="1" applyProtection="1">
      <alignment horizontal="center" vertical="center" wrapText="1"/>
      <protection locked="0"/>
    </xf>
    <xf numFmtId="0" fontId="1" fillId="18" borderId="110" xfId="0" applyFont="1" applyFill="1" applyBorder="1" applyAlignment="1" applyProtection="1">
      <alignment horizontal="center" vertical="center" wrapText="1"/>
      <protection locked="0"/>
    </xf>
    <xf numFmtId="165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6" xfId="0" applyNumberFormat="1" applyFont="1" applyFill="1" applyBorder="1" applyAlignment="1">
      <alignment horizontal="center" vertical="center" wrapText="1"/>
    </xf>
    <xf numFmtId="4" fontId="1" fillId="18" borderId="109" xfId="0" applyNumberFormat="1" applyFont="1" applyFill="1" applyBorder="1" applyAlignment="1">
      <alignment horizontal="center" vertical="center" wrapText="1"/>
    </xf>
    <xf numFmtId="167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2" xfId="0" applyNumberFormat="1" applyFont="1" applyFill="1" applyBorder="1" applyAlignment="1">
      <alignment horizontal="center" vertical="center" wrapText="1"/>
    </xf>
    <xf numFmtId="1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13" xfId="0" applyFont="1" applyFill="1" applyBorder="1" applyAlignment="1" applyProtection="1">
      <alignment horizontal="center" vertical="center" wrapText="1"/>
      <protection locked="0"/>
    </xf>
    <xf numFmtId="165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1" xfId="0" applyNumberFormat="1" applyFont="1" applyFill="1" applyBorder="1" applyAlignment="1">
      <alignment horizontal="center" vertical="center" wrapText="1"/>
    </xf>
    <xf numFmtId="167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95" xfId="0" applyNumberFormat="1" applyFont="1" applyFill="1" applyBorder="1" applyAlignment="1">
      <alignment horizontal="center" vertical="center" wrapText="1"/>
    </xf>
    <xf numFmtId="49" fontId="1" fillId="18" borderId="98" xfId="0" applyNumberFormat="1" applyFont="1" applyFill="1" applyBorder="1" applyAlignment="1">
      <alignment horizontal="center" vertical="center" wrapText="1"/>
    </xf>
    <xf numFmtId="49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7" xfId="0" applyFont="1" applyFill="1" applyBorder="1" applyAlignment="1" applyProtection="1">
      <alignment horizontal="center" vertical="center" wrapText="1"/>
      <protection locked="0"/>
    </xf>
    <xf numFmtId="0" fontId="1" fillId="18" borderId="100" xfId="0" applyFont="1" applyFill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>
      <alignment horizontal="center" vertical="center" wrapText="1"/>
    </xf>
    <xf numFmtId="4" fontId="1" fillId="18" borderId="99" xfId="0" applyNumberFormat="1" applyFont="1" applyFill="1" applyBorder="1" applyAlignment="1">
      <alignment horizontal="center" vertical="center" wrapText="1"/>
    </xf>
    <xf numFmtId="1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49" fontId="1" fillId="18" borderId="51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4" fontId="1" fillId="18" borderId="52" xfId="0" applyNumberFormat="1" applyFont="1" applyFill="1" applyBorder="1" applyAlignment="1">
      <alignment horizontal="center" vertical="center" wrapText="1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topLeftCell="A4" zoomScale="70" zoomScaleNormal="70" workbookViewId="0">
      <selection activeCell="M5" sqref="M5:N5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501" t="s">
        <v>141</v>
      </c>
      <c r="B1" s="502"/>
      <c r="C1" s="502"/>
      <c r="D1" s="502"/>
      <c r="E1" s="501"/>
      <c r="F1" s="502"/>
      <c r="G1" s="502"/>
      <c r="H1" s="502"/>
      <c r="I1" s="502"/>
      <c r="J1" s="502"/>
      <c r="K1" s="502"/>
      <c r="L1" s="502"/>
      <c r="M1" s="502"/>
      <c r="N1" s="503"/>
    </row>
    <row r="3" spans="1:14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">
      <c r="A4" s="477" t="s">
        <v>25</v>
      </c>
      <c r="B4" s="478"/>
      <c r="C4" s="4">
        <v>8112827.9100000001</v>
      </c>
      <c r="D4" s="5"/>
      <c r="E4" s="479" t="s">
        <v>140</v>
      </c>
      <c r="F4" s="480"/>
      <c r="G4" s="481"/>
      <c r="H4" s="482">
        <v>1200000</v>
      </c>
      <c r="I4" s="483"/>
      <c r="J4" s="484"/>
      <c r="K4" s="17"/>
      <c r="L4" s="81" t="s">
        <v>55</v>
      </c>
      <c r="M4" s="479">
        <v>4604030.3099999996</v>
      </c>
      <c r="N4" s="481"/>
    </row>
    <row r="5" spans="1:14" ht="30.75" customHeight="1" thickBot="1" x14ac:dyDescent="0.3">
      <c r="A5" s="477" t="s">
        <v>26</v>
      </c>
      <c r="B5" s="478"/>
      <c r="C5" s="6">
        <f>C4-G15+J15</f>
        <v>-1202791.4500000007</v>
      </c>
      <c r="D5" s="5"/>
      <c r="E5" s="479" t="s">
        <v>53</v>
      </c>
      <c r="F5" s="480"/>
      <c r="G5" s="481"/>
      <c r="H5" s="469">
        <f>H4-G12</f>
        <v>49427.590000000084</v>
      </c>
      <c r="I5" s="470"/>
      <c r="J5" s="471"/>
      <c r="K5" s="17"/>
      <c r="L5" s="81" t="s">
        <v>54</v>
      </c>
      <c r="M5" s="472">
        <f>M4-G13</f>
        <v>-812864.99000000115</v>
      </c>
      <c r="N5" s="473"/>
    </row>
    <row r="6" spans="1:14" ht="14.45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thickBot="1" x14ac:dyDescent="0.35"/>
    <row r="8" spans="1:14" ht="72" customHeight="1" thickBot="1" x14ac:dyDescent="0.3">
      <c r="A8" s="485" t="s">
        <v>27</v>
      </c>
      <c r="B8" s="486"/>
      <c r="C8" s="487"/>
      <c r="D8" s="485" t="s">
        <v>28</v>
      </c>
      <c r="E8" s="486"/>
      <c r="F8" s="487"/>
      <c r="G8" s="488" t="s">
        <v>29</v>
      </c>
      <c r="H8" s="489"/>
      <c r="I8" s="490"/>
      <c r="J8" s="488" t="s">
        <v>142</v>
      </c>
      <c r="K8" s="489"/>
      <c r="L8" s="490"/>
      <c r="M8" s="485" t="s">
        <v>30</v>
      </c>
      <c r="N8" s="487"/>
    </row>
    <row r="9" spans="1:14" ht="41.25" customHeight="1" thickBot="1" x14ac:dyDescent="0.3">
      <c r="A9" s="491" t="s">
        <v>31</v>
      </c>
      <c r="B9" s="492"/>
      <c r="C9" s="493"/>
      <c r="D9" s="494">
        <f>'Состоявшиеся аукционы'!G2</f>
        <v>0</v>
      </c>
      <c r="E9" s="494"/>
      <c r="F9" s="494"/>
      <c r="G9" s="494">
        <f>'Состоявшиеся аукционы'!Q2</f>
        <v>0</v>
      </c>
      <c r="H9" s="494"/>
      <c r="I9" s="494"/>
      <c r="J9" s="474">
        <f>'Состоявшиеся аукционы'!AB2</f>
        <v>0</v>
      </c>
      <c r="K9" s="476"/>
      <c r="L9" s="475"/>
      <c r="M9" s="494">
        <f t="shared" ref="M9:M15" si="0">D9-G9</f>
        <v>0</v>
      </c>
      <c r="N9" s="494"/>
    </row>
    <row r="10" spans="1:14" ht="78.75" customHeight="1" thickBot="1" x14ac:dyDescent="0.3">
      <c r="A10" s="491" t="s">
        <v>49</v>
      </c>
      <c r="B10" s="492"/>
      <c r="C10" s="493"/>
      <c r="D10" s="494">
        <f>'Несостоявшиеся аукционы'!G2</f>
        <v>0</v>
      </c>
      <c r="E10" s="494"/>
      <c r="F10" s="494"/>
      <c r="G10" s="494">
        <f>'Несостоявшиеся аукционы'!Q2</f>
        <v>0</v>
      </c>
      <c r="H10" s="494"/>
      <c r="I10" s="494"/>
      <c r="J10" s="474">
        <f>'Несостоявшиеся аукционы'!AB2</f>
        <v>0</v>
      </c>
      <c r="K10" s="476"/>
      <c r="L10" s="475"/>
      <c r="M10" s="494">
        <f t="shared" si="0"/>
        <v>0</v>
      </c>
      <c r="N10" s="494"/>
    </row>
    <row r="11" spans="1:14" ht="40.5" customHeight="1" thickBot="1" x14ac:dyDescent="0.3">
      <c r="A11" s="491" t="s">
        <v>83</v>
      </c>
      <c r="B11" s="492"/>
      <c r="C11" s="493"/>
      <c r="D11" s="474">
        <f>'Иные конкурентные закупки'!G2</f>
        <v>2001310.85</v>
      </c>
      <c r="E11" s="476"/>
      <c r="F11" s="475"/>
      <c r="G11" s="474">
        <f>'Иные конкурентные закупки'!Q2</f>
        <v>1875343.0100000002</v>
      </c>
      <c r="H11" s="476"/>
      <c r="I11" s="475"/>
      <c r="J11" s="474">
        <f>'Иные конкурентные закупки'!AB2</f>
        <v>221181.65</v>
      </c>
      <c r="K11" s="476"/>
      <c r="L11" s="475"/>
      <c r="M11" s="474">
        <f t="shared" si="0"/>
        <v>125967.83999999985</v>
      </c>
      <c r="N11" s="475"/>
    </row>
    <row r="12" spans="1:14" ht="54.75" customHeight="1" thickBot="1" x14ac:dyDescent="0.3">
      <c r="A12" s="498" t="s">
        <v>50</v>
      </c>
      <c r="B12" s="499"/>
      <c r="C12" s="500"/>
      <c r="D12" s="494">
        <f>'Ед. поставщик п.4 ч.1'!H2</f>
        <v>1150572.4099999999</v>
      </c>
      <c r="E12" s="494"/>
      <c r="F12" s="494"/>
      <c r="G12" s="494">
        <f>D12</f>
        <v>1150572.4099999999</v>
      </c>
      <c r="H12" s="494"/>
      <c r="I12" s="494"/>
      <c r="J12" s="474">
        <f>'Ед. поставщик п.4 ч.1'!V2</f>
        <v>148796.18</v>
      </c>
      <c r="K12" s="476"/>
      <c r="L12" s="475"/>
      <c r="M12" s="494">
        <f t="shared" si="0"/>
        <v>0</v>
      </c>
      <c r="N12" s="494"/>
    </row>
    <row r="13" spans="1:14" ht="45.75" customHeight="1" thickBot="1" x14ac:dyDescent="0.3">
      <c r="A13" s="498" t="s">
        <v>51</v>
      </c>
      <c r="B13" s="499"/>
      <c r="C13" s="500"/>
      <c r="D13" s="494">
        <f>'Ед. поставщик п.5 ч.1'!H2</f>
        <v>5416895.3000000007</v>
      </c>
      <c r="E13" s="494"/>
      <c r="F13" s="494"/>
      <c r="G13" s="494">
        <f>D13</f>
        <v>5416895.3000000007</v>
      </c>
      <c r="H13" s="494"/>
      <c r="I13" s="494"/>
      <c r="J13" s="474">
        <f>'Ед. поставщик п.5 ч.1'!V2</f>
        <v>481419.09</v>
      </c>
      <c r="K13" s="476"/>
      <c r="L13" s="475"/>
      <c r="M13" s="494">
        <f t="shared" si="0"/>
        <v>0</v>
      </c>
      <c r="N13" s="494"/>
    </row>
    <row r="14" spans="1:14" ht="45.75" customHeight="1" thickBot="1" x14ac:dyDescent="0.3">
      <c r="A14" s="516" t="s">
        <v>52</v>
      </c>
      <c r="B14" s="517"/>
      <c r="C14" s="518"/>
      <c r="D14" s="474">
        <f>'Ед.поставщик за искл. п.4,5 ч.1'!G2</f>
        <v>1864431</v>
      </c>
      <c r="E14" s="476"/>
      <c r="F14" s="475"/>
      <c r="G14" s="474">
        <f>D14</f>
        <v>1864431</v>
      </c>
      <c r="H14" s="476"/>
      <c r="I14" s="475"/>
      <c r="J14" s="474">
        <f>'Ед.поставщик за искл. п.4,5 ч.1'!T2</f>
        <v>140225.44</v>
      </c>
      <c r="K14" s="476"/>
      <c r="L14" s="475"/>
      <c r="M14" s="494">
        <f t="shared" si="0"/>
        <v>0</v>
      </c>
      <c r="N14" s="494"/>
    </row>
    <row r="15" spans="1:14" ht="21" thickBot="1" x14ac:dyDescent="0.3">
      <c r="A15" s="495" t="s">
        <v>143</v>
      </c>
      <c r="B15" s="496"/>
      <c r="C15" s="497"/>
      <c r="D15" s="494">
        <f>SUM(D9:D14)</f>
        <v>10433209.560000001</v>
      </c>
      <c r="E15" s="494"/>
      <c r="F15" s="494"/>
      <c r="G15" s="474">
        <f>SUM(G9:G14)</f>
        <v>10307241.720000001</v>
      </c>
      <c r="H15" s="476"/>
      <c r="I15" s="475"/>
      <c r="J15" s="474">
        <f>SUM(J9:J14)</f>
        <v>991622.35999999987</v>
      </c>
      <c r="K15" s="476"/>
      <c r="L15" s="475"/>
      <c r="M15" s="494">
        <f t="shared" si="0"/>
        <v>125967.83999999985</v>
      </c>
      <c r="N15" s="494"/>
    </row>
    <row r="18" spans="1:12" ht="15.75" thickBot="1" x14ac:dyDescent="0.3"/>
    <row r="19" spans="1:12" ht="23.25" customHeight="1" x14ac:dyDescent="0.25">
      <c r="A19" s="504" t="s">
        <v>35</v>
      </c>
      <c r="B19" s="505"/>
      <c r="C19" s="506"/>
      <c r="D19" s="510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7135535.3299999991</v>
      </c>
      <c r="E19" s="511"/>
      <c r="F19" s="511"/>
      <c r="G19" s="512"/>
      <c r="I19" s="15"/>
      <c r="J19" s="15"/>
      <c r="K19" s="15"/>
      <c r="L19" s="15"/>
    </row>
    <row r="20" spans="1:12" ht="24" customHeight="1" thickBot="1" x14ac:dyDescent="0.3">
      <c r="A20" s="507"/>
      <c r="B20" s="508"/>
      <c r="C20" s="509"/>
      <c r="D20" s="513"/>
      <c r="E20" s="514"/>
      <c r="F20" s="514"/>
      <c r="G20" s="515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105"/>
  <sheetViews>
    <sheetView showGridLines="0" topLeftCell="D1" zoomScale="50" zoomScaleNormal="50" workbookViewId="0">
      <pane ySplit="8" topLeftCell="A100" activePane="bottomLeft" state="frozen"/>
      <selection activeCell="I1" sqref="I1"/>
      <selection pane="bottomLeft" activeCell="I104" sqref="I104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SUM(H9:H9999)</f>
        <v>1150572.4099999999</v>
      </c>
      <c r="K2" s="588"/>
      <c r="L2" s="588"/>
      <c r="M2" s="588"/>
      <c r="N2" s="589" t="s">
        <v>137</v>
      </c>
      <c r="O2" s="591"/>
      <c r="P2" s="69">
        <f>SUM(P9:P9999)</f>
        <v>991203.22999999975</v>
      </c>
      <c r="R2" s="68"/>
      <c r="S2" s="589" t="s">
        <v>45</v>
      </c>
      <c r="T2" s="590"/>
      <c r="U2" s="591"/>
      <c r="V2" s="70">
        <f>SUM(V9:V9999)</f>
        <v>148796.18</v>
      </c>
    </row>
    <row r="3" spans="1:24" ht="18" x14ac:dyDescent="0.3">
      <c r="A3" s="588"/>
      <c r="B3" s="588"/>
      <c r="C3" s="588"/>
      <c r="D3" s="588"/>
      <c r="E3" s="588"/>
      <c r="N3" s="68"/>
    </row>
    <row r="4" spans="1:24" ht="39.950000000000003" customHeight="1" x14ac:dyDescent="0.3">
      <c r="J4" s="592"/>
      <c r="K4" s="592"/>
      <c r="M4" s="592"/>
      <c r="N4" s="592"/>
      <c r="O4" s="592"/>
      <c r="P4" s="592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93.75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93.75" x14ac:dyDescent="0.25">
      <c r="A9" s="86">
        <v>1</v>
      </c>
      <c r="B9" s="87" t="s">
        <v>56</v>
      </c>
      <c r="C9" s="87"/>
      <c r="D9" s="87"/>
      <c r="E9" s="88" t="s">
        <v>163</v>
      </c>
      <c r="F9" s="93">
        <v>44574</v>
      </c>
      <c r="G9" s="87" t="s">
        <v>164</v>
      </c>
      <c r="H9" s="94">
        <v>3849.15</v>
      </c>
      <c r="I9" s="95">
        <f>IF(X9 = 1, H9 + SUM(S9:S9) - SUM(T9:T9) - SUM(P9:P9) - V9,0)</f>
        <v>0</v>
      </c>
      <c r="J9" s="87" t="s">
        <v>165</v>
      </c>
      <c r="K9" s="87" t="s">
        <v>166</v>
      </c>
      <c r="L9" s="87"/>
      <c r="M9" s="87" t="s">
        <v>167</v>
      </c>
      <c r="N9" s="93">
        <v>44574</v>
      </c>
      <c r="O9" s="93" t="s">
        <v>159</v>
      </c>
      <c r="P9" s="94">
        <v>3849.15</v>
      </c>
      <c r="Q9" s="88">
        <v>44589</v>
      </c>
      <c r="R9" s="87"/>
      <c r="S9" s="94"/>
      <c r="T9" s="94"/>
      <c r="U9" s="94"/>
      <c r="V9" s="97"/>
      <c r="W9" s="92"/>
      <c r="X9" s="85">
        <v>1</v>
      </c>
    </row>
    <row r="10" spans="1:24" s="85" customFormat="1" ht="93.75" x14ac:dyDescent="0.25">
      <c r="A10" s="98">
        <v>2</v>
      </c>
      <c r="B10" s="99" t="s">
        <v>56</v>
      </c>
      <c r="C10" s="99"/>
      <c r="D10" s="99"/>
      <c r="E10" s="100" t="s">
        <v>192</v>
      </c>
      <c r="F10" s="106">
        <v>44607</v>
      </c>
      <c r="G10" s="99" t="s">
        <v>194</v>
      </c>
      <c r="H10" s="101">
        <v>9972</v>
      </c>
      <c r="I10" s="102">
        <f>IF(X10 = 2, H10 + SUM(S10:S10) - SUM(T10:T10) - SUM(P10:P10) - V10,0)</f>
        <v>0</v>
      </c>
      <c r="J10" s="99" t="s">
        <v>193</v>
      </c>
      <c r="K10" s="99" t="s">
        <v>360</v>
      </c>
      <c r="L10" s="99"/>
      <c r="M10" s="99" t="s">
        <v>316</v>
      </c>
      <c r="N10" s="106">
        <v>44607</v>
      </c>
      <c r="O10" s="106" t="s">
        <v>159</v>
      </c>
      <c r="P10" s="101">
        <v>9972</v>
      </c>
      <c r="Q10" s="100">
        <v>44614</v>
      </c>
      <c r="R10" s="99"/>
      <c r="S10" s="101"/>
      <c r="T10" s="101"/>
      <c r="U10" s="101"/>
      <c r="V10" s="107"/>
      <c r="W10" s="96"/>
      <c r="X10" s="85">
        <v>2</v>
      </c>
    </row>
    <row r="11" spans="1:24" s="85" customFormat="1" ht="93.75" x14ac:dyDescent="0.25">
      <c r="A11" s="98">
        <v>3</v>
      </c>
      <c r="B11" s="99" t="s">
        <v>56</v>
      </c>
      <c r="C11" s="99"/>
      <c r="D11" s="99"/>
      <c r="E11" s="100" t="s">
        <v>195</v>
      </c>
      <c r="F11" s="106">
        <v>44620</v>
      </c>
      <c r="G11" s="99" t="s">
        <v>196</v>
      </c>
      <c r="H11" s="101">
        <v>2300</v>
      </c>
      <c r="I11" s="102">
        <f>IF(X11 = 3, H11 + SUM(S11:S11) - SUM(T11:T11) - SUM(P11:P11) - V11,0)</f>
        <v>0</v>
      </c>
      <c r="J11" s="99" t="s">
        <v>197</v>
      </c>
      <c r="K11" s="99" t="s">
        <v>198</v>
      </c>
      <c r="L11" s="99"/>
      <c r="M11" s="99" t="s">
        <v>199</v>
      </c>
      <c r="N11" s="106">
        <v>44620</v>
      </c>
      <c r="O11" s="106" t="s">
        <v>159</v>
      </c>
      <c r="P11" s="101">
        <v>2300</v>
      </c>
      <c r="Q11" s="100">
        <v>44622</v>
      </c>
      <c r="R11" s="99"/>
      <c r="S11" s="101"/>
      <c r="T11" s="101"/>
      <c r="U11" s="101"/>
      <c r="V11" s="107"/>
      <c r="W11" s="96"/>
      <c r="X11" s="85">
        <v>3</v>
      </c>
    </row>
    <row r="12" spans="1:24" s="85" customFormat="1" ht="72" customHeight="1" x14ac:dyDescent="0.25">
      <c r="A12" s="593">
        <v>4</v>
      </c>
      <c r="B12" s="579" t="s">
        <v>56</v>
      </c>
      <c r="C12" s="579"/>
      <c r="D12" s="579" t="s">
        <v>417</v>
      </c>
      <c r="E12" s="599" t="s">
        <v>206</v>
      </c>
      <c r="F12" s="596">
        <v>44581</v>
      </c>
      <c r="G12" s="579" t="s">
        <v>207</v>
      </c>
      <c r="H12" s="582">
        <v>40488</v>
      </c>
      <c r="I12" s="585">
        <f>IF(X12 = 5, H12 + SUM(S12:S21) - SUM(T12:T21) - SUM(P12:P21) - V12,0)</f>
        <v>0</v>
      </c>
      <c r="J12" s="579" t="s">
        <v>208</v>
      </c>
      <c r="K12" s="579" t="s">
        <v>204</v>
      </c>
      <c r="L12" s="579"/>
      <c r="M12" s="579" t="s">
        <v>209</v>
      </c>
      <c r="N12" s="226">
        <v>44592</v>
      </c>
      <c r="O12" s="596" t="s">
        <v>159</v>
      </c>
      <c r="P12" s="220">
        <v>4992</v>
      </c>
      <c r="Q12" s="221">
        <v>44608</v>
      </c>
      <c r="R12" s="222"/>
      <c r="S12" s="220"/>
      <c r="T12" s="220"/>
      <c r="U12" s="582" t="s">
        <v>418</v>
      </c>
      <c r="V12" s="614">
        <v>1832</v>
      </c>
      <c r="W12" s="611"/>
      <c r="X12" s="85">
        <v>5</v>
      </c>
    </row>
    <row r="13" spans="1:24" x14ac:dyDescent="0.25">
      <c r="A13" s="594"/>
      <c r="B13" s="580"/>
      <c r="C13" s="580"/>
      <c r="D13" s="580"/>
      <c r="E13" s="600"/>
      <c r="F13" s="597"/>
      <c r="G13" s="580"/>
      <c r="H13" s="583"/>
      <c r="I13" s="586"/>
      <c r="J13" s="580"/>
      <c r="K13" s="580"/>
      <c r="L13" s="580"/>
      <c r="M13" s="580"/>
      <c r="N13" s="231">
        <v>44592</v>
      </c>
      <c r="O13" s="597"/>
      <c r="P13" s="228">
        <v>2480</v>
      </c>
      <c r="Q13" s="229">
        <v>44608</v>
      </c>
      <c r="R13" s="230"/>
      <c r="S13" s="228"/>
      <c r="T13" s="228"/>
      <c r="U13" s="583"/>
      <c r="V13" s="615"/>
      <c r="W13" s="612"/>
      <c r="X13" s="2">
        <v>5</v>
      </c>
    </row>
    <row r="14" spans="1:24" x14ac:dyDescent="0.25">
      <c r="A14" s="594"/>
      <c r="B14" s="580"/>
      <c r="C14" s="580"/>
      <c r="D14" s="580"/>
      <c r="E14" s="600"/>
      <c r="F14" s="597"/>
      <c r="G14" s="580"/>
      <c r="H14" s="583"/>
      <c r="I14" s="586"/>
      <c r="J14" s="580"/>
      <c r="K14" s="580"/>
      <c r="L14" s="580"/>
      <c r="M14" s="580"/>
      <c r="N14" s="231">
        <v>44620</v>
      </c>
      <c r="O14" s="597"/>
      <c r="P14" s="228">
        <v>2540</v>
      </c>
      <c r="Q14" s="229">
        <v>44631</v>
      </c>
      <c r="R14" s="230"/>
      <c r="S14" s="228"/>
      <c r="T14" s="228"/>
      <c r="U14" s="583"/>
      <c r="V14" s="615"/>
      <c r="W14" s="612"/>
      <c r="X14" s="2">
        <v>5</v>
      </c>
    </row>
    <row r="15" spans="1:24" x14ac:dyDescent="0.25">
      <c r="A15" s="594"/>
      <c r="B15" s="580"/>
      <c r="C15" s="580"/>
      <c r="D15" s="580"/>
      <c r="E15" s="600"/>
      <c r="F15" s="597"/>
      <c r="G15" s="580"/>
      <c r="H15" s="583"/>
      <c r="I15" s="586"/>
      <c r="J15" s="580"/>
      <c r="K15" s="580"/>
      <c r="L15" s="580"/>
      <c r="M15" s="580"/>
      <c r="N15" s="231">
        <v>44620</v>
      </c>
      <c r="O15" s="597"/>
      <c r="P15" s="228">
        <v>6030</v>
      </c>
      <c r="Q15" s="229">
        <v>44631</v>
      </c>
      <c r="R15" s="230"/>
      <c r="S15" s="228"/>
      <c r="T15" s="228"/>
      <c r="U15" s="583"/>
      <c r="V15" s="615"/>
      <c r="W15" s="612"/>
      <c r="X15" s="2">
        <v>5</v>
      </c>
    </row>
    <row r="16" spans="1:24" x14ac:dyDescent="0.25">
      <c r="A16" s="594"/>
      <c r="B16" s="580"/>
      <c r="C16" s="580"/>
      <c r="D16" s="580"/>
      <c r="E16" s="600"/>
      <c r="F16" s="597"/>
      <c r="G16" s="580"/>
      <c r="H16" s="583"/>
      <c r="I16" s="586"/>
      <c r="J16" s="580"/>
      <c r="K16" s="580"/>
      <c r="L16" s="580"/>
      <c r="M16" s="580"/>
      <c r="N16" s="231">
        <v>44651</v>
      </c>
      <c r="O16" s="597"/>
      <c r="P16" s="228">
        <v>5970</v>
      </c>
      <c r="Q16" s="229" t="s">
        <v>254</v>
      </c>
      <c r="R16" s="230"/>
      <c r="S16" s="228"/>
      <c r="T16" s="228"/>
      <c r="U16" s="583"/>
      <c r="V16" s="615"/>
      <c r="W16" s="612"/>
      <c r="X16" s="2">
        <v>5</v>
      </c>
    </row>
    <row r="17" spans="1:24" x14ac:dyDescent="0.25">
      <c r="A17" s="594"/>
      <c r="B17" s="580"/>
      <c r="C17" s="580"/>
      <c r="D17" s="580"/>
      <c r="E17" s="600"/>
      <c r="F17" s="597"/>
      <c r="G17" s="580"/>
      <c r="H17" s="583"/>
      <c r="I17" s="586"/>
      <c r="J17" s="580"/>
      <c r="K17" s="580"/>
      <c r="L17" s="580"/>
      <c r="M17" s="580"/>
      <c r="N17" s="231">
        <v>44651</v>
      </c>
      <c r="O17" s="597"/>
      <c r="P17" s="228">
        <v>2690</v>
      </c>
      <c r="Q17" s="229" t="s">
        <v>254</v>
      </c>
      <c r="R17" s="230"/>
      <c r="S17" s="228"/>
      <c r="T17" s="228"/>
      <c r="U17" s="583"/>
      <c r="V17" s="615"/>
      <c r="W17" s="612"/>
      <c r="X17" s="2">
        <v>5</v>
      </c>
    </row>
    <row r="18" spans="1:24" x14ac:dyDescent="0.25">
      <c r="A18" s="594"/>
      <c r="B18" s="580"/>
      <c r="C18" s="580"/>
      <c r="D18" s="580"/>
      <c r="E18" s="600"/>
      <c r="F18" s="597"/>
      <c r="G18" s="580"/>
      <c r="H18" s="583"/>
      <c r="I18" s="586"/>
      <c r="J18" s="580"/>
      <c r="K18" s="580"/>
      <c r="L18" s="580"/>
      <c r="M18" s="580"/>
      <c r="N18" s="231">
        <v>44680</v>
      </c>
      <c r="O18" s="597"/>
      <c r="P18" s="228">
        <v>6504</v>
      </c>
      <c r="Q18" s="229" t="s">
        <v>243</v>
      </c>
      <c r="R18" s="230"/>
      <c r="S18" s="228"/>
      <c r="T18" s="228"/>
      <c r="U18" s="583"/>
      <c r="V18" s="615"/>
      <c r="W18" s="612"/>
      <c r="X18" s="2">
        <v>5</v>
      </c>
    </row>
    <row r="19" spans="1:24" x14ac:dyDescent="0.25">
      <c r="A19" s="594"/>
      <c r="B19" s="580"/>
      <c r="C19" s="580"/>
      <c r="D19" s="580"/>
      <c r="E19" s="600"/>
      <c r="F19" s="597"/>
      <c r="G19" s="580"/>
      <c r="H19" s="583"/>
      <c r="I19" s="586"/>
      <c r="J19" s="580"/>
      <c r="K19" s="580"/>
      <c r="L19" s="580"/>
      <c r="M19" s="580"/>
      <c r="N19" s="231">
        <v>44680</v>
      </c>
      <c r="O19" s="597"/>
      <c r="P19" s="228">
        <v>2860</v>
      </c>
      <c r="Q19" s="229" t="s">
        <v>243</v>
      </c>
      <c r="R19" s="230"/>
      <c r="S19" s="228"/>
      <c r="T19" s="228"/>
      <c r="U19" s="583"/>
      <c r="V19" s="615"/>
      <c r="W19" s="612"/>
      <c r="X19" s="2">
        <v>5</v>
      </c>
    </row>
    <row r="20" spans="1:24" x14ac:dyDescent="0.25">
      <c r="A20" s="594"/>
      <c r="B20" s="580"/>
      <c r="C20" s="580"/>
      <c r="D20" s="580"/>
      <c r="E20" s="600"/>
      <c r="F20" s="597"/>
      <c r="G20" s="580"/>
      <c r="H20" s="583"/>
      <c r="I20" s="586"/>
      <c r="J20" s="580"/>
      <c r="K20" s="580"/>
      <c r="L20" s="580"/>
      <c r="M20" s="580"/>
      <c r="N20" s="231">
        <v>44701</v>
      </c>
      <c r="O20" s="597"/>
      <c r="P20" s="228">
        <v>3180</v>
      </c>
      <c r="Q20" s="229" t="s">
        <v>381</v>
      </c>
      <c r="R20" s="230"/>
      <c r="S20" s="228"/>
      <c r="T20" s="228"/>
      <c r="U20" s="583"/>
      <c r="V20" s="615"/>
      <c r="W20" s="612"/>
      <c r="X20" s="2">
        <v>5</v>
      </c>
    </row>
    <row r="21" spans="1:24" x14ac:dyDescent="0.25">
      <c r="A21" s="595"/>
      <c r="B21" s="581"/>
      <c r="C21" s="581"/>
      <c r="D21" s="581"/>
      <c r="E21" s="601"/>
      <c r="F21" s="598"/>
      <c r="G21" s="581"/>
      <c r="H21" s="584"/>
      <c r="I21" s="587"/>
      <c r="J21" s="581"/>
      <c r="K21" s="581"/>
      <c r="L21" s="581"/>
      <c r="M21" s="581"/>
      <c r="N21" s="227">
        <v>44701</v>
      </c>
      <c r="O21" s="598"/>
      <c r="P21" s="223">
        <v>1410</v>
      </c>
      <c r="Q21" s="224" t="s">
        <v>381</v>
      </c>
      <c r="R21" s="225"/>
      <c r="S21" s="223"/>
      <c r="T21" s="223"/>
      <c r="U21" s="584"/>
      <c r="V21" s="616"/>
      <c r="W21" s="613"/>
      <c r="X21" s="2">
        <v>5</v>
      </c>
    </row>
    <row r="22" spans="1:24" s="85" customFormat="1" ht="93.75" x14ac:dyDescent="0.25">
      <c r="A22" s="109">
        <v>5</v>
      </c>
      <c r="B22" s="110" t="s">
        <v>56</v>
      </c>
      <c r="C22" s="110"/>
      <c r="D22" s="110"/>
      <c r="E22" s="111" t="s">
        <v>355</v>
      </c>
      <c r="F22" s="115">
        <v>44621</v>
      </c>
      <c r="G22" s="110" t="s">
        <v>216</v>
      </c>
      <c r="H22" s="112">
        <v>1500</v>
      </c>
      <c r="I22" s="113">
        <f>IF(X22 = 6, H22 + SUM(S22:S22) - SUM(T22:T22) - SUM(P22:P22) - V22,0)</f>
        <v>0</v>
      </c>
      <c r="J22" s="110" t="s">
        <v>217</v>
      </c>
      <c r="K22" s="110" t="s">
        <v>218</v>
      </c>
      <c r="L22" s="110"/>
      <c r="M22" s="110" t="s">
        <v>317</v>
      </c>
      <c r="N22" s="115">
        <v>44621</v>
      </c>
      <c r="O22" s="115" t="s">
        <v>159</v>
      </c>
      <c r="P22" s="112">
        <v>1500</v>
      </c>
      <c r="Q22" s="111">
        <v>44645</v>
      </c>
      <c r="R22" s="110"/>
      <c r="S22" s="112"/>
      <c r="T22" s="112"/>
      <c r="U22" s="112"/>
      <c r="V22" s="114"/>
      <c r="W22" s="108"/>
      <c r="X22" s="85">
        <v>6</v>
      </c>
    </row>
    <row r="23" spans="1:24" s="85" customFormat="1" ht="72" customHeight="1" x14ac:dyDescent="0.25">
      <c r="A23" s="602">
        <v>6</v>
      </c>
      <c r="B23" s="559" t="s">
        <v>56</v>
      </c>
      <c r="C23" s="559"/>
      <c r="D23" s="559"/>
      <c r="E23" s="631" t="s">
        <v>361</v>
      </c>
      <c r="F23" s="623">
        <v>44581</v>
      </c>
      <c r="G23" s="559" t="s">
        <v>225</v>
      </c>
      <c r="H23" s="605">
        <v>7200</v>
      </c>
      <c r="I23" s="633">
        <f>IF(X23 = 7, H23 + SUM(S23:S26) - SUM(T23:T26) - SUM(P23:P26) - V23,0)</f>
        <v>0</v>
      </c>
      <c r="J23" s="559" t="s">
        <v>226</v>
      </c>
      <c r="K23" s="559" t="s">
        <v>227</v>
      </c>
      <c r="L23" s="559"/>
      <c r="M23" s="559" t="s">
        <v>228</v>
      </c>
      <c r="N23" s="441">
        <v>44651</v>
      </c>
      <c r="O23" s="623" t="s">
        <v>159</v>
      </c>
      <c r="P23" s="433">
        <v>1800</v>
      </c>
      <c r="Q23" s="432">
        <v>44651</v>
      </c>
      <c r="R23" s="431"/>
      <c r="S23" s="433"/>
      <c r="T23" s="433"/>
      <c r="U23" s="605"/>
      <c r="V23" s="629"/>
      <c r="W23" s="626"/>
      <c r="X23" s="85">
        <v>7</v>
      </c>
    </row>
    <row r="24" spans="1:24" x14ac:dyDescent="0.25">
      <c r="A24" s="603"/>
      <c r="B24" s="560"/>
      <c r="C24" s="560"/>
      <c r="D24" s="560"/>
      <c r="E24" s="635"/>
      <c r="F24" s="624"/>
      <c r="G24" s="560"/>
      <c r="H24" s="606"/>
      <c r="I24" s="643"/>
      <c r="J24" s="560"/>
      <c r="K24" s="560"/>
      <c r="L24" s="560"/>
      <c r="M24" s="560"/>
      <c r="N24" s="442">
        <v>44742</v>
      </c>
      <c r="O24" s="624"/>
      <c r="P24" s="435">
        <v>1800</v>
      </c>
      <c r="Q24" s="436" t="s">
        <v>441</v>
      </c>
      <c r="R24" s="437"/>
      <c r="S24" s="435"/>
      <c r="T24" s="435"/>
      <c r="U24" s="606"/>
      <c r="V24" s="642"/>
      <c r="W24" s="627"/>
      <c r="X24" s="2">
        <v>7</v>
      </c>
    </row>
    <row r="25" spans="1:24" x14ac:dyDescent="0.25">
      <c r="A25" s="603"/>
      <c r="B25" s="560"/>
      <c r="C25" s="560"/>
      <c r="D25" s="560"/>
      <c r="E25" s="635"/>
      <c r="F25" s="624"/>
      <c r="G25" s="560"/>
      <c r="H25" s="606"/>
      <c r="I25" s="643"/>
      <c r="J25" s="560"/>
      <c r="K25" s="560"/>
      <c r="L25" s="560"/>
      <c r="M25" s="560"/>
      <c r="N25" s="442">
        <v>44834</v>
      </c>
      <c r="O25" s="624"/>
      <c r="P25" s="435">
        <v>1800</v>
      </c>
      <c r="Q25" s="436" t="s">
        <v>693</v>
      </c>
      <c r="R25" s="437"/>
      <c r="S25" s="435"/>
      <c r="T25" s="435"/>
      <c r="U25" s="606"/>
      <c r="V25" s="642"/>
      <c r="W25" s="627"/>
      <c r="X25" s="2">
        <v>7</v>
      </c>
    </row>
    <row r="26" spans="1:24" x14ac:dyDescent="0.25">
      <c r="A26" s="604"/>
      <c r="B26" s="561"/>
      <c r="C26" s="561"/>
      <c r="D26" s="561"/>
      <c r="E26" s="632"/>
      <c r="F26" s="625"/>
      <c r="G26" s="561"/>
      <c r="H26" s="607"/>
      <c r="I26" s="634"/>
      <c r="J26" s="561"/>
      <c r="K26" s="561"/>
      <c r="L26" s="561"/>
      <c r="M26" s="561"/>
      <c r="N26" s="443">
        <v>44915</v>
      </c>
      <c r="O26" s="625"/>
      <c r="P26" s="438">
        <v>1800</v>
      </c>
      <c r="Q26" s="439" t="s">
        <v>691</v>
      </c>
      <c r="R26" s="440"/>
      <c r="S26" s="438"/>
      <c r="T26" s="438"/>
      <c r="U26" s="607"/>
      <c r="V26" s="630"/>
      <c r="W26" s="628"/>
      <c r="X26" s="2">
        <v>7</v>
      </c>
    </row>
    <row r="27" spans="1:24" s="85" customFormat="1" ht="72" customHeight="1" x14ac:dyDescent="0.25">
      <c r="A27" s="593">
        <v>7</v>
      </c>
      <c r="B27" s="579" t="s">
        <v>56</v>
      </c>
      <c r="C27" s="579"/>
      <c r="D27" s="579"/>
      <c r="E27" s="599" t="s">
        <v>229</v>
      </c>
      <c r="F27" s="596">
        <v>44581</v>
      </c>
      <c r="G27" s="579" t="s">
        <v>230</v>
      </c>
      <c r="H27" s="582">
        <v>69291.600000000006</v>
      </c>
      <c r="I27" s="585">
        <f>IF(X27 = 8, H27 + SUM(S27:S36) - SUM(T27:T36) - SUM(P27:P36) - V27,0)</f>
        <v>9.0949470177292824E-12</v>
      </c>
      <c r="J27" s="579" t="s">
        <v>208</v>
      </c>
      <c r="K27" s="579" t="s">
        <v>204</v>
      </c>
      <c r="L27" s="579"/>
      <c r="M27" s="579" t="s">
        <v>209</v>
      </c>
      <c r="N27" s="226">
        <v>44592</v>
      </c>
      <c r="O27" s="596" t="s">
        <v>159</v>
      </c>
      <c r="P27" s="220">
        <v>6562.64</v>
      </c>
      <c r="Q27" s="221">
        <v>44625</v>
      </c>
      <c r="R27" s="222"/>
      <c r="S27" s="220"/>
      <c r="T27" s="220"/>
      <c r="U27" s="582" t="s">
        <v>418</v>
      </c>
      <c r="V27" s="614">
        <v>7921.4</v>
      </c>
      <c r="W27" s="611"/>
      <c r="X27" s="85">
        <v>8</v>
      </c>
    </row>
    <row r="28" spans="1:24" x14ac:dyDescent="0.25">
      <c r="A28" s="594"/>
      <c r="B28" s="580"/>
      <c r="C28" s="580"/>
      <c r="D28" s="580"/>
      <c r="E28" s="600"/>
      <c r="F28" s="597"/>
      <c r="G28" s="580"/>
      <c r="H28" s="583"/>
      <c r="I28" s="586"/>
      <c r="J28" s="580"/>
      <c r="K28" s="580"/>
      <c r="L28" s="580"/>
      <c r="M28" s="580"/>
      <c r="N28" s="231">
        <v>44592</v>
      </c>
      <c r="O28" s="597"/>
      <c r="P28" s="228">
        <v>5369.56</v>
      </c>
      <c r="Q28" s="229">
        <v>44625</v>
      </c>
      <c r="R28" s="230"/>
      <c r="S28" s="228"/>
      <c r="T28" s="228"/>
      <c r="U28" s="583"/>
      <c r="V28" s="615"/>
      <c r="W28" s="612"/>
      <c r="X28" s="2">
        <v>8</v>
      </c>
    </row>
    <row r="29" spans="1:24" x14ac:dyDescent="0.25">
      <c r="A29" s="594"/>
      <c r="B29" s="580"/>
      <c r="C29" s="580"/>
      <c r="D29" s="580"/>
      <c r="E29" s="600"/>
      <c r="F29" s="597"/>
      <c r="G29" s="580"/>
      <c r="H29" s="583"/>
      <c r="I29" s="586"/>
      <c r="J29" s="580"/>
      <c r="K29" s="580"/>
      <c r="L29" s="580"/>
      <c r="M29" s="580"/>
      <c r="N29" s="231">
        <v>44620</v>
      </c>
      <c r="O29" s="597"/>
      <c r="P29" s="228">
        <v>7294.52</v>
      </c>
      <c r="Q29" s="229">
        <v>44631</v>
      </c>
      <c r="R29" s="230"/>
      <c r="S29" s="228"/>
      <c r="T29" s="228"/>
      <c r="U29" s="583"/>
      <c r="V29" s="615"/>
      <c r="W29" s="612"/>
      <c r="X29" s="2">
        <v>8</v>
      </c>
    </row>
    <row r="30" spans="1:24" x14ac:dyDescent="0.25">
      <c r="A30" s="594"/>
      <c r="B30" s="580"/>
      <c r="C30" s="580"/>
      <c r="D30" s="580"/>
      <c r="E30" s="600"/>
      <c r="F30" s="597"/>
      <c r="G30" s="580"/>
      <c r="H30" s="583"/>
      <c r="I30" s="586"/>
      <c r="J30" s="580"/>
      <c r="K30" s="580"/>
      <c r="L30" s="580"/>
      <c r="M30" s="580"/>
      <c r="N30" s="231">
        <v>44620</v>
      </c>
      <c r="O30" s="597"/>
      <c r="P30" s="228">
        <v>5968.38</v>
      </c>
      <c r="Q30" s="229">
        <v>44631</v>
      </c>
      <c r="R30" s="230"/>
      <c r="S30" s="228"/>
      <c r="T30" s="228"/>
      <c r="U30" s="583"/>
      <c r="V30" s="615"/>
      <c r="W30" s="612"/>
      <c r="X30" s="2">
        <v>8</v>
      </c>
    </row>
    <row r="31" spans="1:24" x14ac:dyDescent="0.25">
      <c r="A31" s="594"/>
      <c r="B31" s="580"/>
      <c r="C31" s="580"/>
      <c r="D31" s="580"/>
      <c r="E31" s="600"/>
      <c r="F31" s="597"/>
      <c r="G31" s="580"/>
      <c r="H31" s="583"/>
      <c r="I31" s="586"/>
      <c r="J31" s="580"/>
      <c r="K31" s="580"/>
      <c r="L31" s="580"/>
      <c r="M31" s="580"/>
      <c r="N31" s="231">
        <v>44651</v>
      </c>
      <c r="O31" s="597"/>
      <c r="P31" s="228">
        <v>5598.71</v>
      </c>
      <c r="Q31" s="229" t="s">
        <v>255</v>
      </c>
      <c r="R31" s="230"/>
      <c r="S31" s="228"/>
      <c r="T31" s="228"/>
      <c r="U31" s="583"/>
      <c r="V31" s="615"/>
      <c r="W31" s="612"/>
      <c r="X31" s="2">
        <v>8</v>
      </c>
    </row>
    <row r="32" spans="1:24" x14ac:dyDescent="0.25">
      <c r="A32" s="594"/>
      <c r="B32" s="580"/>
      <c r="C32" s="580"/>
      <c r="D32" s="580"/>
      <c r="E32" s="600"/>
      <c r="F32" s="597"/>
      <c r="G32" s="580"/>
      <c r="H32" s="583"/>
      <c r="I32" s="586"/>
      <c r="J32" s="580"/>
      <c r="K32" s="580"/>
      <c r="L32" s="580"/>
      <c r="M32" s="580"/>
      <c r="N32" s="231">
        <v>44651</v>
      </c>
      <c r="O32" s="597"/>
      <c r="P32" s="228">
        <v>6842.69</v>
      </c>
      <c r="Q32" s="229" t="s">
        <v>255</v>
      </c>
      <c r="R32" s="230"/>
      <c r="S32" s="228"/>
      <c r="T32" s="228"/>
      <c r="U32" s="583"/>
      <c r="V32" s="615"/>
      <c r="W32" s="612"/>
      <c r="X32" s="2">
        <v>8</v>
      </c>
    </row>
    <row r="33" spans="1:24" x14ac:dyDescent="0.25">
      <c r="A33" s="594"/>
      <c r="B33" s="580"/>
      <c r="C33" s="580"/>
      <c r="D33" s="580"/>
      <c r="E33" s="600"/>
      <c r="F33" s="597"/>
      <c r="G33" s="580"/>
      <c r="H33" s="583"/>
      <c r="I33" s="586"/>
      <c r="J33" s="580"/>
      <c r="K33" s="580"/>
      <c r="L33" s="580"/>
      <c r="M33" s="580"/>
      <c r="N33" s="231">
        <v>44680</v>
      </c>
      <c r="O33" s="597"/>
      <c r="P33" s="228">
        <v>8690.1200000000008</v>
      </c>
      <c r="Q33" s="229" t="s">
        <v>243</v>
      </c>
      <c r="R33" s="230"/>
      <c r="S33" s="228"/>
      <c r="T33" s="228"/>
      <c r="U33" s="583"/>
      <c r="V33" s="615"/>
      <c r="W33" s="612"/>
      <c r="X33" s="2">
        <v>8</v>
      </c>
    </row>
    <row r="34" spans="1:24" x14ac:dyDescent="0.25">
      <c r="A34" s="594"/>
      <c r="B34" s="580"/>
      <c r="C34" s="580"/>
      <c r="D34" s="580"/>
      <c r="E34" s="600"/>
      <c r="F34" s="597"/>
      <c r="G34" s="580"/>
      <c r="H34" s="583"/>
      <c r="I34" s="586"/>
      <c r="J34" s="580"/>
      <c r="K34" s="580"/>
      <c r="L34" s="580"/>
      <c r="M34" s="580"/>
      <c r="N34" s="231">
        <v>44680</v>
      </c>
      <c r="O34" s="597"/>
      <c r="P34" s="228">
        <v>7110.28</v>
      </c>
      <c r="Q34" s="229" t="s">
        <v>243</v>
      </c>
      <c r="R34" s="230"/>
      <c r="S34" s="228"/>
      <c r="T34" s="228"/>
      <c r="U34" s="583"/>
      <c r="V34" s="615"/>
      <c r="W34" s="612"/>
      <c r="X34" s="2">
        <v>8</v>
      </c>
    </row>
    <row r="35" spans="1:24" x14ac:dyDescent="0.25">
      <c r="A35" s="594"/>
      <c r="B35" s="580"/>
      <c r="C35" s="580"/>
      <c r="D35" s="580"/>
      <c r="E35" s="600"/>
      <c r="F35" s="597"/>
      <c r="G35" s="580"/>
      <c r="H35" s="583"/>
      <c r="I35" s="586"/>
      <c r="J35" s="580"/>
      <c r="K35" s="580"/>
      <c r="L35" s="580"/>
      <c r="M35" s="580"/>
      <c r="N35" s="231">
        <v>44701</v>
      </c>
      <c r="O35" s="597"/>
      <c r="P35" s="228">
        <v>4363.2700000000004</v>
      </c>
      <c r="Q35" s="229" t="s">
        <v>381</v>
      </c>
      <c r="R35" s="230"/>
      <c r="S35" s="228"/>
      <c r="T35" s="228"/>
      <c r="U35" s="583"/>
      <c r="V35" s="615"/>
      <c r="W35" s="612"/>
      <c r="X35" s="2">
        <v>8</v>
      </c>
    </row>
    <row r="36" spans="1:24" x14ac:dyDescent="0.25">
      <c r="A36" s="595"/>
      <c r="B36" s="581"/>
      <c r="C36" s="581"/>
      <c r="D36" s="581"/>
      <c r="E36" s="601"/>
      <c r="F36" s="598"/>
      <c r="G36" s="581"/>
      <c r="H36" s="584"/>
      <c r="I36" s="587"/>
      <c r="J36" s="581"/>
      <c r="K36" s="581"/>
      <c r="L36" s="581"/>
      <c r="M36" s="581"/>
      <c r="N36" s="227">
        <v>44701</v>
      </c>
      <c r="O36" s="598"/>
      <c r="P36" s="223">
        <v>3570.03</v>
      </c>
      <c r="Q36" s="224" t="s">
        <v>381</v>
      </c>
      <c r="R36" s="225"/>
      <c r="S36" s="223"/>
      <c r="T36" s="223"/>
      <c r="U36" s="584"/>
      <c r="V36" s="616"/>
      <c r="W36" s="613"/>
      <c r="X36" s="2">
        <v>8</v>
      </c>
    </row>
    <row r="37" spans="1:24" s="85" customFormat="1" ht="87.6" customHeight="1" x14ac:dyDescent="0.25">
      <c r="A37" s="261">
        <v>8</v>
      </c>
      <c r="B37" s="252" t="s">
        <v>56</v>
      </c>
      <c r="C37" s="252"/>
      <c r="D37" s="252"/>
      <c r="E37" s="251" t="s">
        <v>256</v>
      </c>
      <c r="F37" s="253">
        <v>44629</v>
      </c>
      <c r="G37" s="252" t="s">
        <v>257</v>
      </c>
      <c r="H37" s="250">
        <v>3265.6</v>
      </c>
      <c r="I37" s="259">
        <f>IF(X37 = 10, H37 + SUM(S37:S37) - SUM(T37:T37) - SUM(P37:P37) - V37,0)</f>
        <v>0</v>
      </c>
      <c r="J37" s="252" t="s">
        <v>208</v>
      </c>
      <c r="K37" s="252" t="s">
        <v>259</v>
      </c>
      <c r="L37" s="252"/>
      <c r="M37" s="252" t="s">
        <v>405</v>
      </c>
      <c r="N37" s="253">
        <v>44638</v>
      </c>
      <c r="O37" s="253" t="s">
        <v>258</v>
      </c>
      <c r="P37" s="250">
        <v>125.6</v>
      </c>
      <c r="Q37" s="251" t="s">
        <v>260</v>
      </c>
      <c r="R37" s="252"/>
      <c r="S37" s="250"/>
      <c r="T37" s="250"/>
      <c r="U37" s="250" t="s">
        <v>419</v>
      </c>
      <c r="V37" s="263">
        <v>3140</v>
      </c>
      <c r="W37" s="254"/>
      <c r="X37" s="85">
        <v>10</v>
      </c>
    </row>
    <row r="38" spans="1:24" s="85" customFormat="1" ht="56.25" x14ac:dyDescent="0.25">
      <c r="A38" s="157">
        <v>9</v>
      </c>
      <c r="B38" s="158" t="s">
        <v>56</v>
      </c>
      <c r="C38" s="158"/>
      <c r="D38" s="158"/>
      <c r="E38" s="159" t="s">
        <v>274</v>
      </c>
      <c r="F38" s="193">
        <v>44608</v>
      </c>
      <c r="G38" s="158" t="s">
        <v>275</v>
      </c>
      <c r="H38" s="160">
        <v>22598.7</v>
      </c>
      <c r="I38" s="161">
        <f>IF(X38 = 11, H38 + SUM(S38:S38) - SUM(T38:T38) - SUM(P38:P38) - V38,0)</f>
        <v>0</v>
      </c>
      <c r="J38" s="158" t="s">
        <v>276</v>
      </c>
      <c r="K38" s="158" t="s">
        <v>277</v>
      </c>
      <c r="L38" s="158"/>
      <c r="M38" s="158" t="s">
        <v>278</v>
      </c>
      <c r="N38" s="193">
        <v>44635</v>
      </c>
      <c r="O38" s="193" t="s">
        <v>280</v>
      </c>
      <c r="P38" s="160">
        <v>22598.7</v>
      </c>
      <c r="Q38" s="159" t="s">
        <v>279</v>
      </c>
      <c r="R38" s="158"/>
      <c r="S38" s="160"/>
      <c r="T38" s="160"/>
      <c r="U38" s="160"/>
      <c r="V38" s="192"/>
      <c r="W38" s="168"/>
      <c r="X38" s="85">
        <v>11</v>
      </c>
    </row>
    <row r="39" spans="1:24" s="85" customFormat="1" ht="72" customHeight="1" x14ac:dyDescent="0.25">
      <c r="A39" s="556">
        <v>10</v>
      </c>
      <c r="B39" s="550" t="s">
        <v>56</v>
      </c>
      <c r="C39" s="550"/>
      <c r="D39" s="550"/>
      <c r="E39" s="553" t="s">
        <v>285</v>
      </c>
      <c r="F39" s="620">
        <v>44662</v>
      </c>
      <c r="G39" s="550" t="s">
        <v>286</v>
      </c>
      <c r="H39" s="547">
        <v>114706.35</v>
      </c>
      <c r="I39" s="576">
        <f>IF(X39 = 12, H39 + SUM(S39:S41) - SUM(T39:T41) - SUM(P39:P41) - V39,0)</f>
        <v>0</v>
      </c>
      <c r="J39" s="550" t="s">
        <v>287</v>
      </c>
      <c r="K39" s="550" t="s">
        <v>288</v>
      </c>
      <c r="L39" s="550"/>
      <c r="M39" s="550" t="s">
        <v>289</v>
      </c>
      <c r="N39" s="296">
        <v>44667</v>
      </c>
      <c r="O39" s="620" t="s">
        <v>290</v>
      </c>
      <c r="P39" s="290">
        <v>36611.300000000003</v>
      </c>
      <c r="Q39" s="291" t="s">
        <v>291</v>
      </c>
      <c r="R39" s="292"/>
      <c r="S39" s="290"/>
      <c r="T39" s="290"/>
      <c r="U39" s="547"/>
      <c r="V39" s="617"/>
      <c r="W39" s="608"/>
      <c r="X39" s="85">
        <v>12</v>
      </c>
    </row>
    <row r="40" spans="1:24" x14ac:dyDescent="0.25">
      <c r="A40" s="557"/>
      <c r="B40" s="551"/>
      <c r="C40" s="551"/>
      <c r="D40" s="551"/>
      <c r="E40" s="554"/>
      <c r="F40" s="621"/>
      <c r="G40" s="551"/>
      <c r="H40" s="548"/>
      <c r="I40" s="577"/>
      <c r="J40" s="551"/>
      <c r="K40" s="551"/>
      <c r="L40" s="551"/>
      <c r="M40" s="551"/>
      <c r="N40" s="298">
        <v>44724</v>
      </c>
      <c r="O40" s="621"/>
      <c r="P40" s="299">
        <v>46541</v>
      </c>
      <c r="Q40" s="300" t="s">
        <v>441</v>
      </c>
      <c r="R40" s="301"/>
      <c r="S40" s="299"/>
      <c r="T40" s="299"/>
      <c r="U40" s="548"/>
      <c r="V40" s="618"/>
      <c r="W40" s="609"/>
      <c r="X40" s="2">
        <v>12</v>
      </c>
    </row>
    <row r="41" spans="1:24" x14ac:dyDescent="0.25">
      <c r="A41" s="558"/>
      <c r="B41" s="552"/>
      <c r="C41" s="552"/>
      <c r="D41" s="552"/>
      <c r="E41" s="555"/>
      <c r="F41" s="622"/>
      <c r="G41" s="552"/>
      <c r="H41" s="549"/>
      <c r="I41" s="578"/>
      <c r="J41" s="552"/>
      <c r="K41" s="552"/>
      <c r="L41" s="552"/>
      <c r="M41" s="552"/>
      <c r="N41" s="297">
        <v>44751</v>
      </c>
      <c r="O41" s="622"/>
      <c r="P41" s="293">
        <v>31554.05</v>
      </c>
      <c r="Q41" s="294" t="s">
        <v>442</v>
      </c>
      <c r="R41" s="295"/>
      <c r="S41" s="293"/>
      <c r="T41" s="293"/>
      <c r="U41" s="549"/>
      <c r="V41" s="619"/>
      <c r="W41" s="610"/>
      <c r="X41" s="2">
        <v>12</v>
      </c>
    </row>
    <row r="42" spans="1:24" s="85" customFormat="1" ht="75" x14ac:dyDescent="0.25">
      <c r="A42" s="157">
        <v>11</v>
      </c>
      <c r="B42" s="158" t="s">
        <v>56</v>
      </c>
      <c r="C42" s="158"/>
      <c r="D42" s="158"/>
      <c r="E42" s="159" t="s">
        <v>292</v>
      </c>
      <c r="F42" s="193">
        <v>44650</v>
      </c>
      <c r="G42" s="158" t="s">
        <v>293</v>
      </c>
      <c r="H42" s="160">
        <v>9515</v>
      </c>
      <c r="I42" s="161">
        <f>IF(X42 = 13, H42 + SUM(S42:S42) - SUM(T42:T42) - SUM(P42:P42) - V42,0)</f>
        <v>0</v>
      </c>
      <c r="J42" s="158" t="s">
        <v>294</v>
      </c>
      <c r="K42" s="158" t="s">
        <v>295</v>
      </c>
      <c r="L42" s="158"/>
      <c r="M42" s="158" t="s">
        <v>296</v>
      </c>
      <c r="N42" s="193" t="s">
        <v>297</v>
      </c>
      <c r="O42" s="193" t="s">
        <v>290</v>
      </c>
      <c r="P42" s="160">
        <v>9515</v>
      </c>
      <c r="Q42" s="159" t="s">
        <v>291</v>
      </c>
      <c r="R42" s="158"/>
      <c r="S42" s="160"/>
      <c r="T42" s="160"/>
      <c r="U42" s="160"/>
      <c r="V42" s="192"/>
      <c r="W42" s="168"/>
      <c r="X42" s="85">
        <v>13</v>
      </c>
    </row>
    <row r="43" spans="1:24" s="85" customFormat="1" ht="72" customHeight="1" x14ac:dyDescent="0.25">
      <c r="A43" s="602">
        <v>12</v>
      </c>
      <c r="B43" s="559" t="s">
        <v>56</v>
      </c>
      <c r="C43" s="559"/>
      <c r="D43" s="559"/>
      <c r="E43" s="631" t="s">
        <v>57</v>
      </c>
      <c r="F43" s="623">
        <v>44650</v>
      </c>
      <c r="G43" s="559" t="s">
        <v>298</v>
      </c>
      <c r="H43" s="605">
        <v>54000</v>
      </c>
      <c r="I43" s="633">
        <f>IF(X43 = 14, H43 + SUM(S43:S51) - SUM(T43:T51) - SUM(P43:P51) - V43,0)</f>
        <v>0</v>
      </c>
      <c r="J43" s="559" t="s">
        <v>299</v>
      </c>
      <c r="K43" s="559" t="s">
        <v>300</v>
      </c>
      <c r="L43" s="559"/>
      <c r="M43" s="559" t="s">
        <v>301</v>
      </c>
      <c r="N43" s="441">
        <v>44681</v>
      </c>
      <c r="O43" s="623" t="s">
        <v>159</v>
      </c>
      <c r="P43" s="433">
        <v>6000</v>
      </c>
      <c r="Q43" s="432" t="s">
        <v>248</v>
      </c>
      <c r="R43" s="431"/>
      <c r="S43" s="433"/>
      <c r="T43" s="433"/>
      <c r="U43" s="605"/>
      <c r="V43" s="629"/>
      <c r="W43" s="626"/>
      <c r="X43" s="85">
        <v>14</v>
      </c>
    </row>
    <row r="44" spans="1:24" x14ac:dyDescent="0.25">
      <c r="A44" s="603"/>
      <c r="B44" s="560"/>
      <c r="C44" s="560"/>
      <c r="D44" s="560"/>
      <c r="E44" s="635"/>
      <c r="F44" s="624"/>
      <c r="G44" s="560"/>
      <c r="H44" s="606"/>
      <c r="I44" s="643"/>
      <c r="J44" s="560"/>
      <c r="K44" s="560"/>
      <c r="L44" s="560"/>
      <c r="M44" s="560"/>
      <c r="N44" s="442">
        <v>44712</v>
      </c>
      <c r="O44" s="624"/>
      <c r="P44" s="435">
        <v>6000</v>
      </c>
      <c r="Q44" s="436" t="s">
        <v>387</v>
      </c>
      <c r="R44" s="437"/>
      <c r="S44" s="435"/>
      <c r="T44" s="435"/>
      <c r="U44" s="606"/>
      <c r="V44" s="642"/>
      <c r="W44" s="627"/>
      <c r="X44" s="2">
        <v>14</v>
      </c>
    </row>
    <row r="45" spans="1:24" x14ac:dyDescent="0.25">
      <c r="A45" s="603"/>
      <c r="B45" s="560"/>
      <c r="C45" s="560"/>
      <c r="D45" s="560"/>
      <c r="E45" s="635"/>
      <c r="F45" s="624"/>
      <c r="G45" s="560"/>
      <c r="H45" s="606"/>
      <c r="I45" s="643"/>
      <c r="J45" s="560"/>
      <c r="K45" s="560"/>
      <c r="L45" s="560"/>
      <c r="M45" s="560"/>
      <c r="N45" s="442">
        <v>44742</v>
      </c>
      <c r="O45" s="624"/>
      <c r="P45" s="435">
        <v>6000</v>
      </c>
      <c r="Q45" s="436" t="s">
        <v>443</v>
      </c>
      <c r="R45" s="437"/>
      <c r="S45" s="435"/>
      <c r="T45" s="435"/>
      <c r="U45" s="606"/>
      <c r="V45" s="642"/>
      <c r="W45" s="627"/>
      <c r="X45" s="2">
        <v>14</v>
      </c>
    </row>
    <row r="46" spans="1:24" x14ac:dyDescent="0.25">
      <c r="A46" s="603"/>
      <c r="B46" s="560"/>
      <c r="C46" s="560"/>
      <c r="D46" s="560"/>
      <c r="E46" s="635"/>
      <c r="F46" s="624"/>
      <c r="G46" s="560"/>
      <c r="H46" s="606"/>
      <c r="I46" s="643"/>
      <c r="J46" s="560"/>
      <c r="K46" s="560"/>
      <c r="L46" s="560"/>
      <c r="M46" s="560"/>
      <c r="N46" s="442">
        <v>44773</v>
      </c>
      <c r="O46" s="624"/>
      <c r="P46" s="435">
        <v>6000</v>
      </c>
      <c r="Q46" s="436" t="s">
        <v>488</v>
      </c>
      <c r="R46" s="437"/>
      <c r="S46" s="435"/>
      <c r="T46" s="435"/>
      <c r="U46" s="606"/>
      <c r="V46" s="642"/>
      <c r="W46" s="627"/>
      <c r="X46" s="2">
        <v>14</v>
      </c>
    </row>
    <row r="47" spans="1:24" x14ac:dyDescent="0.25">
      <c r="A47" s="603"/>
      <c r="B47" s="560"/>
      <c r="C47" s="560"/>
      <c r="D47" s="560"/>
      <c r="E47" s="635"/>
      <c r="F47" s="624"/>
      <c r="G47" s="560"/>
      <c r="H47" s="606"/>
      <c r="I47" s="643"/>
      <c r="J47" s="560"/>
      <c r="K47" s="560"/>
      <c r="L47" s="560"/>
      <c r="M47" s="560"/>
      <c r="N47" s="442">
        <v>44824</v>
      </c>
      <c r="O47" s="624"/>
      <c r="P47" s="435">
        <v>6000</v>
      </c>
      <c r="Q47" s="436" t="s">
        <v>530</v>
      </c>
      <c r="R47" s="437"/>
      <c r="S47" s="435"/>
      <c r="T47" s="435"/>
      <c r="U47" s="606"/>
      <c r="V47" s="642"/>
      <c r="W47" s="627"/>
      <c r="X47" s="2">
        <v>14</v>
      </c>
    </row>
    <row r="48" spans="1:24" x14ac:dyDescent="0.25">
      <c r="A48" s="603"/>
      <c r="B48" s="560"/>
      <c r="C48" s="560"/>
      <c r="D48" s="560"/>
      <c r="E48" s="635"/>
      <c r="F48" s="624"/>
      <c r="G48" s="560"/>
      <c r="H48" s="606"/>
      <c r="I48" s="643"/>
      <c r="J48" s="560"/>
      <c r="K48" s="560"/>
      <c r="L48" s="560"/>
      <c r="M48" s="560"/>
      <c r="N48" s="442">
        <v>44834</v>
      </c>
      <c r="O48" s="624"/>
      <c r="P48" s="435">
        <v>6000</v>
      </c>
      <c r="Q48" s="436" t="s">
        <v>577</v>
      </c>
      <c r="R48" s="437"/>
      <c r="S48" s="435"/>
      <c r="T48" s="435"/>
      <c r="U48" s="606"/>
      <c r="V48" s="642"/>
      <c r="W48" s="627"/>
      <c r="X48" s="2">
        <v>14</v>
      </c>
    </row>
    <row r="49" spans="1:24" x14ac:dyDescent="0.25">
      <c r="A49" s="603"/>
      <c r="B49" s="560"/>
      <c r="C49" s="560"/>
      <c r="D49" s="560"/>
      <c r="E49" s="635"/>
      <c r="F49" s="624"/>
      <c r="G49" s="560"/>
      <c r="H49" s="606"/>
      <c r="I49" s="643"/>
      <c r="J49" s="560"/>
      <c r="K49" s="560"/>
      <c r="L49" s="560"/>
      <c r="M49" s="560"/>
      <c r="N49" s="442">
        <v>44865</v>
      </c>
      <c r="O49" s="624"/>
      <c r="P49" s="435">
        <v>6000</v>
      </c>
      <c r="Q49" s="436" t="s">
        <v>688</v>
      </c>
      <c r="R49" s="437"/>
      <c r="S49" s="435"/>
      <c r="T49" s="435"/>
      <c r="U49" s="606"/>
      <c r="V49" s="642"/>
      <c r="W49" s="627"/>
      <c r="X49" s="2">
        <v>14</v>
      </c>
    </row>
    <row r="50" spans="1:24" x14ac:dyDescent="0.25">
      <c r="A50" s="603"/>
      <c r="B50" s="560"/>
      <c r="C50" s="560"/>
      <c r="D50" s="560"/>
      <c r="E50" s="635"/>
      <c r="F50" s="624"/>
      <c r="G50" s="560"/>
      <c r="H50" s="606"/>
      <c r="I50" s="643"/>
      <c r="J50" s="560"/>
      <c r="K50" s="560"/>
      <c r="L50" s="560"/>
      <c r="M50" s="560"/>
      <c r="N50" s="442">
        <v>44895</v>
      </c>
      <c r="O50" s="624"/>
      <c r="P50" s="435">
        <v>6000</v>
      </c>
      <c r="Q50" s="436" t="s">
        <v>690</v>
      </c>
      <c r="R50" s="437"/>
      <c r="S50" s="435"/>
      <c r="T50" s="435"/>
      <c r="U50" s="606"/>
      <c r="V50" s="642"/>
      <c r="W50" s="627"/>
      <c r="X50" s="2">
        <v>14</v>
      </c>
    </row>
    <row r="51" spans="1:24" x14ac:dyDescent="0.25">
      <c r="A51" s="604"/>
      <c r="B51" s="561"/>
      <c r="C51" s="561"/>
      <c r="D51" s="561"/>
      <c r="E51" s="632"/>
      <c r="F51" s="625"/>
      <c r="G51" s="561"/>
      <c r="H51" s="607"/>
      <c r="I51" s="634"/>
      <c r="J51" s="561"/>
      <c r="K51" s="561"/>
      <c r="L51" s="561"/>
      <c r="M51" s="561"/>
      <c r="N51" s="443">
        <v>44914</v>
      </c>
      <c r="O51" s="625"/>
      <c r="P51" s="438">
        <v>6000</v>
      </c>
      <c r="Q51" s="439" t="s">
        <v>691</v>
      </c>
      <c r="R51" s="440"/>
      <c r="S51" s="438"/>
      <c r="T51" s="438"/>
      <c r="U51" s="607"/>
      <c r="V51" s="630"/>
      <c r="W51" s="628"/>
      <c r="X51" s="2">
        <v>14</v>
      </c>
    </row>
    <row r="52" spans="1:24" s="85" customFormat="1" ht="75" x14ac:dyDescent="0.25">
      <c r="A52" s="157">
        <v>13</v>
      </c>
      <c r="B52" s="158" t="s">
        <v>56</v>
      </c>
      <c r="C52" s="158"/>
      <c r="D52" s="158"/>
      <c r="E52" s="159" t="s">
        <v>302</v>
      </c>
      <c r="F52" s="193">
        <v>44651</v>
      </c>
      <c r="G52" s="158" t="s">
        <v>303</v>
      </c>
      <c r="H52" s="160">
        <v>8112</v>
      </c>
      <c r="I52" s="161">
        <f>IF(X52 = 15, H52 + SUM(S52:S52) - SUM(T52:T52) - SUM(P52:P52) - V52,0)</f>
        <v>0</v>
      </c>
      <c r="J52" s="158" t="s">
        <v>304</v>
      </c>
      <c r="K52" s="158" t="s">
        <v>305</v>
      </c>
      <c r="L52" s="158"/>
      <c r="M52" s="158" t="s">
        <v>306</v>
      </c>
      <c r="N52" s="193">
        <v>44655</v>
      </c>
      <c r="O52" s="193" t="s">
        <v>308</v>
      </c>
      <c r="P52" s="160">
        <v>8112</v>
      </c>
      <c r="Q52" s="159" t="s">
        <v>307</v>
      </c>
      <c r="R52" s="158"/>
      <c r="S52" s="160"/>
      <c r="T52" s="160"/>
      <c r="U52" s="160"/>
      <c r="V52" s="192"/>
      <c r="W52" s="168"/>
      <c r="X52" s="85">
        <v>15</v>
      </c>
    </row>
    <row r="53" spans="1:24" s="85" customFormat="1" ht="75" x14ac:dyDescent="0.25">
      <c r="A53" s="195">
        <v>14</v>
      </c>
      <c r="B53" s="196" t="s">
        <v>56</v>
      </c>
      <c r="C53" s="196"/>
      <c r="D53" s="196"/>
      <c r="E53" s="197" t="s">
        <v>325</v>
      </c>
      <c r="F53" s="203">
        <v>44721</v>
      </c>
      <c r="G53" s="196" t="s">
        <v>59</v>
      </c>
      <c r="H53" s="198">
        <v>5400</v>
      </c>
      <c r="I53" s="199">
        <f>IF(X53 = 16, H53 + SUM(S53:S53) - SUM(T53:T53) - SUM(P53:P53) - V53,0)</f>
        <v>0</v>
      </c>
      <c r="J53" s="196" t="s">
        <v>326</v>
      </c>
      <c r="K53" s="196" t="s">
        <v>327</v>
      </c>
      <c r="L53" s="196"/>
      <c r="M53" s="196" t="s">
        <v>328</v>
      </c>
      <c r="N53" s="203">
        <v>44721</v>
      </c>
      <c r="O53" s="203" t="s">
        <v>290</v>
      </c>
      <c r="P53" s="198">
        <v>5400</v>
      </c>
      <c r="Q53" s="197" t="s">
        <v>385</v>
      </c>
      <c r="R53" s="196"/>
      <c r="S53" s="198"/>
      <c r="T53" s="198"/>
      <c r="U53" s="198"/>
      <c r="V53" s="213"/>
      <c r="W53" s="194"/>
      <c r="X53" s="85">
        <v>16</v>
      </c>
    </row>
    <row r="54" spans="1:24" s="85" customFormat="1" ht="93.75" x14ac:dyDescent="0.25">
      <c r="A54" s="195">
        <v>15</v>
      </c>
      <c r="B54" s="196" t="s">
        <v>56</v>
      </c>
      <c r="C54" s="196"/>
      <c r="D54" s="196"/>
      <c r="E54" s="197" t="s">
        <v>329</v>
      </c>
      <c r="F54" s="203">
        <v>44721</v>
      </c>
      <c r="G54" s="196" t="s">
        <v>330</v>
      </c>
      <c r="H54" s="198">
        <v>16100</v>
      </c>
      <c r="I54" s="199">
        <f>IF(X54 = 17, H54 + SUM(S54:S54) - SUM(T54:T54) - SUM(P54:P54) - V54,0)</f>
        <v>0</v>
      </c>
      <c r="J54" s="196" t="s">
        <v>326</v>
      </c>
      <c r="K54" s="196" t="s">
        <v>327</v>
      </c>
      <c r="L54" s="196"/>
      <c r="M54" s="196" t="s">
        <v>328</v>
      </c>
      <c r="N54" s="203">
        <v>44721</v>
      </c>
      <c r="O54" s="203" t="s">
        <v>331</v>
      </c>
      <c r="P54" s="198">
        <v>16100</v>
      </c>
      <c r="Q54" s="197" t="s">
        <v>385</v>
      </c>
      <c r="R54" s="196"/>
      <c r="S54" s="198"/>
      <c r="T54" s="198"/>
      <c r="U54" s="198"/>
      <c r="V54" s="213"/>
      <c r="W54" s="194"/>
      <c r="X54" s="85">
        <v>17</v>
      </c>
    </row>
    <row r="55" spans="1:24" s="85" customFormat="1" ht="75" x14ac:dyDescent="0.25">
      <c r="A55" s="195">
        <v>16</v>
      </c>
      <c r="B55" s="196" t="s">
        <v>56</v>
      </c>
      <c r="C55" s="196"/>
      <c r="D55" s="196"/>
      <c r="E55" s="197" t="s">
        <v>332</v>
      </c>
      <c r="F55" s="203">
        <v>44718</v>
      </c>
      <c r="G55" s="196" t="s">
        <v>286</v>
      </c>
      <c r="H55" s="198">
        <v>15575</v>
      </c>
      <c r="I55" s="199">
        <f>IF(X55 = 18, H55 + SUM(S55:S55) - SUM(T55:T55) - SUM(P55:P55) - V55,0)</f>
        <v>0</v>
      </c>
      <c r="J55" s="196" t="s">
        <v>333</v>
      </c>
      <c r="K55" s="196" t="s">
        <v>334</v>
      </c>
      <c r="L55" s="196"/>
      <c r="M55" s="196" t="s">
        <v>336</v>
      </c>
      <c r="N55" s="203">
        <v>44718</v>
      </c>
      <c r="O55" s="203" t="s">
        <v>335</v>
      </c>
      <c r="P55" s="198">
        <v>15575</v>
      </c>
      <c r="Q55" s="197" t="s">
        <v>386</v>
      </c>
      <c r="R55" s="196"/>
      <c r="S55" s="198"/>
      <c r="T55" s="198"/>
      <c r="U55" s="198"/>
      <c r="V55" s="213"/>
      <c r="W55" s="194"/>
      <c r="X55" s="85">
        <v>18</v>
      </c>
    </row>
    <row r="56" spans="1:24" s="85" customFormat="1" ht="75" x14ac:dyDescent="0.25">
      <c r="A56" s="195">
        <v>17</v>
      </c>
      <c r="B56" s="196" t="s">
        <v>56</v>
      </c>
      <c r="C56" s="196"/>
      <c r="D56" s="196"/>
      <c r="E56" s="197" t="s">
        <v>342</v>
      </c>
      <c r="F56" s="203">
        <v>44708</v>
      </c>
      <c r="G56" s="196" t="s">
        <v>337</v>
      </c>
      <c r="H56" s="198">
        <v>6596</v>
      </c>
      <c r="I56" s="199">
        <f>IF(X56 = 19, H56 + SUM(S56:S56) - SUM(T56:T56) - SUM(P56:P56) - V56,0)</f>
        <v>0</v>
      </c>
      <c r="J56" s="196" t="s">
        <v>338</v>
      </c>
      <c r="K56" s="196" t="s">
        <v>339</v>
      </c>
      <c r="L56" s="196"/>
      <c r="M56" s="196" t="s">
        <v>341</v>
      </c>
      <c r="N56" s="203">
        <v>44708</v>
      </c>
      <c r="O56" s="203" t="s">
        <v>340</v>
      </c>
      <c r="P56" s="198">
        <v>6596</v>
      </c>
      <c r="Q56" s="197" t="s">
        <v>381</v>
      </c>
      <c r="R56" s="196"/>
      <c r="S56" s="198"/>
      <c r="T56" s="198"/>
      <c r="U56" s="198"/>
      <c r="V56" s="213"/>
      <c r="W56" s="194"/>
      <c r="X56" s="85">
        <v>19</v>
      </c>
    </row>
    <row r="57" spans="1:24" s="85" customFormat="1" ht="93.75" x14ac:dyDescent="0.25">
      <c r="A57" s="195">
        <v>18</v>
      </c>
      <c r="B57" s="196" t="s">
        <v>56</v>
      </c>
      <c r="C57" s="196"/>
      <c r="D57" s="196"/>
      <c r="E57" s="197" t="s">
        <v>343</v>
      </c>
      <c r="F57" s="203">
        <v>44706</v>
      </c>
      <c r="G57" s="196" t="s">
        <v>344</v>
      </c>
      <c r="H57" s="198">
        <v>4000</v>
      </c>
      <c r="I57" s="199">
        <f>IF(X57 = 20, H57 + SUM(S57:S57) - SUM(T57:T57) - SUM(P57:P57) - V57,0)</f>
        <v>0</v>
      </c>
      <c r="J57" s="196" t="s">
        <v>345</v>
      </c>
      <c r="K57" s="196" t="s">
        <v>346</v>
      </c>
      <c r="L57" s="196"/>
      <c r="M57" s="196" t="s">
        <v>348</v>
      </c>
      <c r="N57" s="203">
        <v>44707</v>
      </c>
      <c r="O57" s="203" t="s">
        <v>347</v>
      </c>
      <c r="P57" s="198">
        <v>4000</v>
      </c>
      <c r="Q57" s="197" t="s">
        <v>323</v>
      </c>
      <c r="R57" s="196"/>
      <c r="S57" s="198"/>
      <c r="T57" s="198"/>
      <c r="U57" s="198"/>
      <c r="V57" s="213"/>
      <c r="W57" s="194"/>
      <c r="X57" s="85">
        <v>20</v>
      </c>
    </row>
    <row r="58" spans="1:24" s="85" customFormat="1" ht="93.75" x14ac:dyDescent="0.25">
      <c r="A58" s="195">
        <v>19</v>
      </c>
      <c r="B58" s="196" t="s">
        <v>56</v>
      </c>
      <c r="C58" s="196"/>
      <c r="D58" s="196"/>
      <c r="E58" s="197" t="s">
        <v>349</v>
      </c>
      <c r="F58" s="203">
        <v>44671</v>
      </c>
      <c r="G58" s="196" t="s">
        <v>352</v>
      </c>
      <c r="H58" s="198">
        <v>39283</v>
      </c>
      <c r="I58" s="199">
        <f>IF(X58 = 21, H58 + SUM(S58:S58) - SUM(T58:T58) - SUM(P58:P58) - V58,0)</f>
        <v>0</v>
      </c>
      <c r="J58" s="196" t="s">
        <v>351</v>
      </c>
      <c r="K58" s="196" t="s">
        <v>350</v>
      </c>
      <c r="L58" s="196"/>
      <c r="M58" s="196" t="s">
        <v>353</v>
      </c>
      <c r="N58" s="203">
        <v>44706</v>
      </c>
      <c r="O58" s="203" t="s">
        <v>347</v>
      </c>
      <c r="P58" s="198">
        <v>39283</v>
      </c>
      <c r="Q58" s="197" t="s">
        <v>382</v>
      </c>
      <c r="R58" s="196"/>
      <c r="S58" s="198"/>
      <c r="T58" s="198"/>
      <c r="U58" s="198"/>
      <c r="V58" s="213"/>
      <c r="W58" s="194"/>
      <c r="X58" s="85">
        <v>21</v>
      </c>
    </row>
    <row r="59" spans="1:24" s="85" customFormat="1" ht="93.75" x14ac:dyDescent="0.25">
      <c r="A59" s="195">
        <v>20</v>
      </c>
      <c r="B59" s="196" t="s">
        <v>56</v>
      </c>
      <c r="C59" s="196"/>
      <c r="D59" s="196"/>
      <c r="E59" s="197" t="s">
        <v>354</v>
      </c>
      <c r="F59" s="203">
        <v>44671</v>
      </c>
      <c r="G59" s="196" t="s">
        <v>352</v>
      </c>
      <c r="H59" s="198">
        <v>8718</v>
      </c>
      <c r="I59" s="199">
        <f>IF(X59 = 22, H59 + SUM(S59:S59) - SUM(T59:T59) - SUM(P59:P59) - V59,0)</f>
        <v>0</v>
      </c>
      <c r="J59" s="196" t="s">
        <v>351</v>
      </c>
      <c r="K59" s="196" t="s">
        <v>350</v>
      </c>
      <c r="L59" s="196"/>
      <c r="M59" s="196" t="s">
        <v>353</v>
      </c>
      <c r="N59" s="203">
        <v>44706</v>
      </c>
      <c r="O59" s="203" t="s">
        <v>347</v>
      </c>
      <c r="P59" s="198">
        <v>8718</v>
      </c>
      <c r="Q59" s="197" t="s">
        <v>382</v>
      </c>
      <c r="R59" s="196"/>
      <c r="S59" s="198"/>
      <c r="T59" s="198"/>
      <c r="U59" s="198"/>
      <c r="V59" s="213"/>
      <c r="W59" s="194"/>
      <c r="X59" s="85">
        <v>22</v>
      </c>
    </row>
    <row r="60" spans="1:24" s="85" customFormat="1" ht="75" x14ac:dyDescent="0.25">
      <c r="A60" s="195">
        <v>21</v>
      </c>
      <c r="B60" s="196" t="s">
        <v>56</v>
      </c>
      <c r="C60" s="196"/>
      <c r="D60" s="196"/>
      <c r="E60" s="197" t="s">
        <v>356</v>
      </c>
      <c r="F60" s="203">
        <v>44711</v>
      </c>
      <c r="G60" s="196" t="s">
        <v>357</v>
      </c>
      <c r="H60" s="198">
        <v>2500</v>
      </c>
      <c r="I60" s="199">
        <f>IF(X60 = 23, H60 + SUM(S60:S60) - SUM(T60:T60) - SUM(P60:P60) - V60,0)</f>
        <v>0</v>
      </c>
      <c r="J60" s="196" t="s">
        <v>197</v>
      </c>
      <c r="K60" s="196" t="s">
        <v>198</v>
      </c>
      <c r="L60" s="196"/>
      <c r="M60" s="196" t="s">
        <v>358</v>
      </c>
      <c r="N60" s="203">
        <v>44711</v>
      </c>
      <c r="O60" s="203" t="s">
        <v>359</v>
      </c>
      <c r="P60" s="198">
        <v>2500</v>
      </c>
      <c r="Q60" s="197" t="s">
        <v>323</v>
      </c>
      <c r="R60" s="196"/>
      <c r="S60" s="198"/>
      <c r="T60" s="198"/>
      <c r="U60" s="198"/>
      <c r="V60" s="213"/>
      <c r="W60" s="194"/>
      <c r="X60" s="85">
        <v>23</v>
      </c>
    </row>
    <row r="61" spans="1:24" s="85" customFormat="1" ht="75" x14ac:dyDescent="0.25">
      <c r="A61" s="215">
        <v>22</v>
      </c>
      <c r="B61" s="216" t="s">
        <v>56</v>
      </c>
      <c r="C61" s="216"/>
      <c r="D61" s="216"/>
      <c r="E61" s="217" t="s">
        <v>396</v>
      </c>
      <c r="F61" s="233" t="s">
        <v>397</v>
      </c>
      <c r="G61" s="216" t="s">
        <v>398</v>
      </c>
      <c r="H61" s="218">
        <v>18302.55</v>
      </c>
      <c r="I61" s="219">
        <f>IF(X61 = 24, H61 + SUM(S61:S61) - SUM(T61:T61) - SUM(P61:P61) - V61,0)</f>
        <v>0</v>
      </c>
      <c r="J61" s="216" t="s">
        <v>165</v>
      </c>
      <c r="K61" s="216" t="s">
        <v>166</v>
      </c>
      <c r="L61" s="216"/>
      <c r="M61" s="216" t="s">
        <v>399</v>
      </c>
      <c r="N61" s="233">
        <v>44719</v>
      </c>
      <c r="O61" s="233" t="s">
        <v>400</v>
      </c>
      <c r="P61" s="218">
        <v>18302.55</v>
      </c>
      <c r="Q61" s="217" t="s">
        <v>387</v>
      </c>
      <c r="R61" s="216"/>
      <c r="S61" s="218"/>
      <c r="T61" s="218"/>
      <c r="U61" s="218"/>
      <c r="V61" s="232"/>
      <c r="W61" s="214"/>
      <c r="X61" s="85">
        <v>24</v>
      </c>
    </row>
    <row r="62" spans="1:24" s="85" customFormat="1" ht="36" customHeight="1" x14ac:dyDescent="0.25">
      <c r="A62" s="248">
        <v>23</v>
      </c>
      <c r="B62" s="237" t="s">
        <v>56</v>
      </c>
      <c r="C62" s="237"/>
      <c r="D62" s="237"/>
      <c r="E62" s="236" t="s">
        <v>406</v>
      </c>
      <c r="F62" s="234" t="s">
        <v>407</v>
      </c>
      <c r="G62" s="237" t="s">
        <v>415</v>
      </c>
      <c r="H62" s="235">
        <v>1654.9</v>
      </c>
      <c r="I62" s="249">
        <f>IF(X62 = 25, H62 + SUM(S62:S62) - SUM(T62:T62) - SUM(P62:P62) - V62,0)</f>
        <v>0</v>
      </c>
      <c r="J62" s="237" t="s">
        <v>208</v>
      </c>
      <c r="K62" s="237" t="s">
        <v>266</v>
      </c>
      <c r="L62" s="237"/>
      <c r="M62" s="237" t="s">
        <v>408</v>
      </c>
      <c r="N62" s="234">
        <v>44680</v>
      </c>
      <c r="O62" s="234" t="s">
        <v>409</v>
      </c>
      <c r="P62" s="235">
        <v>1654.9</v>
      </c>
      <c r="Q62" s="236" t="s">
        <v>381</v>
      </c>
      <c r="R62" s="237"/>
      <c r="S62" s="235"/>
      <c r="T62" s="235"/>
      <c r="U62" s="235"/>
      <c r="V62" s="246"/>
      <c r="W62" s="247"/>
      <c r="X62" s="85">
        <v>25</v>
      </c>
    </row>
    <row r="63" spans="1:24" s="85" customFormat="1" ht="36" customHeight="1" x14ac:dyDescent="0.25">
      <c r="A63" s="531">
        <v>24</v>
      </c>
      <c r="B63" s="533" t="s">
        <v>56</v>
      </c>
      <c r="C63" s="533"/>
      <c r="D63" s="533"/>
      <c r="E63" s="541" t="s">
        <v>406</v>
      </c>
      <c r="F63" s="543" t="s">
        <v>407</v>
      </c>
      <c r="G63" s="533" t="s">
        <v>257</v>
      </c>
      <c r="H63" s="545">
        <v>1642.3</v>
      </c>
      <c r="I63" s="539">
        <f>IF(X63 = 26, H63 + SUM(S63:S64) - SUM(T63:T64) - SUM(P63:P64) - V63,0)</f>
        <v>0</v>
      </c>
      <c r="J63" s="533" t="s">
        <v>208</v>
      </c>
      <c r="K63" s="533" t="s">
        <v>266</v>
      </c>
      <c r="L63" s="533"/>
      <c r="M63" s="533" t="s">
        <v>410</v>
      </c>
      <c r="N63" s="242">
        <v>44701</v>
      </c>
      <c r="O63" s="543" t="s">
        <v>409</v>
      </c>
      <c r="P63" s="243">
        <v>1400.3</v>
      </c>
      <c r="Q63" s="244" t="s">
        <v>381</v>
      </c>
      <c r="R63" s="245"/>
      <c r="S63" s="243"/>
      <c r="T63" s="243"/>
      <c r="U63" s="545"/>
      <c r="V63" s="644"/>
      <c r="W63" s="574"/>
      <c r="X63" s="85">
        <v>26</v>
      </c>
    </row>
    <row r="64" spans="1:24" x14ac:dyDescent="0.25">
      <c r="A64" s="532"/>
      <c r="B64" s="534"/>
      <c r="C64" s="534"/>
      <c r="D64" s="534"/>
      <c r="E64" s="542"/>
      <c r="F64" s="544"/>
      <c r="G64" s="534"/>
      <c r="H64" s="546"/>
      <c r="I64" s="540"/>
      <c r="J64" s="534"/>
      <c r="K64" s="534"/>
      <c r="L64" s="534"/>
      <c r="M64" s="534"/>
      <c r="N64" s="238">
        <v>44701</v>
      </c>
      <c r="O64" s="544"/>
      <c r="P64" s="239">
        <v>242</v>
      </c>
      <c r="Q64" s="240" t="s">
        <v>381</v>
      </c>
      <c r="R64" s="241"/>
      <c r="S64" s="239"/>
      <c r="T64" s="239"/>
      <c r="U64" s="546"/>
      <c r="V64" s="645"/>
      <c r="W64" s="575"/>
      <c r="X64" s="2">
        <v>26</v>
      </c>
    </row>
    <row r="65" spans="1:24" s="85" customFormat="1" ht="56.25" x14ac:dyDescent="0.25">
      <c r="A65" s="262">
        <v>25</v>
      </c>
      <c r="B65" s="256" t="s">
        <v>56</v>
      </c>
      <c r="C65" s="256"/>
      <c r="D65" s="256"/>
      <c r="E65" s="257" t="s">
        <v>406</v>
      </c>
      <c r="F65" s="265" t="s">
        <v>412</v>
      </c>
      <c r="G65" s="256" t="s">
        <v>413</v>
      </c>
      <c r="H65" s="258">
        <v>286</v>
      </c>
      <c r="I65" s="260">
        <f>IF(X65 = 27, H65 + SUM(S65:S65) - SUM(T65:T65) - SUM(P65:P65) - V65,0)</f>
        <v>0</v>
      </c>
      <c r="J65" s="256" t="s">
        <v>208</v>
      </c>
      <c r="K65" s="256" t="s">
        <v>266</v>
      </c>
      <c r="L65" s="256"/>
      <c r="M65" s="256" t="s">
        <v>408</v>
      </c>
      <c r="N65" s="265">
        <v>44680</v>
      </c>
      <c r="O65" s="265" t="s">
        <v>409</v>
      </c>
      <c r="P65" s="258">
        <v>286</v>
      </c>
      <c r="Q65" s="257" t="s">
        <v>414</v>
      </c>
      <c r="R65" s="256"/>
      <c r="S65" s="258"/>
      <c r="T65" s="258"/>
      <c r="U65" s="258"/>
      <c r="V65" s="264"/>
      <c r="W65" s="255"/>
      <c r="X65" s="85">
        <v>27</v>
      </c>
    </row>
    <row r="66" spans="1:24" s="85" customFormat="1" ht="75" x14ac:dyDescent="0.25">
      <c r="A66" s="276">
        <v>26</v>
      </c>
      <c r="B66" s="277" t="s">
        <v>56</v>
      </c>
      <c r="C66" s="277"/>
      <c r="D66" s="277"/>
      <c r="E66" s="278" t="s">
        <v>427</v>
      </c>
      <c r="F66" s="289" t="s">
        <v>428</v>
      </c>
      <c r="G66" s="277" t="s">
        <v>429</v>
      </c>
      <c r="H66" s="279">
        <v>66888</v>
      </c>
      <c r="I66" s="280">
        <f>IF(X66 = 28, H66 + SUM(S66:S66) - SUM(T66:T66) - SUM(P66:P66) - V66,0)</f>
        <v>0</v>
      </c>
      <c r="J66" s="277" t="s">
        <v>351</v>
      </c>
      <c r="K66" s="277" t="s">
        <v>350</v>
      </c>
      <c r="L66" s="277"/>
      <c r="M66" s="277" t="s">
        <v>430</v>
      </c>
      <c r="N66" s="289">
        <v>44761</v>
      </c>
      <c r="O66" s="289" t="s">
        <v>431</v>
      </c>
      <c r="P66" s="279">
        <v>66888</v>
      </c>
      <c r="Q66" s="278" t="s">
        <v>449</v>
      </c>
      <c r="R66" s="277"/>
      <c r="S66" s="279"/>
      <c r="T66" s="279"/>
      <c r="U66" s="279"/>
      <c r="V66" s="288"/>
      <c r="W66" s="284"/>
      <c r="X66" s="85">
        <v>28</v>
      </c>
    </row>
    <row r="67" spans="1:24" s="85" customFormat="1" ht="75" x14ac:dyDescent="0.25">
      <c r="A67" s="276">
        <v>27</v>
      </c>
      <c r="B67" s="277" t="s">
        <v>56</v>
      </c>
      <c r="C67" s="277"/>
      <c r="D67" s="277"/>
      <c r="E67" s="278" t="s">
        <v>432</v>
      </c>
      <c r="F67" s="289" t="s">
        <v>428</v>
      </c>
      <c r="G67" s="277" t="s">
        <v>429</v>
      </c>
      <c r="H67" s="279">
        <v>2447</v>
      </c>
      <c r="I67" s="280">
        <f>IF(X67 = 29, H67 + SUM(S67:S67) - SUM(T67:T67) - SUM(P67:P67) - V67,0)</f>
        <v>0</v>
      </c>
      <c r="J67" s="277" t="s">
        <v>351</v>
      </c>
      <c r="K67" s="277" t="s">
        <v>350</v>
      </c>
      <c r="L67" s="277"/>
      <c r="M67" s="277" t="s">
        <v>430</v>
      </c>
      <c r="N67" s="289">
        <v>44761</v>
      </c>
      <c r="O67" s="289" t="s">
        <v>431</v>
      </c>
      <c r="P67" s="279">
        <v>2274</v>
      </c>
      <c r="Q67" s="278" t="s">
        <v>449</v>
      </c>
      <c r="R67" s="277" t="s">
        <v>435</v>
      </c>
      <c r="S67" s="279"/>
      <c r="T67" s="279">
        <v>173</v>
      </c>
      <c r="U67" s="279"/>
      <c r="V67" s="288"/>
      <c r="W67" s="284"/>
      <c r="X67" s="85">
        <v>29</v>
      </c>
    </row>
    <row r="68" spans="1:24" s="85" customFormat="1" ht="75" x14ac:dyDescent="0.25">
      <c r="A68" s="302">
        <v>28</v>
      </c>
      <c r="B68" s="303" t="s">
        <v>56</v>
      </c>
      <c r="C68" s="303"/>
      <c r="D68" s="303"/>
      <c r="E68" s="304" t="s">
        <v>213</v>
      </c>
      <c r="F68" s="309" t="s">
        <v>451</v>
      </c>
      <c r="G68" s="303" t="s">
        <v>452</v>
      </c>
      <c r="H68" s="305">
        <v>25000</v>
      </c>
      <c r="I68" s="306">
        <f>IF(X68 = 30, H68 + SUM(S68:S68) - SUM(T68:T68) - SUM(P68:P68) - V68,0)</f>
        <v>0</v>
      </c>
      <c r="J68" s="303" t="s">
        <v>453</v>
      </c>
      <c r="K68" s="303" t="s">
        <v>454</v>
      </c>
      <c r="L68" s="303"/>
      <c r="M68" s="303" t="s">
        <v>455</v>
      </c>
      <c r="N68" s="309">
        <v>44782</v>
      </c>
      <c r="O68" s="309" t="s">
        <v>456</v>
      </c>
      <c r="P68" s="305">
        <v>25000</v>
      </c>
      <c r="Q68" s="304" t="s">
        <v>480</v>
      </c>
      <c r="R68" s="303"/>
      <c r="S68" s="305"/>
      <c r="T68" s="305"/>
      <c r="U68" s="305"/>
      <c r="V68" s="308"/>
      <c r="W68" s="307"/>
      <c r="X68" s="85">
        <v>30</v>
      </c>
    </row>
    <row r="69" spans="1:24" s="85" customFormat="1" ht="75" x14ac:dyDescent="0.25">
      <c r="A69" s="302">
        <v>29</v>
      </c>
      <c r="B69" s="303" t="s">
        <v>56</v>
      </c>
      <c r="C69" s="303"/>
      <c r="D69" s="303"/>
      <c r="E69" s="304" t="s">
        <v>457</v>
      </c>
      <c r="F69" s="309" t="s">
        <v>458</v>
      </c>
      <c r="G69" s="303" t="s">
        <v>459</v>
      </c>
      <c r="H69" s="305">
        <v>4000</v>
      </c>
      <c r="I69" s="306">
        <f>IF(X69 = 31, H69 + SUM(S69:S69) - SUM(T69:T69) - SUM(P69:P69) - V69,0)</f>
        <v>0</v>
      </c>
      <c r="J69" s="303" t="s">
        <v>217</v>
      </c>
      <c r="K69" s="303" t="s">
        <v>218</v>
      </c>
      <c r="L69" s="303"/>
      <c r="M69" s="303" t="s">
        <v>460</v>
      </c>
      <c r="N69" s="309">
        <v>44788</v>
      </c>
      <c r="O69" s="309" t="s">
        <v>461</v>
      </c>
      <c r="P69" s="305">
        <v>4000</v>
      </c>
      <c r="Q69" s="304" t="s">
        <v>489</v>
      </c>
      <c r="R69" s="303"/>
      <c r="S69" s="305"/>
      <c r="T69" s="305"/>
      <c r="U69" s="305"/>
      <c r="V69" s="308"/>
      <c r="W69" s="307"/>
      <c r="X69" s="85">
        <v>31</v>
      </c>
    </row>
    <row r="70" spans="1:24" s="85" customFormat="1" ht="72" customHeight="1" x14ac:dyDescent="0.25">
      <c r="A70" s="535">
        <v>30</v>
      </c>
      <c r="B70" s="537" t="s">
        <v>56</v>
      </c>
      <c r="C70" s="537"/>
      <c r="D70" s="537"/>
      <c r="E70" s="564" t="s">
        <v>471</v>
      </c>
      <c r="F70" s="566" t="s">
        <v>472</v>
      </c>
      <c r="G70" s="537" t="s">
        <v>473</v>
      </c>
      <c r="H70" s="568">
        <v>28400</v>
      </c>
      <c r="I70" s="570">
        <f>IF(X70 = 32, H70 + SUM(S70:S71) - SUM(T70:T71) - SUM(P70:P71) - V70,0)</f>
        <v>0</v>
      </c>
      <c r="J70" s="537" t="s">
        <v>226</v>
      </c>
      <c r="K70" s="537" t="s">
        <v>227</v>
      </c>
      <c r="L70" s="537"/>
      <c r="M70" s="537" t="s">
        <v>474</v>
      </c>
      <c r="N70" s="327">
        <v>44796</v>
      </c>
      <c r="O70" s="566" t="s">
        <v>475</v>
      </c>
      <c r="P70" s="321">
        <v>23000</v>
      </c>
      <c r="Q70" s="322" t="s">
        <v>491</v>
      </c>
      <c r="R70" s="323"/>
      <c r="S70" s="321"/>
      <c r="T70" s="321"/>
      <c r="U70" s="568"/>
      <c r="V70" s="572"/>
      <c r="W70" s="562"/>
      <c r="X70" s="85">
        <v>32</v>
      </c>
    </row>
    <row r="71" spans="1:24" x14ac:dyDescent="0.25">
      <c r="A71" s="536"/>
      <c r="B71" s="538"/>
      <c r="C71" s="538"/>
      <c r="D71" s="538"/>
      <c r="E71" s="565"/>
      <c r="F71" s="567"/>
      <c r="G71" s="538"/>
      <c r="H71" s="569"/>
      <c r="I71" s="571"/>
      <c r="J71" s="538"/>
      <c r="K71" s="538"/>
      <c r="L71" s="538"/>
      <c r="M71" s="538"/>
      <c r="N71" s="328">
        <v>44796</v>
      </c>
      <c r="O71" s="567"/>
      <c r="P71" s="324">
        <v>5400</v>
      </c>
      <c r="Q71" s="325" t="s">
        <v>491</v>
      </c>
      <c r="R71" s="326"/>
      <c r="S71" s="324"/>
      <c r="T71" s="324"/>
      <c r="U71" s="569"/>
      <c r="V71" s="573"/>
      <c r="W71" s="563"/>
      <c r="X71" s="2">
        <v>32</v>
      </c>
    </row>
    <row r="72" spans="1:24" s="85" customFormat="1" ht="93.75" x14ac:dyDescent="0.25">
      <c r="A72" s="329">
        <v>31</v>
      </c>
      <c r="B72" s="330" t="s">
        <v>56</v>
      </c>
      <c r="C72" s="330"/>
      <c r="D72" s="330"/>
      <c r="E72" s="331" t="s">
        <v>374</v>
      </c>
      <c r="F72" s="340" t="s">
        <v>496</v>
      </c>
      <c r="G72" s="330" t="s">
        <v>498</v>
      </c>
      <c r="H72" s="332">
        <v>71174</v>
      </c>
      <c r="I72" s="333">
        <f>IF(X72 = 33, H72 + SUM(S72:S72) - SUM(T72:T72) - SUM(P72:P72) - V72,0)</f>
        <v>0</v>
      </c>
      <c r="J72" s="330" t="s">
        <v>503</v>
      </c>
      <c r="K72" s="330" t="s">
        <v>221</v>
      </c>
      <c r="L72" s="330"/>
      <c r="M72" s="330" t="s">
        <v>499</v>
      </c>
      <c r="N72" s="340">
        <v>44802</v>
      </c>
      <c r="O72" s="340" t="s">
        <v>347</v>
      </c>
      <c r="P72" s="332">
        <v>71174</v>
      </c>
      <c r="Q72" s="331" t="s">
        <v>526</v>
      </c>
      <c r="R72" s="330"/>
      <c r="S72" s="332"/>
      <c r="T72" s="332"/>
      <c r="U72" s="332"/>
      <c r="V72" s="341"/>
      <c r="W72" s="334"/>
      <c r="X72" s="85">
        <v>33</v>
      </c>
    </row>
    <row r="73" spans="1:24" s="85" customFormat="1" ht="93.75" x14ac:dyDescent="0.25">
      <c r="A73" s="329">
        <v>32</v>
      </c>
      <c r="B73" s="330" t="s">
        <v>56</v>
      </c>
      <c r="C73" s="330"/>
      <c r="D73" s="330"/>
      <c r="E73" s="331" t="s">
        <v>374</v>
      </c>
      <c r="F73" s="340" t="s">
        <v>497</v>
      </c>
      <c r="G73" s="330" t="s">
        <v>498</v>
      </c>
      <c r="H73" s="332">
        <v>53073</v>
      </c>
      <c r="I73" s="333">
        <f>IF(X73 = 34, H73 + SUM(S73:S73) - SUM(T73:T73) - SUM(P73:P73) - V73,0)</f>
        <v>0</v>
      </c>
      <c r="J73" s="330" t="s">
        <v>503</v>
      </c>
      <c r="K73" s="330" t="s">
        <v>221</v>
      </c>
      <c r="L73" s="330"/>
      <c r="M73" s="330" t="s">
        <v>500</v>
      </c>
      <c r="N73" s="340">
        <v>44804</v>
      </c>
      <c r="O73" s="340" t="s">
        <v>347</v>
      </c>
      <c r="P73" s="332">
        <v>53073</v>
      </c>
      <c r="Q73" s="331" t="s">
        <v>526</v>
      </c>
      <c r="R73" s="330"/>
      <c r="S73" s="332"/>
      <c r="T73" s="332"/>
      <c r="U73" s="332"/>
      <c r="V73" s="341"/>
      <c r="W73" s="334"/>
      <c r="X73" s="85">
        <v>34</v>
      </c>
    </row>
    <row r="74" spans="1:24" s="85" customFormat="1" ht="75" x14ac:dyDescent="0.25">
      <c r="A74" s="335">
        <v>33</v>
      </c>
      <c r="B74" s="336" t="s">
        <v>56</v>
      </c>
      <c r="C74" s="336"/>
      <c r="D74" s="336"/>
      <c r="E74" s="342" t="s">
        <v>520</v>
      </c>
      <c r="F74" s="346" t="s">
        <v>521</v>
      </c>
      <c r="G74" s="336" t="s">
        <v>522</v>
      </c>
      <c r="H74" s="337">
        <v>2270</v>
      </c>
      <c r="I74" s="338">
        <f>IF(X74 = 35, H74 + SUM(S74:S74) - SUM(T74:T74) - SUM(P74:P74) - V74,0)</f>
        <v>0</v>
      </c>
      <c r="J74" s="336" t="s">
        <v>276</v>
      </c>
      <c r="K74" s="336" t="s">
        <v>277</v>
      </c>
      <c r="L74" s="336"/>
      <c r="M74" s="336" t="s">
        <v>523</v>
      </c>
      <c r="N74" s="346">
        <v>44820</v>
      </c>
      <c r="O74" s="340" t="s">
        <v>524</v>
      </c>
      <c r="P74" s="337">
        <v>2270</v>
      </c>
      <c r="Q74" s="342" t="s">
        <v>531</v>
      </c>
      <c r="R74" s="336"/>
      <c r="S74" s="337"/>
      <c r="T74" s="337"/>
      <c r="U74" s="337"/>
      <c r="V74" s="347"/>
      <c r="W74" s="339"/>
      <c r="X74" s="85">
        <v>35</v>
      </c>
    </row>
    <row r="75" spans="1:24" s="85" customFormat="1" ht="72" customHeight="1" x14ac:dyDescent="0.25">
      <c r="A75" s="602">
        <v>34</v>
      </c>
      <c r="B75" s="559" t="s">
        <v>56</v>
      </c>
      <c r="C75" s="559"/>
      <c r="D75" s="559"/>
      <c r="E75" s="631" t="s">
        <v>406</v>
      </c>
      <c r="F75" s="623" t="s">
        <v>505</v>
      </c>
      <c r="G75" s="559" t="s">
        <v>539</v>
      </c>
      <c r="H75" s="605">
        <v>12016.8</v>
      </c>
      <c r="I75" s="633">
        <f>IF(X75 = 36, H75 + SUM(S75:S77) - SUM(T75:T77) - SUM(P75:P77) - V75,0)</f>
        <v>-1.5916157281026244E-12</v>
      </c>
      <c r="J75" s="559" t="s">
        <v>208</v>
      </c>
      <c r="K75" s="559" t="s">
        <v>266</v>
      </c>
      <c r="L75" s="559"/>
      <c r="M75" s="559" t="s">
        <v>540</v>
      </c>
      <c r="N75" s="441">
        <v>44862</v>
      </c>
      <c r="O75" s="623" t="s">
        <v>431</v>
      </c>
      <c r="P75" s="433">
        <v>4656.51</v>
      </c>
      <c r="Q75" s="432" t="s">
        <v>625</v>
      </c>
      <c r="R75" s="431"/>
      <c r="S75" s="433"/>
      <c r="T75" s="433"/>
      <c r="U75" s="605" t="s">
        <v>717</v>
      </c>
      <c r="V75" s="629">
        <v>901.26</v>
      </c>
      <c r="W75" s="626"/>
      <c r="X75" s="85">
        <v>36</v>
      </c>
    </row>
    <row r="76" spans="1:24" x14ac:dyDescent="0.25">
      <c r="A76" s="603"/>
      <c r="B76" s="560"/>
      <c r="C76" s="560"/>
      <c r="D76" s="560"/>
      <c r="E76" s="635"/>
      <c r="F76" s="624"/>
      <c r="G76" s="560"/>
      <c r="H76" s="606"/>
      <c r="I76" s="643"/>
      <c r="J76" s="560"/>
      <c r="K76" s="560"/>
      <c r="L76" s="560"/>
      <c r="M76" s="560"/>
      <c r="N76" s="442">
        <v>44895</v>
      </c>
      <c r="O76" s="624"/>
      <c r="P76" s="435">
        <v>2853.99</v>
      </c>
      <c r="Q76" s="436" t="s">
        <v>675</v>
      </c>
      <c r="R76" s="437"/>
      <c r="S76" s="435"/>
      <c r="T76" s="435"/>
      <c r="U76" s="606"/>
      <c r="V76" s="642"/>
      <c r="W76" s="627"/>
      <c r="X76" s="2">
        <v>36</v>
      </c>
    </row>
    <row r="77" spans="1:24" x14ac:dyDescent="0.25">
      <c r="A77" s="604"/>
      <c r="B77" s="561"/>
      <c r="C77" s="561"/>
      <c r="D77" s="561"/>
      <c r="E77" s="632"/>
      <c r="F77" s="625"/>
      <c r="G77" s="561"/>
      <c r="H77" s="607"/>
      <c r="I77" s="634"/>
      <c r="J77" s="561"/>
      <c r="K77" s="561"/>
      <c r="L77" s="561"/>
      <c r="M77" s="561"/>
      <c r="N77" s="443">
        <v>44923</v>
      </c>
      <c r="O77" s="625"/>
      <c r="P77" s="438">
        <v>3605.04</v>
      </c>
      <c r="Q77" s="439" t="s">
        <v>681</v>
      </c>
      <c r="R77" s="440"/>
      <c r="S77" s="438"/>
      <c r="T77" s="438"/>
      <c r="U77" s="607"/>
      <c r="V77" s="630"/>
      <c r="W77" s="628"/>
      <c r="X77" s="2">
        <v>36</v>
      </c>
    </row>
    <row r="78" spans="1:24" s="85" customFormat="1" ht="72" customHeight="1" x14ac:dyDescent="0.25">
      <c r="A78" s="602">
        <v>35</v>
      </c>
      <c r="B78" s="559" t="s">
        <v>56</v>
      </c>
      <c r="C78" s="559"/>
      <c r="D78" s="559"/>
      <c r="E78" s="631" t="s">
        <v>262</v>
      </c>
      <c r="F78" s="623" t="s">
        <v>505</v>
      </c>
      <c r="G78" s="559" t="s">
        <v>541</v>
      </c>
      <c r="H78" s="605">
        <v>45760</v>
      </c>
      <c r="I78" s="633">
        <f>IF(X78 = 37, H78 + SUM(S78:S81) - SUM(T78:T81) - SUM(P78:P81) - V78,0)</f>
        <v>0</v>
      </c>
      <c r="J78" s="559" t="s">
        <v>208</v>
      </c>
      <c r="K78" s="559" t="s">
        <v>266</v>
      </c>
      <c r="L78" s="559"/>
      <c r="M78" s="559" t="s">
        <v>540</v>
      </c>
      <c r="N78" s="441">
        <v>44848</v>
      </c>
      <c r="O78" s="623" t="s">
        <v>431</v>
      </c>
      <c r="P78" s="433">
        <v>2376</v>
      </c>
      <c r="Q78" s="432" t="s">
        <v>579</v>
      </c>
      <c r="R78" s="431"/>
      <c r="S78" s="433"/>
      <c r="T78" s="433"/>
      <c r="U78" s="605" t="s">
        <v>717</v>
      </c>
      <c r="V78" s="629">
        <v>30426</v>
      </c>
      <c r="W78" s="626"/>
      <c r="X78" s="85">
        <v>37</v>
      </c>
    </row>
    <row r="79" spans="1:24" x14ac:dyDescent="0.25">
      <c r="A79" s="603"/>
      <c r="B79" s="560"/>
      <c r="C79" s="560"/>
      <c r="D79" s="560"/>
      <c r="E79" s="635"/>
      <c r="F79" s="624"/>
      <c r="G79" s="560"/>
      <c r="H79" s="606"/>
      <c r="I79" s="643"/>
      <c r="J79" s="560"/>
      <c r="K79" s="560"/>
      <c r="L79" s="560"/>
      <c r="M79" s="560"/>
      <c r="N79" s="442">
        <v>44862</v>
      </c>
      <c r="O79" s="624"/>
      <c r="P79" s="435">
        <v>4620</v>
      </c>
      <c r="Q79" s="436" t="s">
        <v>625</v>
      </c>
      <c r="R79" s="437"/>
      <c r="S79" s="435"/>
      <c r="T79" s="435"/>
      <c r="U79" s="606"/>
      <c r="V79" s="642"/>
      <c r="W79" s="627"/>
      <c r="X79" s="2">
        <v>37</v>
      </c>
    </row>
    <row r="80" spans="1:24" x14ac:dyDescent="0.25">
      <c r="A80" s="603"/>
      <c r="B80" s="560"/>
      <c r="C80" s="560"/>
      <c r="D80" s="560"/>
      <c r="E80" s="635"/>
      <c r="F80" s="624"/>
      <c r="G80" s="560"/>
      <c r="H80" s="606"/>
      <c r="I80" s="643"/>
      <c r="J80" s="560"/>
      <c r="K80" s="560"/>
      <c r="L80" s="560"/>
      <c r="M80" s="560"/>
      <c r="N80" s="442">
        <v>44895</v>
      </c>
      <c r="O80" s="624"/>
      <c r="P80" s="435">
        <v>4268</v>
      </c>
      <c r="Q80" s="436" t="s">
        <v>675</v>
      </c>
      <c r="R80" s="437"/>
      <c r="S80" s="435"/>
      <c r="T80" s="435"/>
      <c r="U80" s="606"/>
      <c r="V80" s="642"/>
      <c r="W80" s="627"/>
      <c r="X80" s="2">
        <v>37</v>
      </c>
    </row>
    <row r="81" spans="1:24" x14ac:dyDescent="0.25">
      <c r="A81" s="604"/>
      <c r="B81" s="561"/>
      <c r="C81" s="561"/>
      <c r="D81" s="561"/>
      <c r="E81" s="632"/>
      <c r="F81" s="625"/>
      <c r="G81" s="561"/>
      <c r="H81" s="607"/>
      <c r="I81" s="634"/>
      <c r="J81" s="561"/>
      <c r="K81" s="561"/>
      <c r="L81" s="561"/>
      <c r="M81" s="561"/>
      <c r="N81" s="443">
        <v>44923</v>
      </c>
      <c r="O81" s="625"/>
      <c r="P81" s="438">
        <v>4070</v>
      </c>
      <c r="Q81" s="439" t="s">
        <v>681</v>
      </c>
      <c r="R81" s="440"/>
      <c r="S81" s="438"/>
      <c r="T81" s="438"/>
      <c r="U81" s="607"/>
      <c r="V81" s="630"/>
      <c r="W81" s="628"/>
      <c r="X81" s="2">
        <v>37</v>
      </c>
    </row>
    <row r="82" spans="1:24" s="85" customFormat="1" ht="72" customHeight="1" x14ac:dyDescent="0.25">
      <c r="A82" s="602">
        <v>36</v>
      </c>
      <c r="B82" s="559" t="s">
        <v>56</v>
      </c>
      <c r="C82" s="559"/>
      <c r="D82" s="559"/>
      <c r="E82" s="631" t="s">
        <v>542</v>
      </c>
      <c r="F82" s="623" t="s">
        <v>505</v>
      </c>
      <c r="G82" s="559" t="s">
        <v>543</v>
      </c>
      <c r="H82" s="605">
        <v>189556.8</v>
      </c>
      <c r="I82" s="633">
        <f>IF(X82 = 38, H82 + SUM(S82:S89) - SUM(T82:T89) - SUM(P82:P89) - V82,0)</f>
        <v>-1.4551915228366852E-11</v>
      </c>
      <c r="J82" s="559" t="s">
        <v>208</v>
      </c>
      <c r="K82" s="559" t="s">
        <v>266</v>
      </c>
      <c r="L82" s="559"/>
      <c r="M82" s="559" t="s">
        <v>540</v>
      </c>
      <c r="N82" s="441">
        <v>44834</v>
      </c>
      <c r="O82" s="623" t="s">
        <v>431</v>
      </c>
      <c r="P82" s="433">
        <v>15896.85</v>
      </c>
      <c r="Q82" s="432" t="s">
        <v>584</v>
      </c>
      <c r="R82" s="431"/>
      <c r="S82" s="433"/>
      <c r="T82" s="433"/>
      <c r="U82" s="605" t="s">
        <v>717</v>
      </c>
      <c r="V82" s="629">
        <v>103255.52</v>
      </c>
      <c r="W82" s="626"/>
      <c r="X82" s="85">
        <v>38</v>
      </c>
    </row>
    <row r="83" spans="1:24" x14ac:dyDescent="0.25">
      <c r="A83" s="603"/>
      <c r="B83" s="560"/>
      <c r="C83" s="560"/>
      <c r="D83" s="560"/>
      <c r="E83" s="635"/>
      <c r="F83" s="624"/>
      <c r="G83" s="560"/>
      <c r="H83" s="606"/>
      <c r="I83" s="643"/>
      <c r="J83" s="560"/>
      <c r="K83" s="560"/>
      <c r="L83" s="560"/>
      <c r="M83" s="560"/>
      <c r="N83" s="442">
        <v>44834</v>
      </c>
      <c r="O83" s="624"/>
      <c r="P83" s="435">
        <v>13006.83</v>
      </c>
      <c r="Q83" s="436" t="s">
        <v>584</v>
      </c>
      <c r="R83" s="437"/>
      <c r="S83" s="435"/>
      <c r="T83" s="435"/>
      <c r="U83" s="606"/>
      <c r="V83" s="642"/>
      <c r="W83" s="627"/>
      <c r="X83" s="2">
        <v>38</v>
      </c>
    </row>
    <row r="84" spans="1:24" x14ac:dyDescent="0.25">
      <c r="A84" s="603"/>
      <c r="B84" s="560"/>
      <c r="C84" s="560"/>
      <c r="D84" s="560"/>
      <c r="E84" s="635"/>
      <c r="F84" s="624"/>
      <c r="G84" s="560"/>
      <c r="H84" s="606"/>
      <c r="I84" s="643"/>
      <c r="J84" s="560"/>
      <c r="K84" s="560"/>
      <c r="L84" s="560"/>
      <c r="M84" s="560"/>
      <c r="N84" s="442">
        <v>44862</v>
      </c>
      <c r="O84" s="624"/>
      <c r="P84" s="435">
        <v>11320.83</v>
      </c>
      <c r="Q84" s="436" t="s">
        <v>625</v>
      </c>
      <c r="R84" s="437"/>
      <c r="S84" s="435"/>
      <c r="T84" s="435"/>
      <c r="U84" s="606"/>
      <c r="V84" s="642"/>
      <c r="W84" s="627"/>
      <c r="X84" s="2">
        <v>38</v>
      </c>
    </row>
    <row r="85" spans="1:24" x14ac:dyDescent="0.25">
      <c r="A85" s="603"/>
      <c r="B85" s="560"/>
      <c r="C85" s="560"/>
      <c r="D85" s="560"/>
      <c r="E85" s="635"/>
      <c r="F85" s="624"/>
      <c r="G85" s="560"/>
      <c r="H85" s="606"/>
      <c r="I85" s="643"/>
      <c r="J85" s="560"/>
      <c r="K85" s="560"/>
      <c r="L85" s="560"/>
      <c r="M85" s="560"/>
      <c r="N85" s="442">
        <v>44862</v>
      </c>
      <c r="O85" s="624"/>
      <c r="P85" s="435">
        <v>9262.73</v>
      </c>
      <c r="Q85" s="436" t="s">
        <v>625</v>
      </c>
      <c r="R85" s="437"/>
      <c r="S85" s="435"/>
      <c r="T85" s="435"/>
      <c r="U85" s="606"/>
      <c r="V85" s="642"/>
      <c r="W85" s="627"/>
      <c r="X85" s="2">
        <v>38</v>
      </c>
    </row>
    <row r="86" spans="1:24" x14ac:dyDescent="0.25">
      <c r="A86" s="603"/>
      <c r="B86" s="560"/>
      <c r="C86" s="560"/>
      <c r="D86" s="560"/>
      <c r="E86" s="635"/>
      <c r="F86" s="624"/>
      <c r="G86" s="560"/>
      <c r="H86" s="606"/>
      <c r="I86" s="643"/>
      <c r="J86" s="560"/>
      <c r="K86" s="560"/>
      <c r="L86" s="560"/>
      <c r="M86" s="560"/>
      <c r="N86" s="442">
        <v>44895</v>
      </c>
      <c r="O86" s="624"/>
      <c r="P86" s="435">
        <v>10357.19</v>
      </c>
      <c r="Q86" s="436" t="s">
        <v>676</v>
      </c>
      <c r="R86" s="437"/>
      <c r="S86" s="435"/>
      <c r="T86" s="435"/>
      <c r="U86" s="606"/>
      <c r="V86" s="642"/>
      <c r="W86" s="627"/>
      <c r="X86" s="2">
        <v>38</v>
      </c>
    </row>
    <row r="87" spans="1:24" x14ac:dyDescent="0.25">
      <c r="A87" s="603"/>
      <c r="B87" s="560"/>
      <c r="C87" s="560"/>
      <c r="D87" s="560"/>
      <c r="E87" s="635"/>
      <c r="F87" s="624"/>
      <c r="G87" s="560"/>
      <c r="H87" s="606"/>
      <c r="I87" s="643"/>
      <c r="J87" s="560"/>
      <c r="K87" s="560"/>
      <c r="L87" s="560"/>
      <c r="M87" s="560"/>
      <c r="N87" s="442">
        <v>44895</v>
      </c>
      <c r="O87" s="624"/>
      <c r="P87" s="435">
        <v>8474.25</v>
      </c>
      <c r="Q87" s="436" t="s">
        <v>676</v>
      </c>
      <c r="R87" s="437"/>
      <c r="S87" s="435"/>
      <c r="T87" s="435"/>
      <c r="U87" s="606"/>
      <c r="V87" s="642"/>
      <c r="W87" s="627"/>
      <c r="X87" s="2">
        <v>38</v>
      </c>
    </row>
    <row r="88" spans="1:24" x14ac:dyDescent="0.25">
      <c r="A88" s="603"/>
      <c r="B88" s="560"/>
      <c r="C88" s="560"/>
      <c r="D88" s="560"/>
      <c r="E88" s="635"/>
      <c r="F88" s="624"/>
      <c r="G88" s="560"/>
      <c r="H88" s="606"/>
      <c r="I88" s="643"/>
      <c r="J88" s="560"/>
      <c r="K88" s="560"/>
      <c r="L88" s="560"/>
      <c r="M88" s="560"/>
      <c r="N88" s="442">
        <v>44923</v>
      </c>
      <c r="O88" s="624"/>
      <c r="P88" s="435">
        <v>9890.32</v>
      </c>
      <c r="Q88" s="436" t="s">
        <v>681</v>
      </c>
      <c r="R88" s="437"/>
      <c r="S88" s="435"/>
      <c r="T88" s="435"/>
      <c r="U88" s="606"/>
      <c r="V88" s="642"/>
      <c r="W88" s="627"/>
      <c r="X88" s="2">
        <v>38</v>
      </c>
    </row>
    <row r="89" spans="1:24" x14ac:dyDescent="0.25">
      <c r="A89" s="604"/>
      <c r="B89" s="561"/>
      <c r="C89" s="561"/>
      <c r="D89" s="561"/>
      <c r="E89" s="632"/>
      <c r="F89" s="625"/>
      <c r="G89" s="561"/>
      <c r="H89" s="607"/>
      <c r="I89" s="634"/>
      <c r="J89" s="561"/>
      <c r="K89" s="561"/>
      <c r="L89" s="561"/>
      <c r="M89" s="561"/>
      <c r="N89" s="443">
        <v>44923</v>
      </c>
      <c r="O89" s="625"/>
      <c r="P89" s="438">
        <v>8092.28</v>
      </c>
      <c r="Q89" s="439" t="s">
        <v>681</v>
      </c>
      <c r="R89" s="440"/>
      <c r="S89" s="438"/>
      <c r="T89" s="438"/>
      <c r="U89" s="607"/>
      <c r="V89" s="630"/>
      <c r="W89" s="628"/>
      <c r="X89" s="2">
        <v>38</v>
      </c>
    </row>
    <row r="90" spans="1:24" s="85" customFormat="1" ht="72" customHeight="1" x14ac:dyDescent="0.25">
      <c r="A90" s="602">
        <v>37</v>
      </c>
      <c r="B90" s="559" t="s">
        <v>56</v>
      </c>
      <c r="C90" s="559"/>
      <c r="D90" s="559"/>
      <c r="E90" s="631" t="s">
        <v>547</v>
      </c>
      <c r="F90" s="623" t="s">
        <v>505</v>
      </c>
      <c r="G90" s="559" t="s">
        <v>548</v>
      </c>
      <c r="H90" s="605">
        <v>3520</v>
      </c>
      <c r="I90" s="633">
        <f>IF(X90 = 39, H90 + SUM(S90:S91) - SUM(T90:T91) - SUM(P90:P91) - V90,0)</f>
        <v>0</v>
      </c>
      <c r="J90" s="559" t="s">
        <v>208</v>
      </c>
      <c r="K90" s="559" t="s">
        <v>266</v>
      </c>
      <c r="L90" s="559"/>
      <c r="M90" s="559" t="s">
        <v>540</v>
      </c>
      <c r="N90" s="441">
        <v>44862</v>
      </c>
      <c r="O90" s="623" t="s">
        <v>431</v>
      </c>
      <c r="P90" s="433">
        <v>1364</v>
      </c>
      <c r="Q90" s="432" t="s">
        <v>625</v>
      </c>
      <c r="R90" s="431"/>
      <c r="S90" s="433"/>
      <c r="T90" s="433"/>
      <c r="U90" s="605" t="s">
        <v>717</v>
      </c>
      <c r="V90" s="629">
        <v>1320</v>
      </c>
      <c r="W90" s="626"/>
      <c r="X90" s="85">
        <v>39</v>
      </c>
    </row>
    <row r="91" spans="1:24" x14ac:dyDescent="0.25">
      <c r="A91" s="604"/>
      <c r="B91" s="561"/>
      <c r="C91" s="561"/>
      <c r="D91" s="561"/>
      <c r="E91" s="632"/>
      <c r="F91" s="625"/>
      <c r="G91" s="561"/>
      <c r="H91" s="607"/>
      <c r="I91" s="634"/>
      <c r="J91" s="561"/>
      <c r="K91" s="561"/>
      <c r="L91" s="561"/>
      <c r="M91" s="561"/>
      <c r="N91" s="443">
        <v>44895</v>
      </c>
      <c r="O91" s="625"/>
      <c r="P91" s="438">
        <v>836</v>
      </c>
      <c r="Q91" s="439" t="s">
        <v>675</v>
      </c>
      <c r="R91" s="440"/>
      <c r="S91" s="438"/>
      <c r="T91" s="438"/>
      <c r="U91" s="607"/>
      <c r="V91" s="630"/>
      <c r="W91" s="628"/>
      <c r="X91" s="2">
        <v>39</v>
      </c>
    </row>
    <row r="92" spans="1:24" s="85" customFormat="1" ht="144" customHeight="1" x14ac:dyDescent="0.25">
      <c r="A92" s="638">
        <v>38</v>
      </c>
      <c r="B92" s="521" t="s">
        <v>56</v>
      </c>
      <c r="C92" s="521"/>
      <c r="D92" s="521"/>
      <c r="E92" s="523" t="s">
        <v>556</v>
      </c>
      <c r="F92" s="525" t="s">
        <v>557</v>
      </c>
      <c r="G92" s="521" t="s">
        <v>558</v>
      </c>
      <c r="H92" s="527">
        <v>5200</v>
      </c>
      <c r="I92" s="529">
        <f>IF(X92 = 40, H92 + SUM(S92:S93) - SUM(T92:T93) - SUM(P92:P93) - V92,0)</f>
        <v>0</v>
      </c>
      <c r="J92" s="521" t="s">
        <v>559</v>
      </c>
      <c r="K92" s="521" t="s">
        <v>660</v>
      </c>
      <c r="L92" s="521"/>
      <c r="M92" s="521" t="s">
        <v>560</v>
      </c>
      <c r="N92" s="401">
        <v>44855</v>
      </c>
      <c r="O92" s="525" t="s">
        <v>561</v>
      </c>
      <c r="P92" s="395">
        <v>1560</v>
      </c>
      <c r="Q92" s="396" t="s">
        <v>585</v>
      </c>
      <c r="R92" s="397"/>
      <c r="S92" s="395"/>
      <c r="T92" s="395"/>
      <c r="U92" s="527"/>
      <c r="V92" s="640"/>
      <c r="W92" s="519"/>
      <c r="X92" s="85">
        <v>40</v>
      </c>
    </row>
    <row r="93" spans="1:24" x14ac:dyDescent="0.25">
      <c r="A93" s="639"/>
      <c r="B93" s="522"/>
      <c r="C93" s="522"/>
      <c r="D93" s="522"/>
      <c r="E93" s="524"/>
      <c r="F93" s="526"/>
      <c r="G93" s="522"/>
      <c r="H93" s="528"/>
      <c r="I93" s="530"/>
      <c r="J93" s="522"/>
      <c r="K93" s="522"/>
      <c r="L93" s="522"/>
      <c r="M93" s="522"/>
      <c r="N93" s="402">
        <v>44895</v>
      </c>
      <c r="O93" s="526"/>
      <c r="P93" s="398">
        <v>3640</v>
      </c>
      <c r="Q93" s="399" t="s">
        <v>628</v>
      </c>
      <c r="R93" s="400"/>
      <c r="S93" s="398"/>
      <c r="T93" s="398"/>
      <c r="U93" s="528"/>
      <c r="V93" s="641"/>
      <c r="W93" s="520"/>
      <c r="X93" s="2">
        <v>40</v>
      </c>
    </row>
    <row r="94" spans="1:24" s="85" customFormat="1" ht="75" x14ac:dyDescent="0.25">
      <c r="A94" s="358">
        <v>39</v>
      </c>
      <c r="B94" s="359" t="s">
        <v>56</v>
      </c>
      <c r="C94" s="359"/>
      <c r="D94" s="359"/>
      <c r="E94" s="360" t="s">
        <v>213</v>
      </c>
      <c r="F94" s="377" t="s">
        <v>562</v>
      </c>
      <c r="G94" s="359" t="s">
        <v>563</v>
      </c>
      <c r="H94" s="361">
        <v>20827.32</v>
      </c>
      <c r="I94" s="362">
        <f>IF(X94 = 41, H94 + SUM(S94:S94) - SUM(T94:T94) - SUM(P94:P94) - V94,0)</f>
        <v>0</v>
      </c>
      <c r="J94" s="359" t="s">
        <v>564</v>
      </c>
      <c r="K94" s="359" t="s">
        <v>565</v>
      </c>
      <c r="L94" s="359"/>
      <c r="M94" s="359" t="s">
        <v>566</v>
      </c>
      <c r="N94" s="377">
        <v>44853</v>
      </c>
      <c r="O94" s="340" t="s">
        <v>567</v>
      </c>
      <c r="P94" s="361">
        <v>20827.32</v>
      </c>
      <c r="Q94" s="360" t="s">
        <v>582</v>
      </c>
      <c r="R94" s="359"/>
      <c r="S94" s="361"/>
      <c r="T94" s="361"/>
      <c r="U94" s="361"/>
      <c r="V94" s="376"/>
      <c r="W94" s="366"/>
      <c r="X94" s="85">
        <v>41</v>
      </c>
    </row>
    <row r="95" spans="1:24" s="85" customFormat="1" ht="112.5" x14ac:dyDescent="0.25">
      <c r="A95" s="358">
        <v>40</v>
      </c>
      <c r="B95" s="359" t="s">
        <v>56</v>
      </c>
      <c r="C95" s="359"/>
      <c r="D95" s="359"/>
      <c r="E95" s="381" t="s">
        <v>568</v>
      </c>
      <c r="F95" s="377" t="s">
        <v>569</v>
      </c>
      <c r="G95" s="359" t="s">
        <v>570</v>
      </c>
      <c r="H95" s="361">
        <v>76600</v>
      </c>
      <c r="I95" s="362">
        <f>IF(X95 = 42, H95 + SUM(S95:S95) - SUM(T95:T95) - SUM(P95:P95) - V95,0)</f>
        <v>0</v>
      </c>
      <c r="J95" s="359" t="s">
        <v>571</v>
      </c>
      <c r="K95" s="359" t="s">
        <v>572</v>
      </c>
      <c r="L95" s="359"/>
      <c r="M95" s="359" t="s">
        <v>573</v>
      </c>
      <c r="N95" s="377">
        <v>44854</v>
      </c>
      <c r="O95" s="340" t="s">
        <v>574</v>
      </c>
      <c r="P95" s="361">
        <v>76600</v>
      </c>
      <c r="Q95" s="360" t="s">
        <v>586</v>
      </c>
      <c r="R95" s="359"/>
      <c r="S95" s="361"/>
      <c r="T95" s="361"/>
      <c r="U95" s="361"/>
      <c r="V95" s="376"/>
      <c r="W95" s="366"/>
      <c r="X95" s="85">
        <v>42</v>
      </c>
    </row>
    <row r="96" spans="1:24" s="85" customFormat="1" ht="75" x14ac:dyDescent="0.25">
      <c r="A96" s="358">
        <v>41</v>
      </c>
      <c r="B96" s="359" t="s">
        <v>56</v>
      </c>
      <c r="C96" s="359"/>
      <c r="D96" s="359"/>
      <c r="E96" s="381" t="s">
        <v>587</v>
      </c>
      <c r="F96" s="377" t="s">
        <v>588</v>
      </c>
      <c r="G96" s="359" t="s">
        <v>589</v>
      </c>
      <c r="H96" s="361">
        <v>19000</v>
      </c>
      <c r="I96" s="362">
        <f>IF(X96 = 43, H96 + SUM(S96:S96) - SUM(T96:T96) - SUM(P96:P96) - V96,0)</f>
        <v>0</v>
      </c>
      <c r="J96" s="359" t="s">
        <v>590</v>
      </c>
      <c r="K96" s="359" t="s">
        <v>591</v>
      </c>
      <c r="L96" s="359"/>
      <c r="M96" s="359" t="s">
        <v>592</v>
      </c>
      <c r="N96" s="377">
        <v>44855</v>
      </c>
      <c r="O96" s="340" t="s">
        <v>567</v>
      </c>
      <c r="P96" s="361">
        <v>19000</v>
      </c>
      <c r="Q96" s="360" t="s">
        <v>633</v>
      </c>
      <c r="R96" s="359"/>
      <c r="S96" s="361"/>
      <c r="T96" s="361"/>
      <c r="U96" s="361"/>
      <c r="V96" s="376"/>
      <c r="W96" s="366"/>
      <c r="X96" s="85">
        <v>43</v>
      </c>
    </row>
    <row r="97" spans="1:24" s="85" customFormat="1" ht="112.5" x14ac:dyDescent="0.25">
      <c r="A97" s="382">
        <v>42</v>
      </c>
      <c r="B97" s="383" t="s">
        <v>56</v>
      </c>
      <c r="C97" s="383"/>
      <c r="D97" s="383"/>
      <c r="E97" s="389" t="s">
        <v>213</v>
      </c>
      <c r="F97" s="390" t="s">
        <v>594</v>
      </c>
      <c r="G97" s="383" t="s">
        <v>595</v>
      </c>
      <c r="H97" s="384">
        <v>12500</v>
      </c>
      <c r="I97" s="385">
        <f>IF(X97 = 44, H97 + SUM(S97:S97) - SUM(T97:T97) - SUM(P97:P97) - V97,0)</f>
        <v>0</v>
      </c>
      <c r="J97" s="383" t="s">
        <v>453</v>
      </c>
      <c r="K97" s="303" t="s">
        <v>454</v>
      </c>
      <c r="L97" s="383"/>
      <c r="M97" s="383" t="s">
        <v>596</v>
      </c>
      <c r="N97" s="390">
        <v>44867</v>
      </c>
      <c r="O97" s="340" t="s">
        <v>597</v>
      </c>
      <c r="P97" s="384">
        <v>12500</v>
      </c>
      <c r="Q97" s="386" t="s">
        <v>626</v>
      </c>
      <c r="R97" s="383"/>
      <c r="S97" s="384"/>
      <c r="T97" s="384"/>
      <c r="U97" s="384"/>
      <c r="V97" s="387"/>
      <c r="W97" s="388"/>
      <c r="X97" s="85">
        <v>44</v>
      </c>
    </row>
    <row r="98" spans="1:24" s="85" customFormat="1" ht="93.75" x14ac:dyDescent="0.25">
      <c r="A98" s="382">
        <v>43</v>
      </c>
      <c r="B98" s="383" t="s">
        <v>56</v>
      </c>
      <c r="C98" s="383"/>
      <c r="D98" s="383"/>
      <c r="E98" s="389" t="s">
        <v>602</v>
      </c>
      <c r="F98" s="390" t="s">
        <v>603</v>
      </c>
      <c r="G98" s="383" t="s">
        <v>604</v>
      </c>
      <c r="H98" s="384">
        <v>19000</v>
      </c>
      <c r="I98" s="385">
        <f>IF(X98 = 45, H98 + SUM(S98:S98) - SUM(T98:T98) - SUM(P98:P98) - V98,0)</f>
        <v>0</v>
      </c>
      <c r="J98" s="383" t="s">
        <v>345</v>
      </c>
      <c r="K98" s="383" t="s">
        <v>605</v>
      </c>
      <c r="L98" s="383"/>
      <c r="M98" s="383" t="s">
        <v>606</v>
      </c>
      <c r="N98" s="390">
        <v>44875</v>
      </c>
      <c r="O98" s="390" t="s">
        <v>607</v>
      </c>
      <c r="P98" s="384">
        <v>19000</v>
      </c>
      <c r="Q98" s="386" t="s">
        <v>635</v>
      </c>
      <c r="R98" s="383"/>
      <c r="S98" s="384"/>
      <c r="T98" s="384"/>
      <c r="U98" s="384"/>
      <c r="V98" s="387"/>
      <c r="W98" s="388"/>
      <c r="X98" s="85">
        <v>45</v>
      </c>
    </row>
    <row r="99" spans="1:24" s="85" customFormat="1" ht="75" x14ac:dyDescent="0.25">
      <c r="A99" s="411">
        <v>44</v>
      </c>
      <c r="B99" s="412" t="s">
        <v>56</v>
      </c>
      <c r="C99" s="412"/>
      <c r="D99" s="412"/>
      <c r="E99" s="413" t="s">
        <v>639</v>
      </c>
      <c r="F99" s="418" t="s">
        <v>640</v>
      </c>
      <c r="G99" s="412" t="s">
        <v>641</v>
      </c>
      <c r="H99" s="414">
        <v>8883.34</v>
      </c>
      <c r="I99" s="415">
        <f>IF(X99 = 46, H99 + SUM(S99:S99) - SUM(T99:T99) - SUM(P99:P99) - V99,0)</f>
        <v>0</v>
      </c>
      <c r="J99" s="412" t="s">
        <v>165</v>
      </c>
      <c r="K99" s="412" t="s">
        <v>166</v>
      </c>
      <c r="L99" s="412"/>
      <c r="M99" s="412" t="s">
        <v>642</v>
      </c>
      <c r="N99" s="418">
        <v>44896</v>
      </c>
      <c r="O99" s="390" t="s">
        <v>400</v>
      </c>
      <c r="P99" s="414">
        <v>8883.34</v>
      </c>
      <c r="Q99" s="416" t="s">
        <v>687</v>
      </c>
      <c r="R99" s="412"/>
      <c r="S99" s="414"/>
      <c r="T99" s="414"/>
      <c r="U99" s="414"/>
      <c r="V99" s="417"/>
      <c r="W99" s="410"/>
      <c r="X99" s="85">
        <v>46</v>
      </c>
    </row>
    <row r="100" spans="1:24" s="85" customFormat="1" ht="147.6" customHeight="1" x14ac:dyDescent="0.25">
      <c r="A100" s="602">
        <v>45</v>
      </c>
      <c r="B100" s="559" t="s">
        <v>56</v>
      </c>
      <c r="C100" s="559"/>
      <c r="D100" s="559"/>
      <c r="E100" s="636" t="s">
        <v>658</v>
      </c>
      <c r="F100" s="623" t="s">
        <v>640</v>
      </c>
      <c r="G100" s="559" t="s">
        <v>558</v>
      </c>
      <c r="H100" s="605">
        <v>4700</v>
      </c>
      <c r="I100" s="633">
        <f>IF(X100 = 47, H100 + SUM(S100:S101) - SUM(T100:T101) - SUM(P100:P101) - V100,0)</f>
        <v>0</v>
      </c>
      <c r="J100" s="559" t="s">
        <v>559</v>
      </c>
      <c r="K100" s="559" t="s">
        <v>659</v>
      </c>
      <c r="L100" s="559"/>
      <c r="M100" s="559" t="s">
        <v>661</v>
      </c>
      <c r="N100" s="441">
        <v>44896</v>
      </c>
      <c r="O100" s="623" t="s">
        <v>561</v>
      </c>
      <c r="P100" s="433">
        <v>1410</v>
      </c>
      <c r="Q100" s="432" t="s">
        <v>673</v>
      </c>
      <c r="R100" s="431"/>
      <c r="S100" s="433"/>
      <c r="T100" s="433"/>
      <c r="U100" s="605"/>
      <c r="V100" s="629"/>
      <c r="W100" s="626"/>
      <c r="X100" s="85">
        <v>47</v>
      </c>
    </row>
    <row r="101" spans="1:24" x14ac:dyDescent="0.25">
      <c r="A101" s="604"/>
      <c r="B101" s="561"/>
      <c r="C101" s="561"/>
      <c r="D101" s="561"/>
      <c r="E101" s="637"/>
      <c r="F101" s="625"/>
      <c r="G101" s="561"/>
      <c r="H101" s="607"/>
      <c r="I101" s="634"/>
      <c r="J101" s="561"/>
      <c r="K101" s="561"/>
      <c r="L101" s="561"/>
      <c r="M101" s="561"/>
      <c r="N101" s="443">
        <v>44910</v>
      </c>
      <c r="O101" s="625"/>
      <c r="P101" s="438">
        <v>3290</v>
      </c>
      <c r="Q101" s="439" t="s">
        <v>678</v>
      </c>
      <c r="R101" s="440"/>
      <c r="S101" s="438"/>
      <c r="T101" s="438"/>
      <c r="U101" s="607"/>
      <c r="V101" s="630"/>
      <c r="W101" s="628"/>
      <c r="X101" s="2">
        <v>47</v>
      </c>
    </row>
    <row r="102" spans="1:24" s="85" customFormat="1" ht="93.75" x14ac:dyDescent="0.25">
      <c r="A102" s="419">
        <v>46</v>
      </c>
      <c r="B102" s="420" t="s">
        <v>56</v>
      </c>
      <c r="C102" s="420"/>
      <c r="D102" s="420"/>
      <c r="E102" s="429" t="s">
        <v>663</v>
      </c>
      <c r="F102" s="428" t="s">
        <v>664</v>
      </c>
      <c r="G102" s="420" t="s">
        <v>665</v>
      </c>
      <c r="H102" s="422">
        <v>2500</v>
      </c>
      <c r="I102" s="423">
        <f>IF(X102 = 48, H102 + SUM(S102:S102) - SUM(T102:T102) - SUM(P102:P102) - V102,0)</f>
        <v>0</v>
      </c>
      <c r="J102" s="420" t="s">
        <v>197</v>
      </c>
      <c r="K102" s="420" t="s">
        <v>198</v>
      </c>
      <c r="L102" s="420"/>
      <c r="M102" s="420" t="s">
        <v>666</v>
      </c>
      <c r="N102" s="428">
        <v>44907</v>
      </c>
      <c r="O102" s="340" t="s">
        <v>667</v>
      </c>
      <c r="P102" s="422">
        <v>2500</v>
      </c>
      <c r="Q102" s="421" t="s">
        <v>683</v>
      </c>
      <c r="R102" s="420"/>
      <c r="S102" s="422"/>
      <c r="T102" s="422"/>
      <c r="U102" s="422"/>
      <c r="V102" s="430"/>
      <c r="W102" s="427"/>
      <c r="X102" s="85">
        <v>48</v>
      </c>
    </row>
    <row r="103" spans="1:24" s="85" customFormat="1" ht="93.75" x14ac:dyDescent="0.25">
      <c r="A103" s="419">
        <v>47</v>
      </c>
      <c r="B103" s="420" t="s">
        <v>56</v>
      </c>
      <c r="C103" s="420"/>
      <c r="D103" s="420"/>
      <c r="E103" s="429" t="s">
        <v>699</v>
      </c>
      <c r="F103" s="428" t="s">
        <v>700</v>
      </c>
      <c r="G103" s="420" t="s">
        <v>701</v>
      </c>
      <c r="H103" s="422">
        <v>1000</v>
      </c>
      <c r="I103" s="423">
        <f>IF(X103 = 49, H103 + SUM(S103:S103) - SUM(T103:T103) - SUM(P103:P103) - V103,0)</f>
        <v>1000</v>
      </c>
      <c r="J103" s="420" t="s">
        <v>702</v>
      </c>
      <c r="K103" s="420" t="s">
        <v>201</v>
      </c>
      <c r="L103" s="420"/>
      <c r="M103" s="420" t="s">
        <v>703</v>
      </c>
      <c r="N103" s="428"/>
      <c r="O103" s="340" t="s">
        <v>704</v>
      </c>
      <c r="P103" s="422"/>
      <c r="Q103" s="421"/>
      <c r="R103" s="420"/>
      <c r="S103" s="422"/>
      <c r="T103" s="422"/>
      <c r="U103" s="422"/>
      <c r="V103" s="430"/>
      <c r="W103" s="427"/>
      <c r="X103" s="85">
        <v>49</v>
      </c>
    </row>
    <row r="104" spans="1:24" s="85" customFormat="1" ht="93.75" x14ac:dyDescent="0.25">
      <c r="A104" s="419">
        <v>48</v>
      </c>
      <c r="B104" s="420" t="s">
        <v>56</v>
      </c>
      <c r="C104" s="420"/>
      <c r="D104" s="420"/>
      <c r="E104" s="429" t="s">
        <v>212</v>
      </c>
      <c r="F104" s="428" t="s">
        <v>700</v>
      </c>
      <c r="G104" s="420" t="s">
        <v>701</v>
      </c>
      <c r="H104" s="422">
        <v>9400</v>
      </c>
      <c r="I104" s="423">
        <f>IF(X104 = 50, H104 + SUM(S104:S104) - SUM(T104:T104) - SUM(P104:P104) - V104,0)</f>
        <v>9400</v>
      </c>
      <c r="J104" s="420" t="s">
        <v>702</v>
      </c>
      <c r="K104" s="420" t="s">
        <v>201</v>
      </c>
      <c r="L104" s="420"/>
      <c r="M104" s="420" t="s">
        <v>703</v>
      </c>
      <c r="N104" s="428"/>
      <c r="O104" s="340" t="s">
        <v>704</v>
      </c>
      <c r="P104" s="422"/>
      <c r="Q104" s="421"/>
      <c r="R104" s="420"/>
      <c r="S104" s="422"/>
      <c r="T104" s="422"/>
      <c r="U104" s="422"/>
      <c r="V104" s="430"/>
      <c r="W104" s="427"/>
      <c r="X104" s="85">
        <v>50</v>
      </c>
    </row>
    <row r="105" spans="1:24" ht="18" x14ac:dyDescent="0.3">
      <c r="X105" s="2">
        <v>51</v>
      </c>
    </row>
  </sheetData>
  <sheetProtection password="EB34" sheet="1" objects="1" scenarios="1" formatCells="0" formatColumns="0" formatRows="0"/>
  <mergeCells count="228">
    <mergeCell ref="A43:A51"/>
    <mergeCell ref="O43:O51"/>
    <mergeCell ref="U43:U51"/>
    <mergeCell ref="B43:B51"/>
    <mergeCell ref="V43:V51"/>
    <mergeCell ref="C43:C51"/>
    <mergeCell ref="W43:W51"/>
    <mergeCell ref="H39:H41"/>
    <mergeCell ref="M23:M26"/>
    <mergeCell ref="D23:D26"/>
    <mergeCell ref="E23:E26"/>
    <mergeCell ref="F23:F26"/>
    <mergeCell ref="G23:G26"/>
    <mergeCell ref="H23:H26"/>
    <mergeCell ref="I23:I26"/>
    <mergeCell ref="J23:J26"/>
    <mergeCell ref="K23:K26"/>
    <mergeCell ref="L23:L26"/>
    <mergeCell ref="V23:V26"/>
    <mergeCell ref="C23:C26"/>
    <mergeCell ref="W23:W26"/>
    <mergeCell ref="D43:D51"/>
    <mergeCell ref="E43:E51"/>
    <mergeCell ref="F43:F51"/>
    <mergeCell ref="G43:G51"/>
    <mergeCell ref="H43:H51"/>
    <mergeCell ref="I43:I51"/>
    <mergeCell ref="J43:J51"/>
    <mergeCell ref="K43:K51"/>
    <mergeCell ref="L43:L51"/>
    <mergeCell ref="U78:U81"/>
    <mergeCell ref="B78:B81"/>
    <mergeCell ref="V78:V81"/>
    <mergeCell ref="C78:C81"/>
    <mergeCell ref="M75:M77"/>
    <mergeCell ref="V63:V64"/>
    <mergeCell ref="W78:W81"/>
    <mergeCell ref="D78:D81"/>
    <mergeCell ref="E78:E81"/>
    <mergeCell ref="F78:F81"/>
    <mergeCell ref="G78:G81"/>
    <mergeCell ref="H78:H81"/>
    <mergeCell ref="I78:I81"/>
    <mergeCell ref="J78:J81"/>
    <mergeCell ref="K78:K81"/>
    <mergeCell ref="L78:L81"/>
    <mergeCell ref="M78:M81"/>
    <mergeCell ref="A75:A77"/>
    <mergeCell ref="O75:O77"/>
    <mergeCell ref="U75:U77"/>
    <mergeCell ref="B75:B77"/>
    <mergeCell ref="V75:V77"/>
    <mergeCell ref="C75:C77"/>
    <mergeCell ref="A78:A81"/>
    <mergeCell ref="O78:O81"/>
    <mergeCell ref="L82:L89"/>
    <mergeCell ref="D75:D77"/>
    <mergeCell ref="E75:E77"/>
    <mergeCell ref="F75:F77"/>
    <mergeCell ref="G75:G77"/>
    <mergeCell ref="H75:H77"/>
    <mergeCell ref="I75:I77"/>
    <mergeCell ref="J75:J77"/>
    <mergeCell ref="K75:K77"/>
    <mergeCell ref="L75:L77"/>
    <mergeCell ref="A92:A93"/>
    <mergeCell ref="O92:O93"/>
    <mergeCell ref="U92:U93"/>
    <mergeCell ref="B92:B93"/>
    <mergeCell ref="V92:V93"/>
    <mergeCell ref="C92:C93"/>
    <mergeCell ref="A82:A89"/>
    <mergeCell ref="O82:O89"/>
    <mergeCell ref="U82:U89"/>
    <mergeCell ref="B82:B89"/>
    <mergeCell ref="V82:V89"/>
    <mergeCell ref="C82:C89"/>
    <mergeCell ref="I82:I89"/>
    <mergeCell ref="J82:J89"/>
    <mergeCell ref="K82:K89"/>
    <mergeCell ref="M82:M89"/>
    <mergeCell ref="A100:A101"/>
    <mergeCell ref="O100:O101"/>
    <mergeCell ref="U100:U101"/>
    <mergeCell ref="B100:B101"/>
    <mergeCell ref="V100:V101"/>
    <mergeCell ref="C100:C101"/>
    <mergeCell ref="W100:W101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L100:L101"/>
    <mergeCell ref="M100:M101"/>
    <mergeCell ref="W75:W77"/>
    <mergeCell ref="A90:A91"/>
    <mergeCell ref="O90:O91"/>
    <mergeCell ref="U90:U91"/>
    <mergeCell ref="B90:B91"/>
    <mergeCell ref="V90:V91"/>
    <mergeCell ref="C90:C91"/>
    <mergeCell ref="W90:W91"/>
    <mergeCell ref="D90:D91"/>
    <mergeCell ref="E90:E91"/>
    <mergeCell ref="F90:F91"/>
    <mergeCell ref="G90:G91"/>
    <mergeCell ref="H90:H91"/>
    <mergeCell ref="I90:I91"/>
    <mergeCell ref="J90:J91"/>
    <mergeCell ref="K90:K91"/>
    <mergeCell ref="L90:L91"/>
    <mergeCell ref="M90:M91"/>
    <mergeCell ref="W82:W89"/>
    <mergeCell ref="D82:D89"/>
    <mergeCell ref="E82:E89"/>
    <mergeCell ref="F82:F89"/>
    <mergeCell ref="G82:G89"/>
    <mergeCell ref="H82:H89"/>
    <mergeCell ref="W39:W41"/>
    <mergeCell ref="D39:D41"/>
    <mergeCell ref="W12:W21"/>
    <mergeCell ref="V27:V36"/>
    <mergeCell ref="W27:W36"/>
    <mergeCell ref="V12:V21"/>
    <mergeCell ref="D12:D21"/>
    <mergeCell ref="E12:E21"/>
    <mergeCell ref="F12:F21"/>
    <mergeCell ref="G12:G21"/>
    <mergeCell ref="H12:H21"/>
    <mergeCell ref="I12:I21"/>
    <mergeCell ref="J12:J21"/>
    <mergeCell ref="K12:K21"/>
    <mergeCell ref="L12:L21"/>
    <mergeCell ref="M12:M21"/>
    <mergeCell ref="V39:V41"/>
    <mergeCell ref="F39:F41"/>
    <mergeCell ref="G39:G41"/>
    <mergeCell ref="L39:L41"/>
    <mergeCell ref="M39:M41"/>
    <mergeCell ref="K39:K41"/>
    <mergeCell ref="O39:O41"/>
    <mergeCell ref="O23:O26"/>
    <mergeCell ref="A3:E3"/>
    <mergeCell ref="S2:U2"/>
    <mergeCell ref="N2:O2"/>
    <mergeCell ref="J4:K4"/>
    <mergeCell ref="M4:N4"/>
    <mergeCell ref="O4:P4"/>
    <mergeCell ref="K2:M2"/>
    <mergeCell ref="A27:A36"/>
    <mergeCell ref="O27:O36"/>
    <mergeCell ref="U27:U36"/>
    <mergeCell ref="B27:B36"/>
    <mergeCell ref="C27:C36"/>
    <mergeCell ref="D27:D36"/>
    <mergeCell ref="A12:A21"/>
    <mergeCell ref="E27:E36"/>
    <mergeCell ref="F27:F36"/>
    <mergeCell ref="G27:G36"/>
    <mergeCell ref="O12:O21"/>
    <mergeCell ref="U12:U21"/>
    <mergeCell ref="B12:B21"/>
    <mergeCell ref="C12:C21"/>
    <mergeCell ref="A23:A26"/>
    <mergeCell ref="U23:U26"/>
    <mergeCell ref="B23:B26"/>
    <mergeCell ref="J27:J36"/>
    <mergeCell ref="K27:K36"/>
    <mergeCell ref="L27:L36"/>
    <mergeCell ref="M27:M36"/>
    <mergeCell ref="J39:J41"/>
    <mergeCell ref="L63:L64"/>
    <mergeCell ref="M63:M64"/>
    <mergeCell ref="H27:H36"/>
    <mergeCell ref="I27:I36"/>
    <mergeCell ref="J63:J64"/>
    <mergeCell ref="K63:K64"/>
    <mergeCell ref="U39:U41"/>
    <mergeCell ref="O63:O64"/>
    <mergeCell ref="U63:U64"/>
    <mergeCell ref="C39:C41"/>
    <mergeCell ref="E39:E41"/>
    <mergeCell ref="A39:A41"/>
    <mergeCell ref="B39:B41"/>
    <mergeCell ref="M43:M51"/>
    <mergeCell ref="W70:W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U70:U71"/>
    <mergeCell ref="V70:V71"/>
    <mergeCell ref="O70:O71"/>
    <mergeCell ref="W63:W64"/>
    <mergeCell ref="I39:I41"/>
    <mergeCell ref="A63:A64"/>
    <mergeCell ref="B63:B64"/>
    <mergeCell ref="C63:C64"/>
    <mergeCell ref="A70:A71"/>
    <mergeCell ref="B70:B71"/>
    <mergeCell ref="C70:C71"/>
    <mergeCell ref="I63:I64"/>
    <mergeCell ref="D63:D64"/>
    <mergeCell ref="E63:E64"/>
    <mergeCell ref="F63:F64"/>
    <mergeCell ref="G63:G64"/>
    <mergeCell ref="H63:H64"/>
    <mergeCell ref="W92:W93"/>
    <mergeCell ref="D92:D93"/>
    <mergeCell ref="E92:E93"/>
    <mergeCell ref="F92:F93"/>
    <mergeCell ref="G92:G93"/>
    <mergeCell ref="H92:H93"/>
    <mergeCell ref="I92:I93"/>
    <mergeCell ref="J92:J93"/>
    <mergeCell ref="K92:K93"/>
    <mergeCell ref="L92:L93"/>
    <mergeCell ref="M92:M93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241"/>
  <sheetViews>
    <sheetView showGridLines="0" topLeftCell="D1" zoomScale="50" zoomScaleNormal="50" workbookViewId="0">
      <pane ySplit="8" topLeftCell="A234" activePane="bottomLeft" state="frozen"/>
      <selection pane="bottomLeft" activeCell="O240" sqref="O240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27.42578125" style="11" customWidth="1"/>
    <col min="8" max="8" width="38.42578125" style="3" bestFit="1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E2" s="68"/>
      <c r="F2" s="777" t="s">
        <v>24</v>
      </c>
      <c r="G2" s="778"/>
      <c r="H2" s="80">
        <f>SUM(H9:H10001)</f>
        <v>5416895.3000000007</v>
      </c>
      <c r="I2" s="68"/>
      <c r="N2" s="589" t="s">
        <v>137</v>
      </c>
      <c r="O2" s="591"/>
      <c r="P2" s="69">
        <f>SUM(P9:P10001)</f>
        <v>4286857.3399999989</v>
      </c>
      <c r="R2" s="68"/>
      <c r="S2" s="589" t="s">
        <v>45</v>
      </c>
      <c r="T2" s="590"/>
      <c r="U2" s="591"/>
      <c r="V2" s="70">
        <f>SUM(V9:V10001)</f>
        <v>481419.09</v>
      </c>
    </row>
    <row r="3" spans="1:24" ht="18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50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602">
        <v>1</v>
      </c>
      <c r="B9" s="559" t="s">
        <v>56</v>
      </c>
      <c r="C9" s="559"/>
      <c r="D9" s="559"/>
      <c r="E9" s="559" t="s">
        <v>146</v>
      </c>
      <c r="F9" s="623">
        <v>44561</v>
      </c>
      <c r="G9" s="631" t="s">
        <v>147</v>
      </c>
      <c r="H9" s="605">
        <v>365926</v>
      </c>
      <c r="I9" s="633">
        <f>IF(X9 = 1, H9 + SUM(S9:S35) - SUM(T9:T35) - SUM(P9:P35) - V9,0)</f>
        <v>-1.1641532182693481E-10</v>
      </c>
      <c r="J9" s="658">
        <v>2308119595</v>
      </c>
      <c r="K9" s="661" t="s">
        <v>148</v>
      </c>
      <c r="L9" s="559"/>
      <c r="M9" s="559" t="s">
        <v>150</v>
      </c>
      <c r="N9" s="441">
        <v>44562</v>
      </c>
      <c r="O9" s="623" t="s">
        <v>149</v>
      </c>
      <c r="P9" s="433">
        <v>12783.17</v>
      </c>
      <c r="Q9" s="432">
        <v>44580</v>
      </c>
      <c r="R9" s="431" t="s">
        <v>644</v>
      </c>
      <c r="S9" s="433">
        <v>36592</v>
      </c>
      <c r="T9" s="433"/>
      <c r="U9" s="605"/>
      <c r="V9" s="885"/>
      <c r="W9" s="626"/>
      <c r="X9" s="85">
        <v>1</v>
      </c>
    </row>
    <row r="10" spans="1:24" ht="56.25" x14ac:dyDescent="0.25">
      <c r="A10" s="603"/>
      <c r="B10" s="560"/>
      <c r="C10" s="560"/>
      <c r="D10" s="560"/>
      <c r="E10" s="560"/>
      <c r="F10" s="624"/>
      <c r="G10" s="635"/>
      <c r="H10" s="606"/>
      <c r="I10" s="643"/>
      <c r="J10" s="659"/>
      <c r="K10" s="662"/>
      <c r="L10" s="560"/>
      <c r="M10" s="560"/>
      <c r="N10" s="442">
        <v>44593</v>
      </c>
      <c r="O10" s="624"/>
      <c r="P10" s="435">
        <v>20920.5</v>
      </c>
      <c r="Q10" s="436">
        <v>44593</v>
      </c>
      <c r="R10" s="437" t="s">
        <v>714</v>
      </c>
      <c r="S10" s="435">
        <v>23381.59</v>
      </c>
      <c r="T10" s="435"/>
      <c r="U10" s="606"/>
      <c r="V10" s="886"/>
      <c r="W10" s="627"/>
      <c r="X10" s="2">
        <v>1</v>
      </c>
    </row>
    <row r="11" spans="1:24" x14ac:dyDescent="0.25">
      <c r="A11" s="603"/>
      <c r="B11" s="560"/>
      <c r="C11" s="560"/>
      <c r="D11" s="560"/>
      <c r="E11" s="560"/>
      <c r="F11" s="624"/>
      <c r="G11" s="635"/>
      <c r="H11" s="606"/>
      <c r="I11" s="643"/>
      <c r="J11" s="659"/>
      <c r="K11" s="662"/>
      <c r="L11" s="560"/>
      <c r="M11" s="560"/>
      <c r="N11" s="442">
        <v>44621</v>
      </c>
      <c r="O11" s="624"/>
      <c r="P11" s="435">
        <v>2312.64</v>
      </c>
      <c r="Q11" s="436">
        <v>44622</v>
      </c>
      <c r="R11" s="437"/>
      <c r="S11" s="435"/>
      <c r="T11" s="435"/>
      <c r="U11" s="606"/>
      <c r="V11" s="886"/>
      <c r="W11" s="627"/>
      <c r="X11" s="2">
        <v>1</v>
      </c>
    </row>
    <row r="12" spans="1:24" x14ac:dyDescent="0.25">
      <c r="A12" s="603"/>
      <c r="B12" s="560"/>
      <c r="C12" s="560"/>
      <c r="D12" s="560"/>
      <c r="E12" s="560"/>
      <c r="F12" s="624"/>
      <c r="G12" s="635"/>
      <c r="H12" s="606"/>
      <c r="I12" s="643"/>
      <c r="J12" s="659"/>
      <c r="K12" s="662"/>
      <c r="L12" s="560"/>
      <c r="M12" s="560"/>
      <c r="N12" s="442">
        <v>44620</v>
      </c>
      <c r="O12" s="624"/>
      <c r="P12" s="435">
        <v>37985.5</v>
      </c>
      <c r="Q12" s="436">
        <v>44634</v>
      </c>
      <c r="R12" s="437"/>
      <c r="S12" s="435"/>
      <c r="T12" s="435"/>
      <c r="U12" s="606"/>
      <c r="V12" s="886"/>
      <c r="W12" s="627"/>
      <c r="X12" s="2">
        <v>1</v>
      </c>
    </row>
    <row r="13" spans="1:24" x14ac:dyDescent="0.25">
      <c r="A13" s="603"/>
      <c r="B13" s="560"/>
      <c r="C13" s="560"/>
      <c r="D13" s="560"/>
      <c r="E13" s="560"/>
      <c r="F13" s="624"/>
      <c r="G13" s="635"/>
      <c r="H13" s="606"/>
      <c r="I13" s="643"/>
      <c r="J13" s="659"/>
      <c r="K13" s="662"/>
      <c r="L13" s="560"/>
      <c r="M13" s="560"/>
      <c r="N13" s="442">
        <v>44621</v>
      </c>
      <c r="O13" s="624"/>
      <c r="P13" s="435">
        <v>31610.44</v>
      </c>
      <c r="Q13" s="436" t="s">
        <v>251</v>
      </c>
      <c r="R13" s="437"/>
      <c r="S13" s="435"/>
      <c r="T13" s="435"/>
      <c r="U13" s="606"/>
      <c r="V13" s="886"/>
      <c r="W13" s="627"/>
      <c r="X13" s="2">
        <v>1</v>
      </c>
    </row>
    <row r="14" spans="1:24" x14ac:dyDescent="0.25">
      <c r="A14" s="603"/>
      <c r="B14" s="560"/>
      <c r="C14" s="560"/>
      <c r="D14" s="560"/>
      <c r="E14" s="560"/>
      <c r="F14" s="624"/>
      <c r="G14" s="635"/>
      <c r="H14" s="606"/>
      <c r="I14" s="643"/>
      <c r="J14" s="659"/>
      <c r="K14" s="662"/>
      <c r="L14" s="560"/>
      <c r="M14" s="560"/>
      <c r="N14" s="442">
        <v>44652</v>
      </c>
      <c r="O14" s="624"/>
      <c r="P14" s="435">
        <v>23707.82</v>
      </c>
      <c r="Q14" s="436" t="s">
        <v>238</v>
      </c>
      <c r="R14" s="437"/>
      <c r="S14" s="435"/>
      <c r="T14" s="435"/>
      <c r="U14" s="606"/>
      <c r="V14" s="886"/>
      <c r="W14" s="627"/>
      <c r="X14" s="2">
        <v>1</v>
      </c>
    </row>
    <row r="15" spans="1:24" x14ac:dyDescent="0.25">
      <c r="A15" s="603"/>
      <c r="B15" s="560"/>
      <c r="C15" s="560"/>
      <c r="D15" s="560"/>
      <c r="E15" s="560"/>
      <c r="F15" s="624"/>
      <c r="G15" s="635"/>
      <c r="H15" s="606"/>
      <c r="I15" s="643"/>
      <c r="J15" s="659"/>
      <c r="K15" s="662"/>
      <c r="L15" s="560"/>
      <c r="M15" s="560"/>
      <c r="N15" s="442">
        <v>44651</v>
      </c>
      <c r="O15" s="624"/>
      <c r="P15" s="435">
        <v>5788.03</v>
      </c>
      <c r="Q15" s="436" t="s">
        <v>239</v>
      </c>
      <c r="R15" s="437"/>
      <c r="S15" s="435"/>
      <c r="T15" s="435"/>
      <c r="U15" s="606"/>
      <c r="V15" s="886"/>
      <c r="W15" s="627"/>
      <c r="X15" s="2">
        <v>1</v>
      </c>
    </row>
    <row r="16" spans="1:24" x14ac:dyDescent="0.25">
      <c r="A16" s="603"/>
      <c r="B16" s="560"/>
      <c r="C16" s="560"/>
      <c r="D16" s="560"/>
      <c r="E16" s="560"/>
      <c r="F16" s="624"/>
      <c r="G16" s="635"/>
      <c r="H16" s="606"/>
      <c r="I16" s="643"/>
      <c r="J16" s="659"/>
      <c r="K16" s="662"/>
      <c r="L16" s="560"/>
      <c r="M16" s="560"/>
      <c r="N16" s="442">
        <v>44652</v>
      </c>
      <c r="O16" s="624"/>
      <c r="P16" s="435">
        <v>15884.45</v>
      </c>
      <c r="Q16" s="436" t="s">
        <v>239</v>
      </c>
      <c r="R16" s="437"/>
      <c r="S16" s="435"/>
      <c r="T16" s="435"/>
      <c r="U16" s="606"/>
      <c r="V16" s="886"/>
      <c r="W16" s="627"/>
      <c r="X16" s="2">
        <v>1</v>
      </c>
    </row>
    <row r="17" spans="1:24" x14ac:dyDescent="0.25">
      <c r="A17" s="603"/>
      <c r="B17" s="560"/>
      <c r="C17" s="560"/>
      <c r="D17" s="560"/>
      <c r="E17" s="560"/>
      <c r="F17" s="624"/>
      <c r="G17" s="635"/>
      <c r="H17" s="606"/>
      <c r="I17" s="643"/>
      <c r="J17" s="659"/>
      <c r="K17" s="662"/>
      <c r="L17" s="560"/>
      <c r="M17" s="560"/>
      <c r="N17" s="442">
        <v>44682</v>
      </c>
      <c r="O17" s="624"/>
      <c r="P17" s="435">
        <v>11913.34</v>
      </c>
      <c r="Q17" s="436" t="s">
        <v>240</v>
      </c>
      <c r="R17" s="437"/>
      <c r="S17" s="435"/>
      <c r="T17" s="435"/>
      <c r="U17" s="606"/>
      <c r="V17" s="886"/>
      <c r="W17" s="627"/>
      <c r="X17" s="2">
        <v>1</v>
      </c>
    </row>
    <row r="18" spans="1:24" x14ac:dyDescent="0.25">
      <c r="A18" s="603"/>
      <c r="B18" s="560"/>
      <c r="C18" s="560"/>
      <c r="D18" s="560"/>
      <c r="E18" s="560"/>
      <c r="F18" s="624"/>
      <c r="G18" s="635"/>
      <c r="H18" s="606"/>
      <c r="I18" s="643"/>
      <c r="J18" s="659"/>
      <c r="K18" s="662"/>
      <c r="L18" s="560"/>
      <c r="M18" s="560"/>
      <c r="N18" s="442">
        <v>44713</v>
      </c>
      <c r="O18" s="624"/>
      <c r="P18" s="435">
        <v>12787.33</v>
      </c>
      <c r="Q18" s="436" t="s">
        <v>382</v>
      </c>
      <c r="R18" s="437"/>
      <c r="S18" s="435"/>
      <c r="T18" s="435"/>
      <c r="U18" s="606"/>
      <c r="V18" s="886"/>
      <c r="W18" s="627"/>
      <c r="X18" s="2">
        <v>1</v>
      </c>
    </row>
    <row r="19" spans="1:24" x14ac:dyDescent="0.25">
      <c r="A19" s="603"/>
      <c r="B19" s="560"/>
      <c r="C19" s="560"/>
      <c r="D19" s="560"/>
      <c r="E19" s="560"/>
      <c r="F19" s="624"/>
      <c r="G19" s="635"/>
      <c r="H19" s="606"/>
      <c r="I19" s="643"/>
      <c r="J19" s="659"/>
      <c r="K19" s="662"/>
      <c r="L19" s="560"/>
      <c r="M19" s="560"/>
      <c r="N19" s="442">
        <v>44712</v>
      </c>
      <c r="O19" s="624"/>
      <c r="P19" s="435">
        <v>16747.54</v>
      </c>
      <c r="Q19" s="436" t="s">
        <v>387</v>
      </c>
      <c r="R19" s="437"/>
      <c r="S19" s="435"/>
      <c r="T19" s="435"/>
      <c r="U19" s="606"/>
      <c r="V19" s="886"/>
      <c r="W19" s="627"/>
      <c r="X19" s="2">
        <v>1</v>
      </c>
    </row>
    <row r="20" spans="1:24" x14ac:dyDescent="0.25">
      <c r="A20" s="603"/>
      <c r="B20" s="560"/>
      <c r="C20" s="560"/>
      <c r="D20" s="560"/>
      <c r="E20" s="560"/>
      <c r="F20" s="624"/>
      <c r="G20" s="635"/>
      <c r="H20" s="606"/>
      <c r="I20" s="643"/>
      <c r="J20" s="659"/>
      <c r="K20" s="662"/>
      <c r="L20" s="560"/>
      <c r="M20" s="560"/>
      <c r="N20" s="442">
        <v>44713</v>
      </c>
      <c r="O20" s="624"/>
      <c r="P20" s="435">
        <v>16192.45</v>
      </c>
      <c r="Q20" s="436" t="s">
        <v>387</v>
      </c>
      <c r="R20" s="437"/>
      <c r="S20" s="435"/>
      <c r="T20" s="435"/>
      <c r="U20" s="606"/>
      <c r="V20" s="886"/>
      <c r="W20" s="627"/>
      <c r="X20" s="2">
        <v>1</v>
      </c>
    </row>
    <row r="21" spans="1:24" x14ac:dyDescent="0.25">
      <c r="A21" s="603"/>
      <c r="B21" s="560"/>
      <c r="C21" s="560"/>
      <c r="D21" s="560"/>
      <c r="E21" s="560"/>
      <c r="F21" s="624"/>
      <c r="G21" s="635"/>
      <c r="H21" s="606"/>
      <c r="I21" s="643"/>
      <c r="J21" s="659"/>
      <c r="K21" s="662"/>
      <c r="L21" s="560"/>
      <c r="M21" s="560"/>
      <c r="N21" s="442">
        <v>44743</v>
      </c>
      <c r="O21" s="624"/>
      <c r="P21" s="435">
        <v>12144.34</v>
      </c>
      <c r="Q21" s="436" t="s">
        <v>441</v>
      </c>
      <c r="R21" s="437"/>
      <c r="S21" s="435"/>
      <c r="T21" s="435"/>
      <c r="U21" s="606"/>
      <c r="V21" s="886"/>
      <c r="W21" s="627"/>
      <c r="X21" s="2">
        <v>1</v>
      </c>
    </row>
    <row r="22" spans="1:24" x14ac:dyDescent="0.25">
      <c r="A22" s="603"/>
      <c r="B22" s="560"/>
      <c r="C22" s="560"/>
      <c r="D22" s="560"/>
      <c r="E22" s="560"/>
      <c r="F22" s="624"/>
      <c r="G22" s="635"/>
      <c r="H22" s="606"/>
      <c r="I22" s="643"/>
      <c r="J22" s="659"/>
      <c r="K22" s="662"/>
      <c r="L22" s="560"/>
      <c r="M22" s="560"/>
      <c r="N22" s="442">
        <v>44742</v>
      </c>
      <c r="O22" s="624"/>
      <c r="P22" s="435">
        <v>910.25</v>
      </c>
      <c r="Q22" s="436" t="s">
        <v>447</v>
      </c>
      <c r="R22" s="437"/>
      <c r="S22" s="435"/>
      <c r="T22" s="435"/>
      <c r="U22" s="606"/>
      <c r="V22" s="886"/>
      <c r="W22" s="627"/>
      <c r="X22" s="2">
        <v>1</v>
      </c>
    </row>
    <row r="23" spans="1:24" x14ac:dyDescent="0.25">
      <c r="A23" s="603"/>
      <c r="B23" s="560"/>
      <c r="C23" s="560"/>
      <c r="D23" s="560"/>
      <c r="E23" s="560"/>
      <c r="F23" s="624"/>
      <c r="G23" s="635"/>
      <c r="H23" s="606"/>
      <c r="I23" s="643"/>
      <c r="J23" s="659"/>
      <c r="K23" s="662"/>
      <c r="L23" s="560"/>
      <c r="M23" s="560"/>
      <c r="N23" s="442">
        <v>44743</v>
      </c>
      <c r="O23" s="624"/>
      <c r="P23" s="435">
        <v>13305.29</v>
      </c>
      <c r="Q23" s="436" t="s">
        <v>447</v>
      </c>
      <c r="R23" s="437"/>
      <c r="S23" s="435"/>
      <c r="T23" s="435"/>
      <c r="U23" s="606"/>
      <c r="V23" s="886"/>
      <c r="W23" s="627"/>
      <c r="X23" s="2">
        <v>1</v>
      </c>
    </row>
    <row r="24" spans="1:24" x14ac:dyDescent="0.25">
      <c r="A24" s="603"/>
      <c r="B24" s="560"/>
      <c r="C24" s="560"/>
      <c r="D24" s="560"/>
      <c r="E24" s="560"/>
      <c r="F24" s="624"/>
      <c r="G24" s="635"/>
      <c r="H24" s="606"/>
      <c r="I24" s="643"/>
      <c r="J24" s="659"/>
      <c r="K24" s="662"/>
      <c r="L24" s="560"/>
      <c r="M24" s="560"/>
      <c r="N24" s="442">
        <v>44774</v>
      </c>
      <c r="O24" s="624"/>
      <c r="P24" s="435">
        <v>9978.9699999999993</v>
      </c>
      <c r="Q24" s="436" t="s">
        <v>481</v>
      </c>
      <c r="R24" s="437"/>
      <c r="S24" s="435"/>
      <c r="T24" s="435"/>
      <c r="U24" s="606"/>
      <c r="V24" s="886"/>
      <c r="W24" s="627"/>
      <c r="X24" s="2">
        <v>1</v>
      </c>
    </row>
    <row r="25" spans="1:24" x14ac:dyDescent="0.25">
      <c r="A25" s="603"/>
      <c r="B25" s="560"/>
      <c r="C25" s="560"/>
      <c r="D25" s="560"/>
      <c r="E25" s="560"/>
      <c r="F25" s="624"/>
      <c r="G25" s="635"/>
      <c r="H25" s="606"/>
      <c r="I25" s="643"/>
      <c r="J25" s="659"/>
      <c r="K25" s="662"/>
      <c r="L25" s="560"/>
      <c r="M25" s="560"/>
      <c r="N25" s="442">
        <v>44774</v>
      </c>
      <c r="O25" s="624"/>
      <c r="P25" s="435">
        <v>5421</v>
      </c>
      <c r="Q25" s="436" t="s">
        <v>489</v>
      </c>
      <c r="R25" s="437"/>
      <c r="S25" s="435"/>
      <c r="T25" s="435"/>
      <c r="U25" s="606"/>
      <c r="V25" s="886"/>
      <c r="W25" s="627"/>
      <c r="X25" s="2">
        <v>1</v>
      </c>
    </row>
    <row r="26" spans="1:24" x14ac:dyDescent="0.25">
      <c r="A26" s="603"/>
      <c r="B26" s="560"/>
      <c r="C26" s="560"/>
      <c r="D26" s="560"/>
      <c r="E26" s="560"/>
      <c r="F26" s="624"/>
      <c r="G26" s="635"/>
      <c r="H26" s="606"/>
      <c r="I26" s="643"/>
      <c r="J26" s="659"/>
      <c r="K26" s="662"/>
      <c r="L26" s="560"/>
      <c r="M26" s="560"/>
      <c r="N26" s="442">
        <v>44805</v>
      </c>
      <c r="O26" s="624"/>
      <c r="P26" s="435">
        <v>4065.74</v>
      </c>
      <c r="Q26" s="436" t="s">
        <v>493</v>
      </c>
      <c r="R26" s="437"/>
      <c r="S26" s="435"/>
      <c r="T26" s="435"/>
      <c r="U26" s="606"/>
      <c r="V26" s="886"/>
      <c r="W26" s="627"/>
      <c r="X26" s="2">
        <v>1</v>
      </c>
    </row>
    <row r="27" spans="1:24" x14ac:dyDescent="0.25">
      <c r="A27" s="603"/>
      <c r="B27" s="560"/>
      <c r="C27" s="560"/>
      <c r="D27" s="560"/>
      <c r="E27" s="560"/>
      <c r="F27" s="624"/>
      <c r="G27" s="635"/>
      <c r="H27" s="606"/>
      <c r="I27" s="643"/>
      <c r="J27" s="659"/>
      <c r="K27" s="662"/>
      <c r="L27" s="560"/>
      <c r="M27" s="560"/>
      <c r="N27" s="442">
        <v>44835</v>
      </c>
      <c r="O27" s="624"/>
      <c r="P27" s="435">
        <v>6152.29</v>
      </c>
      <c r="Q27" s="436" t="s">
        <v>575</v>
      </c>
      <c r="R27" s="437"/>
      <c r="S27" s="435"/>
      <c r="T27" s="435"/>
      <c r="U27" s="606"/>
      <c r="V27" s="886"/>
      <c r="W27" s="627"/>
      <c r="X27" s="2">
        <v>1</v>
      </c>
    </row>
    <row r="28" spans="1:24" x14ac:dyDescent="0.25">
      <c r="A28" s="603"/>
      <c r="B28" s="560"/>
      <c r="C28" s="560"/>
      <c r="D28" s="560"/>
      <c r="E28" s="560"/>
      <c r="F28" s="624"/>
      <c r="G28" s="635"/>
      <c r="H28" s="606"/>
      <c r="I28" s="643"/>
      <c r="J28" s="659"/>
      <c r="K28" s="662"/>
      <c r="L28" s="560"/>
      <c r="M28" s="560"/>
      <c r="N28" s="442">
        <v>44834</v>
      </c>
      <c r="O28" s="624"/>
      <c r="P28" s="435">
        <v>30594.12</v>
      </c>
      <c r="Q28" s="436" t="s">
        <v>579</v>
      </c>
      <c r="R28" s="437"/>
      <c r="S28" s="435"/>
      <c r="T28" s="435"/>
      <c r="U28" s="606"/>
      <c r="V28" s="886"/>
      <c r="W28" s="627"/>
      <c r="X28" s="2">
        <v>1</v>
      </c>
    </row>
    <row r="29" spans="1:24" x14ac:dyDescent="0.25">
      <c r="A29" s="603"/>
      <c r="B29" s="560"/>
      <c r="C29" s="560"/>
      <c r="D29" s="560"/>
      <c r="E29" s="560"/>
      <c r="F29" s="624"/>
      <c r="G29" s="635"/>
      <c r="H29" s="606"/>
      <c r="I29" s="643"/>
      <c r="J29" s="659"/>
      <c r="K29" s="662"/>
      <c r="L29" s="560"/>
      <c r="M29" s="560"/>
      <c r="N29" s="442">
        <v>44835</v>
      </c>
      <c r="O29" s="624"/>
      <c r="P29" s="435">
        <v>24631.200000000001</v>
      </c>
      <c r="Q29" s="436" t="s">
        <v>579</v>
      </c>
      <c r="R29" s="437"/>
      <c r="S29" s="435"/>
      <c r="T29" s="435"/>
      <c r="U29" s="606"/>
      <c r="V29" s="886"/>
      <c r="W29" s="627"/>
      <c r="X29" s="2">
        <v>1</v>
      </c>
    </row>
    <row r="30" spans="1:24" x14ac:dyDescent="0.25">
      <c r="A30" s="603"/>
      <c r="B30" s="560"/>
      <c r="C30" s="560"/>
      <c r="D30" s="560"/>
      <c r="E30" s="560"/>
      <c r="F30" s="624"/>
      <c r="G30" s="635"/>
      <c r="H30" s="606"/>
      <c r="I30" s="643"/>
      <c r="J30" s="659"/>
      <c r="K30" s="662"/>
      <c r="L30" s="560"/>
      <c r="M30" s="560"/>
      <c r="N30" s="442">
        <v>44866</v>
      </c>
      <c r="O30" s="624"/>
      <c r="P30" s="435">
        <v>18473.400000000001</v>
      </c>
      <c r="Q30" s="436" t="s">
        <v>629</v>
      </c>
      <c r="R30" s="437"/>
      <c r="S30" s="435"/>
      <c r="T30" s="435"/>
      <c r="U30" s="606"/>
      <c r="V30" s="886"/>
      <c r="W30" s="627"/>
      <c r="X30" s="2">
        <v>1</v>
      </c>
    </row>
    <row r="31" spans="1:24" x14ac:dyDescent="0.25">
      <c r="A31" s="603"/>
      <c r="B31" s="560"/>
      <c r="C31" s="560"/>
      <c r="D31" s="560"/>
      <c r="E31" s="560"/>
      <c r="F31" s="624"/>
      <c r="G31" s="635"/>
      <c r="H31" s="606"/>
      <c r="I31" s="643"/>
      <c r="J31" s="659"/>
      <c r="K31" s="662"/>
      <c r="L31" s="560"/>
      <c r="M31" s="560"/>
      <c r="N31" s="442">
        <v>44866</v>
      </c>
      <c r="O31" s="624"/>
      <c r="P31" s="435">
        <v>23488.78</v>
      </c>
      <c r="Q31" s="436" t="s">
        <v>637</v>
      </c>
      <c r="R31" s="437"/>
      <c r="S31" s="435"/>
      <c r="T31" s="435"/>
      <c r="U31" s="606"/>
      <c r="V31" s="886"/>
      <c r="W31" s="627"/>
      <c r="X31" s="2">
        <v>1</v>
      </c>
    </row>
    <row r="32" spans="1:24" x14ac:dyDescent="0.25">
      <c r="A32" s="603"/>
      <c r="B32" s="560"/>
      <c r="C32" s="560"/>
      <c r="D32" s="560"/>
      <c r="E32" s="560"/>
      <c r="F32" s="624"/>
      <c r="G32" s="635"/>
      <c r="H32" s="606"/>
      <c r="I32" s="643"/>
      <c r="J32" s="659"/>
      <c r="K32" s="662"/>
      <c r="L32" s="560"/>
      <c r="M32" s="560"/>
      <c r="N32" s="442">
        <v>44865</v>
      </c>
      <c r="O32" s="624"/>
      <c r="P32" s="435">
        <v>19921.240000000002</v>
      </c>
      <c r="Q32" s="436" t="s">
        <v>637</v>
      </c>
      <c r="R32" s="437"/>
      <c r="S32" s="435"/>
      <c r="T32" s="435"/>
      <c r="U32" s="606"/>
      <c r="V32" s="886"/>
      <c r="W32" s="627"/>
      <c r="X32" s="2">
        <v>1</v>
      </c>
    </row>
    <row r="33" spans="1:24" x14ac:dyDescent="0.25">
      <c r="A33" s="603"/>
      <c r="B33" s="560"/>
      <c r="C33" s="560"/>
      <c r="D33" s="560"/>
      <c r="E33" s="560"/>
      <c r="F33" s="624"/>
      <c r="G33" s="635"/>
      <c r="H33" s="606"/>
      <c r="I33" s="643"/>
      <c r="J33" s="659"/>
      <c r="K33" s="662"/>
      <c r="L33" s="560"/>
      <c r="M33" s="560"/>
      <c r="N33" s="442">
        <v>44896</v>
      </c>
      <c r="O33" s="624"/>
      <c r="P33" s="435">
        <v>17616.580000000002</v>
      </c>
      <c r="Q33" s="436" t="s">
        <v>682</v>
      </c>
      <c r="R33" s="437"/>
      <c r="S33" s="435"/>
      <c r="T33" s="435"/>
      <c r="U33" s="606"/>
      <c r="V33" s="886"/>
      <c r="W33" s="627"/>
      <c r="X33" s="2">
        <v>1</v>
      </c>
    </row>
    <row r="34" spans="1:24" x14ac:dyDescent="0.25">
      <c r="A34" s="603"/>
      <c r="B34" s="560"/>
      <c r="C34" s="560"/>
      <c r="D34" s="560"/>
      <c r="E34" s="560"/>
      <c r="F34" s="624"/>
      <c r="G34" s="635"/>
      <c r="H34" s="606"/>
      <c r="I34" s="643"/>
      <c r="J34" s="659"/>
      <c r="K34" s="662"/>
      <c r="L34" s="560"/>
      <c r="M34" s="560"/>
      <c r="N34" s="442">
        <v>44895</v>
      </c>
      <c r="O34" s="624"/>
      <c r="P34" s="435">
        <v>7868.36</v>
      </c>
      <c r="Q34" s="436" t="s">
        <v>683</v>
      </c>
      <c r="R34" s="437"/>
      <c r="S34" s="435"/>
      <c r="T34" s="435"/>
      <c r="U34" s="606"/>
      <c r="V34" s="886"/>
      <c r="W34" s="627"/>
      <c r="X34" s="2">
        <v>1</v>
      </c>
    </row>
    <row r="35" spans="1:24" x14ac:dyDescent="0.25">
      <c r="A35" s="604"/>
      <c r="B35" s="561"/>
      <c r="C35" s="561"/>
      <c r="D35" s="561"/>
      <c r="E35" s="561"/>
      <c r="F35" s="625"/>
      <c r="G35" s="632"/>
      <c r="H35" s="607"/>
      <c r="I35" s="634"/>
      <c r="J35" s="660"/>
      <c r="K35" s="663"/>
      <c r="L35" s="561"/>
      <c r="M35" s="561"/>
      <c r="N35" s="443">
        <v>44896</v>
      </c>
      <c r="O35" s="625"/>
      <c r="P35" s="438">
        <v>22694.82</v>
      </c>
      <c r="Q35" s="439" t="s">
        <v>683</v>
      </c>
      <c r="R35" s="440"/>
      <c r="S35" s="438"/>
      <c r="T35" s="438"/>
      <c r="U35" s="607"/>
      <c r="V35" s="887"/>
      <c r="W35" s="628"/>
      <c r="X35" s="2">
        <v>1</v>
      </c>
    </row>
    <row r="36" spans="1:24" s="85" customFormat="1" ht="72" customHeight="1" x14ac:dyDescent="0.25">
      <c r="A36" s="602">
        <v>2</v>
      </c>
      <c r="B36" s="559" t="s">
        <v>56</v>
      </c>
      <c r="C36" s="559"/>
      <c r="D36" s="559"/>
      <c r="E36" s="559" t="s">
        <v>151</v>
      </c>
      <c r="F36" s="623">
        <v>44561</v>
      </c>
      <c r="G36" s="631" t="s">
        <v>152</v>
      </c>
      <c r="H36" s="605">
        <v>41067</v>
      </c>
      <c r="I36" s="633">
        <f>IF(X36 = 2, H36 + SUM(S36:S47) - SUM(T36:T47) - SUM(P36:P47) - V36,0)</f>
        <v>-7.2759576141834259E-12</v>
      </c>
      <c r="J36" s="658">
        <v>2308131994</v>
      </c>
      <c r="K36" s="661" t="s">
        <v>153</v>
      </c>
      <c r="L36" s="559"/>
      <c r="M36" s="559" t="s">
        <v>150</v>
      </c>
      <c r="N36" s="441">
        <v>44592</v>
      </c>
      <c r="O36" s="623" t="s">
        <v>154</v>
      </c>
      <c r="P36" s="433">
        <v>3355.17</v>
      </c>
      <c r="Q36" s="432" t="s">
        <v>388</v>
      </c>
      <c r="R36" s="431" t="s">
        <v>662</v>
      </c>
      <c r="S36" s="433">
        <v>282.04000000000002</v>
      </c>
      <c r="T36" s="433"/>
      <c r="U36" s="605"/>
      <c r="V36" s="885"/>
      <c r="W36" s="626"/>
      <c r="X36" s="85">
        <v>2</v>
      </c>
    </row>
    <row r="37" spans="1:24" x14ac:dyDescent="0.25">
      <c r="A37" s="603"/>
      <c r="B37" s="560"/>
      <c r="C37" s="560"/>
      <c r="D37" s="560"/>
      <c r="E37" s="560"/>
      <c r="F37" s="624"/>
      <c r="G37" s="635"/>
      <c r="H37" s="606"/>
      <c r="I37" s="643"/>
      <c r="J37" s="659"/>
      <c r="K37" s="662"/>
      <c r="L37" s="560"/>
      <c r="M37" s="560"/>
      <c r="N37" s="442">
        <v>44620</v>
      </c>
      <c r="O37" s="624"/>
      <c r="P37" s="435">
        <v>3355.17</v>
      </c>
      <c r="Q37" s="436" t="s">
        <v>241</v>
      </c>
      <c r="R37" s="437"/>
      <c r="S37" s="435"/>
      <c r="T37" s="435"/>
      <c r="U37" s="606"/>
      <c r="V37" s="886"/>
      <c r="W37" s="627"/>
      <c r="X37" s="2">
        <v>2</v>
      </c>
    </row>
    <row r="38" spans="1:24" x14ac:dyDescent="0.25">
      <c r="A38" s="603"/>
      <c r="B38" s="560"/>
      <c r="C38" s="560"/>
      <c r="D38" s="560"/>
      <c r="E38" s="560"/>
      <c r="F38" s="624"/>
      <c r="G38" s="635"/>
      <c r="H38" s="606"/>
      <c r="I38" s="643"/>
      <c r="J38" s="659"/>
      <c r="K38" s="662"/>
      <c r="L38" s="560"/>
      <c r="M38" s="560"/>
      <c r="N38" s="442">
        <v>44651</v>
      </c>
      <c r="O38" s="624"/>
      <c r="P38" s="435">
        <v>3355.17</v>
      </c>
      <c r="Q38" s="436" t="s">
        <v>242</v>
      </c>
      <c r="R38" s="437"/>
      <c r="S38" s="435"/>
      <c r="T38" s="435"/>
      <c r="U38" s="606"/>
      <c r="V38" s="886"/>
      <c r="W38" s="627"/>
      <c r="X38" s="2">
        <v>2</v>
      </c>
    </row>
    <row r="39" spans="1:24" x14ac:dyDescent="0.25">
      <c r="A39" s="603"/>
      <c r="B39" s="560"/>
      <c r="C39" s="560"/>
      <c r="D39" s="560"/>
      <c r="E39" s="560"/>
      <c r="F39" s="624"/>
      <c r="G39" s="635"/>
      <c r="H39" s="606"/>
      <c r="I39" s="643"/>
      <c r="J39" s="659"/>
      <c r="K39" s="662"/>
      <c r="L39" s="560"/>
      <c r="M39" s="560"/>
      <c r="N39" s="442">
        <v>44681</v>
      </c>
      <c r="O39" s="624"/>
      <c r="P39" s="435">
        <v>3355.17</v>
      </c>
      <c r="Q39" s="436" t="s">
        <v>243</v>
      </c>
      <c r="R39" s="437"/>
      <c r="S39" s="435"/>
      <c r="T39" s="435"/>
      <c r="U39" s="606"/>
      <c r="V39" s="886"/>
      <c r="W39" s="627"/>
      <c r="X39" s="2">
        <v>2</v>
      </c>
    </row>
    <row r="40" spans="1:24" x14ac:dyDescent="0.25">
      <c r="A40" s="603"/>
      <c r="B40" s="560"/>
      <c r="C40" s="560"/>
      <c r="D40" s="560"/>
      <c r="E40" s="560"/>
      <c r="F40" s="624"/>
      <c r="G40" s="635"/>
      <c r="H40" s="606"/>
      <c r="I40" s="643"/>
      <c r="J40" s="659"/>
      <c r="K40" s="662"/>
      <c r="L40" s="560"/>
      <c r="M40" s="560"/>
      <c r="N40" s="442">
        <v>44712</v>
      </c>
      <c r="O40" s="624"/>
      <c r="P40" s="435">
        <v>3355.17</v>
      </c>
      <c r="Q40" s="436" t="s">
        <v>380</v>
      </c>
      <c r="R40" s="437"/>
      <c r="S40" s="435"/>
      <c r="T40" s="435"/>
      <c r="U40" s="606"/>
      <c r="V40" s="886"/>
      <c r="W40" s="627"/>
      <c r="X40" s="2">
        <v>2</v>
      </c>
    </row>
    <row r="41" spans="1:24" x14ac:dyDescent="0.25">
      <c r="A41" s="603"/>
      <c r="B41" s="560"/>
      <c r="C41" s="560"/>
      <c r="D41" s="560"/>
      <c r="E41" s="560"/>
      <c r="F41" s="624"/>
      <c r="G41" s="635"/>
      <c r="H41" s="606"/>
      <c r="I41" s="643"/>
      <c r="J41" s="659"/>
      <c r="K41" s="662"/>
      <c r="L41" s="560"/>
      <c r="M41" s="560"/>
      <c r="N41" s="442">
        <v>44742</v>
      </c>
      <c r="O41" s="624"/>
      <c r="P41" s="435">
        <v>3355.17</v>
      </c>
      <c r="Q41" s="436" t="s">
        <v>445</v>
      </c>
      <c r="R41" s="437"/>
      <c r="S41" s="435"/>
      <c r="T41" s="435"/>
      <c r="U41" s="606"/>
      <c r="V41" s="886"/>
      <c r="W41" s="627"/>
      <c r="X41" s="2">
        <v>2</v>
      </c>
    </row>
    <row r="42" spans="1:24" x14ac:dyDescent="0.25">
      <c r="A42" s="603"/>
      <c r="B42" s="560"/>
      <c r="C42" s="560"/>
      <c r="D42" s="560"/>
      <c r="E42" s="560"/>
      <c r="F42" s="624"/>
      <c r="G42" s="635"/>
      <c r="H42" s="606"/>
      <c r="I42" s="643"/>
      <c r="J42" s="659"/>
      <c r="K42" s="662"/>
      <c r="L42" s="560"/>
      <c r="M42" s="560"/>
      <c r="N42" s="442">
        <v>44773</v>
      </c>
      <c r="O42" s="624"/>
      <c r="P42" s="435">
        <v>3489.33</v>
      </c>
      <c r="Q42" s="436" t="s">
        <v>486</v>
      </c>
      <c r="R42" s="437"/>
      <c r="S42" s="435"/>
      <c r="T42" s="435"/>
      <c r="U42" s="606"/>
      <c r="V42" s="886"/>
      <c r="W42" s="627"/>
      <c r="X42" s="2">
        <v>2</v>
      </c>
    </row>
    <row r="43" spans="1:24" x14ac:dyDescent="0.25">
      <c r="A43" s="603"/>
      <c r="B43" s="560"/>
      <c r="C43" s="560"/>
      <c r="D43" s="560"/>
      <c r="E43" s="560"/>
      <c r="F43" s="624"/>
      <c r="G43" s="635"/>
      <c r="H43" s="606"/>
      <c r="I43" s="643"/>
      <c r="J43" s="659"/>
      <c r="K43" s="662"/>
      <c r="L43" s="560"/>
      <c r="M43" s="560"/>
      <c r="N43" s="442">
        <v>44804</v>
      </c>
      <c r="O43" s="624"/>
      <c r="P43" s="435">
        <v>3489.33</v>
      </c>
      <c r="Q43" s="436" t="s">
        <v>525</v>
      </c>
      <c r="R43" s="437"/>
      <c r="S43" s="435"/>
      <c r="T43" s="435"/>
      <c r="U43" s="606"/>
      <c r="V43" s="886"/>
      <c r="W43" s="627"/>
      <c r="X43" s="2">
        <v>2</v>
      </c>
    </row>
    <row r="44" spans="1:24" x14ac:dyDescent="0.25">
      <c r="A44" s="603"/>
      <c r="B44" s="560"/>
      <c r="C44" s="560"/>
      <c r="D44" s="560"/>
      <c r="E44" s="560"/>
      <c r="F44" s="624"/>
      <c r="G44" s="635"/>
      <c r="H44" s="606"/>
      <c r="I44" s="643"/>
      <c r="J44" s="659"/>
      <c r="K44" s="662"/>
      <c r="L44" s="560"/>
      <c r="M44" s="560"/>
      <c r="N44" s="442">
        <v>44834</v>
      </c>
      <c r="O44" s="624"/>
      <c r="P44" s="435">
        <v>3489.33</v>
      </c>
      <c r="Q44" s="436" t="s">
        <v>577</v>
      </c>
      <c r="R44" s="437"/>
      <c r="S44" s="435"/>
      <c r="T44" s="435"/>
      <c r="U44" s="606"/>
      <c r="V44" s="886"/>
      <c r="W44" s="627"/>
      <c r="X44" s="2">
        <v>2</v>
      </c>
    </row>
    <row r="45" spans="1:24" x14ac:dyDescent="0.25">
      <c r="A45" s="603"/>
      <c r="B45" s="560"/>
      <c r="C45" s="560"/>
      <c r="D45" s="560"/>
      <c r="E45" s="560"/>
      <c r="F45" s="624"/>
      <c r="G45" s="635"/>
      <c r="H45" s="606"/>
      <c r="I45" s="643"/>
      <c r="J45" s="659"/>
      <c r="K45" s="662"/>
      <c r="L45" s="560"/>
      <c r="M45" s="560"/>
      <c r="N45" s="442">
        <v>44865</v>
      </c>
      <c r="O45" s="624"/>
      <c r="P45" s="435">
        <v>3489.33</v>
      </c>
      <c r="Q45" s="436" t="s">
        <v>688</v>
      </c>
      <c r="R45" s="437"/>
      <c r="S45" s="435"/>
      <c r="T45" s="435"/>
      <c r="U45" s="606"/>
      <c r="V45" s="886"/>
      <c r="W45" s="627"/>
      <c r="X45" s="2">
        <v>2</v>
      </c>
    </row>
    <row r="46" spans="1:24" x14ac:dyDescent="0.25">
      <c r="A46" s="603"/>
      <c r="B46" s="560"/>
      <c r="C46" s="560"/>
      <c r="D46" s="560"/>
      <c r="E46" s="560"/>
      <c r="F46" s="624"/>
      <c r="G46" s="635"/>
      <c r="H46" s="606"/>
      <c r="I46" s="643"/>
      <c r="J46" s="659"/>
      <c r="K46" s="662"/>
      <c r="L46" s="560"/>
      <c r="M46" s="560"/>
      <c r="N46" s="442">
        <v>44895</v>
      </c>
      <c r="O46" s="624"/>
      <c r="P46" s="435">
        <v>3489.33</v>
      </c>
      <c r="Q46" s="436" t="s">
        <v>687</v>
      </c>
      <c r="R46" s="437"/>
      <c r="S46" s="435"/>
      <c r="T46" s="435"/>
      <c r="U46" s="606"/>
      <c r="V46" s="886"/>
      <c r="W46" s="627"/>
      <c r="X46" s="2">
        <v>2</v>
      </c>
    </row>
    <row r="47" spans="1:24" x14ac:dyDescent="0.25">
      <c r="A47" s="604"/>
      <c r="B47" s="561"/>
      <c r="C47" s="561"/>
      <c r="D47" s="561"/>
      <c r="E47" s="561"/>
      <c r="F47" s="625"/>
      <c r="G47" s="632"/>
      <c r="H47" s="607"/>
      <c r="I47" s="634"/>
      <c r="J47" s="660"/>
      <c r="K47" s="663"/>
      <c r="L47" s="561"/>
      <c r="M47" s="561"/>
      <c r="N47" s="443">
        <v>44914</v>
      </c>
      <c r="O47" s="625"/>
      <c r="P47" s="438">
        <v>3771.37</v>
      </c>
      <c r="Q47" s="439" t="s">
        <v>684</v>
      </c>
      <c r="R47" s="440"/>
      <c r="S47" s="438"/>
      <c r="T47" s="438"/>
      <c r="U47" s="607"/>
      <c r="V47" s="887"/>
      <c r="W47" s="628"/>
      <c r="X47" s="2">
        <v>2</v>
      </c>
    </row>
    <row r="48" spans="1:24" s="85" customFormat="1" ht="54" customHeight="1" x14ac:dyDescent="0.25">
      <c r="A48" s="775">
        <v>3</v>
      </c>
      <c r="B48" s="769" t="s">
        <v>56</v>
      </c>
      <c r="C48" s="769"/>
      <c r="D48" s="769"/>
      <c r="E48" s="769" t="s">
        <v>155</v>
      </c>
      <c r="F48" s="771">
        <v>44560</v>
      </c>
      <c r="G48" s="773" t="s">
        <v>156</v>
      </c>
      <c r="H48" s="818">
        <v>113280</v>
      </c>
      <c r="I48" s="763">
        <f>IF(X48 = 3, H48 + SUM(S48:S49) - SUM(T48:T49) - SUM(P48:P49) - V48,0)</f>
        <v>0</v>
      </c>
      <c r="J48" s="765">
        <v>2304067057</v>
      </c>
      <c r="K48" s="767" t="s">
        <v>157</v>
      </c>
      <c r="L48" s="769"/>
      <c r="M48" s="769" t="s">
        <v>158</v>
      </c>
      <c r="N48" s="149">
        <v>44592</v>
      </c>
      <c r="O48" s="771" t="s">
        <v>159</v>
      </c>
      <c r="P48" s="143">
        <v>59520</v>
      </c>
      <c r="Q48" s="144">
        <v>44601</v>
      </c>
      <c r="R48" s="145"/>
      <c r="S48" s="143"/>
      <c r="T48" s="143"/>
      <c r="U48" s="818"/>
      <c r="V48" s="837"/>
      <c r="W48" s="832"/>
      <c r="X48" s="85">
        <v>3</v>
      </c>
    </row>
    <row r="49" spans="1:24" x14ac:dyDescent="0.25">
      <c r="A49" s="776"/>
      <c r="B49" s="770"/>
      <c r="C49" s="770"/>
      <c r="D49" s="770"/>
      <c r="E49" s="770"/>
      <c r="F49" s="772"/>
      <c r="G49" s="774"/>
      <c r="H49" s="819"/>
      <c r="I49" s="764"/>
      <c r="J49" s="766"/>
      <c r="K49" s="768"/>
      <c r="L49" s="770"/>
      <c r="M49" s="770"/>
      <c r="N49" s="150">
        <v>44620</v>
      </c>
      <c r="O49" s="772"/>
      <c r="P49" s="146">
        <v>53760</v>
      </c>
      <c r="Q49" s="147">
        <v>44634</v>
      </c>
      <c r="R49" s="148"/>
      <c r="S49" s="146"/>
      <c r="T49" s="146"/>
      <c r="U49" s="819"/>
      <c r="V49" s="838"/>
      <c r="W49" s="833"/>
      <c r="X49" s="2">
        <v>3</v>
      </c>
    </row>
    <row r="50" spans="1:24" s="85" customFormat="1" ht="54" customHeight="1" x14ac:dyDescent="0.25">
      <c r="A50" s="754">
        <v>4</v>
      </c>
      <c r="B50" s="757" t="s">
        <v>56</v>
      </c>
      <c r="C50" s="757"/>
      <c r="D50" s="757"/>
      <c r="E50" s="757" t="s">
        <v>57</v>
      </c>
      <c r="F50" s="785">
        <v>44581</v>
      </c>
      <c r="G50" s="820" t="s">
        <v>160</v>
      </c>
      <c r="H50" s="788">
        <v>298200</v>
      </c>
      <c r="I50" s="823">
        <f>IF(X50 = 4, H50 + SUM(S50:S52) - SUM(T50:T52) - SUM(P50:P52) - V50,0)</f>
        <v>0</v>
      </c>
      <c r="J50" s="826">
        <v>235300578903</v>
      </c>
      <c r="K50" s="829" t="s">
        <v>161</v>
      </c>
      <c r="L50" s="757"/>
      <c r="M50" s="757" t="s">
        <v>162</v>
      </c>
      <c r="N50" s="169">
        <v>44592</v>
      </c>
      <c r="O50" s="785" t="s">
        <v>159</v>
      </c>
      <c r="P50" s="151">
        <v>93684.5</v>
      </c>
      <c r="Q50" s="152">
        <v>44602</v>
      </c>
      <c r="R50" s="153"/>
      <c r="S50" s="151"/>
      <c r="T50" s="151"/>
      <c r="U50" s="788" t="s">
        <v>544</v>
      </c>
      <c r="V50" s="834">
        <v>15655.5</v>
      </c>
      <c r="W50" s="815"/>
      <c r="X50" s="85">
        <v>4</v>
      </c>
    </row>
    <row r="51" spans="1:24" x14ac:dyDescent="0.25">
      <c r="A51" s="755"/>
      <c r="B51" s="758"/>
      <c r="C51" s="758"/>
      <c r="D51" s="758"/>
      <c r="E51" s="758"/>
      <c r="F51" s="786"/>
      <c r="G51" s="821"/>
      <c r="H51" s="789"/>
      <c r="I51" s="824"/>
      <c r="J51" s="827"/>
      <c r="K51" s="830"/>
      <c r="L51" s="758"/>
      <c r="M51" s="758"/>
      <c r="N51" s="170">
        <v>44620</v>
      </c>
      <c r="O51" s="786"/>
      <c r="P51" s="154">
        <v>106358</v>
      </c>
      <c r="Q51" s="155">
        <v>44624</v>
      </c>
      <c r="R51" s="156"/>
      <c r="S51" s="154"/>
      <c r="T51" s="154"/>
      <c r="U51" s="789"/>
      <c r="V51" s="835"/>
      <c r="W51" s="816"/>
      <c r="X51" s="2">
        <v>4</v>
      </c>
    </row>
    <row r="52" spans="1:24" x14ac:dyDescent="0.25">
      <c r="A52" s="756"/>
      <c r="B52" s="759"/>
      <c r="C52" s="759"/>
      <c r="D52" s="759"/>
      <c r="E52" s="759"/>
      <c r="F52" s="787"/>
      <c r="G52" s="822"/>
      <c r="H52" s="790"/>
      <c r="I52" s="825"/>
      <c r="J52" s="828"/>
      <c r="K52" s="831"/>
      <c r="L52" s="759"/>
      <c r="M52" s="759"/>
      <c r="N52" s="171">
        <v>44651</v>
      </c>
      <c r="O52" s="787"/>
      <c r="P52" s="164">
        <v>82502</v>
      </c>
      <c r="Q52" s="165" t="s">
        <v>238</v>
      </c>
      <c r="R52" s="166"/>
      <c r="S52" s="164"/>
      <c r="T52" s="164"/>
      <c r="U52" s="790"/>
      <c r="V52" s="836"/>
      <c r="W52" s="817"/>
      <c r="X52" s="2">
        <v>4</v>
      </c>
    </row>
    <row r="53" spans="1:24" s="85" customFormat="1" ht="75" x14ac:dyDescent="0.25">
      <c r="A53" s="86">
        <v>5</v>
      </c>
      <c r="B53" s="87" t="s">
        <v>56</v>
      </c>
      <c r="C53" s="87"/>
      <c r="D53" s="87"/>
      <c r="E53" s="87" t="s">
        <v>168</v>
      </c>
      <c r="F53" s="93">
        <v>44585</v>
      </c>
      <c r="G53" s="88" t="s">
        <v>169</v>
      </c>
      <c r="H53" s="94">
        <v>14290</v>
      </c>
      <c r="I53" s="95">
        <f>IF(X53 = 5, H53 + SUM(S53:S53) - SUM(T53:T53) - SUM(P53:P53) - V53,0)</f>
        <v>0</v>
      </c>
      <c r="J53" s="90">
        <v>2353002623</v>
      </c>
      <c r="K53" s="91" t="s">
        <v>170</v>
      </c>
      <c r="L53" s="87"/>
      <c r="M53" s="87" t="s">
        <v>171</v>
      </c>
      <c r="N53" s="93">
        <v>44585</v>
      </c>
      <c r="O53" s="93" t="s">
        <v>159</v>
      </c>
      <c r="P53" s="94">
        <v>14290</v>
      </c>
      <c r="Q53" s="88">
        <v>44593</v>
      </c>
      <c r="R53" s="87"/>
      <c r="S53" s="94"/>
      <c r="T53" s="94"/>
      <c r="U53" s="94"/>
      <c r="V53" s="89"/>
      <c r="W53" s="92"/>
      <c r="X53" s="85">
        <v>5</v>
      </c>
    </row>
    <row r="54" spans="1:24" s="85" customFormat="1" ht="54" customHeight="1" x14ac:dyDescent="0.25">
      <c r="A54" s="602">
        <v>6</v>
      </c>
      <c r="B54" s="559" t="s">
        <v>56</v>
      </c>
      <c r="C54" s="559"/>
      <c r="D54" s="559"/>
      <c r="E54" s="559" t="s">
        <v>176</v>
      </c>
      <c r="F54" s="623">
        <v>44560</v>
      </c>
      <c r="G54" s="631" t="s">
        <v>177</v>
      </c>
      <c r="H54" s="605">
        <v>16405</v>
      </c>
      <c r="I54" s="633">
        <f>IF(X54 = 6, H54 + SUM(S54:S65) - SUM(T54:T65) - SUM(P54:P65) - V54,0)</f>
        <v>3.637978807091713E-12</v>
      </c>
      <c r="J54" s="658">
        <v>2369002347</v>
      </c>
      <c r="K54" s="661" t="s">
        <v>178</v>
      </c>
      <c r="L54" s="559"/>
      <c r="M54" s="559" t="s">
        <v>150</v>
      </c>
      <c r="N54" s="441">
        <v>44592</v>
      </c>
      <c r="O54" s="623" t="s">
        <v>159</v>
      </c>
      <c r="P54" s="433">
        <v>1556.77</v>
      </c>
      <c r="Q54" s="432">
        <v>44608</v>
      </c>
      <c r="R54" s="431" t="s">
        <v>549</v>
      </c>
      <c r="S54" s="433">
        <v>943.25</v>
      </c>
      <c r="T54" s="433"/>
      <c r="U54" s="605"/>
      <c r="V54" s="885"/>
      <c r="W54" s="626"/>
      <c r="X54" s="85">
        <v>6</v>
      </c>
    </row>
    <row r="55" spans="1:24" ht="56.25" x14ac:dyDescent="0.25">
      <c r="A55" s="603"/>
      <c r="B55" s="560"/>
      <c r="C55" s="560"/>
      <c r="D55" s="560"/>
      <c r="E55" s="560"/>
      <c r="F55" s="624"/>
      <c r="G55" s="635"/>
      <c r="H55" s="606"/>
      <c r="I55" s="643"/>
      <c r="J55" s="659"/>
      <c r="K55" s="662"/>
      <c r="L55" s="560"/>
      <c r="M55" s="560"/>
      <c r="N55" s="442">
        <v>44620</v>
      </c>
      <c r="O55" s="624"/>
      <c r="P55" s="435">
        <v>4176.7</v>
      </c>
      <c r="Q55" s="436">
        <v>44645</v>
      </c>
      <c r="R55" s="434" t="s">
        <v>593</v>
      </c>
      <c r="S55" s="435">
        <v>5785.33</v>
      </c>
      <c r="T55" s="435"/>
      <c r="U55" s="606"/>
      <c r="V55" s="886"/>
      <c r="W55" s="627"/>
      <c r="X55" s="2">
        <v>6</v>
      </c>
    </row>
    <row r="56" spans="1:24" x14ac:dyDescent="0.25">
      <c r="A56" s="603"/>
      <c r="B56" s="560"/>
      <c r="C56" s="560"/>
      <c r="D56" s="560"/>
      <c r="E56" s="560"/>
      <c r="F56" s="624"/>
      <c r="G56" s="635"/>
      <c r="H56" s="606"/>
      <c r="I56" s="643"/>
      <c r="J56" s="659"/>
      <c r="K56" s="662"/>
      <c r="L56" s="560"/>
      <c r="M56" s="560"/>
      <c r="N56" s="442">
        <v>44651</v>
      </c>
      <c r="O56" s="624"/>
      <c r="P56" s="435">
        <v>2392.11</v>
      </c>
      <c r="Q56" s="436" t="s">
        <v>244</v>
      </c>
      <c r="R56" s="437"/>
      <c r="S56" s="435"/>
      <c r="T56" s="435"/>
      <c r="U56" s="606"/>
      <c r="V56" s="886"/>
      <c r="W56" s="627"/>
      <c r="X56" s="2">
        <v>6</v>
      </c>
    </row>
    <row r="57" spans="1:24" x14ac:dyDescent="0.25">
      <c r="A57" s="603"/>
      <c r="B57" s="560"/>
      <c r="C57" s="560"/>
      <c r="D57" s="560"/>
      <c r="E57" s="560"/>
      <c r="F57" s="624"/>
      <c r="G57" s="635"/>
      <c r="H57" s="606"/>
      <c r="I57" s="643"/>
      <c r="J57" s="659"/>
      <c r="K57" s="662"/>
      <c r="L57" s="560"/>
      <c r="M57" s="560"/>
      <c r="N57" s="442">
        <v>44681</v>
      </c>
      <c r="O57" s="624"/>
      <c r="P57" s="435">
        <v>1936.47</v>
      </c>
      <c r="Q57" s="436" t="s">
        <v>245</v>
      </c>
      <c r="R57" s="437"/>
      <c r="S57" s="435"/>
      <c r="T57" s="435"/>
      <c r="U57" s="606"/>
      <c r="V57" s="886"/>
      <c r="W57" s="627"/>
      <c r="X57" s="2">
        <v>6</v>
      </c>
    </row>
    <row r="58" spans="1:24" x14ac:dyDescent="0.25">
      <c r="A58" s="603"/>
      <c r="B58" s="560"/>
      <c r="C58" s="560"/>
      <c r="D58" s="560"/>
      <c r="E58" s="560"/>
      <c r="F58" s="624"/>
      <c r="G58" s="635"/>
      <c r="H58" s="606"/>
      <c r="I58" s="643"/>
      <c r="J58" s="659"/>
      <c r="K58" s="662"/>
      <c r="L58" s="560"/>
      <c r="M58" s="560"/>
      <c r="N58" s="442">
        <v>44736</v>
      </c>
      <c r="O58" s="624"/>
      <c r="P58" s="435">
        <v>3341.36</v>
      </c>
      <c r="Q58" s="436" t="s">
        <v>411</v>
      </c>
      <c r="R58" s="437"/>
      <c r="S58" s="435"/>
      <c r="T58" s="435"/>
      <c r="U58" s="606"/>
      <c r="V58" s="886"/>
      <c r="W58" s="627"/>
      <c r="X58" s="2">
        <v>6</v>
      </c>
    </row>
    <row r="59" spans="1:24" x14ac:dyDescent="0.25">
      <c r="A59" s="603"/>
      <c r="B59" s="560"/>
      <c r="C59" s="560"/>
      <c r="D59" s="560"/>
      <c r="E59" s="560"/>
      <c r="F59" s="624"/>
      <c r="G59" s="635"/>
      <c r="H59" s="606"/>
      <c r="I59" s="643"/>
      <c r="J59" s="659"/>
      <c r="K59" s="662"/>
      <c r="L59" s="560"/>
      <c r="M59" s="560"/>
      <c r="N59" s="442">
        <v>44742</v>
      </c>
      <c r="O59" s="624"/>
      <c r="P59" s="435">
        <v>151.88</v>
      </c>
      <c r="Q59" s="436" t="s">
        <v>448</v>
      </c>
      <c r="R59" s="437"/>
      <c r="S59" s="435"/>
      <c r="T59" s="435"/>
      <c r="U59" s="606"/>
      <c r="V59" s="886"/>
      <c r="W59" s="627"/>
      <c r="X59" s="2">
        <v>6</v>
      </c>
    </row>
    <row r="60" spans="1:24" x14ac:dyDescent="0.25">
      <c r="A60" s="603"/>
      <c r="B60" s="560"/>
      <c r="C60" s="560"/>
      <c r="D60" s="560"/>
      <c r="E60" s="560"/>
      <c r="F60" s="624"/>
      <c r="G60" s="635"/>
      <c r="H60" s="606"/>
      <c r="I60" s="643"/>
      <c r="J60" s="659"/>
      <c r="K60" s="662"/>
      <c r="L60" s="560"/>
      <c r="M60" s="560"/>
      <c r="N60" s="442">
        <v>44773</v>
      </c>
      <c r="O60" s="624"/>
      <c r="P60" s="435">
        <v>276.57</v>
      </c>
      <c r="Q60" s="436" t="s">
        <v>484</v>
      </c>
      <c r="R60" s="437"/>
      <c r="S60" s="435"/>
      <c r="T60" s="435"/>
      <c r="U60" s="606"/>
      <c r="V60" s="886"/>
      <c r="W60" s="627"/>
      <c r="X60" s="2">
        <v>6</v>
      </c>
    </row>
    <row r="61" spans="1:24" x14ac:dyDescent="0.25">
      <c r="A61" s="603"/>
      <c r="B61" s="560"/>
      <c r="C61" s="560"/>
      <c r="D61" s="560"/>
      <c r="E61" s="560"/>
      <c r="F61" s="624"/>
      <c r="G61" s="635"/>
      <c r="H61" s="606"/>
      <c r="I61" s="643"/>
      <c r="J61" s="659"/>
      <c r="K61" s="662"/>
      <c r="L61" s="560"/>
      <c r="M61" s="560"/>
      <c r="N61" s="442">
        <v>44811</v>
      </c>
      <c r="O61" s="624"/>
      <c r="P61" s="435">
        <v>1185.3</v>
      </c>
      <c r="Q61" s="436" t="s">
        <v>527</v>
      </c>
      <c r="R61" s="437"/>
      <c r="S61" s="435"/>
      <c r="T61" s="435"/>
      <c r="U61" s="606"/>
      <c r="V61" s="886"/>
      <c r="W61" s="627"/>
      <c r="X61" s="2">
        <v>6</v>
      </c>
    </row>
    <row r="62" spans="1:24" x14ac:dyDescent="0.25">
      <c r="A62" s="603"/>
      <c r="B62" s="560"/>
      <c r="C62" s="560"/>
      <c r="D62" s="560"/>
      <c r="E62" s="560"/>
      <c r="F62" s="624"/>
      <c r="G62" s="635"/>
      <c r="H62" s="606"/>
      <c r="I62" s="643"/>
      <c r="J62" s="659"/>
      <c r="K62" s="662"/>
      <c r="L62" s="560"/>
      <c r="M62" s="560"/>
      <c r="N62" s="442">
        <v>44834</v>
      </c>
      <c r="O62" s="624"/>
      <c r="P62" s="435">
        <v>2331.09</v>
      </c>
      <c r="Q62" s="436" t="s">
        <v>579</v>
      </c>
      <c r="R62" s="437"/>
      <c r="S62" s="435"/>
      <c r="T62" s="435"/>
      <c r="U62" s="606"/>
      <c r="V62" s="886"/>
      <c r="W62" s="627"/>
      <c r="X62" s="2">
        <v>6</v>
      </c>
    </row>
    <row r="63" spans="1:24" x14ac:dyDescent="0.25">
      <c r="A63" s="603"/>
      <c r="B63" s="560"/>
      <c r="C63" s="560"/>
      <c r="D63" s="560"/>
      <c r="E63" s="560"/>
      <c r="F63" s="624"/>
      <c r="G63" s="635"/>
      <c r="H63" s="606"/>
      <c r="I63" s="643"/>
      <c r="J63" s="659"/>
      <c r="K63" s="662"/>
      <c r="L63" s="560"/>
      <c r="M63" s="560"/>
      <c r="N63" s="442">
        <v>44865</v>
      </c>
      <c r="O63" s="624"/>
      <c r="P63" s="435">
        <v>1619.91</v>
      </c>
      <c r="Q63" s="436" t="s">
        <v>624</v>
      </c>
      <c r="R63" s="437"/>
      <c r="S63" s="435"/>
      <c r="T63" s="435"/>
      <c r="U63" s="606"/>
      <c r="V63" s="886"/>
      <c r="W63" s="627"/>
      <c r="X63" s="2">
        <v>6</v>
      </c>
    </row>
    <row r="64" spans="1:24" x14ac:dyDescent="0.25">
      <c r="A64" s="603"/>
      <c r="B64" s="560"/>
      <c r="C64" s="560"/>
      <c r="D64" s="560"/>
      <c r="E64" s="560"/>
      <c r="F64" s="624"/>
      <c r="G64" s="635"/>
      <c r="H64" s="606"/>
      <c r="I64" s="643"/>
      <c r="J64" s="659"/>
      <c r="K64" s="662"/>
      <c r="L64" s="560"/>
      <c r="M64" s="560"/>
      <c r="N64" s="442">
        <v>44895</v>
      </c>
      <c r="O64" s="624"/>
      <c r="P64" s="435">
        <v>2370.6</v>
      </c>
      <c r="Q64" s="436" t="s">
        <v>687</v>
      </c>
      <c r="R64" s="437"/>
      <c r="S64" s="435"/>
      <c r="T64" s="435"/>
      <c r="U64" s="606"/>
      <c r="V64" s="886"/>
      <c r="W64" s="627"/>
      <c r="X64" s="2">
        <v>6</v>
      </c>
    </row>
    <row r="65" spans="1:24" x14ac:dyDescent="0.25">
      <c r="A65" s="604"/>
      <c r="B65" s="561"/>
      <c r="C65" s="561"/>
      <c r="D65" s="561"/>
      <c r="E65" s="561"/>
      <c r="F65" s="625"/>
      <c r="G65" s="632"/>
      <c r="H65" s="607"/>
      <c r="I65" s="634"/>
      <c r="J65" s="660"/>
      <c r="K65" s="663"/>
      <c r="L65" s="561"/>
      <c r="M65" s="561"/>
      <c r="N65" s="443">
        <v>44915</v>
      </c>
      <c r="O65" s="625"/>
      <c r="P65" s="438">
        <v>1794.82</v>
      </c>
      <c r="Q65" s="439" t="s">
        <v>689</v>
      </c>
      <c r="R65" s="440"/>
      <c r="S65" s="438"/>
      <c r="T65" s="438"/>
      <c r="U65" s="607"/>
      <c r="V65" s="887"/>
      <c r="W65" s="628"/>
      <c r="X65" s="2">
        <v>6</v>
      </c>
    </row>
    <row r="66" spans="1:24" s="85" customFormat="1" ht="72" customHeight="1" x14ac:dyDescent="0.25">
      <c r="A66" s="602">
        <v>7</v>
      </c>
      <c r="B66" s="559" t="s">
        <v>56</v>
      </c>
      <c r="C66" s="559"/>
      <c r="D66" s="559"/>
      <c r="E66" s="559" t="s">
        <v>179</v>
      </c>
      <c r="F66" s="623">
        <v>44560</v>
      </c>
      <c r="G66" s="631" t="s">
        <v>180</v>
      </c>
      <c r="H66" s="605">
        <v>27288.84</v>
      </c>
      <c r="I66" s="633">
        <f>IF(X66 = 7, H66 + SUM(S66:S77) - SUM(T66:T77) - SUM(P66:P77) - V66,0)</f>
        <v>0</v>
      </c>
      <c r="J66" s="658">
        <v>2310163739</v>
      </c>
      <c r="K66" s="661" t="s">
        <v>181</v>
      </c>
      <c r="L66" s="559"/>
      <c r="M66" s="559" t="s">
        <v>150</v>
      </c>
      <c r="N66" s="441">
        <v>44592</v>
      </c>
      <c r="O66" s="623" t="s">
        <v>159</v>
      </c>
      <c r="P66" s="433">
        <v>2274.0700000000002</v>
      </c>
      <c r="Q66" s="432">
        <v>44608</v>
      </c>
      <c r="R66" s="431"/>
      <c r="S66" s="433"/>
      <c r="T66" s="433"/>
      <c r="U66" s="605"/>
      <c r="V66" s="885"/>
      <c r="W66" s="626"/>
      <c r="X66" s="85">
        <v>7</v>
      </c>
    </row>
    <row r="67" spans="1:24" x14ac:dyDescent="0.25">
      <c r="A67" s="603"/>
      <c r="B67" s="560"/>
      <c r="C67" s="560"/>
      <c r="D67" s="560"/>
      <c r="E67" s="560"/>
      <c r="F67" s="624"/>
      <c r="G67" s="635"/>
      <c r="H67" s="606"/>
      <c r="I67" s="643"/>
      <c r="J67" s="659"/>
      <c r="K67" s="662"/>
      <c r="L67" s="560"/>
      <c r="M67" s="560"/>
      <c r="N67" s="442">
        <v>44620</v>
      </c>
      <c r="O67" s="624"/>
      <c r="P67" s="435">
        <v>2274.0700000000002</v>
      </c>
      <c r="Q67" s="436" t="s">
        <v>241</v>
      </c>
      <c r="R67" s="437"/>
      <c r="S67" s="435"/>
      <c r="T67" s="435"/>
      <c r="U67" s="606"/>
      <c r="V67" s="886"/>
      <c r="W67" s="627"/>
      <c r="X67" s="2">
        <v>7</v>
      </c>
    </row>
    <row r="68" spans="1:24" x14ac:dyDescent="0.25">
      <c r="A68" s="603"/>
      <c r="B68" s="560"/>
      <c r="C68" s="560"/>
      <c r="D68" s="560"/>
      <c r="E68" s="560"/>
      <c r="F68" s="624"/>
      <c r="G68" s="635"/>
      <c r="H68" s="606"/>
      <c r="I68" s="643"/>
      <c r="J68" s="659"/>
      <c r="K68" s="662"/>
      <c r="L68" s="560"/>
      <c r="M68" s="560"/>
      <c r="N68" s="442">
        <v>44651</v>
      </c>
      <c r="O68" s="624"/>
      <c r="P68" s="435">
        <v>2274.0700000000002</v>
      </c>
      <c r="Q68" s="436" t="s">
        <v>246</v>
      </c>
      <c r="R68" s="437"/>
      <c r="S68" s="435"/>
      <c r="T68" s="435"/>
      <c r="U68" s="606"/>
      <c r="V68" s="886"/>
      <c r="W68" s="627"/>
      <c r="X68" s="2">
        <v>7</v>
      </c>
    </row>
    <row r="69" spans="1:24" x14ac:dyDescent="0.25">
      <c r="A69" s="603"/>
      <c r="B69" s="560"/>
      <c r="C69" s="560"/>
      <c r="D69" s="560"/>
      <c r="E69" s="560"/>
      <c r="F69" s="624"/>
      <c r="G69" s="635"/>
      <c r="H69" s="606"/>
      <c r="I69" s="643"/>
      <c r="J69" s="659"/>
      <c r="K69" s="662"/>
      <c r="L69" s="560"/>
      <c r="M69" s="560"/>
      <c r="N69" s="442">
        <v>44680</v>
      </c>
      <c r="O69" s="624"/>
      <c r="P69" s="435">
        <v>2274.0700000000002</v>
      </c>
      <c r="Q69" s="436" t="s">
        <v>380</v>
      </c>
      <c r="R69" s="437"/>
      <c r="S69" s="435"/>
      <c r="T69" s="435"/>
      <c r="U69" s="606"/>
      <c r="V69" s="886"/>
      <c r="W69" s="627"/>
      <c r="X69" s="2">
        <v>7</v>
      </c>
    </row>
    <row r="70" spans="1:24" x14ac:dyDescent="0.25">
      <c r="A70" s="603"/>
      <c r="B70" s="560"/>
      <c r="C70" s="560"/>
      <c r="D70" s="560"/>
      <c r="E70" s="560"/>
      <c r="F70" s="624"/>
      <c r="G70" s="635"/>
      <c r="H70" s="606"/>
      <c r="I70" s="643"/>
      <c r="J70" s="659"/>
      <c r="K70" s="662"/>
      <c r="L70" s="560"/>
      <c r="M70" s="560"/>
      <c r="N70" s="442">
        <v>44712</v>
      </c>
      <c r="O70" s="624"/>
      <c r="P70" s="435">
        <v>2274.0700000000002</v>
      </c>
      <c r="Q70" s="436" t="s">
        <v>380</v>
      </c>
      <c r="R70" s="437"/>
      <c r="S70" s="435"/>
      <c r="T70" s="435"/>
      <c r="U70" s="606"/>
      <c r="V70" s="886"/>
      <c r="W70" s="627"/>
      <c r="X70" s="2">
        <v>7</v>
      </c>
    </row>
    <row r="71" spans="1:24" x14ac:dyDescent="0.25">
      <c r="A71" s="603"/>
      <c r="B71" s="560"/>
      <c r="C71" s="560"/>
      <c r="D71" s="560"/>
      <c r="E71" s="560"/>
      <c r="F71" s="624"/>
      <c r="G71" s="635"/>
      <c r="H71" s="606"/>
      <c r="I71" s="643"/>
      <c r="J71" s="659"/>
      <c r="K71" s="662"/>
      <c r="L71" s="560"/>
      <c r="M71" s="560"/>
      <c r="N71" s="442">
        <v>44742</v>
      </c>
      <c r="O71" s="624"/>
      <c r="P71" s="435">
        <v>2274.0700000000002</v>
      </c>
      <c r="Q71" s="436" t="s">
        <v>441</v>
      </c>
      <c r="R71" s="437"/>
      <c r="S71" s="435"/>
      <c r="T71" s="435"/>
      <c r="U71" s="606"/>
      <c r="V71" s="886"/>
      <c r="W71" s="627"/>
      <c r="X71" s="2">
        <v>7</v>
      </c>
    </row>
    <row r="72" spans="1:24" x14ac:dyDescent="0.25">
      <c r="A72" s="603"/>
      <c r="B72" s="560"/>
      <c r="C72" s="560"/>
      <c r="D72" s="560"/>
      <c r="E72" s="560"/>
      <c r="F72" s="624"/>
      <c r="G72" s="635"/>
      <c r="H72" s="606"/>
      <c r="I72" s="643"/>
      <c r="J72" s="659"/>
      <c r="K72" s="662"/>
      <c r="L72" s="560"/>
      <c r="M72" s="560"/>
      <c r="N72" s="442">
        <v>44771</v>
      </c>
      <c r="O72" s="624"/>
      <c r="P72" s="435">
        <v>2274.0700000000002</v>
      </c>
      <c r="Q72" s="436" t="s">
        <v>450</v>
      </c>
      <c r="R72" s="437"/>
      <c r="S72" s="435"/>
      <c r="T72" s="435"/>
      <c r="U72" s="606"/>
      <c r="V72" s="886"/>
      <c r="W72" s="627"/>
      <c r="X72" s="2">
        <v>7</v>
      </c>
    </row>
    <row r="73" spans="1:24" x14ac:dyDescent="0.25">
      <c r="A73" s="603"/>
      <c r="B73" s="560"/>
      <c r="C73" s="560"/>
      <c r="D73" s="560"/>
      <c r="E73" s="560"/>
      <c r="F73" s="624"/>
      <c r="G73" s="635"/>
      <c r="H73" s="606"/>
      <c r="I73" s="643"/>
      <c r="J73" s="659"/>
      <c r="K73" s="662"/>
      <c r="L73" s="560"/>
      <c r="M73" s="560"/>
      <c r="N73" s="442">
        <v>44804</v>
      </c>
      <c r="O73" s="624"/>
      <c r="P73" s="435">
        <v>2274.0700000000002</v>
      </c>
      <c r="Q73" s="436" t="s">
        <v>492</v>
      </c>
      <c r="R73" s="437"/>
      <c r="S73" s="435"/>
      <c r="T73" s="435"/>
      <c r="U73" s="606"/>
      <c r="V73" s="886"/>
      <c r="W73" s="627"/>
      <c r="X73" s="2">
        <v>7</v>
      </c>
    </row>
    <row r="74" spans="1:24" x14ac:dyDescent="0.25">
      <c r="A74" s="603"/>
      <c r="B74" s="560"/>
      <c r="C74" s="560"/>
      <c r="D74" s="560"/>
      <c r="E74" s="560"/>
      <c r="F74" s="624"/>
      <c r="G74" s="635"/>
      <c r="H74" s="606"/>
      <c r="I74" s="643"/>
      <c r="J74" s="659"/>
      <c r="K74" s="662"/>
      <c r="L74" s="560"/>
      <c r="M74" s="560"/>
      <c r="N74" s="442">
        <v>44841</v>
      </c>
      <c r="O74" s="624"/>
      <c r="P74" s="435">
        <v>2274.0700000000002</v>
      </c>
      <c r="Q74" s="436" t="s">
        <v>579</v>
      </c>
      <c r="R74" s="437"/>
      <c r="S74" s="435"/>
      <c r="T74" s="435"/>
      <c r="U74" s="606"/>
      <c r="V74" s="886"/>
      <c r="W74" s="627"/>
      <c r="X74" s="2">
        <v>7</v>
      </c>
    </row>
    <row r="75" spans="1:24" x14ac:dyDescent="0.25">
      <c r="A75" s="603"/>
      <c r="B75" s="560"/>
      <c r="C75" s="560"/>
      <c r="D75" s="560"/>
      <c r="E75" s="560"/>
      <c r="F75" s="624"/>
      <c r="G75" s="635"/>
      <c r="H75" s="606"/>
      <c r="I75" s="643"/>
      <c r="J75" s="659"/>
      <c r="K75" s="662"/>
      <c r="L75" s="560"/>
      <c r="M75" s="560"/>
      <c r="N75" s="442">
        <v>44865</v>
      </c>
      <c r="O75" s="624"/>
      <c r="P75" s="435">
        <v>2274.0700000000002</v>
      </c>
      <c r="Q75" s="436" t="s">
        <v>630</v>
      </c>
      <c r="R75" s="437"/>
      <c r="S75" s="435"/>
      <c r="T75" s="435"/>
      <c r="U75" s="606"/>
      <c r="V75" s="886"/>
      <c r="W75" s="627"/>
      <c r="X75" s="2">
        <v>7</v>
      </c>
    </row>
    <row r="76" spans="1:24" x14ac:dyDescent="0.25">
      <c r="A76" s="603"/>
      <c r="B76" s="560"/>
      <c r="C76" s="560"/>
      <c r="D76" s="560"/>
      <c r="E76" s="560"/>
      <c r="F76" s="624"/>
      <c r="G76" s="635"/>
      <c r="H76" s="606"/>
      <c r="I76" s="643"/>
      <c r="J76" s="659"/>
      <c r="K76" s="662"/>
      <c r="L76" s="560"/>
      <c r="M76" s="560"/>
      <c r="N76" s="442">
        <v>44895</v>
      </c>
      <c r="O76" s="624"/>
      <c r="P76" s="435">
        <v>2274.0700000000002</v>
      </c>
      <c r="Q76" s="436" t="s">
        <v>682</v>
      </c>
      <c r="R76" s="437"/>
      <c r="S76" s="435"/>
      <c r="T76" s="435"/>
      <c r="U76" s="606"/>
      <c r="V76" s="886"/>
      <c r="W76" s="627"/>
      <c r="X76" s="2">
        <v>7</v>
      </c>
    </row>
    <row r="77" spans="1:24" x14ac:dyDescent="0.25">
      <c r="A77" s="604"/>
      <c r="B77" s="561"/>
      <c r="C77" s="561"/>
      <c r="D77" s="561"/>
      <c r="E77" s="561"/>
      <c r="F77" s="625"/>
      <c r="G77" s="632"/>
      <c r="H77" s="607"/>
      <c r="I77" s="634"/>
      <c r="J77" s="660"/>
      <c r="K77" s="663"/>
      <c r="L77" s="561"/>
      <c r="M77" s="561"/>
      <c r="N77" s="443">
        <v>44904</v>
      </c>
      <c r="O77" s="625"/>
      <c r="P77" s="438">
        <v>2274.0700000000002</v>
      </c>
      <c r="Q77" s="439" t="s">
        <v>677</v>
      </c>
      <c r="R77" s="440"/>
      <c r="S77" s="438"/>
      <c r="T77" s="438"/>
      <c r="U77" s="607"/>
      <c r="V77" s="887"/>
      <c r="W77" s="628"/>
      <c r="X77" s="2">
        <v>7</v>
      </c>
    </row>
    <row r="78" spans="1:24" s="85" customFormat="1" ht="54" customHeight="1" x14ac:dyDescent="0.25">
      <c r="A78" s="602">
        <v>8</v>
      </c>
      <c r="B78" s="559" t="s">
        <v>56</v>
      </c>
      <c r="C78" s="559"/>
      <c r="D78" s="559"/>
      <c r="E78" s="559" t="s">
        <v>182</v>
      </c>
      <c r="F78" s="623">
        <v>44561</v>
      </c>
      <c r="G78" s="631" t="s">
        <v>183</v>
      </c>
      <c r="H78" s="605">
        <v>36000</v>
      </c>
      <c r="I78" s="633">
        <f>IF(X78 = 8, H78 + SUM(S78:S89) - SUM(T78:T89) - SUM(P78:P89) - V78,0)</f>
        <v>0</v>
      </c>
      <c r="J78" s="658">
        <v>2353002302</v>
      </c>
      <c r="K78" s="661" t="s">
        <v>184</v>
      </c>
      <c r="L78" s="559"/>
      <c r="M78" s="559" t="s">
        <v>150</v>
      </c>
      <c r="N78" s="441">
        <v>44620</v>
      </c>
      <c r="O78" s="623" t="s">
        <v>159</v>
      </c>
      <c r="P78" s="433">
        <v>3000</v>
      </c>
      <c r="Q78" s="432">
        <v>44608</v>
      </c>
      <c r="R78" s="431"/>
      <c r="S78" s="433"/>
      <c r="T78" s="433"/>
      <c r="U78" s="605"/>
      <c r="V78" s="885"/>
      <c r="W78" s="626"/>
      <c r="X78" s="85">
        <v>8</v>
      </c>
    </row>
    <row r="79" spans="1:24" x14ac:dyDescent="0.25">
      <c r="A79" s="603"/>
      <c r="B79" s="560"/>
      <c r="C79" s="560"/>
      <c r="D79" s="560"/>
      <c r="E79" s="560"/>
      <c r="F79" s="624"/>
      <c r="G79" s="635"/>
      <c r="H79" s="606"/>
      <c r="I79" s="643"/>
      <c r="J79" s="659"/>
      <c r="K79" s="662"/>
      <c r="L79" s="560"/>
      <c r="M79" s="560"/>
      <c r="N79" s="442">
        <v>44592</v>
      </c>
      <c r="O79" s="624"/>
      <c r="P79" s="435">
        <v>3000</v>
      </c>
      <c r="Q79" s="436">
        <v>44622</v>
      </c>
      <c r="R79" s="437"/>
      <c r="S79" s="435"/>
      <c r="T79" s="435"/>
      <c r="U79" s="606"/>
      <c r="V79" s="886"/>
      <c r="W79" s="627"/>
      <c r="X79" s="2">
        <v>8</v>
      </c>
    </row>
    <row r="80" spans="1:24" x14ac:dyDescent="0.25">
      <c r="A80" s="603"/>
      <c r="B80" s="560"/>
      <c r="C80" s="560"/>
      <c r="D80" s="560"/>
      <c r="E80" s="560"/>
      <c r="F80" s="624"/>
      <c r="G80" s="635"/>
      <c r="H80" s="606"/>
      <c r="I80" s="643"/>
      <c r="J80" s="659"/>
      <c r="K80" s="662"/>
      <c r="L80" s="560"/>
      <c r="M80" s="560"/>
      <c r="N80" s="442">
        <v>44651</v>
      </c>
      <c r="O80" s="624"/>
      <c r="P80" s="435">
        <v>3000</v>
      </c>
      <c r="Q80" s="436" t="s">
        <v>242</v>
      </c>
      <c r="R80" s="437"/>
      <c r="S80" s="435"/>
      <c r="T80" s="435"/>
      <c r="U80" s="606"/>
      <c r="V80" s="886"/>
      <c r="W80" s="627"/>
      <c r="X80" s="2">
        <v>8</v>
      </c>
    </row>
    <row r="81" spans="1:24" x14ac:dyDescent="0.25">
      <c r="A81" s="603"/>
      <c r="B81" s="560"/>
      <c r="C81" s="560"/>
      <c r="D81" s="560"/>
      <c r="E81" s="560"/>
      <c r="F81" s="624"/>
      <c r="G81" s="635"/>
      <c r="H81" s="606"/>
      <c r="I81" s="643"/>
      <c r="J81" s="659"/>
      <c r="K81" s="662"/>
      <c r="L81" s="560"/>
      <c r="M81" s="560"/>
      <c r="N81" s="442">
        <v>44681</v>
      </c>
      <c r="O81" s="624"/>
      <c r="P81" s="435">
        <v>3000</v>
      </c>
      <c r="Q81" s="436" t="s">
        <v>380</v>
      </c>
      <c r="R81" s="437"/>
      <c r="S81" s="435"/>
      <c r="T81" s="435"/>
      <c r="U81" s="606"/>
      <c r="V81" s="886"/>
      <c r="W81" s="627"/>
      <c r="X81" s="2">
        <v>8</v>
      </c>
    </row>
    <row r="82" spans="1:24" x14ac:dyDescent="0.25">
      <c r="A82" s="603"/>
      <c r="B82" s="560"/>
      <c r="C82" s="560"/>
      <c r="D82" s="560"/>
      <c r="E82" s="560"/>
      <c r="F82" s="624"/>
      <c r="G82" s="635"/>
      <c r="H82" s="606"/>
      <c r="I82" s="643"/>
      <c r="J82" s="659"/>
      <c r="K82" s="662"/>
      <c r="L82" s="560"/>
      <c r="M82" s="560"/>
      <c r="N82" s="442">
        <v>44712</v>
      </c>
      <c r="O82" s="624"/>
      <c r="P82" s="435">
        <v>3000</v>
      </c>
      <c r="Q82" s="436" t="s">
        <v>384</v>
      </c>
      <c r="R82" s="437"/>
      <c r="S82" s="435"/>
      <c r="T82" s="435"/>
      <c r="U82" s="606"/>
      <c r="V82" s="886"/>
      <c r="W82" s="627"/>
      <c r="X82" s="2">
        <v>8</v>
      </c>
    </row>
    <row r="83" spans="1:24" x14ac:dyDescent="0.25">
      <c r="A83" s="603"/>
      <c r="B83" s="560"/>
      <c r="C83" s="560"/>
      <c r="D83" s="560"/>
      <c r="E83" s="560"/>
      <c r="F83" s="624"/>
      <c r="G83" s="635"/>
      <c r="H83" s="606"/>
      <c r="I83" s="643"/>
      <c r="J83" s="659"/>
      <c r="K83" s="662"/>
      <c r="L83" s="560"/>
      <c r="M83" s="560"/>
      <c r="N83" s="442">
        <v>44742</v>
      </c>
      <c r="O83" s="624"/>
      <c r="P83" s="435">
        <v>3000</v>
      </c>
      <c r="Q83" s="436" t="s">
        <v>441</v>
      </c>
      <c r="R83" s="437"/>
      <c r="S83" s="435"/>
      <c r="T83" s="435"/>
      <c r="U83" s="606"/>
      <c r="V83" s="886"/>
      <c r="W83" s="627"/>
      <c r="X83" s="2">
        <v>8</v>
      </c>
    </row>
    <row r="84" spans="1:24" x14ac:dyDescent="0.25">
      <c r="A84" s="603"/>
      <c r="B84" s="560"/>
      <c r="C84" s="560"/>
      <c r="D84" s="560"/>
      <c r="E84" s="560"/>
      <c r="F84" s="624"/>
      <c r="G84" s="635"/>
      <c r="H84" s="606"/>
      <c r="I84" s="643"/>
      <c r="J84" s="659"/>
      <c r="K84" s="662"/>
      <c r="L84" s="560"/>
      <c r="M84" s="560"/>
      <c r="N84" s="442">
        <v>44773</v>
      </c>
      <c r="O84" s="624"/>
      <c r="P84" s="435">
        <v>3000</v>
      </c>
      <c r="Q84" s="436" t="s">
        <v>482</v>
      </c>
      <c r="R84" s="437"/>
      <c r="S84" s="435"/>
      <c r="T84" s="435"/>
      <c r="U84" s="606"/>
      <c r="V84" s="886"/>
      <c r="W84" s="627"/>
      <c r="X84" s="2">
        <v>8</v>
      </c>
    </row>
    <row r="85" spans="1:24" x14ac:dyDescent="0.25">
      <c r="A85" s="603"/>
      <c r="B85" s="560"/>
      <c r="C85" s="560"/>
      <c r="D85" s="560"/>
      <c r="E85" s="560"/>
      <c r="F85" s="624"/>
      <c r="G85" s="635"/>
      <c r="H85" s="606"/>
      <c r="I85" s="643"/>
      <c r="J85" s="659"/>
      <c r="K85" s="662"/>
      <c r="L85" s="560"/>
      <c r="M85" s="560"/>
      <c r="N85" s="442">
        <v>44804</v>
      </c>
      <c r="O85" s="624"/>
      <c r="P85" s="435">
        <v>3000</v>
      </c>
      <c r="Q85" s="436" t="s">
        <v>492</v>
      </c>
      <c r="R85" s="437"/>
      <c r="S85" s="435"/>
      <c r="T85" s="435"/>
      <c r="U85" s="606"/>
      <c r="V85" s="886"/>
      <c r="W85" s="627"/>
      <c r="X85" s="2">
        <v>8</v>
      </c>
    </row>
    <row r="86" spans="1:24" x14ac:dyDescent="0.25">
      <c r="A86" s="603"/>
      <c r="B86" s="560"/>
      <c r="C86" s="560"/>
      <c r="D86" s="560"/>
      <c r="E86" s="560"/>
      <c r="F86" s="624"/>
      <c r="G86" s="635"/>
      <c r="H86" s="606"/>
      <c r="I86" s="643"/>
      <c r="J86" s="659"/>
      <c r="K86" s="662"/>
      <c r="L86" s="560"/>
      <c r="M86" s="560"/>
      <c r="N86" s="442">
        <v>44834</v>
      </c>
      <c r="O86" s="624"/>
      <c r="P86" s="435">
        <v>3000</v>
      </c>
      <c r="Q86" s="436" t="s">
        <v>577</v>
      </c>
      <c r="R86" s="437"/>
      <c r="S86" s="435"/>
      <c r="T86" s="435"/>
      <c r="U86" s="606"/>
      <c r="V86" s="886"/>
      <c r="W86" s="627"/>
      <c r="X86" s="2">
        <v>8</v>
      </c>
    </row>
    <row r="87" spans="1:24" x14ac:dyDescent="0.25">
      <c r="A87" s="603"/>
      <c r="B87" s="560"/>
      <c r="C87" s="560"/>
      <c r="D87" s="560"/>
      <c r="E87" s="560"/>
      <c r="F87" s="624"/>
      <c r="G87" s="635"/>
      <c r="H87" s="606"/>
      <c r="I87" s="643"/>
      <c r="J87" s="659"/>
      <c r="K87" s="662"/>
      <c r="L87" s="560"/>
      <c r="M87" s="560"/>
      <c r="N87" s="442">
        <v>44865</v>
      </c>
      <c r="O87" s="624"/>
      <c r="P87" s="435">
        <v>3000</v>
      </c>
      <c r="Q87" s="436" t="s">
        <v>630</v>
      </c>
      <c r="R87" s="437"/>
      <c r="S87" s="435"/>
      <c r="T87" s="435"/>
      <c r="U87" s="606"/>
      <c r="V87" s="886"/>
      <c r="W87" s="627"/>
      <c r="X87" s="2">
        <v>8</v>
      </c>
    </row>
    <row r="88" spans="1:24" x14ac:dyDescent="0.25">
      <c r="A88" s="603"/>
      <c r="B88" s="560"/>
      <c r="C88" s="560"/>
      <c r="D88" s="560"/>
      <c r="E88" s="560"/>
      <c r="F88" s="624"/>
      <c r="G88" s="635"/>
      <c r="H88" s="606"/>
      <c r="I88" s="643"/>
      <c r="J88" s="659"/>
      <c r="K88" s="662"/>
      <c r="L88" s="560"/>
      <c r="M88" s="560"/>
      <c r="N88" s="442">
        <v>44895</v>
      </c>
      <c r="O88" s="624"/>
      <c r="P88" s="435">
        <v>3000</v>
      </c>
      <c r="Q88" s="436" t="s">
        <v>682</v>
      </c>
      <c r="R88" s="437"/>
      <c r="S88" s="435"/>
      <c r="T88" s="435"/>
      <c r="U88" s="606"/>
      <c r="V88" s="886"/>
      <c r="W88" s="627"/>
      <c r="X88" s="2">
        <v>8</v>
      </c>
    </row>
    <row r="89" spans="1:24" x14ac:dyDescent="0.25">
      <c r="A89" s="604"/>
      <c r="B89" s="561"/>
      <c r="C89" s="561"/>
      <c r="D89" s="561"/>
      <c r="E89" s="561"/>
      <c r="F89" s="625"/>
      <c r="G89" s="632"/>
      <c r="H89" s="607"/>
      <c r="I89" s="634"/>
      <c r="J89" s="660"/>
      <c r="K89" s="663"/>
      <c r="L89" s="561"/>
      <c r="M89" s="561"/>
      <c r="N89" s="443">
        <v>44914</v>
      </c>
      <c r="O89" s="625"/>
      <c r="P89" s="438">
        <v>3000</v>
      </c>
      <c r="Q89" s="439" t="s">
        <v>684</v>
      </c>
      <c r="R89" s="440"/>
      <c r="S89" s="438"/>
      <c r="T89" s="438"/>
      <c r="U89" s="607"/>
      <c r="V89" s="887"/>
      <c r="W89" s="628"/>
      <c r="X89" s="2">
        <v>8</v>
      </c>
    </row>
    <row r="90" spans="1:24" s="85" customFormat="1" ht="54" customHeight="1" x14ac:dyDescent="0.25">
      <c r="A90" s="602">
        <v>9</v>
      </c>
      <c r="B90" s="559" t="s">
        <v>56</v>
      </c>
      <c r="C90" s="559"/>
      <c r="D90" s="559"/>
      <c r="E90" s="559" t="s">
        <v>185</v>
      </c>
      <c r="F90" s="623" t="s">
        <v>426</v>
      </c>
      <c r="G90" s="631" t="s">
        <v>186</v>
      </c>
      <c r="H90" s="605">
        <v>72240</v>
      </c>
      <c r="I90" s="633">
        <f>IF(X90 = 9, H90 + SUM(S90:S109) - SUM(T90:T109) - SUM(P90:P109) - V90,0)</f>
        <v>0</v>
      </c>
      <c r="J90" s="658">
        <v>2353017179</v>
      </c>
      <c r="K90" s="661" t="s">
        <v>187</v>
      </c>
      <c r="L90" s="559"/>
      <c r="M90" s="559" t="s">
        <v>150</v>
      </c>
      <c r="N90" s="441">
        <v>44592</v>
      </c>
      <c r="O90" s="623" t="s">
        <v>159</v>
      </c>
      <c r="P90" s="433">
        <v>3740</v>
      </c>
      <c r="Q90" s="432">
        <v>44608</v>
      </c>
      <c r="R90" s="431" t="s">
        <v>643</v>
      </c>
      <c r="S90" s="433">
        <v>1920</v>
      </c>
      <c r="T90" s="433"/>
      <c r="U90" s="605"/>
      <c r="V90" s="885"/>
      <c r="W90" s="626"/>
      <c r="X90" s="85">
        <v>9</v>
      </c>
    </row>
    <row r="91" spans="1:24" x14ac:dyDescent="0.25">
      <c r="A91" s="603"/>
      <c r="B91" s="560"/>
      <c r="C91" s="560"/>
      <c r="D91" s="560"/>
      <c r="E91" s="560"/>
      <c r="F91" s="624"/>
      <c r="G91" s="635"/>
      <c r="H91" s="606"/>
      <c r="I91" s="643"/>
      <c r="J91" s="659"/>
      <c r="K91" s="662"/>
      <c r="L91" s="560"/>
      <c r="M91" s="560"/>
      <c r="N91" s="442">
        <v>44592</v>
      </c>
      <c r="O91" s="624"/>
      <c r="P91" s="435">
        <v>4420</v>
      </c>
      <c r="Q91" s="436">
        <v>44608</v>
      </c>
      <c r="R91" s="437"/>
      <c r="S91" s="435"/>
      <c r="T91" s="435"/>
      <c r="U91" s="606"/>
      <c r="V91" s="886"/>
      <c r="W91" s="627"/>
      <c r="X91" s="2">
        <v>9</v>
      </c>
    </row>
    <row r="92" spans="1:24" x14ac:dyDescent="0.25">
      <c r="A92" s="603"/>
      <c r="B92" s="560"/>
      <c r="C92" s="560"/>
      <c r="D92" s="560"/>
      <c r="E92" s="560"/>
      <c r="F92" s="624"/>
      <c r="G92" s="635"/>
      <c r="H92" s="606"/>
      <c r="I92" s="643"/>
      <c r="J92" s="659"/>
      <c r="K92" s="662"/>
      <c r="L92" s="560"/>
      <c r="M92" s="560"/>
      <c r="N92" s="442">
        <v>44620</v>
      </c>
      <c r="O92" s="624"/>
      <c r="P92" s="435">
        <v>5060</v>
      </c>
      <c r="Q92" s="436">
        <v>44642</v>
      </c>
      <c r="R92" s="437"/>
      <c r="S92" s="435"/>
      <c r="T92" s="435"/>
      <c r="U92" s="606"/>
      <c r="V92" s="886"/>
      <c r="W92" s="627"/>
      <c r="X92" s="2">
        <v>9</v>
      </c>
    </row>
    <row r="93" spans="1:24" x14ac:dyDescent="0.25">
      <c r="A93" s="603"/>
      <c r="B93" s="560"/>
      <c r="C93" s="560"/>
      <c r="D93" s="560"/>
      <c r="E93" s="560"/>
      <c r="F93" s="624"/>
      <c r="G93" s="635"/>
      <c r="H93" s="606"/>
      <c r="I93" s="643"/>
      <c r="J93" s="659"/>
      <c r="K93" s="662"/>
      <c r="L93" s="560"/>
      <c r="M93" s="560"/>
      <c r="N93" s="442">
        <v>44620</v>
      </c>
      <c r="O93" s="624"/>
      <c r="P93" s="435">
        <v>5980</v>
      </c>
      <c r="Q93" s="436">
        <v>44642</v>
      </c>
      <c r="R93" s="437"/>
      <c r="S93" s="435"/>
      <c r="T93" s="435"/>
      <c r="U93" s="606"/>
      <c r="V93" s="886"/>
      <c r="W93" s="627"/>
      <c r="X93" s="2">
        <v>9</v>
      </c>
    </row>
    <row r="94" spans="1:24" x14ac:dyDescent="0.25">
      <c r="A94" s="603"/>
      <c r="B94" s="560"/>
      <c r="C94" s="560"/>
      <c r="D94" s="560"/>
      <c r="E94" s="560"/>
      <c r="F94" s="624"/>
      <c r="G94" s="635"/>
      <c r="H94" s="606"/>
      <c r="I94" s="643"/>
      <c r="J94" s="659"/>
      <c r="K94" s="662"/>
      <c r="L94" s="560"/>
      <c r="M94" s="560"/>
      <c r="N94" s="442">
        <v>44651</v>
      </c>
      <c r="O94" s="624"/>
      <c r="P94" s="435">
        <v>5170</v>
      </c>
      <c r="Q94" s="436" t="s">
        <v>246</v>
      </c>
      <c r="R94" s="437"/>
      <c r="S94" s="435"/>
      <c r="T94" s="435"/>
      <c r="U94" s="606"/>
      <c r="V94" s="886"/>
      <c r="W94" s="627"/>
      <c r="X94" s="2">
        <v>9</v>
      </c>
    </row>
    <row r="95" spans="1:24" x14ac:dyDescent="0.25">
      <c r="A95" s="603"/>
      <c r="B95" s="560"/>
      <c r="C95" s="560"/>
      <c r="D95" s="560"/>
      <c r="E95" s="560"/>
      <c r="F95" s="624"/>
      <c r="G95" s="635"/>
      <c r="H95" s="606"/>
      <c r="I95" s="643"/>
      <c r="J95" s="659"/>
      <c r="K95" s="662"/>
      <c r="L95" s="560"/>
      <c r="M95" s="560"/>
      <c r="N95" s="442">
        <v>44651</v>
      </c>
      <c r="O95" s="624"/>
      <c r="P95" s="435">
        <v>6110</v>
      </c>
      <c r="Q95" s="436" t="s">
        <v>246</v>
      </c>
      <c r="R95" s="437"/>
      <c r="S95" s="435"/>
      <c r="T95" s="435"/>
      <c r="U95" s="606"/>
      <c r="V95" s="886"/>
      <c r="W95" s="627"/>
      <c r="X95" s="2">
        <v>9</v>
      </c>
    </row>
    <row r="96" spans="1:24" x14ac:dyDescent="0.25">
      <c r="A96" s="603"/>
      <c r="B96" s="560"/>
      <c r="C96" s="560"/>
      <c r="D96" s="560"/>
      <c r="E96" s="560"/>
      <c r="F96" s="624"/>
      <c r="G96" s="635"/>
      <c r="H96" s="606"/>
      <c r="I96" s="643"/>
      <c r="J96" s="659"/>
      <c r="K96" s="662"/>
      <c r="L96" s="560"/>
      <c r="M96" s="560"/>
      <c r="N96" s="442">
        <v>44681</v>
      </c>
      <c r="O96" s="624"/>
      <c r="P96" s="435">
        <v>2860</v>
      </c>
      <c r="Q96" s="436" t="s">
        <v>247</v>
      </c>
      <c r="R96" s="437"/>
      <c r="S96" s="435"/>
      <c r="T96" s="435"/>
      <c r="U96" s="606"/>
      <c r="V96" s="886"/>
      <c r="W96" s="627"/>
      <c r="X96" s="2">
        <v>9</v>
      </c>
    </row>
    <row r="97" spans="1:24" x14ac:dyDescent="0.25">
      <c r="A97" s="603"/>
      <c r="B97" s="560"/>
      <c r="C97" s="560"/>
      <c r="D97" s="560"/>
      <c r="E97" s="560"/>
      <c r="F97" s="624"/>
      <c r="G97" s="635"/>
      <c r="H97" s="606"/>
      <c r="I97" s="643"/>
      <c r="J97" s="659"/>
      <c r="K97" s="662"/>
      <c r="L97" s="560"/>
      <c r="M97" s="560"/>
      <c r="N97" s="442">
        <v>44681</v>
      </c>
      <c r="O97" s="624"/>
      <c r="P97" s="435">
        <v>3380</v>
      </c>
      <c r="Q97" s="436" t="s">
        <v>248</v>
      </c>
      <c r="R97" s="437"/>
      <c r="S97" s="435"/>
      <c r="T97" s="435"/>
      <c r="U97" s="606"/>
      <c r="V97" s="886"/>
      <c r="W97" s="627"/>
      <c r="X97" s="2">
        <v>9</v>
      </c>
    </row>
    <row r="98" spans="1:24" x14ac:dyDescent="0.25">
      <c r="A98" s="603"/>
      <c r="B98" s="560"/>
      <c r="C98" s="560"/>
      <c r="D98" s="560"/>
      <c r="E98" s="560"/>
      <c r="F98" s="624"/>
      <c r="G98" s="635"/>
      <c r="H98" s="606"/>
      <c r="I98" s="643"/>
      <c r="J98" s="659"/>
      <c r="K98" s="662"/>
      <c r="L98" s="560"/>
      <c r="M98" s="560"/>
      <c r="N98" s="442">
        <v>44712</v>
      </c>
      <c r="O98" s="624"/>
      <c r="P98" s="435">
        <v>5460</v>
      </c>
      <c r="Q98" s="436" t="s">
        <v>387</v>
      </c>
      <c r="R98" s="437"/>
      <c r="S98" s="435"/>
      <c r="T98" s="435"/>
      <c r="U98" s="606"/>
      <c r="V98" s="886"/>
      <c r="W98" s="627"/>
      <c r="X98" s="2">
        <v>9</v>
      </c>
    </row>
    <row r="99" spans="1:24" x14ac:dyDescent="0.25">
      <c r="A99" s="603"/>
      <c r="B99" s="560"/>
      <c r="C99" s="560"/>
      <c r="D99" s="560"/>
      <c r="E99" s="560"/>
      <c r="F99" s="624"/>
      <c r="G99" s="635"/>
      <c r="H99" s="606"/>
      <c r="I99" s="643"/>
      <c r="J99" s="659"/>
      <c r="K99" s="662"/>
      <c r="L99" s="560"/>
      <c r="M99" s="560"/>
      <c r="N99" s="442">
        <v>44712</v>
      </c>
      <c r="O99" s="624"/>
      <c r="P99" s="435">
        <v>4620</v>
      </c>
      <c r="Q99" s="436" t="s">
        <v>387</v>
      </c>
      <c r="R99" s="437"/>
      <c r="S99" s="435"/>
      <c r="T99" s="435"/>
      <c r="U99" s="606"/>
      <c r="V99" s="886"/>
      <c r="W99" s="627"/>
      <c r="X99" s="2">
        <v>9</v>
      </c>
    </row>
    <row r="100" spans="1:24" x14ac:dyDescent="0.25">
      <c r="A100" s="603"/>
      <c r="B100" s="560"/>
      <c r="C100" s="560"/>
      <c r="D100" s="560"/>
      <c r="E100" s="560"/>
      <c r="F100" s="624"/>
      <c r="G100" s="635"/>
      <c r="H100" s="606"/>
      <c r="I100" s="643"/>
      <c r="J100" s="659"/>
      <c r="K100" s="662"/>
      <c r="L100" s="560"/>
      <c r="M100" s="560"/>
      <c r="N100" s="442">
        <v>44742</v>
      </c>
      <c r="O100" s="624"/>
      <c r="P100" s="435">
        <v>3080</v>
      </c>
      <c r="Q100" s="436" t="s">
        <v>443</v>
      </c>
      <c r="R100" s="437"/>
      <c r="S100" s="435"/>
      <c r="T100" s="435"/>
      <c r="U100" s="606"/>
      <c r="V100" s="886"/>
      <c r="W100" s="627"/>
      <c r="X100" s="2">
        <v>9</v>
      </c>
    </row>
    <row r="101" spans="1:24" x14ac:dyDescent="0.25">
      <c r="A101" s="603"/>
      <c r="B101" s="560"/>
      <c r="C101" s="560"/>
      <c r="D101" s="560"/>
      <c r="E101" s="560"/>
      <c r="F101" s="624"/>
      <c r="G101" s="635"/>
      <c r="H101" s="606"/>
      <c r="I101" s="643"/>
      <c r="J101" s="659"/>
      <c r="K101" s="662"/>
      <c r="L101" s="560"/>
      <c r="M101" s="560"/>
      <c r="N101" s="442">
        <v>44742</v>
      </c>
      <c r="O101" s="624"/>
      <c r="P101" s="435">
        <v>3640</v>
      </c>
      <c r="Q101" s="436" t="s">
        <v>443</v>
      </c>
      <c r="R101" s="437"/>
      <c r="S101" s="435"/>
      <c r="T101" s="435"/>
      <c r="U101" s="606"/>
      <c r="V101" s="886"/>
      <c r="W101" s="627"/>
      <c r="X101" s="2">
        <v>9</v>
      </c>
    </row>
    <row r="102" spans="1:24" x14ac:dyDescent="0.25">
      <c r="A102" s="603"/>
      <c r="B102" s="560"/>
      <c r="C102" s="560"/>
      <c r="D102" s="560"/>
      <c r="E102" s="560"/>
      <c r="F102" s="624"/>
      <c r="G102" s="635"/>
      <c r="H102" s="606"/>
      <c r="I102" s="643"/>
      <c r="J102" s="659"/>
      <c r="K102" s="662"/>
      <c r="L102" s="560"/>
      <c r="M102" s="560"/>
      <c r="N102" s="442">
        <v>44773</v>
      </c>
      <c r="O102" s="624"/>
      <c r="P102" s="435">
        <v>1320</v>
      </c>
      <c r="Q102" s="436" t="s">
        <v>488</v>
      </c>
      <c r="R102" s="437"/>
      <c r="S102" s="435"/>
      <c r="T102" s="435"/>
      <c r="U102" s="606"/>
      <c r="V102" s="886"/>
      <c r="W102" s="627"/>
      <c r="X102" s="2">
        <v>9</v>
      </c>
    </row>
    <row r="103" spans="1:24" x14ac:dyDescent="0.25">
      <c r="A103" s="603"/>
      <c r="B103" s="560"/>
      <c r="C103" s="560"/>
      <c r="D103" s="560"/>
      <c r="E103" s="560"/>
      <c r="F103" s="624"/>
      <c r="G103" s="635"/>
      <c r="H103" s="606"/>
      <c r="I103" s="643"/>
      <c r="J103" s="659"/>
      <c r="K103" s="662"/>
      <c r="L103" s="560"/>
      <c r="M103" s="560"/>
      <c r="N103" s="442">
        <v>44773</v>
      </c>
      <c r="O103" s="624"/>
      <c r="P103" s="435">
        <v>1560</v>
      </c>
      <c r="Q103" s="436" t="s">
        <v>488</v>
      </c>
      <c r="R103" s="437"/>
      <c r="S103" s="435"/>
      <c r="T103" s="435"/>
      <c r="U103" s="606"/>
      <c r="V103" s="886"/>
      <c r="W103" s="627"/>
      <c r="X103" s="2">
        <v>9</v>
      </c>
    </row>
    <row r="104" spans="1:24" x14ac:dyDescent="0.25">
      <c r="A104" s="603"/>
      <c r="B104" s="560"/>
      <c r="C104" s="560"/>
      <c r="D104" s="560"/>
      <c r="E104" s="560"/>
      <c r="F104" s="624"/>
      <c r="G104" s="635"/>
      <c r="H104" s="606"/>
      <c r="I104" s="643"/>
      <c r="J104" s="659"/>
      <c r="K104" s="662"/>
      <c r="L104" s="560"/>
      <c r="M104" s="560"/>
      <c r="N104" s="442">
        <v>44793</v>
      </c>
      <c r="O104" s="624"/>
      <c r="P104" s="435">
        <v>330</v>
      </c>
      <c r="Q104" s="436" t="s">
        <v>530</v>
      </c>
      <c r="R104" s="437"/>
      <c r="S104" s="435"/>
      <c r="T104" s="435"/>
      <c r="U104" s="606"/>
      <c r="V104" s="886"/>
      <c r="W104" s="627"/>
      <c r="X104" s="2">
        <v>9</v>
      </c>
    </row>
    <row r="105" spans="1:24" x14ac:dyDescent="0.25">
      <c r="A105" s="603"/>
      <c r="B105" s="560"/>
      <c r="C105" s="560"/>
      <c r="D105" s="560"/>
      <c r="E105" s="560"/>
      <c r="F105" s="624"/>
      <c r="G105" s="635"/>
      <c r="H105" s="606"/>
      <c r="I105" s="643"/>
      <c r="J105" s="659"/>
      <c r="K105" s="662"/>
      <c r="L105" s="560"/>
      <c r="M105" s="560"/>
      <c r="N105" s="442">
        <v>44824</v>
      </c>
      <c r="O105" s="624"/>
      <c r="P105" s="435">
        <v>390</v>
      </c>
      <c r="Q105" s="436" t="s">
        <v>530</v>
      </c>
      <c r="R105" s="437"/>
      <c r="S105" s="435"/>
      <c r="T105" s="435"/>
      <c r="U105" s="606"/>
      <c r="V105" s="886"/>
      <c r="W105" s="627"/>
      <c r="X105" s="2">
        <v>9</v>
      </c>
    </row>
    <row r="106" spans="1:24" x14ac:dyDescent="0.25">
      <c r="A106" s="603"/>
      <c r="B106" s="560"/>
      <c r="C106" s="560"/>
      <c r="D106" s="560"/>
      <c r="E106" s="560"/>
      <c r="F106" s="624"/>
      <c r="G106" s="635"/>
      <c r="H106" s="606"/>
      <c r="I106" s="643"/>
      <c r="J106" s="659"/>
      <c r="K106" s="662"/>
      <c r="L106" s="560"/>
      <c r="M106" s="560"/>
      <c r="N106" s="442">
        <v>44834</v>
      </c>
      <c r="O106" s="624"/>
      <c r="P106" s="435">
        <v>2750</v>
      </c>
      <c r="Q106" s="436" t="s">
        <v>577</v>
      </c>
      <c r="R106" s="437"/>
      <c r="S106" s="435"/>
      <c r="T106" s="435"/>
      <c r="U106" s="606"/>
      <c r="V106" s="886"/>
      <c r="W106" s="627"/>
      <c r="X106" s="2">
        <v>9</v>
      </c>
    </row>
    <row r="107" spans="1:24" x14ac:dyDescent="0.25">
      <c r="A107" s="603"/>
      <c r="B107" s="560"/>
      <c r="C107" s="560"/>
      <c r="D107" s="560"/>
      <c r="E107" s="560"/>
      <c r="F107" s="624"/>
      <c r="G107" s="635"/>
      <c r="H107" s="606"/>
      <c r="I107" s="643"/>
      <c r="J107" s="659"/>
      <c r="K107" s="662"/>
      <c r="L107" s="560"/>
      <c r="M107" s="560"/>
      <c r="N107" s="442">
        <v>44834</v>
      </c>
      <c r="O107" s="624"/>
      <c r="P107" s="435">
        <v>3250</v>
      </c>
      <c r="Q107" s="436" t="s">
        <v>577</v>
      </c>
      <c r="R107" s="437"/>
      <c r="S107" s="435"/>
      <c r="T107" s="435"/>
      <c r="U107" s="606"/>
      <c r="V107" s="886"/>
      <c r="W107" s="627"/>
      <c r="X107" s="2">
        <v>9</v>
      </c>
    </row>
    <row r="108" spans="1:24" x14ac:dyDescent="0.25">
      <c r="A108" s="603"/>
      <c r="B108" s="560"/>
      <c r="C108" s="560"/>
      <c r="D108" s="560"/>
      <c r="E108" s="560"/>
      <c r="F108" s="624"/>
      <c r="G108" s="635"/>
      <c r="H108" s="606"/>
      <c r="I108" s="643"/>
      <c r="J108" s="659"/>
      <c r="K108" s="662"/>
      <c r="L108" s="560"/>
      <c r="M108" s="560"/>
      <c r="N108" s="442">
        <v>44865</v>
      </c>
      <c r="O108" s="624"/>
      <c r="P108" s="435">
        <v>5060</v>
      </c>
      <c r="Q108" s="436" t="s">
        <v>688</v>
      </c>
      <c r="R108" s="437"/>
      <c r="S108" s="435"/>
      <c r="T108" s="435"/>
      <c r="U108" s="606"/>
      <c r="V108" s="886"/>
      <c r="W108" s="627"/>
      <c r="X108" s="2">
        <v>9</v>
      </c>
    </row>
    <row r="109" spans="1:24" x14ac:dyDescent="0.25">
      <c r="A109" s="603"/>
      <c r="B109" s="560"/>
      <c r="C109" s="560"/>
      <c r="D109" s="560"/>
      <c r="E109" s="560"/>
      <c r="F109" s="624"/>
      <c r="G109" s="635"/>
      <c r="H109" s="606"/>
      <c r="I109" s="643"/>
      <c r="J109" s="659"/>
      <c r="K109" s="662"/>
      <c r="L109" s="560"/>
      <c r="M109" s="560"/>
      <c r="N109" s="442">
        <v>44865</v>
      </c>
      <c r="O109" s="624"/>
      <c r="P109" s="435">
        <v>5980</v>
      </c>
      <c r="Q109" s="436" t="s">
        <v>688</v>
      </c>
      <c r="R109" s="437"/>
      <c r="S109" s="435"/>
      <c r="T109" s="435"/>
      <c r="U109" s="606"/>
      <c r="V109" s="886"/>
      <c r="W109" s="627"/>
      <c r="X109" s="2">
        <v>9</v>
      </c>
    </row>
    <row r="110" spans="1:24" s="85" customFormat="1" ht="75" x14ac:dyDescent="0.25">
      <c r="A110" s="98">
        <v>10</v>
      </c>
      <c r="B110" s="99" t="s">
        <v>56</v>
      </c>
      <c r="C110" s="99"/>
      <c r="D110" s="99"/>
      <c r="E110" s="99" t="s">
        <v>188</v>
      </c>
      <c r="F110" s="106">
        <v>44581</v>
      </c>
      <c r="G110" s="100" t="s">
        <v>189</v>
      </c>
      <c r="H110" s="101">
        <v>7500</v>
      </c>
      <c r="I110" s="102">
        <f>IF(X110 = 10, H110 + SUM(S110:S110) - SUM(T110:T110) - SUM(P110:P110) - V110,0)</f>
        <v>0</v>
      </c>
      <c r="J110" s="103">
        <v>2353015365</v>
      </c>
      <c r="K110" s="104" t="s">
        <v>190</v>
      </c>
      <c r="L110" s="99"/>
      <c r="M110" s="99" t="s">
        <v>191</v>
      </c>
      <c r="N110" s="106"/>
      <c r="O110" s="106" t="s">
        <v>159</v>
      </c>
      <c r="P110" s="101">
        <v>7500</v>
      </c>
      <c r="Q110" s="100">
        <v>44614</v>
      </c>
      <c r="R110" s="99"/>
      <c r="S110" s="101"/>
      <c r="T110" s="101"/>
      <c r="U110" s="101"/>
      <c r="V110" s="105"/>
      <c r="W110" s="96"/>
      <c r="X110" s="85">
        <v>10</v>
      </c>
    </row>
    <row r="111" spans="1:24" s="85" customFormat="1" ht="54" customHeight="1" x14ac:dyDescent="0.25">
      <c r="A111" s="872">
        <v>11</v>
      </c>
      <c r="B111" s="760" t="s">
        <v>56</v>
      </c>
      <c r="C111" s="760"/>
      <c r="D111" s="760"/>
      <c r="E111" s="760" t="s">
        <v>202</v>
      </c>
      <c r="F111" s="845">
        <v>44581</v>
      </c>
      <c r="G111" s="848" t="s">
        <v>203</v>
      </c>
      <c r="H111" s="803">
        <v>112420</v>
      </c>
      <c r="I111" s="806">
        <f>IF(X111 = 11, H111 + SUM(S111:S115) - SUM(T111:T115) - SUM(P111:P115) - V111,0)</f>
        <v>0</v>
      </c>
      <c r="J111" s="809">
        <v>2353020735</v>
      </c>
      <c r="K111" s="812" t="s">
        <v>204</v>
      </c>
      <c r="L111" s="760"/>
      <c r="M111" s="760" t="s">
        <v>205</v>
      </c>
      <c r="N111" s="128">
        <v>44592</v>
      </c>
      <c r="O111" s="845" t="s">
        <v>159</v>
      </c>
      <c r="P111" s="119">
        <v>14322</v>
      </c>
      <c r="Q111" s="120">
        <v>44606</v>
      </c>
      <c r="R111" s="121"/>
      <c r="S111" s="119"/>
      <c r="T111" s="119"/>
      <c r="U111" s="803" t="s">
        <v>401</v>
      </c>
      <c r="V111" s="851">
        <v>26378</v>
      </c>
      <c r="W111" s="842"/>
      <c r="X111" s="85">
        <v>11</v>
      </c>
    </row>
    <row r="112" spans="1:24" x14ac:dyDescent="0.25">
      <c r="A112" s="873"/>
      <c r="B112" s="761"/>
      <c r="C112" s="761"/>
      <c r="D112" s="761"/>
      <c r="E112" s="761"/>
      <c r="F112" s="846"/>
      <c r="G112" s="849"/>
      <c r="H112" s="804"/>
      <c r="I112" s="807"/>
      <c r="J112" s="810"/>
      <c r="K112" s="813"/>
      <c r="L112" s="761"/>
      <c r="M112" s="761"/>
      <c r="N112" s="129">
        <v>44582</v>
      </c>
      <c r="O112" s="846"/>
      <c r="P112" s="122">
        <v>26862</v>
      </c>
      <c r="Q112" s="123">
        <v>44606</v>
      </c>
      <c r="R112" s="124"/>
      <c r="S112" s="122"/>
      <c r="T112" s="122"/>
      <c r="U112" s="804"/>
      <c r="V112" s="852"/>
      <c r="W112" s="843"/>
      <c r="X112" s="2">
        <v>11</v>
      </c>
    </row>
    <row r="113" spans="1:24" x14ac:dyDescent="0.25">
      <c r="A113" s="873"/>
      <c r="B113" s="761"/>
      <c r="C113" s="761"/>
      <c r="D113" s="761"/>
      <c r="E113" s="761"/>
      <c r="F113" s="846"/>
      <c r="G113" s="849"/>
      <c r="H113" s="804"/>
      <c r="I113" s="807"/>
      <c r="J113" s="810"/>
      <c r="K113" s="813"/>
      <c r="L113" s="761"/>
      <c r="M113" s="761"/>
      <c r="N113" s="129">
        <v>44596</v>
      </c>
      <c r="O113" s="846"/>
      <c r="P113" s="122">
        <v>9526</v>
      </c>
      <c r="Q113" s="123">
        <v>44616</v>
      </c>
      <c r="R113" s="124"/>
      <c r="S113" s="122"/>
      <c r="T113" s="122"/>
      <c r="U113" s="804"/>
      <c r="V113" s="852"/>
      <c r="W113" s="843"/>
      <c r="X113" s="2">
        <v>11</v>
      </c>
    </row>
    <row r="114" spans="1:24" x14ac:dyDescent="0.25">
      <c r="A114" s="873"/>
      <c r="B114" s="761"/>
      <c r="C114" s="761"/>
      <c r="D114" s="761"/>
      <c r="E114" s="761"/>
      <c r="F114" s="846"/>
      <c r="G114" s="849"/>
      <c r="H114" s="804"/>
      <c r="I114" s="807"/>
      <c r="J114" s="810"/>
      <c r="K114" s="813"/>
      <c r="L114" s="761"/>
      <c r="M114" s="761"/>
      <c r="N114" s="129">
        <v>44610</v>
      </c>
      <c r="O114" s="846"/>
      <c r="P114" s="122">
        <v>21604</v>
      </c>
      <c r="Q114" s="123">
        <v>44631</v>
      </c>
      <c r="R114" s="124"/>
      <c r="S114" s="122"/>
      <c r="T114" s="122"/>
      <c r="U114" s="804"/>
      <c r="V114" s="852"/>
      <c r="W114" s="843"/>
      <c r="X114" s="2">
        <v>11</v>
      </c>
    </row>
    <row r="115" spans="1:24" x14ac:dyDescent="0.25">
      <c r="A115" s="874"/>
      <c r="B115" s="762"/>
      <c r="C115" s="762"/>
      <c r="D115" s="762"/>
      <c r="E115" s="762"/>
      <c r="F115" s="847"/>
      <c r="G115" s="850"/>
      <c r="H115" s="805"/>
      <c r="I115" s="808"/>
      <c r="J115" s="811"/>
      <c r="K115" s="814"/>
      <c r="L115" s="762"/>
      <c r="M115" s="762"/>
      <c r="N115" s="130">
        <v>44620</v>
      </c>
      <c r="O115" s="847"/>
      <c r="P115" s="125">
        <v>13728</v>
      </c>
      <c r="Q115" s="126">
        <v>44631</v>
      </c>
      <c r="R115" s="127"/>
      <c r="S115" s="125"/>
      <c r="T115" s="125"/>
      <c r="U115" s="805"/>
      <c r="V115" s="853"/>
      <c r="W115" s="844"/>
      <c r="X115" s="2">
        <v>11</v>
      </c>
    </row>
    <row r="116" spans="1:24" s="85" customFormat="1" ht="54" customHeight="1" x14ac:dyDescent="0.25">
      <c r="A116" s="869">
        <v>12</v>
      </c>
      <c r="B116" s="680" t="s">
        <v>56</v>
      </c>
      <c r="C116" s="680"/>
      <c r="D116" s="680"/>
      <c r="E116" s="680" t="s">
        <v>210</v>
      </c>
      <c r="F116" s="779">
        <v>44581</v>
      </c>
      <c r="G116" s="791" t="s">
        <v>211</v>
      </c>
      <c r="H116" s="782">
        <v>354123</v>
      </c>
      <c r="I116" s="794">
        <f>IF(X116 = 12, H116 + SUM(S116:S125) - SUM(T116:T125) - SUM(P116:P125) - V116,0)</f>
        <v>-4.3655745685100555E-11</v>
      </c>
      <c r="J116" s="797">
        <v>2353020735</v>
      </c>
      <c r="K116" s="800" t="s">
        <v>204</v>
      </c>
      <c r="L116" s="680"/>
      <c r="M116" s="680" t="s">
        <v>205</v>
      </c>
      <c r="N116" s="140">
        <v>44596</v>
      </c>
      <c r="O116" s="779" t="s">
        <v>159</v>
      </c>
      <c r="P116" s="131">
        <v>28206.47</v>
      </c>
      <c r="Q116" s="132">
        <v>44616</v>
      </c>
      <c r="R116" s="133"/>
      <c r="S116" s="131"/>
      <c r="T116" s="131"/>
      <c r="U116" s="782" t="s">
        <v>402</v>
      </c>
      <c r="V116" s="854">
        <v>83090.7</v>
      </c>
      <c r="W116" s="839"/>
      <c r="X116" s="85">
        <v>12</v>
      </c>
    </row>
    <row r="117" spans="1:24" x14ac:dyDescent="0.25">
      <c r="A117" s="870"/>
      <c r="B117" s="681"/>
      <c r="C117" s="681"/>
      <c r="D117" s="681"/>
      <c r="E117" s="681"/>
      <c r="F117" s="780"/>
      <c r="G117" s="792"/>
      <c r="H117" s="783"/>
      <c r="I117" s="795"/>
      <c r="J117" s="798"/>
      <c r="K117" s="801"/>
      <c r="L117" s="681"/>
      <c r="M117" s="681"/>
      <c r="N117" s="141">
        <v>44596</v>
      </c>
      <c r="O117" s="780"/>
      <c r="P117" s="134">
        <v>1800.43</v>
      </c>
      <c r="Q117" s="135">
        <v>44616</v>
      </c>
      <c r="R117" s="136"/>
      <c r="S117" s="134"/>
      <c r="T117" s="134"/>
      <c r="U117" s="783"/>
      <c r="V117" s="855"/>
      <c r="W117" s="840"/>
      <c r="X117" s="2">
        <v>12</v>
      </c>
    </row>
    <row r="118" spans="1:24" x14ac:dyDescent="0.25">
      <c r="A118" s="870"/>
      <c r="B118" s="681"/>
      <c r="C118" s="681"/>
      <c r="D118" s="681"/>
      <c r="E118" s="681"/>
      <c r="F118" s="780"/>
      <c r="G118" s="792"/>
      <c r="H118" s="783"/>
      <c r="I118" s="795"/>
      <c r="J118" s="798"/>
      <c r="K118" s="801"/>
      <c r="L118" s="681"/>
      <c r="M118" s="681"/>
      <c r="N118" s="141">
        <v>44592</v>
      </c>
      <c r="O118" s="780"/>
      <c r="P118" s="134">
        <v>42407.41</v>
      </c>
      <c r="Q118" s="135">
        <v>44616</v>
      </c>
      <c r="R118" s="136"/>
      <c r="S118" s="134"/>
      <c r="T118" s="134"/>
      <c r="U118" s="783"/>
      <c r="V118" s="855"/>
      <c r="W118" s="840"/>
      <c r="X118" s="2">
        <v>12</v>
      </c>
    </row>
    <row r="119" spans="1:24" x14ac:dyDescent="0.25">
      <c r="A119" s="870"/>
      <c r="B119" s="681"/>
      <c r="C119" s="681"/>
      <c r="D119" s="681"/>
      <c r="E119" s="681"/>
      <c r="F119" s="780"/>
      <c r="G119" s="792"/>
      <c r="H119" s="783"/>
      <c r="I119" s="795"/>
      <c r="J119" s="798"/>
      <c r="K119" s="801"/>
      <c r="L119" s="681"/>
      <c r="M119" s="681"/>
      <c r="N119" s="141">
        <v>44592</v>
      </c>
      <c r="O119" s="780"/>
      <c r="P119" s="134">
        <v>2706.89</v>
      </c>
      <c r="Q119" s="135">
        <v>44616</v>
      </c>
      <c r="R119" s="136"/>
      <c r="S119" s="134"/>
      <c r="T119" s="134"/>
      <c r="U119" s="783"/>
      <c r="V119" s="855"/>
      <c r="W119" s="840"/>
      <c r="X119" s="2">
        <v>12</v>
      </c>
    </row>
    <row r="120" spans="1:24" x14ac:dyDescent="0.25">
      <c r="A120" s="870"/>
      <c r="B120" s="681"/>
      <c r="C120" s="681"/>
      <c r="D120" s="681"/>
      <c r="E120" s="681"/>
      <c r="F120" s="780"/>
      <c r="G120" s="792"/>
      <c r="H120" s="783"/>
      <c r="I120" s="795"/>
      <c r="J120" s="798"/>
      <c r="K120" s="801"/>
      <c r="L120" s="681"/>
      <c r="M120" s="681"/>
      <c r="N120" s="141">
        <v>44582</v>
      </c>
      <c r="O120" s="780"/>
      <c r="P120" s="134">
        <v>79538.33</v>
      </c>
      <c r="Q120" s="135">
        <v>44616</v>
      </c>
      <c r="R120" s="136"/>
      <c r="S120" s="134"/>
      <c r="T120" s="134"/>
      <c r="U120" s="783"/>
      <c r="V120" s="855"/>
      <c r="W120" s="840"/>
      <c r="X120" s="2">
        <v>12</v>
      </c>
    </row>
    <row r="121" spans="1:24" x14ac:dyDescent="0.25">
      <c r="A121" s="870"/>
      <c r="B121" s="681"/>
      <c r="C121" s="681"/>
      <c r="D121" s="681"/>
      <c r="E121" s="681"/>
      <c r="F121" s="780"/>
      <c r="G121" s="792"/>
      <c r="H121" s="783"/>
      <c r="I121" s="795"/>
      <c r="J121" s="798"/>
      <c r="K121" s="801"/>
      <c r="L121" s="681"/>
      <c r="M121" s="681"/>
      <c r="N121" s="141">
        <v>44582</v>
      </c>
      <c r="O121" s="780"/>
      <c r="P121" s="134">
        <v>5076.97</v>
      </c>
      <c r="Q121" s="135">
        <v>44616</v>
      </c>
      <c r="R121" s="136"/>
      <c r="S121" s="134"/>
      <c r="T121" s="134"/>
      <c r="U121" s="783"/>
      <c r="V121" s="855"/>
      <c r="W121" s="840"/>
      <c r="X121" s="2">
        <v>12</v>
      </c>
    </row>
    <row r="122" spans="1:24" x14ac:dyDescent="0.25">
      <c r="A122" s="870"/>
      <c r="B122" s="681"/>
      <c r="C122" s="681"/>
      <c r="D122" s="681"/>
      <c r="E122" s="681"/>
      <c r="F122" s="780"/>
      <c r="G122" s="792"/>
      <c r="H122" s="783"/>
      <c r="I122" s="795"/>
      <c r="J122" s="798"/>
      <c r="K122" s="801"/>
      <c r="L122" s="681"/>
      <c r="M122" s="681"/>
      <c r="N122" s="141">
        <v>44620</v>
      </c>
      <c r="O122" s="780"/>
      <c r="P122" s="134">
        <v>40648.58</v>
      </c>
      <c r="Q122" s="135">
        <v>44636</v>
      </c>
      <c r="R122" s="136"/>
      <c r="S122" s="134"/>
      <c r="T122" s="134"/>
      <c r="U122" s="783"/>
      <c r="V122" s="855"/>
      <c r="W122" s="840"/>
      <c r="X122" s="2">
        <v>12</v>
      </c>
    </row>
    <row r="123" spans="1:24" x14ac:dyDescent="0.25">
      <c r="A123" s="870"/>
      <c r="B123" s="681"/>
      <c r="C123" s="681"/>
      <c r="D123" s="681"/>
      <c r="E123" s="681"/>
      <c r="F123" s="780"/>
      <c r="G123" s="792"/>
      <c r="H123" s="783"/>
      <c r="I123" s="795"/>
      <c r="J123" s="798"/>
      <c r="K123" s="801"/>
      <c r="L123" s="681"/>
      <c r="M123" s="681"/>
      <c r="N123" s="141">
        <v>44620</v>
      </c>
      <c r="O123" s="780"/>
      <c r="P123" s="134">
        <v>2594.62</v>
      </c>
      <c r="Q123" s="135">
        <v>44636</v>
      </c>
      <c r="R123" s="136"/>
      <c r="S123" s="134"/>
      <c r="T123" s="134"/>
      <c r="U123" s="783"/>
      <c r="V123" s="855"/>
      <c r="W123" s="840"/>
      <c r="X123" s="2">
        <v>12</v>
      </c>
    </row>
    <row r="124" spans="1:24" x14ac:dyDescent="0.25">
      <c r="A124" s="870"/>
      <c r="B124" s="681"/>
      <c r="C124" s="681"/>
      <c r="D124" s="681"/>
      <c r="E124" s="681"/>
      <c r="F124" s="780"/>
      <c r="G124" s="792"/>
      <c r="H124" s="783"/>
      <c r="I124" s="795"/>
      <c r="J124" s="798"/>
      <c r="K124" s="801"/>
      <c r="L124" s="681"/>
      <c r="M124" s="681"/>
      <c r="N124" s="141">
        <v>44610</v>
      </c>
      <c r="O124" s="780"/>
      <c r="P124" s="134">
        <v>63969.4</v>
      </c>
      <c r="Q124" s="135">
        <v>44651</v>
      </c>
      <c r="R124" s="136"/>
      <c r="S124" s="134"/>
      <c r="T124" s="134"/>
      <c r="U124" s="783"/>
      <c r="V124" s="855"/>
      <c r="W124" s="840"/>
      <c r="X124" s="2">
        <v>12</v>
      </c>
    </row>
    <row r="125" spans="1:24" x14ac:dyDescent="0.25">
      <c r="A125" s="871"/>
      <c r="B125" s="682"/>
      <c r="C125" s="682"/>
      <c r="D125" s="682"/>
      <c r="E125" s="682"/>
      <c r="F125" s="781"/>
      <c r="G125" s="793"/>
      <c r="H125" s="784"/>
      <c r="I125" s="796"/>
      <c r="J125" s="799"/>
      <c r="K125" s="802"/>
      <c r="L125" s="682"/>
      <c r="M125" s="682"/>
      <c r="N125" s="142">
        <v>44610</v>
      </c>
      <c r="O125" s="781"/>
      <c r="P125" s="137">
        <v>4083.2</v>
      </c>
      <c r="Q125" s="138">
        <v>44651</v>
      </c>
      <c r="R125" s="139"/>
      <c r="S125" s="137"/>
      <c r="T125" s="137"/>
      <c r="U125" s="784"/>
      <c r="V125" s="856"/>
      <c r="W125" s="841"/>
      <c r="X125" s="2">
        <v>12</v>
      </c>
    </row>
    <row r="126" spans="1:24" s="85" customFormat="1" ht="54" customHeight="1" x14ac:dyDescent="0.25">
      <c r="A126" s="602">
        <v>13</v>
      </c>
      <c r="B126" s="559" t="s">
        <v>56</v>
      </c>
      <c r="C126" s="559"/>
      <c r="D126" s="559"/>
      <c r="E126" s="559" t="s">
        <v>212</v>
      </c>
      <c r="F126" s="623">
        <v>44560</v>
      </c>
      <c r="G126" s="631" t="s">
        <v>200</v>
      </c>
      <c r="H126" s="605">
        <v>11000</v>
      </c>
      <c r="I126" s="633">
        <f>IF(X126 = 13, H126 + SUM(S126:S137) - SUM(T126:T137) - SUM(P126:P137) - V126,0)</f>
        <v>1988.6900000000005</v>
      </c>
      <c r="J126" s="658">
        <v>7707049388</v>
      </c>
      <c r="K126" s="661" t="s">
        <v>201</v>
      </c>
      <c r="L126" s="559"/>
      <c r="M126" s="559" t="s">
        <v>199</v>
      </c>
      <c r="N126" s="441">
        <v>44592</v>
      </c>
      <c r="O126" s="623" t="s">
        <v>159</v>
      </c>
      <c r="P126" s="433">
        <v>726.62</v>
      </c>
      <c r="Q126" s="432">
        <v>44608</v>
      </c>
      <c r="R126" s="431"/>
      <c r="S126" s="433"/>
      <c r="T126" s="433"/>
      <c r="U126" s="605"/>
      <c r="V126" s="885"/>
      <c r="W126" s="626"/>
      <c r="X126" s="85">
        <v>13</v>
      </c>
    </row>
    <row r="127" spans="1:24" x14ac:dyDescent="0.25">
      <c r="A127" s="603"/>
      <c r="B127" s="560"/>
      <c r="C127" s="560"/>
      <c r="D127" s="560"/>
      <c r="E127" s="560"/>
      <c r="F127" s="624"/>
      <c r="G127" s="635"/>
      <c r="H127" s="606"/>
      <c r="I127" s="643"/>
      <c r="J127" s="659"/>
      <c r="K127" s="662"/>
      <c r="L127" s="560"/>
      <c r="M127" s="560"/>
      <c r="N127" s="442">
        <v>44620</v>
      </c>
      <c r="O127" s="624"/>
      <c r="P127" s="435">
        <v>682.42</v>
      </c>
      <c r="Q127" s="436">
        <v>44641</v>
      </c>
      <c r="R127" s="437"/>
      <c r="S127" s="435"/>
      <c r="T127" s="435"/>
      <c r="U127" s="606"/>
      <c r="V127" s="886"/>
      <c r="W127" s="627"/>
      <c r="X127" s="2">
        <v>13</v>
      </c>
    </row>
    <row r="128" spans="1:24" x14ac:dyDescent="0.25">
      <c r="A128" s="603"/>
      <c r="B128" s="560"/>
      <c r="C128" s="560"/>
      <c r="D128" s="560"/>
      <c r="E128" s="560"/>
      <c r="F128" s="624"/>
      <c r="G128" s="635"/>
      <c r="H128" s="606"/>
      <c r="I128" s="643"/>
      <c r="J128" s="659"/>
      <c r="K128" s="662"/>
      <c r="L128" s="560"/>
      <c r="M128" s="560"/>
      <c r="N128" s="442">
        <v>44651</v>
      </c>
      <c r="O128" s="624"/>
      <c r="P128" s="435">
        <v>943.67</v>
      </c>
      <c r="Q128" s="436" t="s">
        <v>249</v>
      </c>
      <c r="R128" s="437"/>
      <c r="S128" s="435"/>
      <c r="T128" s="435"/>
      <c r="U128" s="606"/>
      <c r="V128" s="886"/>
      <c r="W128" s="627"/>
      <c r="X128" s="2">
        <v>13</v>
      </c>
    </row>
    <row r="129" spans="1:24" x14ac:dyDescent="0.25">
      <c r="A129" s="603"/>
      <c r="B129" s="560"/>
      <c r="C129" s="560"/>
      <c r="D129" s="560"/>
      <c r="E129" s="560"/>
      <c r="F129" s="624"/>
      <c r="G129" s="635"/>
      <c r="H129" s="606"/>
      <c r="I129" s="643"/>
      <c r="J129" s="659"/>
      <c r="K129" s="662"/>
      <c r="L129" s="560"/>
      <c r="M129" s="560"/>
      <c r="N129" s="442">
        <v>44681</v>
      </c>
      <c r="O129" s="624"/>
      <c r="P129" s="435">
        <v>769.14</v>
      </c>
      <c r="Q129" s="436" t="s">
        <v>250</v>
      </c>
      <c r="R129" s="437"/>
      <c r="S129" s="435"/>
      <c r="T129" s="435"/>
      <c r="U129" s="606"/>
      <c r="V129" s="886"/>
      <c r="W129" s="627"/>
      <c r="X129" s="2">
        <v>13</v>
      </c>
    </row>
    <row r="130" spans="1:24" x14ac:dyDescent="0.25">
      <c r="A130" s="603"/>
      <c r="B130" s="560"/>
      <c r="C130" s="560"/>
      <c r="D130" s="560"/>
      <c r="E130" s="560"/>
      <c r="F130" s="624"/>
      <c r="G130" s="635"/>
      <c r="H130" s="606"/>
      <c r="I130" s="643"/>
      <c r="J130" s="659"/>
      <c r="K130" s="662"/>
      <c r="L130" s="560"/>
      <c r="M130" s="560"/>
      <c r="N130" s="442">
        <v>44712</v>
      </c>
      <c r="O130" s="624"/>
      <c r="P130" s="435">
        <v>973.78</v>
      </c>
      <c r="Q130" s="436" t="s">
        <v>384</v>
      </c>
      <c r="R130" s="437"/>
      <c r="S130" s="435"/>
      <c r="T130" s="435"/>
      <c r="U130" s="606"/>
      <c r="V130" s="886"/>
      <c r="W130" s="627"/>
      <c r="X130" s="2">
        <v>13</v>
      </c>
    </row>
    <row r="131" spans="1:24" x14ac:dyDescent="0.25">
      <c r="A131" s="603"/>
      <c r="B131" s="560"/>
      <c r="C131" s="560"/>
      <c r="D131" s="560"/>
      <c r="E131" s="560"/>
      <c r="F131" s="624"/>
      <c r="G131" s="635"/>
      <c r="H131" s="606"/>
      <c r="I131" s="643"/>
      <c r="J131" s="659"/>
      <c r="K131" s="662"/>
      <c r="L131" s="560"/>
      <c r="M131" s="560"/>
      <c r="N131" s="442">
        <v>44742</v>
      </c>
      <c r="O131" s="624"/>
      <c r="P131" s="435">
        <v>772.94</v>
      </c>
      <c r="Q131" s="436" t="s">
        <v>444</v>
      </c>
      <c r="R131" s="437"/>
      <c r="S131" s="435"/>
      <c r="T131" s="435"/>
      <c r="U131" s="606"/>
      <c r="V131" s="886"/>
      <c r="W131" s="627"/>
      <c r="X131" s="2">
        <v>13</v>
      </c>
    </row>
    <row r="132" spans="1:24" x14ac:dyDescent="0.25">
      <c r="A132" s="603"/>
      <c r="B132" s="560"/>
      <c r="C132" s="560"/>
      <c r="D132" s="560"/>
      <c r="E132" s="560"/>
      <c r="F132" s="624"/>
      <c r="G132" s="635"/>
      <c r="H132" s="606"/>
      <c r="I132" s="643"/>
      <c r="J132" s="659"/>
      <c r="K132" s="662"/>
      <c r="L132" s="560"/>
      <c r="M132" s="560"/>
      <c r="N132" s="442">
        <v>44773</v>
      </c>
      <c r="O132" s="624"/>
      <c r="P132" s="435">
        <v>717.13</v>
      </c>
      <c r="Q132" s="436" t="s">
        <v>487</v>
      </c>
      <c r="R132" s="437"/>
      <c r="S132" s="435"/>
      <c r="T132" s="435"/>
      <c r="U132" s="606"/>
      <c r="V132" s="886"/>
      <c r="W132" s="627"/>
      <c r="X132" s="2">
        <v>13</v>
      </c>
    </row>
    <row r="133" spans="1:24" x14ac:dyDescent="0.25">
      <c r="A133" s="603"/>
      <c r="B133" s="560"/>
      <c r="C133" s="560"/>
      <c r="D133" s="560"/>
      <c r="E133" s="560"/>
      <c r="F133" s="624"/>
      <c r="G133" s="635"/>
      <c r="H133" s="606"/>
      <c r="I133" s="643"/>
      <c r="J133" s="659"/>
      <c r="K133" s="662"/>
      <c r="L133" s="560"/>
      <c r="M133" s="560"/>
      <c r="N133" s="442">
        <v>44804</v>
      </c>
      <c r="O133" s="624"/>
      <c r="P133" s="435">
        <v>704.78</v>
      </c>
      <c r="Q133" s="436" t="s">
        <v>527</v>
      </c>
      <c r="R133" s="437"/>
      <c r="S133" s="435"/>
      <c r="T133" s="435"/>
      <c r="U133" s="606"/>
      <c r="V133" s="886"/>
      <c r="W133" s="627"/>
      <c r="X133" s="2">
        <v>13</v>
      </c>
    </row>
    <row r="134" spans="1:24" x14ac:dyDescent="0.25">
      <c r="A134" s="603"/>
      <c r="B134" s="560"/>
      <c r="C134" s="560"/>
      <c r="D134" s="560"/>
      <c r="E134" s="560"/>
      <c r="F134" s="624"/>
      <c r="G134" s="635"/>
      <c r="H134" s="606"/>
      <c r="I134" s="643"/>
      <c r="J134" s="659"/>
      <c r="K134" s="662"/>
      <c r="L134" s="560"/>
      <c r="M134" s="560"/>
      <c r="N134" s="442">
        <v>44834</v>
      </c>
      <c r="O134" s="624"/>
      <c r="P134" s="435">
        <v>33.020000000000003</v>
      </c>
      <c r="Q134" s="436" t="s">
        <v>580</v>
      </c>
      <c r="R134" s="437"/>
      <c r="S134" s="435"/>
      <c r="T134" s="435"/>
      <c r="U134" s="606"/>
      <c r="V134" s="886"/>
      <c r="W134" s="627"/>
      <c r="X134" s="2">
        <v>13</v>
      </c>
    </row>
    <row r="135" spans="1:24" x14ac:dyDescent="0.25">
      <c r="A135" s="603"/>
      <c r="B135" s="560"/>
      <c r="C135" s="560"/>
      <c r="D135" s="560"/>
      <c r="E135" s="560"/>
      <c r="F135" s="624"/>
      <c r="G135" s="635"/>
      <c r="H135" s="606"/>
      <c r="I135" s="643"/>
      <c r="J135" s="659"/>
      <c r="K135" s="662"/>
      <c r="L135" s="560"/>
      <c r="M135" s="560"/>
      <c r="N135" s="442">
        <v>44834</v>
      </c>
      <c r="O135" s="624"/>
      <c r="P135" s="435">
        <v>805.62</v>
      </c>
      <c r="Q135" s="436" t="s">
        <v>580</v>
      </c>
      <c r="R135" s="437"/>
      <c r="S135" s="435"/>
      <c r="T135" s="435"/>
      <c r="U135" s="606"/>
      <c r="V135" s="886"/>
      <c r="W135" s="627"/>
      <c r="X135" s="2">
        <v>13</v>
      </c>
    </row>
    <row r="136" spans="1:24" x14ac:dyDescent="0.25">
      <c r="A136" s="603"/>
      <c r="B136" s="560"/>
      <c r="C136" s="560"/>
      <c r="D136" s="560"/>
      <c r="E136" s="560"/>
      <c r="F136" s="624"/>
      <c r="G136" s="635"/>
      <c r="H136" s="606"/>
      <c r="I136" s="643"/>
      <c r="J136" s="659"/>
      <c r="K136" s="662"/>
      <c r="L136" s="560"/>
      <c r="M136" s="560"/>
      <c r="N136" s="442">
        <v>44865</v>
      </c>
      <c r="O136" s="624"/>
      <c r="P136" s="435">
        <v>871.99</v>
      </c>
      <c r="Q136" s="436" t="s">
        <v>634</v>
      </c>
      <c r="R136" s="437"/>
      <c r="S136" s="435"/>
      <c r="T136" s="435"/>
      <c r="U136" s="606"/>
      <c r="V136" s="886"/>
      <c r="W136" s="627"/>
      <c r="X136" s="2">
        <v>13</v>
      </c>
    </row>
    <row r="137" spans="1:24" x14ac:dyDescent="0.25">
      <c r="A137" s="604"/>
      <c r="B137" s="561"/>
      <c r="C137" s="561"/>
      <c r="D137" s="561"/>
      <c r="E137" s="561"/>
      <c r="F137" s="625"/>
      <c r="G137" s="632"/>
      <c r="H137" s="607"/>
      <c r="I137" s="634"/>
      <c r="J137" s="660"/>
      <c r="K137" s="663"/>
      <c r="L137" s="561"/>
      <c r="M137" s="561"/>
      <c r="N137" s="443">
        <v>44895</v>
      </c>
      <c r="O137" s="625"/>
      <c r="P137" s="438">
        <v>1010.2</v>
      </c>
      <c r="Q137" s="439" t="s">
        <v>692</v>
      </c>
      <c r="R137" s="440"/>
      <c r="S137" s="438"/>
      <c r="T137" s="438"/>
      <c r="U137" s="607"/>
      <c r="V137" s="887"/>
      <c r="W137" s="628"/>
      <c r="X137" s="2">
        <v>13</v>
      </c>
    </row>
    <row r="138" spans="1:24" s="85" customFormat="1" ht="75" x14ac:dyDescent="0.25">
      <c r="A138" s="109">
        <v>14</v>
      </c>
      <c r="B138" s="110" t="s">
        <v>56</v>
      </c>
      <c r="C138" s="110"/>
      <c r="D138" s="110"/>
      <c r="E138" s="110" t="s">
        <v>213</v>
      </c>
      <c r="F138" s="115">
        <v>44634</v>
      </c>
      <c r="G138" s="111" t="s">
        <v>214</v>
      </c>
      <c r="H138" s="112">
        <v>3000</v>
      </c>
      <c r="I138" s="113">
        <f>IF(X138 = 14, H138 + SUM(S138:S138) - SUM(T138:T138) - SUM(P138:P138) - V138,0)</f>
        <v>0</v>
      </c>
      <c r="J138" s="116">
        <v>2311187588</v>
      </c>
      <c r="K138" s="117" t="s">
        <v>215</v>
      </c>
      <c r="L138" s="110"/>
      <c r="M138" s="110" t="s">
        <v>309</v>
      </c>
      <c r="N138" s="115">
        <v>45008</v>
      </c>
      <c r="O138" s="115" t="s">
        <v>159</v>
      </c>
      <c r="P138" s="112">
        <v>3000</v>
      </c>
      <c r="Q138" s="111">
        <v>44644</v>
      </c>
      <c r="R138" s="110"/>
      <c r="S138" s="112"/>
      <c r="T138" s="112"/>
      <c r="U138" s="112"/>
      <c r="V138" s="118"/>
      <c r="W138" s="108"/>
      <c r="X138" s="85">
        <v>14</v>
      </c>
    </row>
    <row r="139" spans="1:24" s="85" customFormat="1" ht="56.25" x14ac:dyDescent="0.25">
      <c r="A139" s="109">
        <v>15</v>
      </c>
      <c r="B139" s="110" t="s">
        <v>56</v>
      </c>
      <c r="C139" s="110"/>
      <c r="D139" s="110"/>
      <c r="E139" s="110" t="s">
        <v>219</v>
      </c>
      <c r="F139" s="115">
        <v>44645</v>
      </c>
      <c r="G139" s="111" t="s">
        <v>220</v>
      </c>
      <c r="H139" s="112">
        <v>19360</v>
      </c>
      <c r="I139" s="113">
        <f>IF(X139 = 15, H139 + SUM(S139:S139) - SUM(T139:T139) - SUM(P139:P139) - V139,0)</f>
        <v>0</v>
      </c>
      <c r="J139" s="116">
        <v>235303483777</v>
      </c>
      <c r="K139" s="117" t="s">
        <v>221</v>
      </c>
      <c r="L139" s="110"/>
      <c r="M139" s="110" t="s">
        <v>318</v>
      </c>
      <c r="N139" s="115">
        <v>44645</v>
      </c>
      <c r="O139" s="115" t="s">
        <v>159</v>
      </c>
      <c r="P139" s="112">
        <v>19360</v>
      </c>
      <c r="Q139" s="111">
        <v>44648</v>
      </c>
      <c r="R139" s="110"/>
      <c r="S139" s="112"/>
      <c r="T139" s="112"/>
      <c r="U139" s="112"/>
      <c r="V139" s="118"/>
      <c r="W139" s="108"/>
      <c r="X139" s="85">
        <v>15</v>
      </c>
    </row>
    <row r="140" spans="1:24" s="85" customFormat="1" ht="54" customHeight="1" x14ac:dyDescent="0.25">
      <c r="A140" s="602">
        <v>16</v>
      </c>
      <c r="B140" s="559" t="s">
        <v>56</v>
      </c>
      <c r="C140" s="559"/>
      <c r="D140" s="559"/>
      <c r="E140" s="559" t="s">
        <v>222</v>
      </c>
      <c r="F140" s="623">
        <v>44561</v>
      </c>
      <c r="G140" s="631" t="s">
        <v>223</v>
      </c>
      <c r="H140" s="605">
        <v>28583</v>
      </c>
      <c r="I140" s="633">
        <f>IF(X140 = 16, H140 + SUM(S140:S143) - SUM(T140:T143) - SUM(P140:P143) - V140,0)</f>
        <v>0</v>
      </c>
      <c r="J140" s="658">
        <v>2353018870</v>
      </c>
      <c r="K140" s="661" t="s">
        <v>224</v>
      </c>
      <c r="L140" s="559"/>
      <c r="M140" s="559" t="s">
        <v>322</v>
      </c>
      <c r="N140" s="441">
        <v>44648</v>
      </c>
      <c r="O140" s="623" t="s">
        <v>159</v>
      </c>
      <c r="P140" s="433">
        <v>7145.75</v>
      </c>
      <c r="Q140" s="432">
        <v>44650</v>
      </c>
      <c r="R140" s="431"/>
      <c r="S140" s="433"/>
      <c r="T140" s="433"/>
      <c r="U140" s="605"/>
      <c r="V140" s="885"/>
      <c r="W140" s="626"/>
      <c r="X140" s="85">
        <v>16</v>
      </c>
    </row>
    <row r="141" spans="1:24" x14ac:dyDescent="0.25">
      <c r="A141" s="603"/>
      <c r="B141" s="560"/>
      <c r="C141" s="560"/>
      <c r="D141" s="560"/>
      <c r="E141" s="560"/>
      <c r="F141" s="624"/>
      <c r="G141" s="635"/>
      <c r="H141" s="606"/>
      <c r="I141" s="643"/>
      <c r="J141" s="659"/>
      <c r="K141" s="662"/>
      <c r="L141" s="560"/>
      <c r="M141" s="560"/>
      <c r="N141" s="442">
        <v>44739</v>
      </c>
      <c r="O141" s="624"/>
      <c r="P141" s="435">
        <v>7145.75</v>
      </c>
      <c r="Q141" s="436" t="s">
        <v>411</v>
      </c>
      <c r="R141" s="437"/>
      <c r="S141" s="435"/>
      <c r="T141" s="435"/>
      <c r="U141" s="606"/>
      <c r="V141" s="886"/>
      <c r="W141" s="627"/>
      <c r="X141" s="2">
        <v>16</v>
      </c>
    </row>
    <row r="142" spans="1:24" x14ac:dyDescent="0.25">
      <c r="A142" s="603"/>
      <c r="B142" s="560"/>
      <c r="C142" s="560"/>
      <c r="D142" s="560"/>
      <c r="E142" s="560"/>
      <c r="F142" s="624"/>
      <c r="G142" s="635"/>
      <c r="H142" s="606"/>
      <c r="I142" s="643"/>
      <c r="J142" s="659"/>
      <c r="K142" s="662"/>
      <c r="L142" s="560"/>
      <c r="M142" s="560"/>
      <c r="N142" s="442">
        <v>44831</v>
      </c>
      <c r="O142" s="624"/>
      <c r="P142" s="435">
        <v>7145.75</v>
      </c>
      <c r="Q142" s="436" t="s">
        <v>531</v>
      </c>
      <c r="R142" s="437"/>
      <c r="S142" s="435"/>
      <c r="T142" s="435"/>
      <c r="U142" s="606"/>
      <c r="V142" s="886"/>
      <c r="W142" s="627"/>
      <c r="X142" s="2">
        <v>16</v>
      </c>
    </row>
    <row r="143" spans="1:24" x14ac:dyDescent="0.25">
      <c r="A143" s="604"/>
      <c r="B143" s="561"/>
      <c r="C143" s="561"/>
      <c r="D143" s="561"/>
      <c r="E143" s="561"/>
      <c r="F143" s="625"/>
      <c r="G143" s="632"/>
      <c r="H143" s="607"/>
      <c r="I143" s="634"/>
      <c r="J143" s="660"/>
      <c r="K143" s="663"/>
      <c r="L143" s="561"/>
      <c r="M143" s="561"/>
      <c r="N143" s="443">
        <v>44895</v>
      </c>
      <c r="O143" s="625"/>
      <c r="P143" s="438">
        <v>7145.75</v>
      </c>
      <c r="Q143" s="439" t="s">
        <v>687</v>
      </c>
      <c r="R143" s="440"/>
      <c r="S143" s="438"/>
      <c r="T143" s="438"/>
      <c r="U143" s="607"/>
      <c r="V143" s="887"/>
      <c r="W143" s="628"/>
      <c r="X143" s="2">
        <v>16</v>
      </c>
    </row>
    <row r="144" spans="1:24" s="85" customFormat="1" ht="54" customHeight="1" x14ac:dyDescent="0.25">
      <c r="A144" s="883">
        <v>17</v>
      </c>
      <c r="B144" s="652" t="s">
        <v>56</v>
      </c>
      <c r="C144" s="652"/>
      <c r="D144" s="652"/>
      <c r="E144" s="652" t="s">
        <v>202</v>
      </c>
      <c r="F144" s="654">
        <v>44621</v>
      </c>
      <c r="G144" s="656" t="s">
        <v>203</v>
      </c>
      <c r="H144" s="730">
        <v>41756</v>
      </c>
      <c r="I144" s="732">
        <f>IF(X144 = 17, H144 + SUM(S144:S145) - SUM(T144:T145) - SUM(P144:P145) - V144,0)</f>
        <v>0</v>
      </c>
      <c r="J144" s="737">
        <v>2353020735</v>
      </c>
      <c r="K144" s="739" t="s">
        <v>204</v>
      </c>
      <c r="L144" s="652"/>
      <c r="M144" s="652" t="s">
        <v>231</v>
      </c>
      <c r="N144" s="178">
        <v>44624</v>
      </c>
      <c r="O144" s="654" t="s">
        <v>159</v>
      </c>
      <c r="P144" s="172">
        <v>10956</v>
      </c>
      <c r="Q144" s="173">
        <v>44650</v>
      </c>
      <c r="R144" s="174"/>
      <c r="S144" s="172"/>
      <c r="T144" s="172"/>
      <c r="U144" s="730" t="s">
        <v>403</v>
      </c>
      <c r="V144" s="749">
        <v>7414</v>
      </c>
      <c r="W144" s="741"/>
      <c r="X144" s="85">
        <v>17</v>
      </c>
    </row>
    <row r="145" spans="1:24" x14ac:dyDescent="0.25">
      <c r="A145" s="884"/>
      <c r="B145" s="653"/>
      <c r="C145" s="653"/>
      <c r="D145" s="653"/>
      <c r="E145" s="653"/>
      <c r="F145" s="655"/>
      <c r="G145" s="657"/>
      <c r="H145" s="731"/>
      <c r="I145" s="733"/>
      <c r="J145" s="738"/>
      <c r="K145" s="740"/>
      <c r="L145" s="653"/>
      <c r="M145" s="653"/>
      <c r="N145" s="179">
        <v>44638</v>
      </c>
      <c r="O145" s="655"/>
      <c r="P145" s="175">
        <v>23386</v>
      </c>
      <c r="Q145" s="176" t="s">
        <v>252</v>
      </c>
      <c r="R145" s="177"/>
      <c r="S145" s="175"/>
      <c r="T145" s="175"/>
      <c r="U145" s="731"/>
      <c r="V145" s="750"/>
      <c r="W145" s="742"/>
      <c r="X145" s="2">
        <v>17</v>
      </c>
    </row>
    <row r="146" spans="1:24" s="85" customFormat="1" ht="36" customHeight="1" x14ac:dyDescent="0.25">
      <c r="A146" s="877">
        <v>18</v>
      </c>
      <c r="B146" s="670" t="s">
        <v>56</v>
      </c>
      <c r="C146" s="670"/>
      <c r="D146" s="670"/>
      <c r="E146" s="670" t="s">
        <v>213</v>
      </c>
      <c r="F146" s="751">
        <v>44621</v>
      </c>
      <c r="G146" s="880" t="s">
        <v>211</v>
      </c>
      <c r="H146" s="707">
        <v>131531.4</v>
      </c>
      <c r="I146" s="734">
        <f>IF(X146 = 18, H146 + SUM(S146:S149) - SUM(T146:T149) - SUM(P146:P149) - V146,0)</f>
        <v>7.2759576141834259E-12</v>
      </c>
      <c r="J146" s="710">
        <v>2353020735</v>
      </c>
      <c r="K146" s="713" t="s">
        <v>204</v>
      </c>
      <c r="L146" s="670"/>
      <c r="M146" s="670" t="s">
        <v>231</v>
      </c>
      <c r="N146" s="189">
        <v>44624</v>
      </c>
      <c r="O146" s="751" t="s">
        <v>159</v>
      </c>
      <c r="P146" s="180">
        <v>32440.69</v>
      </c>
      <c r="Q146" s="181">
        <v>44651</v>
      </c>
      <c r="R146" s="182"/>
      <c r="S146" s="180"/>
      <c r="T146" s="180"/>
      <c r="U146" s="707" t="s">
        <v>404</v>
      </c>
      <c r="V146" s="743">
        <v>23354.1</v>
      </c>
      <c r="W146" s="746"/>
      <c r="X146" s="85">
        <v>18</v>
      </c>
    </row>
    <row r="147" spans="1:24" x14ac:dyDescent="0.25">
      <c r="A147" s="878"/>
      <c r="B147" s="671"/>
      <c r="C147" s="671"/>
      <c r="D147" s="671"/>
      <c r="E147" s="671"/>
      <c r="F147" s="752"/>
      <c r="G147" s="881"/>
      <c r="H147" s="708"/>
      <c r="I147" s="735"/>
      <c r="J147" s="711"/>
      <c r="K147" s="714"/>
      <c r="L147" s="671"/>
      <c r="M147" s="671"/>
      <c r="N147" s="190">
        <v>44624</v>
      </c>
      <c r="O147" s="752"/>
      <c r="P147" s="183">
        <v>2070.71</v>
      </c>
      <c r="Q147" s="184">
        <v>44651</v>
      </c>
      <c r="R147" s="185"/>
      <c r="S147" s="183"/>
      <c r="T147" s="183"/>
      <c r="U147" s="708"/>
      <c r="V147" s="744"/>
      <c r="W147" s="747"/>
      <c r="X147" s="2">
        <v>18</v>
      </c>
    </row>
    <row r="148" spans="1:24" x14ac:dyDescent="0.25">
      <c r="A148" s="878"/>
      <c r="B148" s="671"/>
      <c r="C148" s="671"/>
      <c r="D148" s="671"/>
      <c r="E148" s="671"/>
      <c r="F148" s="752"/>
      <c r="G148" s="881"/>
      <c r="H148" s="708"/>
      <c r="I148" s="735"/>
      <c r="J148" s="711"/>
      <c r="K148" s="714"/>
      <c r="L148" s="671"/>
      <c r="M148" s="671"/>
      <c r="N148" s="190">
        <v>44638</v>
      </c>
      <c r="O148" s="752"/>
      <c r="P148" s="183">
        <v>69245.899999999994</v>
      </c>
      <c r="Q148" s="184" t="s">
        <v>253</v>
      </c>
      <c r="R148" s="185"/>
      <c r="S148" s="183"/>
      <c r="T148" s="183"/>
      <c r="U148" s="708"/>
      <c r="V148" s="744"/>
      <c r="W148" s="747"/>
      <c r="X148" s="2">
        <v>18</v>
      </c>
    </row>
    <row r="149" spans="1:24" x14ac:dyDescent="0.25">
      <c r="A149" s="879"/>
      <c r="B149" s="672"/>
      <c r="C149" s="672"/>
      <c r="D149" s="672"/>
      <c r="E149" s="672"/>
      <c r="F149" s="753"/>
      <c r="G149" s="882"/>
      <c r="H149" s="709"/>
      <c r="I149" s="736"/>
      <c r="J149" s="712"/>
      <c r="K149" s="715"/>
      <c r="L149" s="672"/>
      <c r="M149" s="672"/>
      <c r="N149" s="191">
        <v>44638</v>
      </c>
      <c r="O149" s="753"/>
      <c r="P149" s="186">
        <v>4420</v>
      </c>
      <c r="Q149" s="187" t="s">
        <v>253</v>
      </c>
      <c r="R149" s="188"/>
      <c r="S149" s="186"/>
      <c r="T149" s="186"/>
      <c r="U149" s="709"/>
      <c r="V149" s="745"/>
      <c r="W149" s="748"/>
      <c r="X149" s="2">
        <v>18</v>
      </c>
    </row>
    <row r="150" spans="1:24" s="85" customFormat="1" ht="54" customHeight="1" x14ac:dyDescent="0.25">
      <c r="A150" s="593">
        <v>19</v>
      </c>
      <c r="B150" s="670" t="s">
        <v>56</v>
      </c>
      <c r="C150" s="579" t="s">
        <v>261</v>
      </c>
      <c r="D150" s="579"/>
      <c r="E150" s="579" t="s">
        <v>262</v>
      </c>
      <c r="F150" s="596">
        <v>44581</v>
      </c>
      <c r="G150" s="599" t="s">
        <v>257</v>
      </c>
      <c r="H150" s="582">
        <v>9240</v>
      </c>
      <c r="I150" s="585">
        <f>IF(X150 = 19, H150 + SUM(S150:S153) - SUM(T150:T153) - SUM(P150:P153) - V150,0)</f>
        <v>0</v>
      </c>
      <c r="J150" s="699">
        <v>2353020735</v>
      </c>
      <c r="K150" s="728" t="s">
        <v>204</v>
      </c>
      <c r="L150" s="579"/>
      <c r="M150" s="579" t="s">
        <v>209</v>
      </c>
      <c r="N150" s="226">
        <v>44638</v>
      </c>
      <c r="O150" s="596" t="s">
        <v>258</v>
      </c>
      <c r="P150" s="220">
        <v>1408</v>
      </c>
      <c r="Q150" s="221" t="s">
        <v>263</v>
      </c>
      <c r="R150" s="222"/>
      <c r="S150" s="220"/>
      <c r="T150" s="220"/>
      <c r="U150" s="582" t="s">
        <v>420</v>
      </c>
      <c r="V150" s="722">
        <v>2926</v>
      </c>
      <c r="W150" s="611"/>
      <c r="X150" s="85">
        <v>19</v>
      </c>
    </row>
    <row r="151" spans="1:24" x14ac:dyDescent="0.25">
      <c r="A151" s="594"/>
      <c r="B151" s="671"/>
      <c r="C151" s="580"/>
      <c r="D151" s="580"/>
      <c r="E151" s="580"/>
      <c r="F151" s="597"/>
      <c r="G151" s="600"/>
      <c r="H151" s="583"/>
      <c r="I151" s="586"/>
      <c r="J151" s="876"/>
      <c r="K151" s="875"/>
      <c r="L151" s="580"/>
      <c r="M151" s="580"/>
      <c r="N151" s="231">
        <v>44651</v>
      </c>
      <c r="O151" s="597"/>
      <c r="P151" s="228">
        <v>1716</v>
      </c>
      <c r="Q151" s="229" t="s">
        <v>255</v>
      </c>
      <c r="R151" s="230"/>
      <c r="S151" s="228"/>
      <c r="T151" s="228"/>
      <c r="U151" s="583"/>
      <c r="V151" s="723"/>
      <c r="W151" s="612"/>
      <c r="X151" s="2">
        <v>19</v>
      </c>
    </row>
    <row r="152" spans="1:24" x14ac:dyDescent="0.25">
      <c r="A152" s="594"/>
      <c r="B152" s="671"/>
      <c r="C152" s="580"/>
      <c r="D152" s="580"/>
      <c r="E152" s="580"/>
      <c r="F152" s="597"/>
      <c r="G152" s="600"/>
      <c r="H152" s="583"/>
      <c r="I152" s="586"/>
      <c r="J152" s="876"/>
      <c r="K152" s="875"/>
      <c r="L152" s="580"/>
      <c r="M152" s="580"/>
      <c r="N152" s="231">
        <v>44680</v>
      </c>
      <c r="O152" s="597"/>
      <c r="P152" s="228">
        <v>2112</v>
      </c>
      <c r="Q152" s="229" t="s">
        <v>243</v>
      </c>
      <c r="R152" s="230"/>
      <c r="S152" s="228"/>
      <c r="T152" s="228"/>
      <c r="U152" s="583"/>
      <c r="V152" s="723"/>
      <c r="W152" s="612"/>
      <c r="X152" s="2">
        <v>19</v>
      </c>
    </row>
    <row r="153" spans="1:24" x14ac:dyDescent="0.25">
      <c r="A153" s="595"/>
      <c r="B153" s="672"/>
      <c r="C153" s="581"/>
      <c r="D153" s="581"/>
      <c r="E153" s="581"/>
      <c r="F153" s="598"/>
      <c r="G153" s="601"/>
      <c r="H153" s="584"/>
      <c r="I153" s="587"/>
      <c r="J153" s="700"/>
      <c r="K153" s="729"/>
      <c r="L153" s="581"/>
      <c r="M153" s="581"/>
      <c r="N153" s="227">
        <v>44701</v>
      </c>
      <c r="O153" s="598"/>
      <c r="P153" s="223">
        <v>1078</v>
      </c>
      <c r="Q153" s="224" t="s">
        <v>381</v>
      </c>
      <c r="R153" s="225"/>
      <c r="S153" s="223"/>
      <c r="T153" s="223"/>
      <c r="U153" s="584"/>
      <c r="V153" s="724"/>
      <c r="W153" s="613"/>
      <c r="X153" s="2">
        <v>19</v>
      </c>
    </row>
    <row r="154" spans="1:24" s="85" customFormat="1" ht="56.25" x14ac:dyDescent="0.25">
      <c r="A154" s="157">
        <v>20</v>
      </c>
      <c r="B154" s="158" t="s">
        <v>56</v>
      </c>
      <c r="C154" s="158"/>
      <c r="D154" s="158"/>
      <c r="E154" s="158" t="s">
        <v>271</v>
      </c>
      <c r="F154" s="193">
        <v>44621</v>
      </c>
      <c r="G154" s="159" t="s">
        <v>156</v>
      </c>
      <c r="H154" s="160">
        <v>59520</v>
      </c>
      <c r="I154" s="161">
        <f>IF(X154 = 20, H154 + SUM(S154:S154) - SUM(T154:T154) - SUM(P154:P154) - V154,0)</f>
        <v>0</v>
      </c>
      <c r="J154" s="162">
        <v>2304067057</v>
      </c>
      <c r="K154" s="163" t="s">
        <v>157</v>
      </c>
      <c r="L154" s="158"/>
      <c r="M154" s="158" t="s">
        <v>272</v>
      </c>
      <c r="N154" s="193">
        <v>44651</v>
      </c>
      <c r="O154" s="193" t="s">
        <v>273</v>
      </c>
      <c r="P154" s="160">
        <v>59520</v>
      </c>
      <c r="Q154" s="159" t="s">
        <v>238</v>
      </c>
      <c r="R154" s="158"/>
      <c r="S154" s="160"/>
      <c r="T154" s="160"/>
      <c r="U154" s="160"/>
      <c r="V154" s="167"/>
      <c r="W154" s="168"/>
      <c r="X154" s="85">
        <v>20</v>
      </c>
    </row>
    <row r="155" spans="1:24" s="85" customFormat="1" ht="75" x14ac:dyDescent="0.25">
      <c r="A155" s="157">
        <v>21</v>
      </c>
      <c r="B155" s="158" t="s">
        <v>56</v>
      </c>
      <c r="C155" s="158"/>
      <c r="D155" s="158"/>
      <c r="E155" s="158" t="s">
        <v>281</v>
      </c>
      <c r="F155" s="193">
        <v>44652</v>
      </c>
      <c r="G155" s="159" t="s">
        <v>160</v>
      </c>
      <c r="H155" s="160">
        <v>120540</v>
      </c>
      <c r="I155" s="161">
        <f>IF(X155 = 21, H155 + SUM(S155:S155) - SUM(T155:T155) - SUM(P155:P155) - V155,0)</f>
        <v>0</v>
      </c>
      <c r="J155" s="162">
        <v>235300578903</v>
      </c>
      <c r="K155" s="163" t="s">
        <v>161</v>
      </c>
      <c r="L155" s="158"/>
      <c r="M155" s="158" t="s">
        <v>284</v>
      </c>
      <c r="N155" s="193">
        <v>44681</v>
      </c>
      <c r="O155" s="193" t="s">
        <v>283</v>
      </c>
      <c r="P155" s="160">
        <v>120540</v>
      </c>
      <c r="Q155" s="159" t="s">
        <v>282</v>
      </c>
      <c r="R155" s="158"/>
      <c r="S155" s="160"/>
      <c r="T155" s="160"/>
      <c r="U155" s="160"/>
      <c r="V155" s="167"/>
      <c r="W155" s="168"/>
      <c r="X155" s="85">
        <v>21</v>
      </c>
    </row>
    <row r="156" spans="1:24" s="85" customFormat="1" ht="56.25" x14ac:dyDescent="0.25">
      <c r="A156" s="195">
        <v>22</v>
      </c>
      <c r="B156" s="196" t="s">
        <v>56</v>
      </c>
      <c r="C156" s="196"/>
      <c r="D156" s="196"/>
      <c r="E156" s="196" t="s">
        <v>319</v>
      </c>
      <c r="F156" s="203">
        <v>44656</v>
      </c>
      <c r="G156" s="197" t="s">
        <v>320</v>
      </c>
      <c r="H156" s="198">
        <v>6500</v>
      </c>
      <c r="I156" s="199">
        <f>IF(X156 = 23, H156 + SUM(S156:S156) - SUM(T156:T156) - SUM(P156:P156) - V156,0)</f>
        <v>0</v>
      </c>
      <c r="J156" s="200">
        <v>2353018870</v>
      </c>
      <c r="K156" s="201" t="s">
        <v>224</v>
      </c>
      <c r="L156" s="196"/>
      <c r="M156" s="196" t="s">
        <v>321</v>
      </c>
      <c r="N156" s="203">
        <v>44704</v>
      </c>
      <c r="O156" s="203" t="s">
        <v>502</v>
      </c>
      <c r="P156" s="198">
        <v>6500</v>
      </c>
      <c r="Q156" s="197" t="s">
        <v>245</v>
      </c>
      <c r="R156" s="196"/>
      <c r="S156" s="198"/>
      <c r="T156" s="198"/>
      <c r="U156" s="198"/>
      <c r="V156" s="202"/>
      <c r="W156" s="194"/>
      <c r="X156" s="85">
        <v>23</v>
      </c>
    </row>
    <row r="157" spans="1:24" s="85" customFormat="1" ht="54" customHeight="1" x14ac:dyDescent="0.25">
      <c r="A157" s="866">
        <v>23</v>
      </c>
      <c r="B157" s="664" t="s">
        <v>56</v>
      </c>
      <c r="C157" s="664"/>
      <c r="D157" s="664"/>
      <c r="E157" s="664" t="s">
        <v>362</v>
      </c>
      <c r="F157" s="667">
        <v>44682</v>
      </c>
      <c r="G157" s="673" t="s">
        <v>160</v>
      </c>
      <c r="H157" s="716">
        <v>289800</v>
      </c>
      <c r="I157" s="701">
        <f>IF(X157 = 24, H157 + SUM(S157:S160) - SUM(T157:T160) - SUM(P157:P160) - V157,0)</f>
        <v>0</v>
      </c>
      <c r="J157" s="704">
        <v>235300578903</v>
      </c>
      <c r="K157" s="863" t="s">
        <v>161</v>
      </c>
      <c r="L157" s="664"/>
      <c r="M157" s="664" t="s">
        <v>363</v>
      </c>
      <c r="N157" s="367">
        <v>44712</v>
      </c>
      <c r="O157" s="667" t="s">
        <v>364</v>
      </c>
      <c r="P157" s="352">
        <v>102154.5</v>
      </c>
      <c r="Q157" s="353" t="s">
        <v>383</v>
      </c>
      <c r="R157" s="354"/>
      <c r="S157" s="352"/>
      <c r="T157" s="352"/>
      <c r="U157" s="716" t="s">
        <v>545</v>
      </c>
      <c r="V157" s="719">
        <v>67620</v>
      </c>
      <c r="W157" s="725"/>
      <c r="X157" s="85">
        <v>24</v>
      </c>
    </row>
    <row r="158" spans="1:24" x14ac:dyDescent="0.25">
      <c r="A158" s="868"/>
      <c r="B158" s="665"/>
      <c r="C158" s="665"/>
      <c r="D158" s="665"/>
      <c r="E158" s="665"/>
      <c r="F158" s="668"/>
      <c r="G158" s="674"/>
      <c r="H158" s="717"/>
      <c r="I158" s="702"/>
      <c r="J158" s="705"/>
      <c r="K158" s="864"/>
      <c r="L158" s="665"/>
      <c r="M158" s="665"/>
      <c r="N158" s="368">
        <v>44742</v>
      </c>
      <c r="O158" s="668"/>
      <c r="P158" s="355">
        <v>83800.5</v>
      </c>
      <c r="Q158" s="356" t="s">
        <v>443</v>
      </c>
      <c r="R158" s="357"/>
      <c r="S158" s="355"/>
      <c r="T158" s="355"/>
      <c r="U158" s="717"/>
      <c r="V158" s="720"/>
      <c r="W158" s="726"/>
      <c r="X158" s="2">
        <v>24</v>
      </c>
    </row>
    <row r="159" spans="1:24" x14ac:dyDescent="0.25">
      <c r="A159" s="868"/>
      <c r="B159" s="665"/>
      <c r="C159" s="665"/>
      <c r="D159" s="665"/>
      <c r="E159" s="665"/>
      <c r="F159" s="668"/>
      <c r="G159" s="674"/>
      <c r="H159" s="717"/>
      <c r="I159" s="702"/>
      <c r="J159" s="705"/>
      <c r="K159" s="864"/>
      <c r="L159" s="665"/>
      <c r="M159" s="665"/>
      <c r="N159" s="368">
        <v>44771</v>
      </c>
      <c r="O159" s="668"/>
      <c r="P159" s="355">
        <v>26806.5</v>
      </c>
      <c r="Q159" s="356" t="s">
        <v>488</v>
      </c>
      <c r="R159" s="357"/>
      <c r="S159" s="355"/>
      <c r="T159" s="355"/>
      <c r="U159" s="717"/>
      <c r="V159" s="720"/>
      <c r="W159" s="726"/>
      <c r="X159" s="2">
        <v>24</v>
      </c>
    </row>
    <row r="160" spans="1:24" x14ac:dyDescent="0.25">
      <c r="A160" s="867"/>
      <c r="B160" s="666"/>
      <c r="C160" s="666"/>
      <c r="D160" s="666"/>
      <c r="E160" s="666"/>
      <c r="F160" s="669"/>
      <c r="G160" s="675"/>
      <c r="H160" s="718"/>
      <c r="I160" s="703"/>
      <c r="J160" s="706"/>
      <c r="K160" s="865"/>
      <c r="L160" s="666"/>
      <c r="M160" s="666"/>
      <c r="N160" s="369">
        <v>44804</v>
      </c>
      <c r="O160" s="669"/>
      <c r="P160" s="363">
        <v>9418.5</v>
      </c>
      <c r="Q160" s="364" t="s">
        <v>529</v>
      </c>
      <c r="R160" s="365"/>
      <c r="S160" s="363"/>
      <c r="T160" s="363"/>
      <c r="U160" s="718"/>
      <c r="V160" s="721"/>
      <c r="W160" s="727"/>
      <c r="X160" s="2">
        <v>24</v>
      </c>
    </row>
    <row r="161" spans="1:24" s="85" customFormat="1" ht="56.25" x14ac:dyDescent="0.25">
      <c r="A161" s="195">
        <v>24</v>
      </c>
      <c r="B161" s="196" t="s">
        <v>56</v>
      </c>
      <c r="C161" s="196"/>
      <c r="D161" s="196"/>
      <c r="E161" s="196" t="s">
        <v>365</v>
      </c>
      <c r="F161" s="203">
        <v>44686</v>
      </c>
      <c r="G161" s="197" t="s">
        <v>286</v>
      </c>
      <c r="H161" s="198">
        <v>97900</v>
      </c>
      <c r="I161" s="199">
        <f>IF(X161 = 25, H161 + SUM(S161:S161) - SUM(T161:T161) - SUM(P161:P161) - V161,0)</f>
        <v>0</v>
      </c>
      <c r="J161" s="200">
        <v>7729656731</v>
      </c>
      <c r="K161" s="201" t="s">
        <v>366</v>
      </c>
      <c r="L161" s="196"/>
      <c r="M161" s="196" t="s">
        <v>367</v>
      </c>
      <c r="N161" s="203">
        <v>44713</v>
      </c>
      <c r="O161" s="203" t="s">
        <v>368</v>
      </c>
      <c r="P161" s="198">
        <v>97900</v>
      </c>
      <c r="Q161" s="197" t="s">
        <v>385</v>
      </c>
      <c r="R161" s="196"/>
      <c r="S161" s="198"/>
      <c r="T161" s="198"/>
      <c r="U161" s="198"/>
      <c r="V161" s="202"/>
      <c r="W161" s="194"/>
      <c r="X161" s="85">
        <v>25</v>
      </c>
    </row>
    <row r="162" spans="1:24" s="85" customFormat="1" ht="54" customHeight="1" x14ac:dyDescent="0.25">
      <c r="A162" s="593">
        <v>25</v>
      </c>
      <c r="B162" s="579" t="s">
        <v>56</v>
      </c>
      <c r="C162" s="579"/>
      <c r="D162" s="579"/>
      <c r="E162" s="579" t="s">
        <v>369</v>
      </c>
      <c r="F162" s="596">
        <v>44695</v>
      </c>
      <c r="G162" s="599" t="s">
        <v>370</v>
      </c>
      <c r="H162" s="582">
        <v>7815</v>
      </c>
      <c r="I162" s="585">
        <f>IF(X162 = 26, H162 + SUM(S162:S163) - SUM(T162:T163) - SUM(P162:P163) - V162,0)</f>
        <v>0</v>
      </c>
      <c r="J162" s="699">
        <v>2636040789</v>
      </c>
      <c r="K162" s="728" t="s">
        <v>372</v>
      </c>
      <c r="L162" s="579"/>
      <c r="M162" s="579" t="s">
        <v>371</v>
      </c>
      <c r="N162" s="226">
        <v>44708</v>
      </c>
      <c r="O162" s="596" t="s">
        <v>373</v>
      </c>
      <c r="P162" s="220">
        <v>6925</v>
      </c>
      <c r="Q162" s="221" t="s">
        <v>323</v>
      </c>
      <c r="R162" s="222"/>
      <c r="S162" s="220"/>
      <c r="T162" s="220"/>
      <c r="U162" s="582"/>
      <c r="V162" s="722"/>
      <c r="W162" s="611"/>
      <c r="X162" s="85">
        <v>26</v>
      </c>
    </row>
    <row r="163" spans="1:24" x14ac:dyDescent="0.25">
      <c r="A163" s="595"/>
      <c r="B163" s="581"/>
      <c r="C163" s="581"/>
      <c r="D163" s="581"/>
      <c r="E163" s="581"/>
      <c r="F163" s="598"/>
      <c r="G163" s="601"/>
      <c r="H163" s="584"/>
      <c r="I163" s="587"/>
      <c r="J163" s="700"/>
      <c r="K163" s="729"/>
      <c r="L163" s="581"/>
      <c r="M163" s="581"/>
      <c r="N163" s="227">
        <v>44708</v>
      </c>
      <c r="O163" s="598"/>
      <c r="P163" s="223">
        <v>890</v>
      </c>
      <c r="Q163" s="224" t="s">
        <v>323</v>
      </c>
      <c r="R163" s="225"/>
      <c r="S163" s="223"/>
      <c r="T163" s="223"/>
      <c r="U163" s="584"/>
      <c r="V163" s="724"/>
      <c r="W163" s="613"/>
      <c r="X163" s="2">
        <v>26</v>
      </c>
    </row>
    <row r="164" spans="1:24" s="85" customFormat="1" ht="75" x14ac:dyDescent="0.25">
      <c r="A164" s="195">
        <v>26</v>
      </c>
      <c r="B164" s="196" t="s">
        <v>56</v>
      </c>
      <c r="C164" s="196"/>
      <c r="D164" s="196"/>
      <c r="E164" s="196" t="s">
        <v>374</v>
      </c>
      <c r="F164" s="203" t="s">
        <v>375</v>
      </c>
      <c r="G164" s="197" t="s">
        <v>376</v>
      </c>
      <c r="H164" s="198">
        <v>6400</v>
      </c>
      <c r="I164" s="199">
        <f>IF(X164 = 27, H164 + SUM(S164:S164) - SUM(T164:T164) - SUM(P164:P164) - V164,0)</f>
        <v>0</v>
      </c>
      <c r="J164" s="200">
        <v>234602203000</v>
      </c>
      <c r="K164" s="201" t="s">
        <v>378</v>
      </c>
      <c r="L164" s="196"/>
      <c r="M164" s="196" t="s">
        <v>150</v>
      </c>
      <c r="N164" s="203">
        <v>44708</v>
      </c>
      <c r="O164" s="203" t="s">
        <v>377</v>
      </c>
      <c r="P164" s="198">
        <v>6400</v>
      </c>
      <c r="Q164" s="197" t="s">
        <v>323</v>
      </c>
      <c r="R164" s="196"/>
      <c r="S164" s="198"/>
      <c r="T164" s="198"/>
      <c r="U164" s="198"/>
      <c r="V164" s="202"/>
      <c r="W164" s="194"/>
      <c r="X164" s="85">
        <v>27</v>
      </c>
    </row>
    <row r="165" spans="1:24" s="85" customFormat="1" ht="54" customHeight="1" x14ac:dyDescent="0.25">
      <c r="A165" s="270">
        <v>27</v>
      </c>
      <c r="B165" s="268" t="s">
        <v>56</v>
      </c>
      <c r="C165" s="268"/>
      <c r="D165" s="268"/>
      <c r="E165" s="268" t="s">
        <v>390</v>
      </c>
      <c r="F165" s="269" t="s">
        <v>391</v>
      </c>
      <c r="G165" s="267" t="s">
        <v>392</v>
      </c>
      <c r="H165" s="266">
        <v>19500</v>
      </c>
      <c r="I165" s="271">
        <f>IF(X165 = 29, H165 + SUM(S165:S165) - SUM(T165:T165) - SUM(P165:P165) - V165,0)</f>
        <v>0</v>
      </c>
      <c r="J165" s="272">
        <v>2312068671</v>
      </c>
      <c r="K165" s="273" t="s">
        <v>393</v>
      </c>
      <c r="L165" s="268"/>
      <c r="M165" s="268" t="s">
        <v>394</v>
      </c>
      <c r="N165" s="269">
        <v>44733</v>
      </c>
      <c r="O165" s="269" t="s">
        <v>395</v>
      </c>
      <c r="P165" s="266">
        <v>19500</v>
      </c>
      <c r="Q165" s="267" t="s">
        <v>389</v>
      </c>
      <c r="R165" s="268"/>
      <c r="S165" s="266"/>
      <c r="T165" s="266"/>
      <c r="U165" s="266"/>
      <c r="V165" s="274"/>
      <c r="W165" s="275"/>
      <c r="X165" s="85">
        <v>29</v>
      </c>
    </row>
    <row r="166" spans="1:24" s="85" customFormat="1" ht="54" customHeight="1" x14ac:dyDescent="0.25">
      <c r="A166" s="556">
        <v>28</v>
      </c>
      <c r="B166" s="550" t="s">
        <v>56</v>
      </c>
      <c r="C166" s="550"/>
      <c r="D166" s="550"/>
      <c r="E166" s="550" t="s">
        <v>421</v>
      </c>
      <c r="F166" s="620" t="s">
        <v>375</v>
      </c>
      <c r="G166" s="553" t="s">
        <v>422</v>
      </c>
      <c r="H166" s="547">
        <v>34104</v>
      </c>
      <c r="I166" s="576">
        <f>IF(X166 = 30, H166 + SUM(S166:S167) - SUM(T166:T167) - SUM(P166:P167) - V166,0)</f>
        <v>0</v>
      </c>
      <c r="J166" s="859">
        <v>23530020735</v>
      </c>
      <c r="K166" s="861" t="s">
        <v>204</v>
      </c>
      <c r="L166" s="550"/>
      <c r="M166" s="550" t="s">
        <v>423</v>
      </c>
      <c r="N166" s="296">
        <v>44731</v>
      </c>
      <c r="O166" s="620" t="s">
        <v>424</v>
      </c>
      <c r="P166" s="290">
        <v>14616</v>
      </c>
      <c r="Q166" s="291" t="s">
        <v>441</v>
      </c>
      <c r="R166" s="292"/>
      <c r="S166" s="290"/>
      <c r="T166" s="290"/>
      <c r="U166" s="547"/>
      <c r="V166" s="857"/>
      <c r="W166" s="608"/>
      <c r="X166" s="85">
        <v>30</v>
      </c>
    </row>
    <row r="167" spans="1:24" x14ac:dyDescent="0.25">
      <c r="A167" s="558"/>
      <c r="B167" s="552"/>
      <c r="C167" s="552"/>
      <c r="D167" s="552"/>
      <c r="E167" s="552"/>
      <c r="F167" s="622"/>
      <c r="G167" s="555"/>
      <c r="H167" s="549"/>
      <c r="I167" s="578"/>
      <c r="J167" s="860"/>
      <c r="K167" s="862"/>
      <c r="L167" s="552"/>
      <c r="M167" s="552"/>
      <c r="N167" s="297">
        <v>44731</v>
      </c>
      <c r="O167" s="622"/>
      <c r="P167" s="293">
        <v>19488</v>
      </c>
      <c r="Q167" s="294" t="s">
        <v>441</v>
      </c>
      <c r="R167" s="295"/>
      <c r="S167" s="293"/>
      <c r="T167" s="293"/>
      <c r="U167" s="549"/>
      <c r="V167" s="858"/>
      <c r="W167" s="610"/>
      <c r="X167" s="2">
        <v>30</v>
      </c>
    </row>
    <row r="168" spans="1:24" s="85" customFormat="1" ht="75" x14ac:dyDescent="0.25">
      <c r="A168" s="262">
        <v>29</v>
      </c>
      <c r="B168" s="256" t="s">
        <v>56</v>
      </c>
      <c r="C168" s="256"/>
      <c r="D168" s="256"/>
      <c r="E168" s="256" t="s">
        <v>425</v>
      </c>
      <c r="F168" s="265" t="s">
        <v>375</v>
      </c>
      <c r="G168" s="257" t="s">
        <v>422</v>
      </c>
      <c r="H168" s="258">
        <v>77940</v>
      </c>
      <c r="I168" s="260">
        <f>IF(X168 = 31, H168 + SUM(S168:S168) - SUM(T168:T168) - SUM(P168:P168) - V168,0)</f>
        <v>0</v>
      </c>
      <c r="J168" s="285">
        <v>23530020735</v>
      </c>
      <c r="K168" s="286" t="s">
        <v>204</v>
      </c>
      <c r="L168" s="256"/>
      <c r="M168" s="256" t="s">
        <v>423</v>
      </c>
      <c r="N168" s="265">
        <v>44731</v>
      </c>
      <c r="O168" s="265" t="s">
        <v>424</v>
      </c>
      <c r="P168" s="258">
        <v>77940</v>
      </c>
      <c r="Q168" s="257" t="s">
        <v>441</v>
      </c>
      <c r="R168" s="256"/>
      <c r="S168" s="258"/>
      <c r="T168" s="258"/>
      <c r="U168" s="258"/>
      <c r="V168" s="287"/>
      <c r="W168" s="255"/>
      <c r="X168" s="85">
        <v>31</v>
      </c>
    </row>
    <row r="169" spans="1:24" s="85" customFormat="1" ht="56.25" x14ac:dyDescent="0.25">
      <c r="A169" s="276">
        <v>30</v>
      </c>
      <c r="B169" s="277" t="s">
        <v>56</v>
      </c>
      <c r="C169" s="277"/>
      <c r="D169" s="277"/>
      <c r="E169" s="277" t="s">
        <v>436</v>
      </c>
      <c r="F169" s="289" t="s">
        <v>437</v>
      </c>
      <c r="G169" s="278" t="s">
        <v>438</v>
      </c>
      <c r="H169" s="279">
        <v>94468</v>
      </c>
      <c r="I169" s="280">
        <f>IF(X169 = 32, H169 + SUM(S169:S169) - SUM(T169:T169) - SUM(P169:P169) - V169,0)</f>
        <v>0</v>
      </c>
      <c r="J169" s="281">
        <v>235305536400</v>
      </c>
      <c r="K169" s="282" t="s">
        <v>439</v>
      </c>
      <c r="L169" s="277"/>
      <c r="M169" s="277" t="s">
        <v>440</v>
      </c>
      <c r="N169" s="289">
        <v>44769</v>
      </c>
      <c r="O169" s="289" t="s">
        <v>501</v>
      </c>
      <c r="P169" s="279">
        <v>94468</v>
      </c>
      <c r="Q169" s="278" t="s">
        <v>485</v>
      </c>
      <c r="R169" s="277"/>
      <c r="S169" s="279"/>
      <c r="T169" s="279"/>
      <c r="U169" s="279"/>
      <c r="V169" s="283"/>
      <c r="W169" s="284"/>
      <c r="X169" s="85">
        <v>32</v>
      </c>
    </row>
    <row r="170" spans="1:24" s="85" customFormat="1" ht="56.25" x14ac:dyDescent="0.25">
      <c r="A170" s="302">
        <v>31</v>
      </c>
      <c r="B170" s="303" t="s">
        <v>56</v>
      </c>
      <c r="C170" s="303"/>
      <c r="D170" s="303"/>
      <c r="E170" s="303" t="s">
        <v>462</v>
      </c>
      <c r="F170" s="309" t="s">
        <v>463</v>
      </c>
      <c r="G170" s="304" t="s">
        <v>504</v>
      </c>
      <c r="H170" s="305">
        <v>2840</v>
      </c>
      <c r="I170" s="306">
        <f>IF(X170 = 33, H170 + SUM(S170:S170) - SUM(T170:T170) - SUM(P170:P170) - V170,0)</f>
        <v>0</v>
      </c>
      <c r="J170" s="311">
        <v>235000239811</v>
      </c>
      <c r="K170" s="312" t="s">
        <v>464</v>
      </c>
      <c r="L170" s="303"/>
      <c r="M170" s="303" t="s">
        <v>465</v>
      </c>
      <c r="N170" s="309">
        <v>44792</v>
      </c>
      <c r="O170" s="309" t="s">
        <v>501</v>
      </c>
      <c r="P170" s="305">
        <v>2840</v>
      </c>
      <c r="Q170" s="304" t="s">
        <v>490</v>
      </c>
      <c r="R170" s="303"/>
      <c r="S170" s="305"/>
      <c r="T170" s="305"/>
      <c r="U170" s="305"/>
      <c r="V170" s="310"/>
      <c r="W170" s="307"/>
      <c r="X170" s="85">
        <v>33</v>
      </c>
    </row>
    <row r="171" spans="1:24" s="85" customFormat="1" ht="54" customHeight="1" x14ac:dyDescent="0.25">
      <c r="A171" s="676">
        <v>32</v>
      </c>
      <c r="B171" s="685" t="s">
        <v>56</v>
      </c>
      <c r="C171" s="685"/>
      <c r="D171" s="685"/>
      <c r="E171" s="685" t="s">
        <v>470</v>
      </c>
      <c r="F171" s="678" t="s">
        <v>469</v>
      </c>
      <c r="G171" s="691" t="s">
        <v>468</v>
      </c>
      <c r="H171" s="683">
        <v>6310</v>
      </c>
      <c r="I171" s="693">
        <f>IF(X171 = 34, H171 + SUM(S171:S172) - SUM(T171:T172) - SUM(P171:P172) - V171,0)</f>
        <v>0</v>
      </c>
      <c r="J171" s="695">
        <v>235306893387</v>
      </c>
      <c r="K171" s="697" t="s">
        <v>467</v>
      </c>
      <c r="L171" s="685"/>
      <c r="M171" s="685" t="s">
        <v>466</v>
      </c>
      <c r="N171" s="319">
        <v>44797</v>
      </c>
      <c r="O171" s="678" t="s">
        <v>501</v>
      </c>
      <c r="P171" s="313">
        <v>2710</v>
      </c>
      <c r="Q171" s="314" t="s">
        <v>490</v>
      </c>
      <c r="R171" s="315"/>
      <c r="S171" s="313"/>
      <c r="T171" s="313"/>
      <c r="U171" s="683"/>
      <c r="V171" s="687"/>
      <c r="W171" s="689"/>
      <c r="X171" s="85">
        <v>34</v>
      </c>
    </row>
    <row r="172" spans="1:24" x14ac:dyDescent="0.25">
      <c r="A172" s="677"/>
      <c r="B172" s="686"/>
      <c r="C172" s="686"/>
      <c r="D172" s="686"/>
      <c r="E172" s="686"/>
      <c r="F172" s="679"/>
      <c r="G172" s="692"/>
      <c r="H172" s="684"/>
      <c r="I172" s="694"/>
      <c r="J172" s="696"/>
      <c r="K172" s="698"/>
      <c r="L172" s="686"/>
      <c r="M172" s="686"/>
      <c r="N172" s="320">
        <v>44797</v>
      </c>
      <c r="O172" s="679"/>
      <c r="P172" s="316">
        <v>3600</v>
      </c>
      <c r="Q172" s="317" t="s">
        <v>490</v>
      </c>
      <c r="R172" s="318"/>
      <c r="S172" s="316"/>
      <c r="T172" s="316"/>
      <c r="U172" s="684"/>
      <c r="V172" s="688"/>
      <c r="W172" s="690"/>
      <c r="X172" s="2">
        <v>34</v>
      </c>
    </row>
    <row r="173" spans="1:24" s="85" customFormat="1" ht="56.25" x14ac:dyDescent="0.25">
      <c r="A173" s="302">
        <v>33</v>
      </c>
      <c r="B173" s="303" t="s">
        <v>56</v>
      </c>
      <c r="C173" s="303"/>
      <c r="D173" s="303"/>
      <c r="E173" s="303" t="s">
        <v>476</v>
      </c>
      <c r="F173" s="309" t="s">
        <v>477</v>
      </c>
      <c r="G173" s="304" t="s">
        <v>478</v>
      </c>
      <c r="H173" s="305">
        <v>28720</v>
      </c>
      <c r="I173" s="306">
        <f>IF(X173 = 35, H173 + SUM(S173:S173) - SUM(T173:T173) - SUM(P173:P173) - V173,0)</f>
        <v>0</v>
      </c>
      <c r="J173" s="311">
        <v>235000239811</v>
      </c>
      <c r="K173" s="312" t="s">
        <v>464</v>
      </c>
      <c r="L173" s="303"/>
      <c r="M173" s="303" t="s">
        <v>479</v>
      </c>
      <c r="N173" s="309">
        <v>44803</v>
      </c>
      <c r="O173" s="309" t="s">
        <v>501</v>
      </c>
      <c r="P173" s="305">
        <v>28720</v>
      </c>
      <c r="Q173" s="304" t="s">
        <v>492</v>
      </c>
      <c r="R173" s="303"/>
      <c r="S173" s="305"/>
      <c r="T173" s="305"/>
      <c r="U173" s="305"/>
      <c r="V173" s="310"/>
      <c r="W173" s="307"/>
      <c r="X173" s="85">
        <v>35</v>
      </c>
    </row>
    <row r="174" spans="1:24" s="85" customFormat="1" ht="54" customHeight="1" x14ac:dyDescent="0.25">
      <c r="A174" s="866">
        <v>34</v>
      </c>
      <c r="B174" s="664" t="s">
        <v>56</v>
      </c>
      <c r="C174" s="664"/>
      <c r="D174" s="664"/>
      <c r="E174" s="664" t="s">
        <v>213</v>
      </c>
      <c r="F174" s="667" t="s">
        <v>505</v>
      </c>
      <c r="G174" s="673" t="s">
        <v>506</v>
      </c>
      <c r="H174" s="716">
        <v>120931.2</v>
      </c>
      <c r="I174" s="701">
        <f>IF(X174 = 38, H174 + SUM(S174:S175) - SUM(T174:T175) - SUM(P174:P175) - V174,0)</f>
        <v>-7.2759576141834259E-12</v>
      </c>
      <c r="J174" s="704">
        <v>2353020735</v>
      </c>
      <c r="K174" s="863" t="s">
        <v>204</v>
      </c>
      <c r="L174" s="664"/>
      <c r="M174" s="664" t="s">
        <v>507</v>
      </c>
      <c r="N174" s="367">
        <v>44813</v>
      </c>
      <c r="O174" s="667" t="s">
        <v>508</v>
      </c>
      <c r="P174" s="352">
        <v>57255.55</v>
      </c>
      <c r="Q174" s="353" t="s">
        <v>528</v>
      </c>
      <c r="R174" s="354"/>
      <c r="S174" s="352"/>
      <c r="T174" s="352"/>
      <c r="U174" s="716" t="s">
        <v>546</v>
      </c>
      <c r="V174" s="719">
        <v>60021</v>
      </c>
      <c r="W174" s="725"/>
      <c r="X174" s="85">
        <v>38</v>
      </c>
    </row>
    <row r="175" spans="1:24" x14ac:dyDescent="0.25">
      <c r="A175" s="867"/>
      <c r="B175" s="666"/>
      <c r="C175" s="666"/>
      <c r="D175" s="666"/>
      <c r="E175" s="666"/>
      <c r="F175" s="669"/>
      <c r="G175" s="675"/>
      <c r="H175" s="718"/>
      <c r="I175" s="703"/>
      <c r="J175" s="706"/>
      <c r="K175" s="865"/>
      <c r="L175" s="666"/>
      <c r="M175" s="666"/>
      <c r="N175" s="369">
        <v>44813</v>
      </c>
      <c r="O175" s="669"/>
      <c r="P175" s="363">
        <v>3654.65</v>
      </c>
      <c r="Q175" s="364" t="s">
        <v>528</v>
      </c>
      <c r="R175" s="365"/>
      <c r="S175" s="363"/>
      <c r="T175" s="363"/>
      <c r="U175" s="718"/>
      <c r="V175" s="721"/>
      <c r="W175" s="727"/>
      <c r="X175" s="2">
        <v>38</v>
      </c>
    </row>
    <row r="176" spans="1:24" s="85" customFormat="1" ht="56.25" x14ac:dyDescent="0.25">
      <c r="A176" s="335">
        <v>35</v>
      </c>
      <c r="B176" s="336" t="s">
        <v>56</v>
      </c>
      <c r="C176" s="336"/>
      <c r="D176" s="336"/>
      <c r="E176" s="336" t="s">
        <v>509</v>
      </c>
      <c r="F176" s="346" t="s">
        <v>505</v>
      </c>
      <c r="G176" s="342" t="s">
        <v>510</v>
      </c>
      <c r="H176" s="337">
        <v>35904</v>
      </c>
      <c r="I176" s="338">
        <f>IF(X176 = 39, H176 + SUM(S176:S176) - SUM(T176:T176) - SUM(P176:P176) - V176,0)</f>
        <v>0</v>
      </c>
      <c r="J176" s="343">
        <v>2353020735</v>
      </c>
      <c r="K176" s="344" t="s">
        <v>204</v>
      </c>
      <c r="L176" s="336"/>
      <c r="M176" s="336" t="s">
        <v>555</v>
      </c>
      <c r="N176" s="346">
        <v>44813</v>
      </c>
      <c r="O176" s="346" t="s">
        <v>508</v>
      </c>
      <c r="P176" s="337">
        <v>18084</v>
      </c>
      <c r="Q176" s="342" t="s">
        <v>532</v>
      </c>
      <c r="R176" s="336"/>
      <c r="S176" s="337"/>
      <c r="T176" s="337"/>
      <c r="U176" s="337" t="s">
        <v>546</v>
      </c>
      <c r="V176" s="345">
        <v>17820</v>
      </c>
      <c r="W176" s="339"/>
      <c r="X176" s="85">
        <v>39</v>
      </c>
    </row>
    <row r="177" spans="1:24" s="85" customFormat="1" ht="54" customHeight="1" x14ac:dyDescent="0.25">
      <c r="A177" s="602">
        <v>36</v>
      </c>
      <c r="B177" s="559" t="s">
        <v>56</v>
      </c>
      <c r="C177" s="559"/>
      <c r="D177" s="559"/>
      <c r="E177" s="559" t="s">
        <v>511</v>
      </c>
      <c r="F177" s="623" t="s">
        <v>505</v>
      </c>
      <c r="G177" s="631" t="s">
        <v>512</v>
      </c>
      <c r="H177" s="605">
        <v>474789</v>
      </c>
      <c r="I177" s="633">
        <f>IF(X177 = 40, H177 + SUM(S177:S180) - SUM(T177:T180) - SUM(P177:P180) - V177,0)</f>
        <v>127995</v>
      </c>
      <c r="J177" s="658">
        <v>235300578903</v>
      </c>
      <c r="K177" s="661" t="s">
        <v>513</v>
      </c>
      <c r="L177" s="559"/>
      <c r="M177" s="559" t="s">
        <v>514</v>
      </c>
      <c r="N177" s="441">
        <v>44834</v>
      </c>
      <c r="O177" s="623" t="s">
        <v>515</v>
      </c>
      <c r="P177" s="433">
        <v>126787.5</v>
      </c>
      <c r="Q177" s="432" t="s">
        <v>578</v>
      </c>
      <c r="R177" s="431"/>
      <c r="S177" s="433"/>
      <c r="T177" s="433"/>
      <c r="U177" s="605"/>
      <c r="V177" s="885"/>
      <c r="W177" s="626"/>
      <c r="X177" s="85">
        <v>40</v>
      </c>
    </row>
    <row r="178" spans="1:24" x14ac:dyDescent="0.25">
      <c r="A178" s="603"/>
      <c r="B178" s="560"/>
      <c r="C178" s="560"/>
      <c r="D178" s="560"/>
      <c r="E178" s="560"/>
      <c r="F178" s="624"/>
      <c r="G178" s="635"/>
      <c r="H178" s="606"/>
      <c r="I178" s="643"/>
      <c r="J178" s="659"/>
      <c r="K178" s="662"/>
      <c r="L178" s="560"/>
      <c r="M178" s="560"/>
      <c r="N178" s="442">
        <v>44865</v>
      </c>
      <c r="O178" s="624"/>
      <c r="P178" s="435">
        <v>116644.5</v>
      </c>
      <c r="Q178" s="436" t="s">
        <v>634</v>
      </c>
      <c r="R178" s="437"/>
      <c r="S178" s="435"/>
      <c r="T178" s="435"/>
      <c r="U178" s="606"/>
      <c r="V178" s="886"/>
      <c r="W178" s="627"/>
      <c r="X178" s="2">
        <v>40</v>
      </c>
    </row>
    <row r="179" spans="1:24" x14ac:dyDescent="0.25">
      <c r="A179" s="603"/>
      <c r="B179" s="560"/>
      <c r="C179" s="560"/>
      <c r="D179" s="560"/>
      <c r="E179" s="560"/>
      <c r="F179" s="624"/>
      <c r="G179" s="635"/>
      <c r="H179" s="606"/>
      <c r="I179" s="643"/>
      <c r="J179" s="659"/>
      <c r="K179" s="662"/>
      <c r="L179" s="560"/>
      <c r="M179" s="560"/>
      <c r="N179" s="442">
        <v>44865</v>
      </c>
      <c r="O179" s="624"/>
      <c r="P179" s="435">
        <v>241.5</v>
      </c>
      <c r="Q179" s="436" t="s">
        <v>635</v>
      </c>
      <c r="R179" s="437"/>
      <c r="S179" s="435"/>
      <c r="T179" s="435"/>
      <c r="U179" s="606"/>
      <c r="V179" s="886"/>
      <c r="W179" s="627"/>
      <c r="X179" s="2">
        <v>40</v>
      </c>
    </row>
    <row r="180" spans="1:24" x14ac:dyDescent="0.25">
      <c r="A180" s="604"/>
      <c r="B180" s="561"/>
      <c r="C180" s="561"/>
      <c r="D180" s="561"/>
      <c r="E180" s="561"/>
      <c r="F180" s="625"/>
      <c r="G180" s="632"/>
      <c r="H180" s="607"/>
      <c r="I180" s="634"/>
      <c r="J180" s="660"/>
      <c r="K180" s="663"/>
      <c r="L180" s="561"/>
      <c r="M180" s="561"/>
      <c r="N180" s="443">
        <v>44895</v>
      </c>
      <c r="O180" s="625"/>
      <c r="P180" s="438">
        <v>103120.5</v>
      </c>
      <c r="Q180" s="439" t="s">
        <v>687</v>
      </c>
      <c r="R180" s="440"/>
      <c r="S180" s="438"/>
      <c r="T180" s="438"/>
      <c r="U180" s="607"/>
      <c r="V180" s="887"/>
      <c r="W180" s="628"/>
      <c r="X180" s="2">
        <v>40</v>
      </c>
    </row>
    <row r="181" spans="1:24" s="85" customFormat="1" ht="54" customHeight="1" x14ac:dyDescent="0.25">
      <c r="A181" s="370">
        <v>37</v>
      </c>
      <c r="B181" s="350" t="s">
        <v>56</v>
      </c>
      <c r="C181" s="350"/>
      <c r="D181" s="350"/>
      <c r="E181" s="350" t="s">
        <v>516</v>
      </c>
      <c r="F181" s="351" t="s">
        <v>518</v>
      </c>
      <c r="G181" s="349" t="s">
        <v>478</v>
      </c>
      <c r="H181" s="348">
        <v>12110</v>
      </c>
      <c r="I181" s="371">
        <f>IF(X181 = 41, H181 + SUM(S181:S181) - SUM(T181:T181) - SUM(P181:P181) - V181,0)</f>
        <v>0</v>
      </c>
      <c r="J181" s="372">
        <v>235000239811</v>
      </c>
      <c r="K181" s="373" t="s">
        <v>464</v>
      </c>
      <c r="L181" s="350"/>
      <c r="M181" s="350" t="s">
        <v>517</v>
      </c>
      <c r="N181" s="351">
        <v>44813</v>
      </c>
      <c r="O181" s="351" t="s">
        <v>519</v>
      </c>
      <c r="P181" s="348">
        <v>12110</v>
      </c>
      <c r="Q181" s="349" t="s">
        <v>528</v>
      </c>
      <c r="R181" s="350"/>
      <c r="S181" s="348"/>
      <c r="T181" s="348"/>
      <c r="U181" s="348"/>
      <c r="V181" s="374"/>
      <c r="W181" s="375"/>
      <c r="X181" s="85">
        <v>41</v>
      </c>
    </row>
    <row r="182" spans="1:24" s="85" customFormat="1" ht="54" customHeight="1" x14ac:dyDescent="0.25">
      <c r="A182" s="602">
        <v>38</v>
      </c>
      <c r="B182" s="559" t="s">
        <v>56</v>
      </c>
      <c r="C182" s="559"/>
      <c r="D182" s="559"/>
      <c r="E182" s="559" t="s">
        <v>534</v>
      </c>
      <c r="F182" s="623" t="s">
        <v>505</v>
      </c>
      <c r="G182" s="631" t="s">
        <v>535</v>
      </c>
      <c r="H182" s="605">
        <v>61760</v>
      </c>
      <c r="I182" s="633">
        <f>IF(X182 = 42, H182 + SUM(S182:S190) - SUM(T182:T190) - SUM(P182:P190) - V182,0)</f>
        <v>0</v>
      </c>
      <c r="J182" s="658">
        <v>2353020735</v>
      </c>
      <c r="K182" s="661" t="s">
        <v>204</v>
      </c>
      <c r="L182" s="559"/>
      <c r="M182" s="559" t="s">
        <v>536</v>
      </c>
      <c r="N182" s="441">
        <v>44834</v>
      </c>
      <c r="O182" s="623" t="s">
        <v>508</v>
      </c>
      <c r="P182" s="433">
        <v>3650</v>
      </c>
      <c r="Q182" s="432" t="s">
        <v>584</v>
      </c>
      <c r="R182" s="431"/>
      <c r="S182" s="433"/>
      <c r="T182" s="433"/>
      <c r="U182" s="605" t="s">
        <v>716</v>
      </c>
      <c r="V182" s="885">
        <v>21776</v>
      </c>
      <c r="W182" s="626"/>
      <c r="X182" s="85">
        <v>42</v>
      </c>
    </row>
    <row r="183" spans="1:24" x14ac:dyDescent="0.25">
      <c r="A183" s="603"/>
      <c r="B183" s="560"/>
      <c r="C183" s="560"/>
      <c r="D183" s="560"/>
      <c r="E183" s="560"/>
      <c r="F183" s="624"/>
      <c r="G183" s="635"/>
      <c r="H183" s="606"/>
      <c r="I183" s="643"/>
      <c r="J183" s="659"/>
      <c r="K183" s="662"/>
      <c r="L183" s="560"/>
      <c r="M183" s="560"/>
      <c r="N183" s="442">
        <v>44834</v>
      </c>
      <c r="O183" s="624"/>
      <c r="P183" s="435">
        <v>9000</v>
      </c>
      <c r="Q183" s="436" t="s">
        <v>584</v>
      </c>
      <c r="R183" s="437"/>
      <c r="S183" s="435"/>
      <c r="T183" s="435"/>
      <c r="U183" s="606"/>
      <c r="V183" s="886"/>
      <c r="W183" s="627"/>
      <c r="X183" s="2">
        <v>42</v>
      </c>
    </row>
    <row r="184" spans="1:24" x14ac:dyDescent="0.25">
      <c r="A184" s="603"/>
      <c r="B184" s="560"/>
      <c r="C184" s="560"/>
      <c r="D184" s="560"/>
      <c r="E184" s="560"/>
      <c r="F184" s="624"/>
      <c r="G184" s="635"/>
      <c r="H184" s="606"/>
      <c r="I184" s="643"/>
      <c r="J184" s="659"/>
      <c r="K184" s="662"/>
      <c r="L184" s="560"/>
      <c r="M184" s="560"/>
      <c r="N184" s="442">
        <v>44834</v>
      </c>
      <c r="O184" s="624"/>
      <c r="P184" s="435">
        <v>6</v>
      </c>
      <c r="Q184" s="436" t="s">
        <v>580</v>
      </c>
      <c r="R184" s="437"/>
      <c r="S184" s="435"/>
      <c r="T184" s="435"/>
      <c r="U184" s="606"/>
      <c r="V184" s="886"/>
      <c r="W184" s="627"/>
      <c r="X184" s="2">
        <v>42</v>
      </c>
    </row>
    <row r="185" spans="1:24" x14ac:dyDescent="0.25">
      <c r="A185" s="603"/>
      <c r="B185" s="560"/>
      <c r="C185" s="560"/>
      <c r="D185" s="560"/>
      <c r="E185" s="560"/>
      <c r="F185" s="624"/>
      <c r="G185" s="635"/>
      <c r="H185" s="606"/>
      <c r="I185" s="643"/>
      <c r="J185" s="659"/>
      <c r="K185" s="662"/>
      <c r="L185" s="560"/>
      <c r="M185" s="560"/>
      <c r="N185" s="442">
        <v>44862</v>
      </c>
      <c r="O185" s="624"/>
      <c r="P185" s="435">
        <v>6366</v>
      </c>
      <c r="Q185" s="436" t="s">
        <v>625</v>
      </c>
      <c r="R185" s="437"/>
      <c r="S185" s="435"/>
      <c r="T185" s="435"/>
      <c r="U185" s="606"/>
      <c r="V185" s="886"/>
      <c r="W185" s="627"/>
      <c r="X185" s="2">
        <v>42</v>
      </c>
    </row>
    <row r="186" spans="1:24" x14ac:dyDescent="0.25">
      <c r="A186" s="603"/>
      <c r="B186" s="560"/>
      <c r="C186" s="560"/>
      <c r="D186" s="560"/>
      <c r="E186" s="560"/>
      <c r="F186" s="624"/>
      <c r="G186" s="635"/>
      <c r="H186" s="606"/>
      <c r="I186" s="643"/>
      <c r="J186" s="659"/>
      <c r="K186" s="662"/>
      <c r="L186" s="560"/>
      <c r="M186" s="560"/>
      <c r="N186" s="442">
        <v>44862</v>
      </c>
      <c r="O186" s="624"/>
      <c r="P186" s="435">
        <v>3670</v>
      </c>
      <c r="Q186" s="436" t="s">
        <v>625</v>
      </c>
      <c r="R186" s="437"/>
      <c r="S186" s="435"/>
      <c r="T186" s="435"/>
      <c r="U186" s="606"/>
      <c r="V186" s="886"/>
      <c r="W186" s="627"/>
      <c r="X186" s="2">
        <v>42</v>
      </c>
    </row>
    <row r="187" spans="1:24" x14ac:dyDescent="0.25">
      <c r="A187" s="603"/>
      <c r="B187" s="560"/>
      <c r="C187" s="560"/>
      <c r="D187" s="560"/>
      <c r="E187" s="560"/>
      <c r="F187" s="624"/>
      <c r="G187" s="635"/>
      <c r="H187" s="606"/>
      <c r="I187" s="643"/>
      <c r="J187" s="659"/>
      <c r="K187" s="662"/>
      <c r="L187" s="560"/>
      <c r="M187" s="560"/>
      <c r="N187" s="442">
        <v>44895</v>
      </c>
      <c r="O187" s="624"/>
      <c r="P187" s="435">
        <v>5640</v>
      </c>
      <c r="Q187" s="436" t="s">
        <v>674</v>
      </c>
      <c r="R187" s="437"/>
      <c r="S187" s="435"/>
      <c r="T187" s="435"/>
      <c r="U187" s="606"/>
      <c r="V187" s="886"/>
      <c r="W187" s="627"/>
      <c r="X187" s="2">
        <v>42</v>
      </c>
    </row>
    <row r="188" spans="1:24" x14ac:dyDescent="0.25">
      <c r="A188" s="603"/>
      <c r="B188" s="560"/>
      <c r="C188" s="560"/>
      <c r="D188" s="560"/>
      <c r="E188" s="560"/>
      <c r="F188" s="624"/>
      <c r="G188" s="635"/>
      <c r="H188" s="606"/>
      <c r="I188" s="643"/>
      <c r="J188" s="659"/>
      <c r="K188" s="662"/>
      <c r="L188" s="560"/>
      <c r="M188" s="560"/>
      <c r="N188" s="442">
        <v>44895</v>
      </c>
      <c r="O188" s="624"/>
      <c r="P188" s="435">
        <v>3390</v>
      </c>
      <c r="Q188" s="436" t="s">
        <v>674</v>
      </c>
      <c r="R188" s="437"/>
      <c r="S188" s="435"/>
      <c r="T188" s="435"/>
      <c r="U188" s="606"/>
      <c r="V188" s="886"/>
      <c r="W188" s="627"/>
      <c r="X188" s="2">
        <v>42</v>
      </c>
    </row>
    <row r="189" spans="1:24" x14ac:dyDescent="0.25">
      <c r="A189" s="603"/>
      <c r="B189" s="560"/>
      <c r="C189" s="560"/>
      <c r="D189" s="560"/>
      <c r="E189" s="560"/>
      <c r="F189" s="624"/>
      <c r="G189" s="635"/>
      <c r="H189" s="606"/>
      <c r="I189" s="643"/>
      <c r="J189" s="659"/>
      <c r="K189" s="662"/>
      <c r="L189" s="560"/>
      <c r="M189" s="560"/>
      <c r="N189" s="442">
        <v>44923</v>
      </c>
      <c r="O189" s="624"/>
      <c r="P189" s="435">
        <v>5982</v>
      </c>
      <c r="Q189" s="436" t="s">
        <v>681</v>
      </c>
      <c r="R189" s="437"/>
      <c r="S189" s="435"/>
      <c r="T189" s="435"/>
      <c r="U189" s="606"/>
      <c r="V189" s="886"/>
      <c r="W189" s="627"/>
      <c r="X189" s="2">
        <v>42</v>
      </c>
    </row>
    <row r="190" spans="1:24" x14ac:dyDescent="0.25">
      <c r="A190" s="604"/>
      <c r="B190" s="561"/>
      <c r="C190" s="561"/>
      <c r="D190" s="561"/>
      <c r="E190" s="561"/>
      <c r="F190" s="625"/>
      <c r="G190" s="632"/>
      <c r="H190" s="607"/>
      <c r="I190" s="634"/>
      <c r="J190" s="660"/>
      <c r="K190" s="663"/>
      <c r="L190" s="561"/>
      <c r="M190" s="561"/>
      <c r="N190" s="443">
        <v>44923</v>
      </c>
      <c r="O190" s="625"/>
      <c r="P190" s="438">
        <v>2280</v>
      </c>
      <c r="Q190" s="439" t="s">
        <v>681</v>
      </c>
      <c r="R190" s="440"/>
      <c r="S190" s="438"/>
      <c r="T190" s="438"/>
      <c r="U190" s="607"/>
      <c r="V190" s="887"/>
      <c r="W190" s="628"/>
      <c r="X190" s="2">
        <v>42</v>
      </c>
    </row>
    <row r="191" spans="1:24" s="85" customFormat="1" ht="54" customHeight="1" x14ac:dyDescent="0.25">
      <c r="A191" s="602">
        <v>39</v>
      </c>
      <c r="B191" s="559" t="s">
        <v>56</v>
      </c>
      <c r="C191" s="559"/>
      <c r="D191" s="559"/>
      <c r="E191" s="559" t="s">
        <v>213</v>
      </c>
      <c r="F191" s="623" t="s">
        <v>533</v>
      </c>
      <c r="G191" s="631" t="s">
        <v>537</v>
      </c>
      <c r="H191" s="605">
        <v>476611.2</v>
      </c>
      <c r="I191" s="633">
        <f>IF(X191 = 43, H191 + SUM(S191:S206) - SUM(T191:T206) - SUM(P191:P206) - V191,0)</f>
        <v>5.0931703299283981E-11</v>
      </c>
      <c r="J191" s="658">
        <v>2353020735</v>
      </c>
      <c r="K191" s="661" t="s">
        <v>204</v>
      </c>
      <c r="L191" s="559"/>
      <c r="M191" s="559" t="s">
        <v>554</v>
      </c>
      <c r="N191" s="441">
        <v>44827</v>
      </c>
      <c r="O191" s="623" t="s">
        <v>508</v>
      </c>
      <c r="P191" s="433">
        <v>4912.88</v>
      </c>
      <c r="Q191" s="432" t="s">
        <v>583</v>
      </c>
      <c r="R191" s="431"/>
      <c r="S191" s="433"/>
      <c r="T191" s="433"/>
      <c r="U191" s="605" t="s">
        <v>715</v>
      </c>
      <c r="V191" s="885">
        <v>54213.74</v>
      </c>
      <c r="W191" s="626"/>
      <c r="X191" s="85">
        <v>43</v>
      </c>
    </row>
    <row r="192" spans="1:24" x14ac:dyDescent="0.25">
      <c r="A192" s="603"/>
      <c r="B192" s="560"/>
      <c r="C192" s="560"/>
      <c r="D192" s="560"/>
      <c r="E192" s="560"/>
      <c r="F192" s="624"/>
      <c r="G192" s="635"/>
      <c r="H192" s="606"/>
      <c r="I192" s="643"/>
      <c r="J192" s="659"/>
      <c r="K192" s="662"/>
      <c r="L192" s="560"/>
      <c r="M192" s="560"/>
      <c r="N192" s="442">
        <v>44827</v>
      </c>
      <c r="O192" s="624"/>
      <c r="P192" s="435">
        <v>76967.62</v>
      </c>
      <c r="Q192" s="436" t="s">
        <v>583</v>
      </c>
      <c r="R192" s="437"/>
      <c r="S192" s="435"/>
      <c r="T192" s="435"/>
      <c r="U192" s="606"/>
      <c r="V192" s="886"/>
      <c r="W192" s="627"/>
      <c r="X192" s="2">
        <v>43</v>
      </c>
    </row>
    <row r="193" spans="1:24" x14ac:dyDescent="0.25">
      <c r="A193" s="603"/>
      <c r="B193" s="560"/>
      <c r="C193" s="560"/>
      <c r="D193" s="560"/>
      <c r="E193" s="560"/>
      <c r="F193" s="624"/>
      <c r="G193" s="635"/>
      <c r="H193" s="606"/>
      <c r="I193" s="643"/>
      <c r="J193" s="659"/>
      <c r="K193" s="662"/>
      <c r="L193" s="560"/>
      <c r="M193" s="560"/>
      <c r="N193" s="442">
        <v>44834</v>
      </c>
      <c r="O193" s="624"/>
      <c r="P193" s="435">
        <v>39284.83</v>
      </c>
      <c r="Q193" s="436" t="s">
        <v>577</v>
      </c>
      <c r="R193" s="437"/>
      <c r="S193" s="435"/>
      <c r="T193" s="435"/>
      <c r="U193" s="606"/>
      <c r="V193" s="886"/>
      <c r="W193" s="627"/>
      <c r="X193" s="2">
        <v>43</v>
      </c>
    </row>
    <row r="194" spans="1:24" x14ac:dyDescent="0.25">
      <c r="A194" s="603"/>
      <c r="B194" s="560"/>
      <c r="C194" s="560"/>
      <c r="D194" s="560"/>
      <c r="E194" s="560"/>
      <c r="F194" s="624"/>
      <c r="G194" s="635"/>
      <c r="H194" s="606"/>
      <c r="I194" s="643"/>
      <c r="J194" s="659"/>
      <c r="K194" s="662"/>
      <c r="L194" s="560"/>
      <c r="M194" s="560"/>
      <c r="N194" s="442">
        <v>44834</v>
      </c>
      <c r="O194" s="624"/>
      <c r="P194" s="435">
        <v>2507.5700000000002</v>
      </c>
      <c r="Q194" s="436" t="s">
        <v>577</v>
      </c>
      <c r="R194" s="437"/>
      <c r="S194" s="435"/>
      <c r="T194" s="435"/>
      <c r="U194" s="606"/>
      <c r="V194" s="886"/>
      <c r="W194" s="627"/>
      <c r="X194" s="2">
        <v>43</v>
      </c>
    </row>
    <row r="195" spans="1:24" x14ac:dyDescent="0.25">
      <c r="A195" s="603"/>
      <c r="B195" s="560"/>
      <c r="C195" s="560"/>
      <c r="D195" s="560"/>
      <c r="E195" s="560"/>
      <c r="F195" s="624"/>
      <c r="G195" s="635"/>
      <c r="H195" s="606"/>
      <c r="I195" s="643"/>
      <c r="J195" s="659"/>
      <c r="K195" s="662"/>
      <c r="L195" s="560"/>
      <c r="M195" s="560"/>
      <c r="N195" s="442">
        <v>44841</v>
      </c>
      <c r="O195" s="624"/>
      <c r="P195" s="435">
        <v>38170.370000000003</v>
      </c>
      <c r="Q195" s="436" t="s">
        <v>581</v>
      </c>
      <c r="R195" s="437"/>
      <c r="S195" s="435"/>
      <c r="T195" s="435"/>
      <c r="U195" s="606"/>
      <c r="V195" s="886"/>
      <c r="W195" s="627"/>
      <c r="X195" s="2">
        <v>43</v>
      </c>
    </row>
    <row r="196" spans="1:24" x14ac:dyDescent="0.25">
      <c r="A196" s="603"/>
      <c r="B196" s="560"/>
      <c r="C196" s="560"/>
      <c r="D196" s="560"/>
      <c r="E196" s="560"/>
      <c r="F196" s="624"/>
      <c r="G196" s="635"/>
      <c r="H196" s="606"/>
      <c r="I196" s="643"/>
      <c r="J196" s="659"/>
      <c r="K196" s="662"/>
      <c r="L196" s="560"/>
      <c r="M196" s="560"/>
      <c r="N196" s="442">
        <v>44841</v>
      </c>
      <c r="O196" s="624"/>
      <c r="P196" s="435">
        <v>2436.4299999999998</v>
      </c>
      <c r="Q196" s="436" t="s">
        <v>581</v>
      </c>
      <c r="R196" s="437"/>
      <c r="S196" s="435"/>
      <c r="T196" s="435"/>
      <c r="U196" s="606"/>
      <c r="V196" s="886"/>
      <c r="W196" s="627"/>
      <c r="X196" s="2">
        <v>43</v>
      </c>
    </row>
    <row r="197" spans="1:24" x14ac:dyDescent="0.25">
      <c r="A197" s="603"/>
      <c r="B197" s="560"/>
      <c r="C197" s="560"/>
      <c r="D197" s="560"/>
      <c r="E197" s="560"/>
      <c r="F197" s="624"/>
      <c r="G197" s="635"/>
      <c r="H197" s="606"/>
      <c r="I197" s="643"/>
      <c r="J197" s="659"/>
      <c r="K197" s="662"/>
      <c r="L197" s="560"/>
      <c r="M197" s="560"/>
      <c r="N197" s="442">
        <v>44855</v>
      </c>
      <c r="O197" s="624"/>
      <c r="P197" s="435">
        <v>79126.89</v>
      </c>
      <c r="Q197" s="436" t="s">
        <v>624</v>
      </c>
      <c r="R197" s="437"/>
      <c r="S197" s="435"/>
      <c r="T197" s="435"/>
      <c r="U197" s="606"/>
      <c r="V197" s="886"/>
      <c r="W197" s="627"/>
      <c r="X197" s="2">
        <v>43</v>
      </c>
    </row>
    <row r="198" spans="1:24" x14ac:dyDescent="0.25">
      <c r="A198" s="603"/>
      <c r="B198" s="560"/>
      <c r="C198" s="560"/>
      <c r="D198" s="560"/>
      <c r="E198" s="560"/>
      <c r="F198" s="624"/>
      <c r="G198" s="635"/>
      <c r="H198" s="606"/>
      <c r="I198" s="643"/>
      <c r="J198" s="659"/>
      <c r="K198" s="662"/>
      <c r="L198" s="560"/>
      <c r="M198" s="560"/>
      <c r="N198" s="442">
        <v>44855</v>
      </c>
      <c r="O198" s="624"/>
      <c r="P198" s="435">
        <v>5050.71</v>
      </c>
      <c r="Q198" s="436" t="s">
        <v>624</v>
      </c>
      <c r="R198" s="437"/>
      <c r="S198" s="435"/>
      <c r="T198" s="435"/>
      <c r="U198" s="606"/>
      <c r="V198" s="886"/>
      <c r="W198" s="627"/>
      <c r="X198" s="2">
        <v>43</v>
      </c>
    </row>
    <row r="199" spans="1:24" x14ac:dyDescent="0.25">
      <c r="A199" s="603"/>
      <c r="B199" s="560"/>
      <c r="C199" s="560"/>
      <c r="D199" s="560"/>
      <c r="E199" s="560"/>
      <c r="F199" s="624"/>
      <c r="G199" s="635"/>
      <c r="H199" s="606"/>
      <c r="I199" s="643"/>
      <c r="J199" s="659"/>
      <c r="K199" s="662"/>
      <c r="L199" s="560"/>
      <c r="M199" s="560"/>
      <c r="N199" s="442">
        <v>44862</v>
      </c>
      <c r="O199" s="624"/>
      <c r="P199" s="435">
        <v>38379.33</v>
      </c>
      <c r="Q199" s="436" t="s">
        <v>625</v>
      </c>
      <c r="R199" s="437"/>
      <c r="S199" s="435"/>
      <c r="T199" s="435"/>
      <c r="U199" s="606"/>
      <c r="V199" s="886"/>
      <c r="W199" s="627"/>
      <c r="X199" s="2">
        <v>43</v>
      </c>
    </row>
    <row r="200" spans="1:24" x14ac:dyDescent="0.25">
      <c r="A200" s="603"/>
      <c r="B200" s="560"/>
      <c r="C200" s="560"/>
      <c r="D200" s="560"/>
      <c r="E200" s="560"/>
      <c r="F200" s="624"/>
      <c r="G200" s="635"/>
      <c r="H200" s="606"/>
      <c r="I200" s="643"/>
      <c r="J200" s="659"/>
      <c r="K200" s="662"/>
      <c r="L200" s="560"/>
      <c r="M200" s="560"/>
      <c r="N200" s="442">
        <v>44862</v>
      </c>
      <c r="O200" s="624"/>
      <c r="P200" s="435">
        <v>2449.77</v>
      </c>
      <c r="Q200" s="436" t="s">
        <v>625</v>
      </c>
      <c r="R200" s="437"/>
      <c r="S200" s="435"/>
      <c r="T200" s="435"/>
      <c r="U200" s="606"/>
      <c r="V200" s="886"/>
      <c r="W200" s="627"/>
      <c r="X200" s="2">
        <v>43</v>
      </c>
    </row>
    <row r="201" spans="1:24" x14ac:dyDescent="0.25">
      <c r="A201" s="603"/>
      <c r="B201" s="560"/>
      <c r="C201" s="560"/>
      <c r="D201" s="560"/>
      <c r="E201" s="560"/>
      <c r="F201" s="624"/>
      <c r="G201" s="635"/>
      <c r="H201" s="606"/>
      <c r="I201" s="643"/>
      <c r="J201" s="659"/>
      <c r="K201" s="662"/>
      <c r="L201" s="560"/>
      <c r="M201" s="560"/>
      <c r="N201" s="442">
        <v>44876</v>
      </c>
      <c r="O201" s="624"/>
      <c r="P201" s="435">
        <v>37894.68</v>
      </c>
      <c r="Q201" s="436" t="s">
        <v>627</v>
      </c>
      <c r="R201" s="437"/>
      <c r="S201" s="435"/>
      <c r="T201" s="435"/>
      <c r="U201" s="606"/>
      <c r="V201" s="886"/>
      <c r="W201" s="627"/>
      <c r="X201" s="2">
        <v>43</v>
      </c>
    </row>
    <row r="202" spans="1:24" x14ac:dyDescent="0.25">
      <c r="A202" s="603"/>
      <c r="B202" s="560"/>
      <c r="C202" s="560"/>
      <c r="D202" s="560"/>
      <c r="E202" s="560"/>
      <c r="F202" s="624"/>
      <c r="G202" s="635"/>
      <c r="H202" s="606"/>
      <c r="I202" s="643"/>
      <c r="J202" s="659"/>
      <c r="K202" s="662"/>
      <c r="L202" s="560"/>
      <c r="M202" s="560"/>
      <c r="N202" s="442">
        <v>44876</v>
      </c>
      <c r="O202" s="624"/>
      <c r="P202" s="435">
        <v>2418.84</v>
      </c>
      <c r="Q202" s="436" t="s">
        <v>627</v>
      </c>
      <c r="R202" s="437"/>
      <c r="S202" s="435"/>
      <c r="T202" s="435"/>
      <c r="U202" s="606"/>
      <c r="V202" s="886"/>
      <c r="W202" s="627"/>
      <c r="X202" s="2">
        <v>43</v>
      </c>
    </row>
    <row r="203" spans="1:24" x14ac:dyDescent="0.25">
      <c r="A203" s="603"/>
      <c r="B203" s="560"/>
      <c r="C203" s="560"/>
      <c r="D203" s="560"/>
      <c r="E203" s="560"/>
      <c r="F203" s="624"/>
      <c r="G203" s="635"/>
      <c r="H203" s="606"/>
      <c r="I203" s="643"/>
      <c r="J203" s="659"/>
      <c r="K203" s="662"/>
      <c r="L203" s="560"/>
      <c r="M203" s="560"/>
      <c r="N203" s="442">
        <v>44890</v>
      </c>
      <c r="O203" s="624"/>
      <c r="P203" s="435">
        <v>66593.97</v>
      </c>
      <c r="Q203" s="436" t="s">
        <v>672</v>
      </c>
      <c r="R203" s="437"/>
      <c r="S203" s="435"/>
      <c r="T203" s="435"/>
      <c r="U203" s="606"/>
      <c r="V203" s="886"/>
      <c r="W203" s="627"/>
      <c r="X203" s="2">
        <v>43</v>
      </c>
    </row>
    <row r="204" spans="1:24" x14ac:dyDescent="0.25">
      <c r="A204" s="603"/>
      <c r="B204" s="560"/>
      <c r="C204" s="560"/>
      <c r="D204" s="560"/>
      <c r="E204" s="560"/>
      <c r="F204" s="624"/>
      <c r="G204" s="635"/>
      <c r="H204" s="606"/>
      <c r="I204" s="643"/>
      <c r="J204" s="659"/>
      <c r="K204" s="662"/>
      <c r="L204" s="560"/>
      <c r="M204" s="560"/>
      <c r="N204" s="442">
        <v>44890</v>
      </c>
      <c r="O204" s="624"/>
      <c r="P204" s="435">
        <v>4250.7299999999996</v>
      </c>
      <c r="Q204" s="436" t="s">
        <v>672</v>
      </c>
      <c r="R204" s="437"/>
      <c r="S204" s="435"/>
      <c r="T204" s="435"/>
      <c r="U204" s="606"/>
      <c r="V204" s="886"/>
      <c r="W204" s="627"/>
      <c r="X204" s="2">
        <v>43</v>
      </c>
    </row>
    <row r="205" spans="1:24" x14ac:dyDescent="0.25">
      <c r="A205" s="603"/>
      <c r="B205" s="560"/>
      <c r="C205" s="560"/>
      <c r="D205" s="560"/>
      <c r="E205" s="560"/>
      <c r="F205" s="624"/>
      <c r="G205" s="635"/>
      <c r="H205" s="606"/>
      <c r="I205" s="643"/>
      <c r="J205" s="659"/>
      <c r="K205" s="662"/>
      <c r="L205" s="560"/>
      <c r="M205" s="560"/>
      <c r="N205" s="442">
        <v>44895</v>
      </c>
      <c r="O205" s="624"/>
      <c r="P205" s="435">
        <v>20635.66</v>
      </c>
      <c r="Q205" s="436" t="s">
        <v>674</v>
      </c>
      <c r="R205" s="437"/>
      <c r="S205" s="435"/>
      <c r="T205" s="435"/>
      <c r="U205" s="606"/>
      <c r="V205" s="886"/>
      <c r="W205" s="627"/>
      <c r="X205" s="2">
        <v>43</v>
      </c>
    </row>
    <row r="206" spans="1:24" x14ac:dyDescent="0.25">
      <c r="A206" s="604"/>
      <c r="B206" s="561"/>
      <c r="C206" s="561"/>
      <c r="D206" s="561"/>
      <c r="E206" s="561"/>
      <c r="F206" s="625"/>
      <c r="G206" s="632"/>
      <c r="H206" s="607"/>
      <c r="I206" s="634"/>
      <c r="J206" s="660"/>
      <c r="K206" s="663"/>
      <c r="L206" s="561"/>
      <c r="M206" s="561"/>
      <c r="N206" s="443">
        <v>44895</v>
      </c>
      <c r="O206" s="625"/>
      <c r="P206" s="438">
        <v>1317.18</v>
      </c>
      <c r="Q206" s="439" t="s">
        <v>674</v>
      </c>
      <c r="R206" s="440"/>
      <c r="S206" s="438"/>
      <c r="T206" s="438"/>
      <c r="U206" s="607"/>
      <c r="V206" s="887"/>
      <c r="W206" s="628"/>
      <c r="X206" s="2">
        <v>43</v>
      </c>
    </row>
    <row r="207" spans="1:24" s="85" customFormat="1" ht="54" customHeight="1" x14ac:dyDescent="0.25">
      <c r="A207" s="602">
        <v>40</v>
      </c>
      <c r="B207" s="559" t="s">
        <v>56</v>
      </c>
      <c r="C207" s="559"/>
      <c r="D207" s="559"/>
      <c r="E207" s="559" t="s">
        <v>509</v>
      </c>
      <c r="F207" s="623" t="s">
        <v>533</v>
      </c>
      <c r="G207" s="631" t="s">
        <v>538</v>
      </c>
      <c r="H207" s="605">
        <v>141504</v>
      </c>
      <c r="I207" s="633">
        <f>IF(X207 = 44, H207 + SUM(S207:S214) - SUM(T207:T214) - SUM(P207:P214) - V207,0)</f>
        <v>0</v>
      </c>
      <c r="J207" s="658">
        <v>2353020735</v>
      </c>
      <c r="K207" s="661" t="s">
        <v>204</v>
      </c>
      <c r="L207" s="559"/>
      <c r="M207" s="559" t="s">
        <v>554</v>
      </c>
      <c r="N207" s="441">
        <v>44827</v>
      </c>
      <c r="O207" s="623" t="s">
        <v>508</v>
      </c>
      <c r="P207" s="433">
        <v>24310</v>
      </c>
      <c r="Q207" s="432" t="s">
        <v>583</v>
      </c>
      <c r="R207" s="431"/>
      <c r="S207" s="433"/>
      <c r="T207" s="433"/>
      <c r="U207" s="605" t="s">
        <v>715</v>
      </c>
      <c r="V207" s="885">
        <v>12056</v>
      </c>
      <c r="W207" s="626"/>
      <c r="X207" s="85">
        <v>44</v>
      </c>
    </row>
    <row r="208" spans="1:24" x14ac:dyDescent="0.25">
      <c r="A208" s="603"/>
      <c r="B208" s="560"/>
      <c r="C208" s="560"/>
      <c r="D208" s="560"/>
      <c r="E208" s="560"/>
      <c r="F208" s="624"/>
      <c r="G208" s="635"/>
      <c r="H208" s="606"/>
      <c r="I208" s="643"/>
      <c r="J208" s="659"/>
      <c r="K208" s="662"/>
      <c r="L208" s="560"/>
      <c r="M208" s="560"/>
      <c r="N208" s="442">
        <v>44834</v>
      </c>
      <c r="O208" s="624"/>
      <c r="P208" s="435">
        <v>12408</v>
      </c>
      <c r="Q208" s="436" t="s">
        <v>577</v>
      </c>
      <c r="R208" s="437"/>
      <c r="S208" s="435"/>
      <c r="T208" s="435"/>
      <c r="U208" s="606"/>
      <c r="V208" s="886"/>
      <c r="W208" s="627"/>
      <c r="X208" s="2">
        <v>44</v>
      </c>
    </row>
    <row r="209" spans="1:24" x14ac:dyDescent="0.25">
      <c r="A209" s="603"/>
      <c r="B209" s="560"/>
      <c r="C209" s="560"/>
      <c r="D209" s="560"/>
      <c r="E209" s="560"/>
      <c r="F209" s="624"/>
      <c r="G209" s="635"/>
      <c r="H209" s="606"/>
      <c r="I209" s="643"/>
      <c r="J209" s="659"/>
      <c r="K209" s="662"/>
      <c r="L209" s="560"/>
      <c r="M209" s="560"/>
      <c r="N209" s="442">
        <v>44841</v>
      </c>
      <c r="O209" s="624"/>
      <c r="P209" s="435">
        <v>12056</v>
      </c>
      <c r="Q209" s="436" t="s">
        <v>581</v>
      </c>
      <c r="R209" s="437"/>
      <c r="S209" s="435"/>
      <c r="T209" s="435"/>
      <c r="U209" s="606"/>
      <c r="V209" s="886"/>
      <c r="W209" s="627"/>
      <c r="X209" s="2">
        <v>44</v>
      </c>
    </row>
    <row r="210" spans="1:24" x14ac:dyDescent="0.25">
      <c r="A210" s="603"/>
      <c r="B210" s="560"/>
      <c r="C210" s="560"/>
      <c r="D210" s="560"/>
      <c r="E210" s="560"/>
      <c r="F210" s="624"/>
      <c r="G210" s="635"/>
      <c r="H210" s="606"/>
      <c r="I210" s="643"/>
      <c r="J210" s="659"/>
      <c r="K210" s="662"/>
      <c r="L210" s="560"/>
      <c r="M210" s="560"/>
      <c r="N210" s="442">
        <v>44855</v>
      </c>
      <c r="O210" s="624"/>
      <c r="P210" s="435">
        <v>24992</v>
      </c>
      <c r="Q210" s="436" t="s">
        <v>624</v>
      </c>
      <c r="R210" s="437"/>
      <c r="S210" s="435"/>
      <c r="T210" s="435"/>
      <c r="U210" s="606"/>
      <c r="V210" s="886"/>
      <c r="W210" s="627"/>
      <c r="X210" s="2">
        <v>44</v>
      </c>
    </row>
    <row r="211" spans="1:24" x14ac:dyDescent="0.25">
      <c r="A211" s="603"/>
      <c r="B211" s="560"/>
      <c r="C211" s="560"/>
      <c r="D211" s="560"/>
      <c r="E211" s="560"/>
      <c r="F211" s="624"/>
      <c r="G211" s="635"/>
      <c r="H211" s="606"/>
      <c r="I211" s="643"/>
      <c r="J211" s="659"/>
      <c r="K211" s="662"/>
      <c r="L211" s="560"/>
      <c r="M211" s="560"/>
      <c r="N211" s="442">
        <v>44862</v>
      </c>
      <c r="O211" s="624"/>
      <c r="P211" s="435">
        <v>12122</v>
      </c>
      <c r="Q211" s="436" t="s">
        <v>625</v>
      </c>
      <c r="R211" s="437"/>
      <c r="S211" s="435"/>
      <c r="T211" s="435"/>
      <c r="U211" s="606"/>
      <c r="V211" s="886"/>
      <c r="W211" s="627"/>
      <c r="X211" s="2">
        <v>44</v>
      </c>
    </row>
    <row r="212" spans="1:24" x14ac:dyDescent="0.25">
      <c r="A212" s="603"/>
      <c r="B212" s="560"/>
      <c r="C212" s="560"/>
      <c r="D212" s="560"/>
      <c r="E212" s="560"/>
      <c r="F212" s="624"/>
      <c r="G212" s="635"/>
      <c r="H212" s="606"/>
      <c r="I212" s="643"/>
      <c r="J212" s="659"/>
      <c r="K212" s="662"/>
      <c r="L212" s="560"/>
      <c r="M212" s="560"/>
      <c r="N212" s="442">
        <v>44876</v>
      </c>
      <c r="O212" s="624"/>
      <c r="P212" s="435">
        <v>12848</v>
      </c>
      <c r="Q212" s="436" t="s">
        <v>627</v>
      </c>
      <c r="R212" s="437"/>
      <c r="S212" s="435"/>
      <c r="T212" s="435"/>
      <c r="U212" s="606"/>
      <c r="V212" s="886"/>
      <c r="W212" s="627"/>
      <c r="X212" s="2">
        <v>44</v>
      </c>
    </row>
    <row r="213" spans="1:24" x14ac:dyDescent="0.25">
      <c r="A213" s="603"/>
      <c r="B213" s="560"/>
      <c r="C213" s="560"/>
      <c r="D213" s="560"/>
      <c r="E213" s="560"/>
      <c r="F213" s="624"/>
      <c r="G213" s="635"/>
      <c r="H213" s="606"/>
      <c r="I213" s="643"/>
      <c r="J213" s="659"/>
      <c r="K213" s="662"/>
      <c r="L213" s="560"/>
      <c r="M213" s="560"/>
      <c r="N213" s="442">
        <v>44890</v>
      </c>
      <c r="O213" s="624"/>
      <c r="P213" s="435">
        <v>23540</v>
      </c>
      <c r="Q213" s="436" t="s">
        <v>672</v>
      </c>
      <c r="R213" s="437"/>
      <c r="S213" s="435"/>
      <c r="T213" s="435"/>
      <c r="U213" s="606"/>
      <c r="V213" s="886"/>
      <c r="W213" s="627"/>
      <c r="X213" s="2">
        <v>44</v>
      </c>
    </row>
    <row r="214" spans="1:24" x14ac:dyDescent="0.25">
      <c r="A214" s="604"/>
      <c r="B214" s="561"/>
      <c r="C214" s="561"/>
      <c r="D214" s="561"/>
      <c r="E214" s="561"/>
      <c r="F214" s="625"/>
      <c r="G214" s="632"/>
      <c r="H214" s="607"/>
      <c r="I214" s="634"/>
      <c r="J214" s="660"/>
      <c r="K214" s="663"/>
      <c r="L214" s="561"/>
      <c r="M214" s="561"/>
      <c r="N214" s="443">
        <v>44895</v>
      </c>
      <c r="O214" s="625"/>
      <c r="P214" s="438">
        <v>7172</v>
      </c>
      <c r="Q214" s="439" t="s">
        <v>674</v>
      </c>
      <c r="R214" s="440"/>
      <c r="S214" s="438"/>
      <c r="T214" s="438"/>
      <c r="U214" s="607"/>
      <c r="V214" s="887"/>
      <c r="W214" s="628"/>
      <c r="X214" s="2">
        <v>44</v>
      </c>
    </row>
    <row r="215" spans="1:24" s="85" customFormat="1" ht="56.25" x14ac:dyDescent="0.25">
      <c r="A215" s="358">
        <v>41</v>
      </c>
      <c r="B215" s="359" t="s">
        <v>56</v>
      </c>
      <c r="C215" s="359"/>
      <c r="D215" s="359"/>
      <c r="E215" s="359" t="s">
        <v>550</v>
      </c>
      <c r="F215" s="377" t="s">
        <v>551</v>
      </c>
      <c r="G215" s="360" t="s">
        <v>552</v>
      </c>
      <c r="H215" s="361">
        <v>20470</v>
      </c>
      <c r="I215" s="362">
        <f>IF(X215 = 45, H215 + SUM(S215:S215) - SUM(T215:T215) - SUM(P215:P215) - V215,0)</f>
        <v>0</v>
      </c>
      <c r="J215" s="379">
        <v>2312068671</v>
      </c>
      <c r="K215" s="380" t="s">
        <v>360</v>
      </c>
      <c r="L215" s="359"/>
      <c r="M215" s="359" t="s">
        <v>553</v>
      </c>
      <c r="N215" s="377">
        <v>44848</v>
      </c>
      <c r="O215" s="346" t="s">
        <v>501</v>
      </c>
      <c r="P215" s="361">
        <v>20470</v>
      </c>
      <c r="Q215" s="360" t="s">
        <v>581</v>
      </c>
      <c r="R215" s="359"/>
      <c r="S215" s="361"/>
      <c r="T215" s="361"/>
      <c r="U215" s="361"/>
      <c r="V215" s="378"/>
      <c r="W215" s="366"/>
      <c r="X215" s="85">
        <v>45</v>
      </c>
    </row>
    <row r="216" spans="1:24" s="85" customFormat="1" ht="72" customHeight="1" x14ac:dyDescent="0.25">
      <c r="A216" s="602">
        <v>42</v>
      </c>
      <c r="B216" s="559" t="s">
        <v>56</v>
      </c>
      <c r="C216" s="559"/>
      <c r="D216" s="559"/>
      <c r="E216" s="559" t="s">
        <v>599</v>
      </c>
      <c r="F216" s="623" t="s">
        <v>551</v>
      </c>
      <c r="G216" s="631" t="s">
        <v>600</v>
      </c>
      <c r="H216" s="605">
        <v>257225.44</v>
      </c>
      <c r="I216" s="633">
        <f>IF(X216 = 46, H216 + SUM(S216:S218) - SUM(T216:T218) - SUM(P216:P218) - V216,0)</f>
        <v>0.16999999998370185</v>
      </c>
      <c r="J216" s="658">
        <v>2312054894</v>
      </c>
      <c r="K216" s="661" t="s">
        <v>174</v>
      </c>
      <c r="L216" s="559"/>
      <c r="M216" s="559" t="s">
        <v>598</v>
      </c>
      <c r="N216" s="441">
        <v>44865</v>
      </c>
      <c r="O216" s="623" t="s">
        <v>601</v>
      </c>
      <c r="P216" s="433">
        <v>7464.37</v>
      </c>
      <c r="Q216" s="432" t="s">
        <v>637</v>
      </c>
      <c r="R216" s="431"/>
      <c r="S216" s="433"/>
      <c r="T216" s="433"/>
      <c r="U216" s="605"/>
      <c r="V216" s="885"/>
      <c r="W216" s="626"/>
      <c r="X216" s="85">
        <v>46</v>
      </c>
    </row>
    <row r="217" spans="1:24" x14ac:dyDescent="0.25">
      <c r="A217" s="603"/>
      <c r="B217" s="560"/>
      <c r="C217" s="560"/>
      <c r="D217" s="560"/>
      <c r="E217" s="560"/>
      <c r="F217" s="624"/>
      <c r="G217" s="635"/>
      <c r="H217" s="606"/>
      <c r="I217" s="643"/>
      <c r="J217" s="659"/>
      <c r="K217" s="662"/>
      <c r="L217" s="560"/>
      <c r="M217" s="560"/>
      <c r="N217" s="442">
        <v>44895</v>
      </c>
      <c r="O217" s="624"/>
      <c r="P217" s="435">
        <v>146780.1</v>
      </c>
      <c r="Q217" s="436" t="s">
        <v>648</v>
      </c>
      <c r="R217" s="437"/>
      <c r="S217" s="435"/>
      <c r="T217" s="435"/>
      <c r="U217" s="606"/>
      <c r="V217" s="886"/>
      <c r="W217" s="627"/>
      <c r="X217" s="2">
        <v>46</v>
      </c>
    </row>
    <row r="218" spans="1:24" x14ac:dyDescent="0.25">
      <c r="A218" s="604"/>
      <c r="B218" s="561"/>
      <c r="C218" s="561"/>
      <c r="D218" s="561"/>
      <c r="E218" s="561"/>
      <c r="F218" s="625"/>
      <c r="G218" s="632"/>
      <c r="H218" s="607"/>
      <c r="I218" s="634"/>
      <c r="J218" s="660"/>
      <c r="K218" s="663"/>
      <c r="L218" s="561"/>
      <c r="M218" s="561"/>
      <c r="N218" s="443">
        <v>44914</v>
      </c>
      <c r="O218" s="625"/>
      <c r="P218" s="438">
        <v>102980.8</v>
      </c>
      <c r="Q218" s="439" t="s">
        <v>691</v>
      </c>
      <c r="R218" s="440"/>
      <c r="S218" s="438"/>
      <c r="T218" s="438"/>
      <c r="U218" s="607"/>
      <c r="V218" s="887"/>
      <c r="W218" s="628"/>
      <c r="X218" s="2">
        <v>46</v>
      </c>
    </row>
    <row r="219" spans="1:24" s="85" customFormat="1" ht="54" customHeight="1" x14ac:dyDescent="0.25">
      <c r="A219" s="638">
        <v>43</v>
      </c>
      <c r="B219" s="521" t="s">
        <v>56</v>
      </c>
      <c r="C219" s="521"/>
      <c r="D219" s="521"/>
      <c r="E219" s="521" t="s">
        <v>374</v>
      </c>
      <c r="F219" s="525" t="s">
        <v>608</v>
      </c>
      <c r="G219" s="523" t="s">
        <v>609</v>
      </c>
      <c r="H219" s="527">
        <v>36596</v>
      </c>
      <c r="I219" s="529">
        <f>IF(X219 = 47, H219 + SUM(S219:S220) - SUM(T219:T220) - SUM(P219:P220) - V219,0)</f>
        <v>0</v>
      </c>
      <c r="J219" s="648">
        <v>231107998282</v>
      </c>
      <c r="K219" s="650" t="s">
        <v>610</v>
      </c>
      <c r="L219" s="521"/>
      <c r="M219" s="521" t="s">
        <v>611</v>
      </c>
      <c r="N219" s="401">
        <v>44872</v>
      </c>
      <c r="O219" s="525" t="s">
        <v>612</v>
      </c>
      <c r="P219" s="395">
        <v>24874</v>
      </c>
      <c r="Q219" s="396" t="s">
        <v>636</v>
      </c>
      <c r="R219" s="397"/>
      <c r="S219" s="395"/>
      <c r="T219" s="395"/>
      <c r="U219" s="527"/>
      <c r="V219" s="646"/>
      <c r="W219" s="519"/>
      <c r="X219" s="85">
        <v>47</v>
      </c>
    </row>
    <row r="220" spans="1:24" x14ac:dyDescent="0.25">
      <c r="A220" s="639"/>
      <c r="B220" s="522"/>
      <c r="C220" s="522"/>
      <c r="D220" s="522"/>
      <c r="E220" s="522"/>
      <c r="F220" s="526"/>
      <c r="G220" s="524"/>
      <c r="H220" s="528"/>
      <c r="I220" s="530"/>
      <c r="J220" s="649"/>
      <c r="K220" s="651"/>
      <c r="L220" s="522"/>
      <c r="M220" s="522"/>
      <c r="N220" s="402">
        <v>44872</v>
      </c>
      <c r="O220" s="526"/>
      <c r="P220" s="398">
        <v>11722</v>
      </c>
      <c r="Q220" s="399" t="s">
        <v>636</v>
      </c>
      <c r="R220" s="400"/>
      <c r="S220" s="398"/>
      <c r="T220" s="398"/>
      <c r="U220" s="528"/>
      <c r="V220" s="647"/>
      <c r="W220" s="520"/>
      <c r="X220" s="2">
        <v>47</v>
      </c>
    </row>
    <row r="221" spans="1:24" s="85" customFormat="1" ht="93.75" x14ac:dyDescent="0.25">
      <c r="A221" s="382">
        <v>44</v>
      </c>
      <c r="B221" s="383" t="s">
        <v>56</v>
      </c>
      <c r="C221" s="383"/>
      <c r="D221" s="383"/>
      <c r="E221" s="383" t="s">
        <v>613</v>
      </c>
      <c r="F221" s="390" t="s">
        <v>614</v>
      </c>
      <c r="G221" s="386" t="s">
        <v>618</v>
      </c>
      <c r="H221" s="384">
        <v>97000</v>
      </c>
      <c r="I221" s="385">
        <f>IF(X221 = 48, H221 + SUM(S221:S221) - SUM(T221:T221) - SUM(P221:P221) - V221,0)</f>
        <v>0</v>
      </c>
      <c r="J221" s="392">
        <v>2334024131</v>
      </c>
      <c r="K221" s="393" t="s">
        <v>615</v>
      </c>
      <c r="L221" s="383"/>
      <c r="M221" s="383" t="s">
        <v>616</v>
      </c>
      <c r="N221" s="390">
        <v>44880</v>
      </c>
      <c r="O221" s="390" t="s">
        <v>617</v>
      </c>
      <c r="P221" s="384">
        <v>97000</v>
      </c>
      <c r="Q221" s="386" t="s">
        <v>638</v>
      </c>
      <c r="R221" s="383"/>
      <c r="S221" s="384"/>
      <c r="T221" s="384"/>
      <c r="U221" s="384"/>
      <c r="V221" s="391"/>
      <c r="W221" s="388"/>
      <c r="X221" s="85">
        <v>48</v>
      </c>
    </row>
    <row r="222" spans="1:24" s="85" customFormat="1" ht="56.25" x14ac:dyDescent="0.25">
      <c r="A222" s="382">
        <v>45</v>
      </c>
      <c r="B222" s="383" t="s">
        <v>56</v>
      </c>
      <c r="C222" s="383"/>
      <c r="D222" s="383"/>
      <c r="E222" s="383" t="s">
        <v>619</v>
      </c>
      <c r="F222" s="390" t="s">
        <v>614</v>
      </c>
      <c r="G222" s="386" t="s">
        <v>620</v>
      </c>
      <c r="H222" s="384">
        <v>33860</v>
      </c>
      <c r="I222" s="385">
        <f>IF(X222 = 49, H222 + SUM(S222:S222) - SUM(T222:T222) - SUM(P222:P222) - V222,0)</f>
        <v>0</v>
      </c>
      <c r="J222" s="392">
        <v>235002152355</v>
      </c>
      <c r="K222" s="393" t="s">
        <v>621</v>
      </c>
      <c r="L222" s="383"/>
      <c r="M222" s="394" t="s">
        <v>622</v>
      </c>
      <c r="N222" s="390">
        <v>44880</v>
      </c>
      <c r="O222" s="390" t="s">
        <v>623</v>
      </c>
      <c r="P222" s="409">
        <v>33860</v>
      </c>
      <c r="Q222" s="386" t="s">
        <v>627</v>
      </c>
      <c r="R222" s="383"/>
      <c r="S222" s="384"/>
      <c r="T222" s="384"/>
      <c r="U222" s="384"/>
      <c r="V222" s="391"/>
      <c r="W222" s="388"/>
      <c r="X222" s="85">
        <v>49</v>
      </c>
    </row>
    <row r="223" spans="1:24" s="85" customFormat="1" ht="72" customHeight="1" x14ac:dyDescent="0.25">
      <c r="A223" s="602">
        <v>46</v>
      </c>
      <c r="B223" s="559" t="s">
        <v>56</v>
      </c>
      <c r="C223" s="559"/>
      <c r="D223" s="559"/>
      <c r="E223" s="559" t="s">
        <v>222</v>
      </c>
      <c r="F223" s="623" t="s">
        <v>640</v>
      </c>
      <c r="G223" s="631" t="s">
        <v>645</v>
      </c>
      <c r="H223" s="605">
        <v>20880</v>
      </c>
      <c r="I223" s="633">
        <f>IF(X223 = 50, H223 + SUM(S223:S226) - SUM(T223:T226) - SUM(P223:P226) - V223,0)</f>
        <v>0</v>
      </c>
      <c r="J223" s="658">
        <v>2353017179</v>
      </c>
      <c r="K223" s="631" t="s">
        <v>300</v>
      </c>
      <c r="L223" s="559"/>
      <c r="M223" s="559" t="s">
        <v>646</v>
      </c>
      <c r="N223" s="441">
        <v>44895</v>
      </c>
      <c r="O223" s="623" t="s">
        <v>647</v>
      </c>
      <c r="P223" s="433">
        <v>4400</v>
      </c>
      <c r="Q223" s="432" t="s">
        <v>692</v>
      </c>
      <c r="R223" s="431"/>
      <c r="S223" s="433"/>
      <c r="T223" s="433"/>
      <c r="U223" s="605"/>
      <c r="V223" s="885"/>
      <c r="W223" s="626"/>
      <c r="X223" s="85">
        <v>50</v>
      </c>
    </row>
    <row r="224" spans="1:24" x14ac:dyDescent="0.25">
      <c r="A224" s="603"/>
      <c r="B224" s="560"/>
      <c r="C224" s="560"/>
      <c r="D224" s="560"/>
      <c r="E224" s="560"/>
      <c r="F224" s="624"/>
      <c r="G224" s="635"/>
      <c r="H224" s="606"/>
      <c r="I224" s="643"/>
      <c r="J224" s="659"/>
      <c r="K224" s="635"/>
      <c r="L224" s="560"/>
      <c r="M224" s="560"/>
      <c r="N224" s="442">
        <v>44895</v>
      </c>
      <c r="O224" s="624"/>
      <c r="P224" s="435">
        <v>5200</v>
      </c>
      <c r="Q224" s="436" t="s">
        <v>692</v>
      </c>
      <c r="R224" s="437"/>
      <c r="S224" s="435"/>
      <c r="T224" s="435"/>
      <c r="U224" s="606"/>
      <c r="V224" s="886"/>
      <c r="W224" s="627"/>
      <c r="X224" s="2">
        <v>50</v>
      </c>
    </row>
    <row r="225" spans="1:24" x14ac:dyDescent="0.25">
      <c r="A225" s="603"/>
      <c r="B225" s="560"/>
      <c r="C225" s="560"/>
      <c r="D225" s="560"/>
      <c r="E225" s="560"/>
      <c r="F225" s="624"/>
      <c r="G225" s="635"/>
      <c r="H225" s="606"/>
      <c r="I225" s="643"/>
      <c r="J225" s="659"/>
      <c r="K225" s="635"/>
      <c r="L225" s="560"/>
      <c r="M225" s="560"/>
      <c r="N225" s="442">
        <v>44914</v>
      </c>
      <c r="O225" s="624"/>
      <c r="P225" s="435">
        <v>5170</v>
      </c>
      <c r="Q225" s="436" t="s">
        <v>691</v>
      </c>
      <c r="R225" s="437"/>
      <c r="S225" s="435"/>
      <c r="T225" s="435"/>
      <c r="U225" s="606"/>
      <c r="V225" s="886"/>
      <c r="W225" s="627"/>
      <c r="X225" s="2">
        <v>50</v>
      </c>
    </row>
    <row r="226" spans="1:24" x14ac:dyDescent="0.25">
      <c r="A226" s="604"/>
      <c r="B226" s="561"/>
      <c r="C226" s="561"/>
      <c r="D226" s="561"/>
      <c r="E226" s="561"/>
      <c r="F226" s="625"/>
      <c r="G226" s="632"/>
      <c r="H226" s="607"/>
      <c r="I226" s="634"/>
      <c r="J226" s="660"/>
      <c r="K226" s="632"/>
      <c r="L226" s="561"/>
      <c r="M226" s="561"/>
      <c r="N226" s="443">
        <v>44914</v>
      </c>
      <c r="O226" s="625"/>
      <c r="P226" s="438">
        <v>6110</v>
      </c>
      <c r="Q226" s="439" t="s">
        <v>691</v>
      </c>
      <c r="R226" s="440"/>
      <c r="S226" s="438"/>
      <c r="T226" s="438"/>
      <c r="U226" s="607"/>
      <c r="V226" s="887"/>
      <c r="W226" s="628"/>
      <c r="X226" s="2">
        <v>50</v>
      </c>
    </row>
    <row r="227" spans="1:24" s="85" customFormat="1" ht="56.25" x14ac:dyDescent="0.25">
      <c r="A227" s="419">
        <v>47</v>
      </c>
      <c r="B227" s="420" t="s">
        <v>56</v>
      </c>
      <c r="C227" s="420"/>
      <c r="D227" s="420"/>
      <c r="E227" s="420" t="s">
        <v>649</v>
      </c>
      <c r="F227" s="428" t="s">
        <v>650</v>
      </c>
      <c r="G227" s="421" t="s">
        <v>651</v>
      </c>
      <c r="H227" s="422">
        <v>26600</v>
      </c>
      <c r="I227" s="423">
        <f>IF(X227 = 51, H227 + SUM(S227:S227) - SUM(T227:T227) - SUM(P227:P227) - V227,0)</f>
        <v>0</v>
      </c>
      <c r="J227" s="424">
        <v>235002152355</v>
      </c>
      <c r="K227" s="393" t="s">
        <v>621</v>
      </c>
      <c r="L227" s="420"/>
      <c r="M227" s="394" t="s">
        <v>622</v>
      </c>
      <c r="N227" s="428">
        <v>44897</v>
      </c>
      <c r="O227" s="390" t="s">
        <v>623</v>
      </c>
      <c r="P227" s="422">
        <v>26600</v>
      </c>
      <c r="Q227" s="421" t="s">
        <v>674</v>
      </c>
      <c r="R227" s="420"/>
      <c r="S227" s="422"/>
      <c r="T227" s="422"/>
      <c r="U227" s="422"/>
      <c r="V227" s="426"/>
      <c r="W227" s="427"/>
      <c r="X227" s="85">
        <v>51</v>
      </c>
    </row>
    <row r="228" spans="1:24" s="85" customFormat="1" ht="75" x14ac:dyDescent="0.25">
      <c r="A228" s="419">
        <v>48</v>
      </c>
      <c r="B228" s="420" t="s">
        <v>56</v>
      </c>
      <c r="C228" s="420"/>
      <c r="D228" s="420"/>
      <c r="E228" s="420" t="s">
        <v>652</v>
      </c>
      <c r="F228" s="428" t="s">
        <v>653</v>
      </c>
      <c r="G228" s="421" t="s">
        <v>654</v>
      </c>
      <c r="H228" s="422">
        <v>200000</v>
      </c>
      <c r="I228" s="423">
        <f>IF(X228 = 52, H228 + SUM(S228:S228) - SUM(T228:T228) - SUM(P228:P228) - V228,0)</f>
        <v>0</v>
      </c>
      <c r="J228" s="424">
        <v>233907290277</v>
      </c>
      <c r="K228" s="425" t="s">
        <v>655</v>
      </c>
      <c r="L228" s="420"/>
      <c r="M228" s="412" t="s">
        <v>656</v>
      </c>
      <c r="N228" s="428">
        <v>44900</v>
      </c>
      <c r="O228" s="309" t="s">
        <v>657</v>
      </c>
      <c r="P228" s="422">
        <v>200000</v>
      </c>
      <c r="Q228" s="421" t="s">
        <v>692</v>
      </c>
      <c r="R228" s="420"/>
      <c r="S228" s="422"/>
      <c r="T228" s="422"/>
      <c r="U228" s="422"/>
      <c r="V228" s="426"/>
      <c r="W228" s="427"/>
      <c r="X228" s="85">
        <v>52</v>
      </c>
    </row>
    <row r="229" spans="1:24" s="85" customFormat="1" ht="54" customHeight="1" x14ac:dyDescent="0.25">
      <c r="A229" s="888">
        <v>49</v>
      </c>
      <c r="B229" s="894" t="s">
        <v>56</v>
      </c>
      <c r="C229" s="894"/>
      <c r="D229" s="894"/>
      <c r="E229" s="894" t="s">
        <v>213</v>
      </c>
      <c r="F229" s="890" t="s">
        <v>640</v>
      </c>
      <c r="G229" s="900" t="s">
        <v>668</v>
      </c>
      <c r="H229" s="892">
        <v>198588</v>
      </c>
      <c r="I229" s="902">
        <f>IF(X229 = 53, H229 + SUM(S229:S233) - SUM(T229:T233) - SUM(P229:P233) - V229,0)</f>
        <v>-1.4551915228366852E-11</v>
      </c>
      <c r="J229" s="904">
        <v>2353020735</v>
      </c>
      <c r="K229" s="906" t="s">
        <v>204</v>
      </c>
      <c r="L229" s="894"/>
      <c r="M229" s="894" t="s">
        <v>669</v>
      </c>
      <c r="N229" s="450">
        <v>44897</v>
      </c>
      <c r="O229" s="890" t="s">
        <v>670</v>
      </c>
      <c r="P229" s="446">
        <v>13356.21</v>
      </c>
      <c r="Q229" s="445" t="s">
        <v>677</v>
      </c>
      <c r="R229" s="444"/>
      <c r="S229" s="446"/>
      <c r="T229" s="446"/>
      <c r="U229" s="892" t="s">
        <v>716</v>
      </c>
      <c r="V229" s="896">
        <v>58096.05</v>
      </c>
      <c r="W229" s="898"/>
      <c r="X229" s="85">
        <v>53</v>
      </c>
    </row>
    <row r="230" spans="1:24" x14ac:dyDescent="0.25">
      <c r="A230" s="908"/>
      <c r="B230" s="911"/>
      <c r="C230" s="911"/>
      <c r="D230" s="911"/>
      <c r="E230" s="911"/>
      <c r="F230" s="909"/>
      <c r="G230" s="914"/>
      <c r="H230" s="910"/>
      <c r="I230" s="915"/>
      <c r="J230" s="916"/>
      <c r="K230" s="917"/>
      <c r="L230" s="911"/>
      <c r="M230" s="911"/>
      <c r="N230" s="452">
        <v>44897</v>
      </c>
      <c r="O230" s="909"/>
      <c r="P230" s="453">
        <v>852.53</v>
      </c>
      <c r="Q230" s="454" t="s">
        <v>677</v>
      </c>
      <c r="R230" s="455"/>
      <c r="S230" s="453"/>
      <c r="T230" s="453"/>
      <c r="U230" s="910"/>
      <c r="V230" s="912"/>
      <c r="W230" s="913"/>
      <c r="X230" s="2">
        <v>53</v>
      </c>
    </row>
    <row r="231" spans="1:24" x14ac:dyDescent="0.25">
      <c r="A231" s="908"/>
      <c r="B231" s="911"/>
      <c r="C231" s="911"/>
      <c r="D231" s="911"/>
      <c r="E231" s="911"/>
      <c r="F231" s="909"/>
      <c r="G231" s="914"/>
      <c r="H231" s="910"/>
      <c r="I231" s="915"/>
      <c r="J231" s="916"/>
      <c r="K231" s="917"/>
      <c r="L231" s="911"/>
      <c r="M231" s="911"/>
      <c r="N231" s="452">
        <v>44911</v>
      </c>
      <c r="O231" s="909"/>
      <c r="P231" s="453">
        <v>69160.08</v>
      </c>
      <c r="Q231" s="454" t="s">
        <v>679</v>
      </c>
      <c r="R231" s="455"/>
      <c r="S231" s="453"/>
      <c r="T231" s="453"/>
      <c r="U231" s="910"/>
      <c r="V231" s="912"/>
      <c r="W231" s="913"/>
      <c r="X231" s="2">
        <v>53</v>
      </c>
    </row>
    <row r="232" spans="1:24" x14ac:dyDescent="0.25">
      <c r="A232" s="908"/>
      <c r="B232" s="911"/>
      <c r="C232" s="911"/>
      <c r="D232" s="911"/>
      <c r="E232" s="911"/>
      <c r="F232" s="909"/>
      <c r="G232" s="914"/>
      <c r="H232" s="910"/>
      <c r="I232" s="915"/>
      <c r="J232" s="916"/>
      <c r="K232" s="917"/>
      <c r="L232" s="911"/>
      <c r="M232" s="911"/>
      <c r="N232" s="452">
        <v>44911</v>
      </c>
      <c r="O232" s="909"/>
      <c r="P232" s="453">
        <v>4414.5200000000004</v>
      </c>
      <c r="Q232" s="454" t="s">
        <v>679</v>
      </c>
      <c r="R232" s="455"/>
      <c r="S232" s="453"/>
      <c r="T232" s="453"/>
      <c r="U232" s="910"/>
      <c r="V232" s="912"/>
      <c r="W232" s="913"/>
      <c r="X232" s="2">
        <v>53</v>
      </c>
    </row>
    <row r="233" spans="1:24" x14ac:dyDescent="0.25">
      <c r="A233" s="889"/>
      <c r="B233" s="895"/>
      <c r="C233" s="895"/>
      <c r="D233" s="895"/>
      <c r="E233" s="895"/>
      <c r="F233" s="891"/>
      <c r="G233" s="901"/>
      <c r="H233" s="893"/>
      <c r="I233" s="903"/>
      <c r="J233" s="905"/>
      <c r="K233" s="907"/>
      <c r="L233" s="895"/>
      <c r="M233" s="895"/>
      <c r="N233" s="451">
        <v>44923</v>
      </c>
      <c r="O233" s="891"/>
      <c r="P233" s="447">
        <v>52708.61</v>
      </c>
      <c r="Q233" s="448" t="s">
        <v>681</v>
      </c>
      <c r="R233" s="449"/>
      <c r="S233" s="447"/>
      <c r="T233" s="447"/>
      <c r="U233" s="893"/>
      <c r="V233" s="897"/>
      <c r="W233" s="899"/>
      <c r="X233" s="2">
        <v>53</v>
      </c>
    </row>
    <row r="234" spans="1:24" s="85" customFormat="1" ht="54" customHeight="1" x14ac:dyDescent="0.25">
      <c r="A234" s="888">
        <v>50</v>
      </c>
      <c r="B234" s="894" t="s">
        <v>56</v>
      </c>
      <c r="C234" s="894"/>
      <c r="D234" s="894"/>
      <c r="E234" s="894" t="s">
        <v>509</v>
      </c>
      <c r="F234" s="890" t="s">
        <v>640</v>
      </c>
      <c r="G234" s="900" t="s">
        <v>671</v>
      </c>
      <c r="H234" s="892">
        <v>58960</v>
      </c>
      <c r="I234" s="902">
        <f>IF(X234 = 54, H234 + SUM(S234:S235) - SUM(T234:T235) - SUM(P234:P235) - V234,0)</f>
        <v>0</v>
      </c>
      <c r="J234" s="904">
        <v>2353020735</v>
      </c>
      <c r="K234" s="906" t="s">
        <v>204</v>
      </c>
      <c r="L234" s="894"/>
      <c r="M234" s="894" t="s">
        <v>669</v>
      </c>
      <c r="N234" s="450">
        <v>44897</v>
      </c>
      <c r="O234" s="890" t="s">
        <v>670</v>
      </c>
      <c r="P234" s="446">
        <v>4642</v>
      </c>
      <c r="Q234" s="445" t="s">
        <v>677</v>
      </c>
      <c r="R234" s="444"/>
      <c r="S234" s="446"/>
      <c r="T234" s="446"/>
      <c r="U234" s="892" t="s">
        <v>716</v>
      </c>
      <c r="V234" s="896">
        <v>30998</v>
      </c>
      <c r="W234" s="898"/>
      <c r="X234" s="85">
        <v>54</v>
      </c>
    </row>
    <row r="235" spans="1:24" x14ac:dyDescent="0.25">
      <c r="A235" s="889"/>
      <c r="B235" s="895"/>
      <c r="C235" s="895"/>
      <c r="D235" s="895"/>
      <c r="E235" s="895"/>
      <c r="F235" s="891"/>
      <c r="G235" s="901"/>
      <c r="H235" s="893"/>
      <c r="I235" s="903"/>
      <c r="J235" s="905"/>
      <c r="K235" s="907"/>
      <c r="L235" s="895"/>
      <c r="M235" s="895"/>
      <c r="N235" s="451">
        <v>44911</v>
      </c>
      <c r="O235" s="891"/>
      <c r="P235" s="447">
        <v>23320</v>
      </c>
      <c r="Q235" s="448" t="s">
        <v>680</v>
      </c>
      <c r="R235" s="449"/>
      <c r="S235" s="447"/>
      <c r="T235" s="447"/>
      <c r="U235" s="893"/>
      <c r="V235" s="897"/>
      <c r="W235" s="899"/>
      <c r="X235" s="2">
        <v>54</v>
      </c>
    </row>
    <row r="236" spans="1:24" s="85" customFormat="1" ht="93.75" x14ac:dyDescent="0.25">
      <c r="A236" s="458">
        <v>51</v>
      </c>
      <c r="B236" s="459" t="s">
        <v>56</v>
      </c>
      <c r="C236" s="459"/>
      <c r="D236" s="459"/>
      <c r="E236" s="459" t="s">
        <v>705</v>
      </c>
      <c r="F236" s="466" t="s">
        <v>706</v>
      </c>
      <c r="G236" s="460" t="s">
        <v>707</v>
      </c>
      <c r="H236" s="461">
        <v>45256.44</v>
      </c>
      <c r="I236" s="462">
        <f>IF(X236 = 55, H236 + SUM(S236:S236) - SUM(T236:T236) - SUM(P236:P236) - V236,0)</f>
        <v>45256.44</v>
      </c>
      <c r="J236" s="463">
        <v>2308131994</v>
      </c>
      <c r="K236" s="464" t="s">
        <v>708</v>
      </c>
      <c r="L236" s="459"/>
      <c r="M236" s="459" t="s">
        <v>703</v>
      </c>
      <c r="N236" s="466"/>
      <c r="O236" s="466" t="s">
        <v>711</v>
      </c>
      <c r="P236" s="461"/>
      <c r="Q236" s="460"/>
      <c r="R236" s="459"/>
      <c r="S236" s="461"/>
      <c r="T236" s="461"/>
      <c r="U236" s="461"/>
      <c r="V236" s="465"/>
      <c r="W236" s="456"/>
      <c r="X236" s="85">
        <v>55</v>
      </c>
    </row>
    <row r="237" spans="1:24" s="85" customFormat="1" ht="56.25" x14ac:dyDescent="0.25">
      <c r="A237" s="458">
        <v>52</v>
      </c>
      <c r="B237" s="459" t="s">
        <v>56</v>
      </c>
      <c r="C237" s="459"/>
      <c r="D237" s="459"/>
      <c r="E237" s="459" t="s">
        <v>176</v>
      </c>
      <c r="F237" s="466" t="s">
        <v>706</v>
      </c>
      <c r="G237" s="460" t="s">
        <v>709</v>
      </c>
      <c r="H237" s="461">
        <v>24918.78</v>
      </c>
      <c r="I237" s="462">
        <f>IF(X237 = 56, H237 + SUM(S237:S237) - SUM(T237:T237) - SUM(P237:P237) - V237,0)</f>
        <v>24918.78</v>
      </c>
      <c r="J237" s="463">
        <v>2369002347</v>
      </c>
      <c r="K237" s="464" t="s">
        <v>710</v>
      </c>
      <c r="L237" s="459"/>
      <c r="M237" s="459" t="s">
        <v>703</v>
      </c>
      <c r="N237" s="466"/>
      <c r="O237" s="466" t="s">
        <v>711</v>
      </c>
      <c r="P237" s="461"/>
      <c r="Q237" s="460"/>
      <c r="R237" s="459"/>
      <c r="S237" s="461"/>
      <c r="T237" s="461"/>
      <c r="U237" s="461"/>
      <c r="V237" s="465"/>
      <c r="W237" s="456"/>
      <c r="X237" s="85">
        <v>56</v>
      </c>
    </row>
    <row r="238" spans="1:24" s="85" customFormat="1" ht="75" x14ac:dyDescent="0.25">
      <c r="A238" s="458">
        <v>53</v>
      </c>
      <c r="B238" s="459" t="s">
        <v>56</v>
      </c>
      <c r="C238" s="459"/>
      <c r="D238" s="459"/>
      <c r="E238" s="459" t="s">
        <v>718</v>
      </c>
      <c r="F238" s="466" t="s">
        <v>719</v>
      </c>
      <c r="G238" s="460" t="s">
        <v>720</v>
      </c>
      <c r="H238" s="461">
        <v>30012.16</v>
      </c>
      <c r="I238" s="462">
        <f>IF(X238 = 57, H238 + SUM(S238:S238) - SUM(T238:T238) - SUM(P238:P238) - V238,0)</f>
        <v>30012.16</v>
      </c>
      <c r="J238" s="463">
        <v>274062111</v>
      </c>
      <c r="K238" s="464" t="s">
        <v>224</v>
      </c>
      <c r="L238" s="459"/>
      <c r="M238" s="459" t="s">
        <v>721</v>
      </c>
      <c r="N238" s="466"/>
      <c r="O238" s="466" t="s">
        <v>722</v>
      </c>
      <c r="P238" s="461"/>
      <c r="Q238" s="460"/>
      <c r="R238" s="459"/>
      <c r="S238" s="461"/>
      <c r="T238" s="461"/>
      <c r="U238" s="461"/>
      <c r="V238" s="465"/>
      <c r="W238" s="456"/>
      <c r="X238" s="85">
        <v>57</v>
      </c>
    </row>
    <row r="239" spans="1:24" s="85" customFormat="1" ht="56.25" x14ac:dyDescent="0.25">
      <c r="A239" s="458">
        <v>54</v>
      </c>
      <c r="B239" s="459" t="s">
        <v>56</v>
      </c>
      <c r="C239" s="459"/>
      <c r="D239" s="459"/>
      <c r="E239" s="459" t="s">
        <v>146</v>
      </c>
      <c r="F239" s="468" t="s">
        <v>719</v>
      </c>
      <c r="G239" s="460" t="s">
        <v>723</v>
      </c>
      <c r="H239" s="461">
        <v>460063</v>
      </c>
      <c r="I239" s="462">
        <f>IF(X239 = 58, H239 + SUM(S239:S239) - SUM(T239:T239) - SUM(P239:P239) - V239,0)</f>
        <v>460063</v>
      </c>
      <c r="J239" s="463">
        <v>2308119595</v>
      </c>
      <c r="K239" s="464" t="s">
        <v>148</v>
      </c>
      <c r="L239" s="459"/>
      <c r="M239" s="459" t="s">
        <v>703</v>
      </c>
      <c r="N239" s="468"/>
      <c r="O239" s="468" t="s">
        <v>724</v>
      </c>
      <c r="P239" s="461"/>
      <c r="Q239" s="460"/>
      <c r="R239" s="459"/>
      <c r="S239" s="461"/>
      <c r="T239" s="461"/>
      <c r="U239" s="461"/>
      <c r="V239" s="465"/>
      <c r="W239" s="456"/>
      <c r="X239" s="85">
        <v>58</v>
      </c>
    </row>
    <row r="240" spans="1:24" s="85" customFormat="1" ht="75" x14ac:dyDescent="0.25">
      <c r="A240" s="458">
        <v>55</v>
      </c>
      <c r="B240" s="459" t="s">
        <v>56</v>
      </c>
      <c r="C240" s="459"/>
      <c r="D240" s="459"/>
      <c r="E240" s="459" t="s">
        <v>179</v>
      </c>
      <c r="F240" s="468" t="s">
        <v>706</v>
      </c>
      <c r="G240" s="460" t="s">
        <v>725</v>
      </c>
      <c r="H240" s="461">
        <v>27288.84</v>
      </c>
      <c r="I240" s="462">
        <f>IF(X240 = 59, H240 + SUM(S240:S240) - SUM(T240:T240) - SUM(P240:P240) - V240,0)</f>
        <v>27288.84</v>
      </c>
      <c r="J240" s="463">
        <v>2310163739</v>
      </c>
      <c r="K240" s="464" t="s">
        <v>181</v>
      </c>
      <c r="L240" s="459"/>
      <c r="M240" s="459" t="s">
        <v>703</v>
      </c>
      <c r="N240" s="468"/>
      <c r="O240" s="468" t="s">
        <v>726</v>
      </c>
      <c r="P240" s="461"/>
      <c r="Q240" s="460"/>
      <c r="R240" s="459"/>
      <c r="S240" s="461"/>
      <c r="T240" s="461"/>
      <c r="U240" s="461"/>
      <c r="V240" s="465"/>
      <c r="W240" s="456"/>
      <c r="X240" s="85">
        <v>59</v>
      </c>
    </row>
    <row r="241" spans="24:24" ht="18" x14ac:dyDescent="0.3">
      <c r="X241" s="2">
        <v>60</v>
      </c>
    </row>
  </sheetData>
  <sheetProtection algorithmName="SHA-512" hashValue="eJOjZAas4MoR8hsZdQcqaHi1YFglfT+8eFtmB756y0sEe++Vis2hI/mKQ7CfApnCyOAJXq4mwQIA84At6BYMEQ==" saltValue="PgoWrjJYYy8hvstdwskfoA==" spinCount="100000" sheet="1" objects="1" scenarios="1" formatCells="0" formatColumns="0" formatRows="0"/>
  <mergeCells count="496">
    <mergeCell ref="A223:A226"/>
    <mergeCell ref="O223:O226"/>
    <mergeCell ref="U223:U226"/>
    <mergeCell ref="B223:B226"/>
    <mergeCell ref="V223:V226"/>
    <mergeCell ref="C223:C226"/>
    <mergeCell ref="W223:W226"/>
    <mergeCell ref="D223:D226"/>
    <mergeCell ref="E223:E226"/>
    <mergeCell ref="F223:F226"/>
    <mergeCell ref="G223:G226"/>
    <mergeCell ref="H223:H226"/>
    <mergeCell ref="I223:I226"/>
    <mergeCell ref="J223:J226"/>
    <mergeCell ref="K223:K226"/>
    <mergeCell ref="L223:L226"/>
    <mergeCell ref="M223:M226"/>
    <mergeCell ref="A90:A109"/>
    <mergeCell ref="O90:O109"/>
    <mergeCell ref="U90:U109"/>
    <mergeCell ref="B90:B109"/>
    <mergeCell ref="V90:V109"/>
    <mergeCell ref="C90:C109"/>
    <mergeCell ref="W90:W109"/>
    <mergeCell ref="D90:D109"/>
    <mergeCell ref="E90:E109"/>
    <mergeCell ref="F90:F109"/>
    <mergeCell ref="G90:G109"/>
    <mergeCell ref="H90:H109"/>
    <mergeCell ref="I90:I109"/>
    <mergeCell ref="J90:J109"/>
    <mergeCell ref="K90:K109"/>
    <mergeCell ref="L90:L109"/>
    <mergeCell ref="M90:M109"/>
    <mergeCell ref="A216:A218"/>
    <mergeCell ref="O216:O218"/>
    <mergeCell ref="U216:U218"/>
    <mergeCell ref="B216:B218"/>
    <mergeCell ref="V216:V218"/>
    <mergeCell ref="C216:C218"/>
    <mergeCell ref="W216:W218"/>
    <mergeCell ref="D216:D218"/>
    <mergeCell ref="E216:E218"/>
    <mergeCell ref="F216:F218"/>
    <mergeCell ref="G216:G218"/>
    <mergeCell ref="H216:H218"/>
    <mergeCell ref="I216:I218"/>
    <mergeCell ref="J216:J218"/>
    <mergeCell ref="K216:K218"/>
    <mergeCell ref="L216:L218"/>
    <mergeCell ref="M216:M218"/>
    <mergeCell ref="O126:O137"/>
    <mergeCell ref="U126:U137"/>
    <mergeCell ref="B126:B137"/>
    <mergeCell ref="V126:V137"/>
    <mergeCell ref="C126:C137"/>
    <mergeCell ref="W126:W137"/>
    <mergeCell ref="D126:D137"/>
    <mergeCell ref="E126:E137"/>
    <mergeCell ref="F126:F137"/>
    <mergeCell ref="G126:G137"/>
    <mergeCell ref="H126:H137"/>
    <mergeCell ref="I126:I137"/>
    <mergeCell ref="J126:J137"/>
    <mergeCell ref="K126:K137"/>
    <mergeCell ref="L126:L137"/>
    <mergeCell ref="M126:M137"/>
    <mergeCell ref="A177:A180"/>
    <mergeCell ref="O177:O180"/>
    <mergeCell ref="U177:U180"/>
    <mergeCell ref="B177:B180"/>
    <mergeCell ref="V177:V180"/>
    <mergeCell ref="C177:C180"/>
    <mergeCell ref="W177:W180"/>
    <mergeCell ref="D177:D180"/>
    <mergeCell ref="E177:E180"/>
    <mergeCell ref="F177:F180"/>
    <mergeCell ref="G177:G180"/>
    <mergeCell ref="H177:H180"/>
    <mergeCell ref="I177:I180"/>
    <mergeCell ref="J177:J180"/>
    <mergeCell ref="K177:K180"/>
    <mergeCell ref="L177:L180"/>
    <mergeCell ref="M177:M180"/>
    <mergeCell ref="A54:A65"/>
    <mergeCell ref="O54:O65"/>
    <mergeCell ref="U54:U65"/>
    <mergeCell ref="B54:B65"/>
    <mergeCell ref="V54:V65"/>
    <mergeCell ref="C54:C65"/>
    <mergeCell ref="W54:W65"/>
    <mergeCell ref="A140:A143"/>
    <mergeCell ref="O140:O143"/>
    <mergeCell ref="U140:U143"/>
    <mergeCell ref="B140:B143"/>
    <mergeCell ref="V140:V143"/>
    <mergeCell ref="C140:C143"/>
    <mergeCell ref="W140:W143"/>
    <mergeCell ref="D140:D143"/>
    <mergeCell ref="E140:E143"/>
    <mergeCell ref="F140:F143"/>
    <mergeCell ref="G140:G143"/>
    <mergeCell ref="H140:H143"/>
    <mergeCell ref="I140:I143"/>
    <mergeCell ref="J140:J143"/>
    <mergeCell ref="K140:K143"/>
    <mergeCell ref="L140:L143"/>
    <mergeCell ref="M140:M143"/>
    <mergeCell ref="A36:A47"/>
    <mergeCell ref="O36:O47"/>
    <mergeCell ref="U36:U47"/>
    <mergeCell ref="B36:B47"/>
    <mergeCell ref="V36:V47"/>
    <mergeCell ref="C36:C47"/>
    <mergeCell ref="W36:W47"/>
    <mergeCell ref="D36:D47"/>
    <mergeCell ref="E36:E47"/>
    <mergeCell ref="F36:F47"/>
    <mergeCell ref="G36:G47"/>
    <mergeCell ref="H36:H47"/>
    <mergeCell ref="I36:I47"/>
    <mergeCell ref="J36:J47"/>
    <mergeCell ref="K36:K47"/>
    <mergeCell ref="L36:L47"/>
    <mergeCell ref="M36:M47"/>
    <mergeCell ref="A66:A77"/>
    <mergeCell ref="O66:O77"/>
    <mergeCell ref="U66:U77"/>
    <mergeCell ref="B66:B77"/>
    <mergeCell ref="V66:V77"/>
    <mergeCell ref="C66:C77"/>
    <mergeCell ref="W66:W77"/>
    <mergeCell ref="A78:A89"/>
    <mergeCell ref="O78:O89"/>
    <mergeCell ref="U78:U89"/>
    <mergeCell ref="B78:B89"/>
    <mergeCell ref="V78:V89"/>
    <mergeCell ref="C78:C89"/>
    <mergeCell ref="W78:W89"/>
    <mergeCell ref="E66:E77"/>
    <mergeCell ref="F66:F77"/>
    <mergeCell ref="G66:G77"/>
    <mergeCell ref="H66:H77"/>
    <mergeCell ref="I66:I77"/>
    <mergeCell ref="J66:J77"/>
    <mergeCell ref="K66:K77"/>
    <mergeCell ref="L66:L77"/>
    <mergeCell ref="M66:M77"/>
    <mergeCell ref="W9:W35"/>
    <mergeCell ref="D9:D35"/>
    <mergeCell ref="E9:E35"/>
    <mergeCell ref="F9:F35"/>
    <mergeCell ref="G9:G35"/>
    <mergeCell ref="H9:H35"/>
    <mergeCell ref="I9:I35"/>
    <mergeCell ref="J9:J35"/>
    <mergeCell ref="K9:K35"/>
    <mergeCell ref="L9:L35"/>
    <mergeCell ref="M9:M35"/>
    <mergeCell ref="A9:A35"/>
    <mergeCell ref="O9:O35"/>
    <mergeCell ref="U9:U35"/>
    <mergeCell ref="B9:B35"/>
    <mergeCell ref="V9:V35"/>
    <mergeCell ref="C9:C35"/>
    <mergeCell ref="W229:W233"/>
    <mergeCell ref="D229:D233"/>
    <mergeCell ref="E229:E233"/>
    <mergeCell ref="F229:F233"/>
    <mergeCell ref="G229:G233"/>
    <mergeCell ref="H229:H233"/>
    <mergeCell ref="I229:I233"/>
    <mergeCell ref="J229:J233"/>
    <mergeCell ref="K229:K233"/>
    <mergeCell ref="L229:L233"/>
    <mergeCell ref="M229:M233"/>
    <mergeCell ref="A182:A190"/>
    <mergeCell ref="O182:O190"/>
    <mergeCell ref="U182:U190"/>
    <mergeCell ref="B182:B190"/>
    <mergeCell ref="V182:V190"/>
    <mergeCell ref="C182:C190"/>
    <mergeCell ref="W182:W190"/>
    <mergeCell ref="D182:D190"/>
    <mergeCell ref="E182:E190"/>
    <mergeCell ref="F182:F190"/>
    <mergeCell ref="G182:G190"/>
    <mergeCell ref="H182:H190"/>
    <mergeCell ref="I182:I190"/>
    <mergeCell ref="J182:J190"/>
    <mergeCell ref="K182:K190"/>
    <mergeCell ref="L182:L190"/>
    <mergeCell ref="M182:M190"/>
    <mergeCell ref="A234:A235"/>
    <mergeCell ref="O234:O235"/>
    <mergeCell ref="U234:U235"/>
    <mergeCell ref="B234:B235"/>
    <mergeCell ref="V234:V235"/>
    <mergeCell ref="C234:C235"/>
    <mergeCell ref="W234:W235"/>
    <mergeCell ref="D234:D235"/>
    <mergeCell ref="E234:E235"/>
    <mergeCell ref="F234:F235"/>
    <mergeCell ref="G234:G235"/>
    <mergeCell ref="H234:H235"/>
    <mergeCell ref="I234:I235"/>
    <mergeCell ref="J234:J235"/>
    <mergeCell ref="K234:K235"/>
    <mergeCell ref="L234:L235"/>
    <mergeCell ref="M234:M235"/>
    <mergeCell ref="A229:A233"/>
    <mergeCell ref="O229:O233"/>
    <mergeCell ref="U229:U233"/>
    <mergeCell ref="B229:B233"/>
    <mergeCell ref="V229:V233"/>
    <mergeCell ref="C229:C233"/>
    <mergeCell ref="L191:L206"/>
    <mergeCell ref="M191:M206"/>
    <mergeCell ref="A207:A214"/>
    <mergeCell ref="O207:O214"/>
    <mergeCell ref="U207:U214"/>
    <mergeCell ref="B207:B214"/>
    <mergeCell ref="V207:V214"/>
    <mergeCell ref="C207:C214"/>
    <mergeCell ref="W207:W214"/>
    <mergeCell ref="D207:D214"/>
    <mergeCell ref="E207:E214"/>
    <mergeCell ref="F207:F214"/>
    <mergeCell ref="G207:G214"/>
    <mergeCell ref="H207:H214"/>
    <mergeCell ref="I207:I214"/>
    <mergeCell ref="J207:J214"/>
    <mergeCell ref="K207:K214"/>
    <mergeCell ref="L207:L214"/>
    <mergeCell ref="M207:M214"/>
    <mergeCell ref="A191:A206"/>
    <mergeCell ref="O191:O206"/>
    <mergeCell ref="U191:U206"/>
    <mergeCell ref="B191:B206"/>
    <mergeCell ref="V191:V206"/>
    <mergeCell ref="C191:C206"/>
    <mergeCell ref="W191:W206"/>
    <mergeCell ref="L174:L175"/>
    <mergeCell ref="B166:B167"/>
    <mergeCell ref="D174:D175"/>
    <mergeCell ref="E174:E175"/>
    <mergeCell ref="F174:F175"/>
    <mergeCell ref="G174:G175"/>
    <mergeCell ref="H174:H175"/>
    <mergeCell ref="I174:I175"/>
    <mergeCell ref="J174:J175"/>
    <mergeCell ref="K174:K175"/>
    <mergeCell ref="V174:V175"/>
    <mergeCell ref="W174:W175"/>
    <mergeCell ref="O174:O175"/>
    <mergeCell ref="U174:U175"/>
    <mergeCell ref="D166:D167"/>
    <mergeCell ref="E166:E167"/>
    <mergeCell ref="F166:F167"/>
    <mergeCell ref="G166:G167"/>
    <mergeCell ref="M174:M175"/>
    <mergeCell ref="D191:D206"/>
    <mergeCell ref="E191:E206"/>
    <mergeCell ref="F191:F206"/>
    <mergeCell ref="A116:A125"/>
    <mergeCell ref="B116:B125"/>
    <mergeCell ref="A111:A115"/>
    <mergeCell ref="D116:D125"/>
    <mergeCell ref="E116:E125"/>
    <mergeCell ref="L116:L125"/>
    <mergeCell ref="K150:K153"/>
    <mergeCell ref="L150:L153"/>
    <mergeCell ref="I150:I153"/>
    <mergeCell ref="J150:J153"/>
    <mergeCell ref="E146:E149"/>
    <mergeCell ref="A150:A153"/>
    <mergeCell ref="B150:B153"/>
    <mergeCell ref="C150:C153"/>
    <mergeCell ref="A146:A149"/>
    <mergeCell ref="B146:B149"/>
    <mergeCell ref="C146:C149"/>
    <mergeCell ref="A126:A137"/>
    <mergeCell ref="H150:H153"/>
    <mergeCell ref="F146:F149"/>
    <mergeCell ref="G146:G149"/>
    <mergeCell ref="A144:A145"/>
    <mergeCell ref="B144:B145"/>
    <mergeCell ref="C144:C145"/>
    <mergeCell ref="K157:K160"/>
    <mergeCell ref="L157:L160"/>
    <mergeCell ref="M157:M160"/>
    <mergeCell ref="A174:A175"/>
    <mergeCell ref="B174:B175"/>
    <mergeCell ref="D162:D163"/>
    <mergeCell ref="E162:E163"/>
    <mergeCell ref="F162:F163"/>
    <mergeCell ref="A157:A160"/>
    <mergeCell ref="B157:B160"/>
    <mergeCell ref="H157:H160"/>
    <mergeCell ref="C174:C175"/>
    <mergeCell ref="G162:G163"/>
    <mergeCell ref="A166:A167"/>
    <mergeCell ref="A162:A163"/>
    <mergeCell ref="B162:B163"/>
    <mergeCell ref="C162:C163"/>
    <mergeCell ref="C166:C167"/>
    <mergeCell ref="C157:C160"/>
    <mergeCell ref="O162:O163"/>
    <mergeCell ref="U162:U163"/>
    <mergeCell ref="V162:V163"/>
    <mergeCell ref="U166:U167"/>
    <mergeCell ref="V166:V167"/>
    <mergeCell ref="H166:H167"/>
    <mergeCell ref="I166:I167"/>
    <mergeCell ref="J166:J167"/>
    <mergeCell ref="K166:K167"/>
    <mergeCell ref="L166:L167"/>
    <mergeCell ref="W116:W125"/>
    <mergeCell ref="W111:W115"/>
    <mergeCell ref="E111:E115"/>
    <mergeCell ref="F111:F115"/>
    <mergeCell ref="G111:G115"/>
    <mergeCell ref="V111:V115"/>
    <mergeCell ref="C111:C115"/>
    <mergeCell ref="U111:U115"/>
    <mergeCell ref="O111:O115"/>
    <mergeCell ref="V116:V125"/>
    <mergeCell ref="W50:W52"/>
    <mergeCell ref="D50:D52"/>
    <mergeCell ref="E50:E52"/>
    <mergeCell ref="O48:O49"/>
    <mergeCell ref="U48:U49"/>
    <mergeCell ref="F50:F52"/>
    <mergeCell ref="G50:G52"/>
    <mergeCell ref="H50:H52"/>
    <mergeCell ref="I50:I52"/>
    <mergeCell ref="J50:J52"/>
    <mergeCell ref="K50:K52"/>
    <mergeCell ref="W48:W49"/>
    <mergeCell ref="H48:H49"/>
    <mergeCell ref="V50:V52"/>
    <mergeCell ref="V48:V49"/>
    <mergeCell ref="S2:U2"/>
    <mergeCell ref="F2:G2"/>
    <mergeCell ref="N2:O2"/>
    <mergeCell ref="O116:O125"/>
    <mergeCell ref="U116:U125"/>
    <mergeCell ref="O50:O52"/>
    <mergeCell ref="U50:U52"/>
    <mergeCell ref="F116:F125"/>
    <mergeCell ref="G116:G125"/>
    <mergeCell ref="H116:H125"/>
    <mergeCell ref="I116:I125"/>
    <mergeCell ref="J116:J125"/>
    <mergeCell ref="K116:K125"/>
    <mergeCell ref="H111:H115"/>
    <mergeCell ref="I111:I115"/>
    <mergeCell ref="J111:J115"/>
    <mergeCell ref="M116:M125"/>
    <mergeCell ref="M50:M52"/>
    <mergeCell ref="K111:K115"/>
    <mergeCell ref="M54:M65"/>
    <mergeCell ref="A50:A52"/>
    <mergeCell ref="B50:B52"/>
    <mergeCell ref="B111:B115"/>
    <mergeCell ref="D111:D115"/>
    <mergeCell ref="I48:I49"/>
    <mergeCell ref="J48:J49"/>
    <mergeCell ref="K48:K49"/>
    <mergeCell ref="L48:L49"/>
    <mergeCell ref="M48:M49"/>
    <mergeCell ref="F48:F49"/>
    <mergeCell ref="G48:G49"/>
    <mergeCell ref="L50:L52"/>
    <mergeCell ref="D48:D49"/>
    <mergeCell ref="E48:E49"/>
    <mergeCell ref="C48:C49"/>
    <mergeCell ref="C50:C52"/>
    <mergeCell ref="A48:A49"/>
    <mergeCell ref="B48:B49"/>
    <mergeCell ref="L111:L115"/>
    <mergeCell ref="M111:M115"/>
    <mergeCell ref="L78:L89"/>
    <mergeCell ref="M78:M89"/>
    <mergeCell ref="D66:D77"/>
    <mergeCell ref="D54:D65"/>
    <mergeCell ref="H144:H145"/>
    <mergeCell ref="I144:I145"/>
    <mergeCell ref="H146:H149"/>
    <mergeCell ref="I146:I149"/>
    <mergeCell ref="J144:J145"/>
    <mergeCell ref="K144:K145"/>
    <mergeCell ref="L146:L149"/>
    <mergeCell ref="L144:L145"/>
    <mergeCell ref="W144:W145"/>
    <mergeCell ref="U144:U145"/>
    <mergeCell ref="V146:V149"/>
    <mergeCell ref="W146:W149"/>
    <mergeCell ref="V144:V145"/>
    <mergeCell ref="M146:M149"/>
    <mergeCell ref="O144:O145"/>
    <mergeCell ref="O146:O149"/>
    <mergeCell ref="M144:M145"/>
    <mergeCell ref="W166:W167"/>
    <mergeCell ref="M166:M167"/>
    <mergeCell ref="H162:H163"/>
    <mergeCell ref="I162:I163"/>
    <mergeCell ref="J162:J163"/>
    <mergeCell ref="I157:I160"/>
    <mergeCell ref="J157:J160"/>
    <mergeCell ref="U146:U149"/>
    <mergeCell ref="J146:J149"/>
    <mergeCell ref="K146:K149"/>
    <mergeCell ref="O157:O160"/>
    <mergeCell ref="U157:U160"/>
    <mergeCell ref="V157:V160"/>
    <mergeCell ref="M150:M153"/>
    <mergeCell ref="O150:O153"/>
    <mergeCell ref="U150:U153"/>
    <mergeCell ref="V150:V153"/>
    <mergeCell ref="W150:W153"/>
    <mergeCell ref="W157:W160"/>
    <mergeCell ref="K162:K163"/>
    <mergeCell ref="L162:L163"/>
    <mergeCell ref="W162:W163"/>
    <mergeCell ref="M162:M163"/>
    <mergeCell ref="O166:O167"/>
    <mergeCell ref="U171:U172"/>
    <mergeCell ref="B171:B172"/>
    <mergeCell ref="V171:V172"/>
    <mergeCell ref="C171:C172"/>
    <mergeCell ref="W171:W172"/>
    <mergeCell ref="D171:D172"/>
    <mergeCell ref="E171:E172"/>
    <mergeCell ref="F171:F172"/>
    <mergeCell ref="G171:G172"/>
    <mergeCell ref="H171:H172"/>
    <mergeCell ref="I171:I172"/>
    <mergeCell ref="J171:J172"/>
    <mergeCell ref="K171:K172"/>
    <mergeCell ref="L171:L172"/>
    <mergeCell ref="M171:M172"/>
    <mergeCell ref="E54:E65"/>
    <mergeCell ref="F54:F65"/>
    <mergeCell ref="G54:G65"/>
    <mergeCell ref="H54:H65"/>
    <mergeCell ref="I54:I65"/>
    <mergeCell ref="J54:J65"/>
    <mergeCell ref="K54:K65"/>
    <mergeCell ref="L54:L65"/>
    <mergeCell ref="C116:C125"/>
    <mergeCell ref="D78:D89"/>
    <mergeCell ref="E78:E89"/>
    <mergeCell ref="F78:F89"/>
    <mergeCell ref="G78:G89"/>
    <mergeCell ref="H78:H89"/>
    <mergeCell ref="I78:I89"/>
    <mergeCell ref="J78:J89"/>
    <mergeCell ref="K78:K89"/>
    <mergeCell ref="E144:E145"/>
    <mergeCell ref="F144:F145"/>
    <mergeCell ref="G144:G145"/>
    <mergeCell ref="A219:A220"/>
    <mergeCell ref="O219:O220"/>
    <mergeCell ref="U219:U220"/>
    <mergeCell ref="B219:B220"/>
    <mergeCell ref="G191:G206"/>
    <mergeCell ref="H191:H206"/>
    <mergeCell ref="I191:I206"/>
    <mergeCell ref="J191:J206"/>
    <mergeCell ref="K191:K206"/>
    <mergeCell ref="D157:D160"/>
    <mergeCell ref="E157:E160"/>
    <mergeCell ref="F157:F160"/>
    <mergeCell ref="D144:D145"/>
    <mergeCell ref="D146:D149"/>
    <mergeCell ref="D150:D153"/>
    <mergeCell ref="E150:E153"/>
    <mergeCell ref="F150:F153"/>
    <mergeCell ref="G150:G153"/>
    <mergeCell ref="G157:G160"/>
    <mergeCell ref="A171:A172"/>
    <mergeCell ref="O171:O172"/>
    <mergeCell ref="V219:V220"/>
    <mergeCell ref="C219:C220"/>
    <mergeCell ref="W219:W220"/>
    <mergeCell ref="D219:D220"/>
    <mergeCell ref="E219:E220"/>
    <mergeCell ref="F219:F220"/>
    <mergeCell ref="G219:G220"/>
    <mergeCell ref="H219:H220"/>
    <mergeCell ref="I219:I220"/>
    <mergeCell ref="J219:J220"/>
    <mergeCell ref="K219:K220"/>
    <mergeCell ref="L219:L220"/>
    <mergeCell ref="M219:M220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4"/>
  <sheetViews>
    <sheetView showGridLines="0" topLeftCell="D1" zoomScale="50" zoomScaleNormal="50" workbookViewId="0">
      <pane ySplit="8" topLeftCell="A9" activePane="bottomLeft" state="frozen"/>
      <selection pane="bottomLeft" activeCell="O13" sqref="O13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8.600000000000001" thickBot="1" x14ac:dyDescent="0.35"/>
    <row r="2" spans="1:22" ht="39.950000000000003" customHeight="1" thickBot="1" x14ac:dyDescent="0.3">
      <c r="B2" s="68"/>
      <c r="C2" s="68"/>
      <c r="D2" s="68"/>
      <c r="E2" s="777" t="s">
        <v>24</v>
      </c>
      <c r="F2" s="778"/>
      <c r="G2" s="80">
        <f>SUM(G9:G9999)</f>
        <v>1864431</v>
      </c>
      <c r="L2" s="918" t="s">
        <v>137</v>
      </c>
      <c r="M2" s="919"/>
      <c r="N2" s="69">
        <f>SUM(N9:N9999)</f>
        <v>957713.56</v>
      </c>
      <c r="P2" s="68"/>
      <c r="Q2" s="589" t="s">
        <v>45</v>
      </c>
      <c r="R2" s="590"/>
      <c r="S2" s="591"/>
      <c r="T2" s="70">
        <f>SUM(T9:T9999)</f>
        <v>140225.44</v>
      </c>
    </row>
    <row r="3" spans="1:22" ht="18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36" customHeight="1" x14ac:dyDescent="0.25">
      <c r="A9" s="920">
        <v>1</v>
      </c>
      <c r="B9" s="922" t="s">
        <v>175</v>
      </c>
      <c r="C9" s="922"/>
      <c r="D9" s="922" t="s">
        <v>172</v>
      </c>
      <c r="E9" s="926">
        <v>44560</v>
      </c>
      <c r="F9" s="924" t="s">
        <v>173</v>
      </c>
      <c r="G9" s="928">
        <v>766492</v>
      </c>
      <c r="H9" s="932">
        <f>IF(V9 = 1, G9 + SUM(Q9:Q12) - SUM(R9:R12) - SUM(N9:N12) - T9,0)</f>
        <v>-5.8207660913467407E-11</v>
      </c>
      <c r="I9" s="934">
        <v>2312054894</v>
      </c>
      <c r="J9" s="922" t="s">
        <v>174</v>
      </c>
      <c r="K9" s="922" t="s">
        <v>379</v>
      </c>
      <c r="L9" s="407">
        <v>44592</v>
      </c>
      <c r="M9" s="922" t="s">
        <v>713</v>
      </c>
      <c r="N9" s="403">
        <v>380543.32</v>
      </c>
      <c r="O9" s="407">
        <v>44613</v>
      </c>
      <c r="P9" s="404"/>
      <c r="Q9" s="403"/>
      <c r="R9" s="403"/>
      <c r="S9" s="924" t="s">
        <v>433</v>
      </c>
      <c r="T9" s="928">
        <v>140225.44</v>
      </c>
      <c r="U9" s="930"/>
      <c r="V9" s="85">
        <v>1</v>
      </c>
    </row>
    <row r="10" spans="1:22" x14ac:dyDescent="0.25">
      <c r="A10" s="921"/>
      <c r="B10" s="923"/>
      <c r="C10" s="923"/>
      <c r="D10" s="923"/>
      <c r="E10" s="927"/>
      <c r="F10" s="925"/>
      <c r="G10" s="929"/>
      <c r="H10" s="933"/>
      <c r="I10" s="935"/>
      <c r="J10" s="923"/>
      <c r="K10" s="923"/>
      <c r="L10" s="408">
        <v>44620</v>
      </c>
      <c r="M10" s="923"/>
      <c r="N10" s="405">
        <v>245701.5</v>
      </c>
      <c r="O10" s="408">
        <v>44634</v>
      </c>
      <c r="P10" s="406"/>
      <c r="Q10" s="405"/>
      <c r="R10" s="405"/>
      <c r="S10" s="925"/>
      <c r="T10" s="929"/>
      <c r="U10" s="931"/>
      <c r="V10" s="2">
        <v>1</v>
      </c>
    </row>
    <row r="11" spans="1:22" x14ac:dyDescent="0.25">
      <c r="A11" s="921"/>
      <c r="B11" s="923"/>
      <c r="C11" s="923"/>
      <c r="D11" s="923"/>
      <c r="E11" s="927"/>
      <c r="F11" s="925"/>
      <c r="G11" s="929"/>
      <c r="H11" s="933"/>
      <c r="I11" s="935"/>
      <c r="J11" s="923"/>
      <c r="K11" s="923"/>
      <c r="L11" s="408">
        <v>44651</v>
      </c>
      <c r="M11" s="923"/>
      <c r="N11" s="405">
        <v>220896.89</v>
      </c>
      <c r="O11" s="408">
        <v>44671</v>
      </c>
      <c r="P11" s="406"/>
      <c r="Q11" s="405"/>
      <c r="R11" s="405"/>
      <c r="S11" s="925"/>
      <c r="T11" s="929"/>
      <c r="U11" s="931"/>
      <c r="V11" s="2">
        <v>1</v>
      </c>
    </row>
    <row r="12" spans="1:22" ht="37.5" x14ac:dyDescent="0.25">
      <c r="A12" s="921"/>
      <c r="B12" s="923"/>
      <c r="C12" s="923"/>
      <c r="D12" s="923"/>
      <c r="E12" s="927"/>
      <c r="F12" s="925"/>
      <c r="G12" s="929"/>
      <c r="H12" s="933"/>
      <c r="I12" s="935"/>
      <c r="J12" s="923"/>
      <c r="K12" s="923"/>
      <c r="L12" s="408">
        <v>44681</v>
      </c>
      <c r="M12" s="923"/>
      <c r="N12" s="405">
        <v>110571.85</v>
      </c>
      <c r="O12" s="408">
        <v>44705</v>
      </c>
      <c r="P12" s="406" t="s">
        <v>416</v>
      </c>
      <c r="Q12" s="405">
        <v>331447</v>
      </c>
      <c r="R12" s="405"/>
      <c r="S12" s="925"/>
      <c r="T12" s="929"/>
      <c r="U12" s="931"/>
      <c r="V12" s="2">
        <v>1</v>
      </c>
    </row>
    <row r="13" spans="1:22" s="85" customFormat="1" ht="93.75" x14ac:dyDescent="0.25">
      <c r="A13" s="458">
        <v>2</v>
      </c>
      <c r="B13" s="459"/>
      <c r="C13" s="459"/>
      <c r="D13" s="459" t="s">
        <v>172</v>
      </c>
      <c r="E13" s="466">
        <v>44925</v>
      </c>
      <c r="F13" s="460" t="s">
        <v>600</v>
      </c>
      <c r="G13" s="461">
        <v>1097939</v>
      </c>
      <c r="H13" s="462">
        <f>IF(V13 = 4, G13 + SUM(Q13:Q13) - SUM(R13:R13) - SUM(N13:N13) - T13,0)</f>
        <v>1097939</v>
      </c>
      <c r="I13" s="467">
        <v>2312054894</v>
      </c>
      <c r="J13" s="459" t="s">
        <v>174</v>
      </c>
      <c r="K13" s="459" t="s">
        <v>712</v>
      </c>
      <c r="L13" s="466"/>
      <c r="M13" s="459" t="s">
        <v>713</v>
      </c>
      <c r="N13" s="461"/>
      <c r="O13" s="466"/>
      <c r="P13" s="460"/>
      <c r="Q13" s="461"/>
      <c r="R13" s="461"/>
      <c r="S13" s="460"/>
      <c r="T13" s="461"/>
      <c r="U13" s="456"/>
      <c r="V13" s="85">
        <v>4</v>
      </c>
    </row>
    <row r="14" spans="1:22" ht="18" x14ac:dyDescent="0.3">
      <c r="V14" s="2">
        <v>5</v>
      </c>
    </row>
  </sheetData>
  <sheetProtection password="EB34" sheet="1" objects="1" scenarios="1" formatCells="0" formatColumns="0" formatRows="0"/>
  <mergeCells count="18">
    <mergeCell ref="T9:T12"/>
    <mergeCell ref="U9:U12"/>
    <mergeCell ref="H9:H12"/>
    <mergeCell ref="I9:I12"/>
    <mergeCell ref="J9:J12"/>
    <mergeCell ref="K9:K12"/>
    <mergeCell ref="Q2:S2"/>
    <mergeCell ref="E2:F2"/>
    <mergeCell ref="L2:M2"/>
    <mergeCell ref="A9:A12"/>
    <mergeCell ref="M9:M12"/>
    <mergeCell ref="S9:S12"/>
    <mergeCell ref="B9:B12"/>
    <mergeCell ref="C9:C12"/>
    <mergeCell ref="D9:D12"/>
    <mergeCell ref="E9:E12"/>
    <mergeCell ref="F9:F12"/>
    <mergeCell ref="G9:G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777" t="s">
        <v>139</v>
      </c>
      <c r="F2" s="778"/>
      <c r="G2" s="82">
        <f>SUM(G9:G9999)</f>
        <v>0</v>
      </c>
      <c r="O2" s="777" t="s">
        <v>24</v>
      </c>
      <c r="P2" s="778"/>
      <c r="Q2" s="80">
        <f>SUM(Q9:Q9999)</f>
        <v>0</v>
      </c>
      <c r="T2" s="589" t="s">
        <v>137</v>
      </c>
      <c r="U2" s="591"/>
      <c r="V2" s="69">
        <f>SUM(V9:V9999)</f>
        <v>0</v>
      </c>
      <c r="X2" s="68"/>
      <c r="Y2" s="589" t="s">
        <v>45</v>
      </c>
      <c r="Z2" s="590"/>
      <c r="AA2" s="591"/>
      <c r="AB2" s="70">
        <f>SUM(AB9:AB9999)</f>
        <v>0</v>
      </c>
    </row>
    <row r="3" spans="1:30" ht="18" x14ac:dyDescent="0.3">
      <c r="T3" s="2"/>
      <c r="U3" s="2"/>
      <c r="X3" s="2"/>
      <c r="Y3" s="2"/>
      <c r="Z3" s="2"/>
      <c r="AA3" s="2"/>
    </row>
    <row r="4" spans="1:30" ht="39.950000000000003" customHeight="1" x14ac:dyDescent="0.3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ht="18" x14ac:dyDescent="0.3">
      <c r="AD9" s="2">
        <v>2</v>
      </c>
    </row>
  </sheetData>
  <sheetProtection password="EB34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777" t="s">
        <v>139</v>
      </c>
      <c r="F2" s="778"/>
      <c r="G2" s="82">
        <f>SUM(G9:G9999)</f>
        <v>0</v>
      </c>
      <c r="H2" s="10"/>
      <c r="O2" s="777" t="s">
        <v>24</v>
      </c>
      <c r="P2" s="778"/>
      <c r="Q2" s="80">
        <f>SUM(Q9:Q9999)</f>
        <v>0</v>
      </c>
      <c r="T2" s="589" t="s">
        <v>137</v>
      </c>
      <c r="U2" s="591"/>
      <c r="V2" s="69">
        <f>SUM(V9:V9999)</f>
        <v>0</v>
      </c>
      <c r="X2" s="68"/>
      <c r="Y2" s="589" t="s">
        <v>45</v>
      </c>
      <c r="Z2" s="590"/>
      <c r="AA2" s="591"/>
      <c r="AB2" s="70">
        <f>SUM(AB9:AB9999)</f>
        <v>0</v>
      </c>
    </row>
    <row r="4" spans="1:30" ht="39.950000000000003" customHeight="1" x14ac:dyDescent="0.3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ht="18" x14ac:dyDescent="0.3">
      <c r="AD9" s="2">
        <v>2</v>
      </c>
    </row>
  </sheetData>
  <sheetProtection password="EB34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41"/>
  <sheetViews>
    <sheetView showGridLines="0" zoomScale="50" zoomScaleNormal="50" workbookViewId="0">
      <pane ySplit="8" topLeftCell="A9" activePane="bottomLeft" state="frozen"/>
      <selection pane="bottomLeft" activeCell="U32" sqref="U32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777" t="s">
        <v>139</v>
      </c>
      <c r="F2" s="778"/>
      <c r="G2" s="82">
        <f>SUM(G9:G9999)</f>
        <v>2001310.85</v>
      </c>
      <c r="H2" s="10"/>
      <c r="O2" s="777" t="s">
        <v>24</v>
      </c>
      <c r="P2" s="778"/>
      <c r="Q2" s="80">
        <f>SUM(Q9:Q9999)</f>
        <v>1875343.0100000002</v>
      </c>
      <c r="T2" s="589" t="s">
        <v>137</v>
      </c>
      <c r="U2" s="591"/>
      <c r="V2" s="69">
        <f>SUM(V9:V9999)</f>
        <v>899761.2</v>
      </c>
      <c r="X2" s="68"/>
      <c r="Y2" s="589" t="s">
        <v>45</v>
      </c>
      <c r="Z2" s="590"/>
      <c r="AA2" s="591"/>
      <c r="AB2" s="70">
        <f>SUM(AB9:AB9999)</f>
        <v>221181.65</v>
      </c>
    </row>
    <row r="4" spans="1:30" ht="39.950000000000003" customHeight="1" x14ac:dyDescent="0.3">
      <c r="P4" s="588"/>
      <c r="Q4" s="588"/>
      <c r="R4" s="588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176.45" customHeight="1" x14ac:dyDescent="0.25">
      <c r="A9" s="602">
        <v>1</v>
      </c>
      <c r="B9" s="559"/>
      <c r="C9" s="559" t="s">
        <v>232</v>
      </c>
      <c r="D9" s="559"/>
      <c r="E9" s="559" t="s">
        <v>233</v>
      </c>
      <c r="F9" s="559" t="s">
        <v>234</v>
      </c>
      <c r="G9" s="605">
        <v>624240</v>
      </c>
      <c r="H9" s="633">
        <f>IF(AD9 = 1, G9 - Q9,0)</f>
        <v>66540</v>
      </c>
      <c r="I9" s="605"/>
      <c r="J9" s="605"/>
      <c r="K9" s="559"/>
      <c r="L9" s="559"/>
      <c r="M9" s="559" t="s">
        <v>310</v>
      </c>
      <c r="N9" s="623" t="s">
        <v>311</v>
      </c>
      <c r="O9" s="957">
        <v>2308080429</v>
      </c>
      <c r="P9" s="559" t="s">
        <v>312</v>
      </c>
      <c r="Q9" s="605">
        <v>557700</v>
      </c>
      <c r="R9" s="633">
        <f>IF(AD9 = 1, Q9 + SUM(Y9:Y16) - SUM(Z9:Z16) - SUM(V9:V16) - AB9,0)</f>
        <v>70980</v>
      </c>
      <c r="S9" s="559" t="s">
        <v>315</v>
      </c>
      <c r="T9" s="441" t="s">
        <v>250</v>
      </c>
      <c r="U9" s="559" t="s">
        <v>314</v>
      </c>
      <c r="V9" s="433">
        <v>52728</v>
      </c>
      <c r="W9" s="441" t="s">
        <v>323</v>
      </c>
      <c r="X9" s="431"/>
      <c r="Y9" s="433"/>
      <c r="Z9" s="433"/>
      <c r="AA9" s="559"/>
      <c r="AB9" s="605"/>
      <c r="AC9" s="626"/>
      <c r="AD9" s="85">
        <v>1</v>
      </c>
    </row>
    <row r="10" spans="1:30" x14ac:dyDescent="0.25">
      <c r="A10" s="603"/>
      <c r="B10" s="560"/>
      <c r="C10" s="560"/>
      <c r="D10" s="560"/>
      <c r="E10" s="560"/>
      <c r="F10" s="560"/>
      <c r="G10" s="606"/>
      <c r="H10" s="643"/>
      <c r="I10" s="606"/>
      <c r="J10" s="606"/>
      <c r="K10" s="560"/>
      <c r="L10" s="560"/>
      <c r="M10" s="560"/>
      <c r="N10" s="624"/>
      <c r="O10" s="958"/>
      <c r="P10" s="560"/>
      <c r="Q10" s="606"/>
      <c r="R10" s="643"/>
      <c r="S10" s="560"/>
      <c r="T10" s="442" t="s">
        <v>383</v>
      </c>
      <c r="U10" s="560"/>
      <c r="V10" s="435">
        <v>62868</v>
      </c>
      <c r="W10" s="442" t="s">
        <v>389</v>
      </c>
      <c r="X10" s="437"/>
      <c r="Y10" s="435"/>
      <c r="Z10" s="435"/>
      <c r="AA10" s="560"/>
      <c r="AB10" s="606"/>
      <c r="AC10" s="627"/>
      <c r="AD10" s="2">
        <v>1</v>
      </c>
    </row>
    <row r="11" spans="1:30" x14ac:dyDescent="0.25">
      <c r="A11" s="603"/>
      <c r="B11" s="560"/>
      <c r="C11" s="560"/>
      <c r="D11" s="560"/>
      <c r="E11" s="560"/>
      <c r="F11" s="560"/>
      <c r="G11" s="606"/>
      <c r="H11" s="643"/>
      <c r="I11" s="606"/>
      <c r="J11" s="606"/>
      <c r="K11" s="560"/>
      <c r="L11" s="560"/>
      <c r="M11" s="560"/>
      <c r="N11" s="624"/>
      <c r="O11" s="958"/>
      <c r="P11" s="560"/>
      <c r="Q11" s="606"/>
      <c r="R11" s="643"/>
      <c r="S11" s="560"/>
      <c r="T11" s="442" t="s">
        <v>446</v>
      </c>
      <c r="U11" s="560"/>
      <c r="V11" s="435">
        <v>60840</v>
      </c>
      <c r="W11" s="442" t="s">
        <v>445</v>
      </c>
      <c r="X11" s="437"/>
      <c r="Y11" s="435"/>
      <c r="Z11" s="435"/>
      <c r="AA11" s="560"/>
      <c r="AB11" s="606"/>
      <c r="AC11" s="627"/>
      <c r="AD11" s="2">
        <v>1</v>
      </c>
    </row>
    <row r="12" spans="1:30" x14ac:dyDescent="0.25">
      <c r="A12" s="603"/>
      <c r="B12" s="560"/>
      <c r="C12" s="560"/>
      <c r="D12" s="560"/>
      <c r="E12" s="560"/>
      <c r="F12" s="560"/>
      <c r="G12" s="606"/>
      <c r="H12" s="643"/>
      <c r="I12" s="606"/>
      <c r="J12" s="606"/>
      <c r="K12" s="560"/>
      <c r="L12" s="560"/>
      <c r="M12" s="560"/>
      <c r="N12" s="624"/>
      <c r="O12" s="958"/>
      <c r="P12" s="560"/>
      <c r="Q12" s="606"/>
      <c r="R12" s="643"/>
      <c r="S12" s="560"/>
      <c r="T12" s="442" t="s">
        <v>483</v>
      </c>
      <c r="U12" s="560"/>
      <c r="V12" s="435">
        <v>62868</v>
      </c>
      <c r="W12" s="442" t="s">
        <v>484</v>
      </c>
      <c r="X12" s="437"/>
      <c r="Y12" s="435"/>
      <c r="Z12" s="435"/>
      <c r="AA12" s="560"/>
      <c r="AB12" s="606"/>
      <c r="AC12" s="627"/>
      <c r="AD12" s="2">
        <v>1</v>
      </c>
    </row>
    <row r="13" spans="1:30" x14ac:dyDescent="0.25">
      <c r="A13" s="603"/>
      <c r="B13" s="560"/>
      <c r="C13" s="560"/>
      <c r="D13" s="560"/>
      <c r="E13" s="560"/>
      <c r="F13" s="560"/>
      <c r="G13" s="606"/>
      <c r="H13" s="643"/>
      <c r="I13" s="606"/>
      <c r="J13" s="606"/>
      <c r="K13" s="560"/>
      <c r="L13" s="560"/>
      <c r="M13" s="560"/>
      <c r="N13" s="624"/>
      <c r="O13" s="958"/>
      <c r="P13" s="560"/>
      <c r="Q13" s="606"/>
      <c r="R13" s="643"/>
      <c r="S13" s="560"/>
      <c r="T13" s="442" t="s">
        <v>495</v>
      </c>
      <c r="U13" s="560"/>
      <c r="V13" s="435">
        <v>62868</v>
      </c>
      <c r="W13" s="442" t="s">
        <v>494</v>
      </c>
      <c r="X13" s="437"/>
      <c r="Y13" s="435"/>
      <c r="Z13" s="435"/>
      <c r="AA13" s="560"/>
      <c r="AB13" s="606"/>
      <c r="AC13" s="627"/>
      <c r="AD13" s="2">
        <v>1</v>
      </c>
    </row>
    <row r="14" spans="1:30" x14ac:dyDescent="0.25">
      <c r="A14" s="603"/>
      <c r="B14" s="560"/>
      <c r="C14" s="560"/>
      <c r="D14" s="560"/>
      <c r="E14" s="560"/>
      <c r="F14" s="560"/>
      <c r="G14" s="606"/>
      <c r="H14" s="643"/>
      <c r="I14" s="606"/>
      <c r="J14" s="606"/>
      <c r="K14" s="560"/>
      <c r="L14" s="560"/>
      <c r="M14" s="560"/>
      <c r="N14" s="624"/>
      <c r="O14" s="958"/>
      <c r="P14" s="560"/>
      <c r="Q14" s="606"/>
      <c r="R14" s="643"/>
      <c r="S14" s="560"/>
      <c r="T14" s="442" t="s">
        <v>575</v>
      </c>
      <c r="U14" s="560"/>
      <c r="V14" s="435">
        <v>60840</v>
      </c>
      <c r="W14" s="442" t="s">
        <v>576</v>
      </c>
      <c r="X14" s="437"/>
      <c r="Y14" s="435"/>
      <c r="Z14" s="435"/>
      <c r="AA14" s="560"/>
      <c r="AB14" s="606"/>
      <c r="AC14" s="627"/>
      <c r="AD14" s="2">
        <v>1</v>
      </c>
    </row>
    <row r="15" spans="1:30" x14ac:dyDescent="0.25">
      <c r="A15" s="603"/>
      <c r="B15" s="560"/>
      <c r="C15" s="560"/>
      <c r="D15" s="560"/>
      <c r="E15" s="560"/>
      <c r="F15" s="560"/>
      <c r="G15" s="606"/>
      <c r="H15" s="643"/>
      <c r="I15" s="606"/>
      <c r="J15" s="606"/>
      <c r="K15" s="560"/>
      <c r="L15" s="560"/>
      <c r="M15" s="560"/>
      <c r="N15" s="624"/>
      <c r="O15" s="958"/>
      <c r="P15" s="560"/>
      <c r="Q15" s="606"/>
      <c r="R15" s="643"/>
      <c r="S15" s="560"/>
      <c r="T15" s="442" t="s">
        <v>632</v>
      </c>
      <c r="U15" s="560"/>
      <c r="V15" s="435">
        <v>62868</v>
      </c>
      <c r="W15" s="442" t="s">
        <v>631</v>
      </c>
      <c r="X15" s="437"/>
      <c r="Y15" s="435"/>
      <c r="Z15" s="435"/>
      <c r="AA15" s="560"/>
      <c r="AB15" s="606"/>
      <c r="AC15" s="627"/>
      <c r="AD15" s="2">
        <v>1</v>
      </c>
    </row>
    <row r="16" spans="1:30" x14ac:dyDescent="0.25">
      <c r="A16" s="604"/>
      <c r="B16" s="561"/>
      <c r="C16" s="561"/>
      <c r="D16" s="561"/>
      <c r="E16" s="561"/>
      <c r="F16" s="561"/>
      <c r="G16" s="607"/>
      <c r="H16" s="634"/>
      <c r="I16" s="607"/>
      <c r="J16" s="607"/>
      <c r="K16" s="561"/>
      <c r="L16" s="561"/>
      <c r="M16" s="561"/>
      <c r="N16" s="625"/>
      <c r="O16" s="959"/>
      <c r="P16" s="561"/>
      <c r="Q16" s="607"/>
      <c r="R16" s="634"/>
      <c r="S16" s="561"/>
      <c r="T16" s="443" t="s">
        <v>686</v>
      </c>
      <c r="U16" s="561"/>
      <c r="V16" s="438">
        <v>60840</v>
      </c>
      <c r="W16" s="443" t="s">
        <v>685</v>
      </c>
      <c r="X16" s="440"/>
      <c r="Y16" s="438"/>
      <c r="Z16" s="438"/>
      <c r="AA16" s="561"/>
      <c r="AB16" s="607"/>
      <c r="AC16" s="628"/>
      <c r="AD16" s="2">
        <v>1</v>
      </c>
    </row>
    <row r="17" spans="1:30" s="85" customFormat="1" ht="180" customHeight="1" x14ac:dyDescent="0.25">
      <c r="A17" s="936">
        <v>2</v>
      </c>
      <c r="B17" s="939"/>
      <c r="C17" s="939" t="s">
        <v>235</v>
      </c>
      <c r="D17" s="939"/>
      <c r="E17" s="939" t="s">
        <v>236</v>
      </c>
      <c r="F17" s="939" t="s">
        <v>237</v>
      </c>
      <c r="G17" s="942">
        <v>634222.85</v>
      </c>
      <c r="H17" s="948">
        <f>IF(AD17 = 2, G17 - Q17,0)</f>
        <v>0</v>
      </c>
      <c r="I17" s="942"/>
      <c r="J17" s="942"/>
      <c r="K17" s="939"/>
      <c r="L17" s="939"/>
      <c r="M17" s="939" t="s">
        <v>264</v>
      </c>
      <c r="N17" s="951" t="s">
        <v>265</v>
      </c>
      <c r="O17" s="954">
        <v>2353020735</v>
      </c>
      <c r="P17" s="939" t="s">
        <v>266</v>
      </c>
      <c r="Q17" s="942">
        <v>634222.85</v>
      </c>
      <c r="R17" s="948">
        <f>IF(AD17 = 2, Q17 + SUM(Y17:Y31) - SUM(Z17:Z31) - SUM(V17:V31) - AB17,0)</f>
        <v>-2.9103830456733704E-11</v>
      </c>
      <c r="S17" s="939" t="s">
        <v>313</v>
      </c>
      <c r="T17" s="210" t="s">
        <v>239</v>
      </c>
      <c r="U17" s="939" t="s">
        <v>267</v>
      </c>
      <c r="V17" s="204">
        <v>28864</v>
      </c>
      <c r="W17" s="210" t="s">
        <v>268</v>
      </c>
      <c r="X17" s="205"/>
      <c r="Y17" s="204"/>
      <c r="Z17" s="204"/>
      <c r="AA17" s="939" t="s">
        <v>434</v>
      </c>
      <c r="AB17" s="942">
        <v>221181.65</v>
      </c>
      <c r="AC17" s="945"/>
      <c r="AD17" s="85">
        <v>2</v>
      </c>
    </row>
    <row r="18" spans="1:30" x14ac:dyDescent="0.25">
      <c r="A18" s="937"/>
      <c r="B18" s="940"/>
      <c r="C18" s="940"/>
      <c r="D18" s="940"/>
      <c r="E18" s="940"/>
      <c r="F18" s="940"/>
      <c r="G18" s="943"/>
      <c r="H18" s="949"/>
      <c r="I18" s="943"/>
      <c r="J18" s="943"/>
      <c r="K18" s="940"/>
      <c r="L18" s="940"/>
      <c r="M18" s="940"/>
      <c r="N18" s="952"/>
      <c r="O18" s="955"/>
      <c r="P18" s="940"/>
      <c r="Q18" s="943"/>
      <c r="R18" s="949"/>
      <c r="S18" s="940"/>
      <c r="T18" s="211" t="s">
        <v>239</v>
      </c>
      <c r="U18" s="940"/>
      <c r="V18" s="206">
        <v>85466.25</v>
      </c>
      <c r="W18" s="211" t="s">
        <v>269</v>
      </c>
      <c r="X18" s="207"/>
      <c r="Y18" s="206"/>
      <c r="Z18" s="206"/>
      <c r="AA18" s="940"/>
      <c r="AB18" s="943"/>
      <c r="AC18" s="946"/>
      <c r="AD18" s="2">
        <v>2</v>
      </c>
    </row>
    <row r="19" spans="1:30" x14ac:dyDescent="0.25">
      <c r="A19" s="937"/>
      <c r="B19" s="940"/>
      <c r="C19" s="940"/>
      <c r="D19" s="940"/>
      <c r="E19" s="940"/>
      <c r="F19" s="940"/>
      <c r="G19" s="943"/>
      <c r="H19" s="949"/>
      <c r="I19" s="943"/>
      <c r="J19" s="943"/>
      <c r="K19" s="940"/>
      <c r="L19" s="940"/>
      <c r="M19" s="940"/>
      <c r="N19" s="952"/>
      <c r="O19" s="955"/>
      <c r="P19" s="940"/>
      <c r="Q19" s="943"/>
      <c r="R19" s="949"/>
      <c r="S19" s="940"/>
      <c r="T19" s="211" t="s">
        <v>239</v>
      </c>
      <c r="U19" s="940"/>
      <c r="V19" s="206">
        <v>5455.35</v>
      </c>
      <c r="W19" s="211" t="s">
        <v>269</v>
      </c>
      <c r="X19" s="207"/>
      <c r="Y19" s="206"/>
      <c r="Z19" s="206"/>
      <c r="AA19" s="940"/>
      <c r="AB19" s="943"/>
      <c r="AC19" s="946"/>
      <c r="AD19" s="2">
        <v>2</v>
      </c>
    </row>
    <row r="20" spans="1:30" x14ac:dyDescent="0.25">
      <c r="A20" s="937"/>
      <c r="B20" s="940"/>
      <c r="C20" s="940"/>
      <c r="D20" s="940"/>
      <c r="E20" s="940"/>
      <c r="F20" s="940"/>
      <c r="G20" s="943"/>
      <c r="H20" s="949"/>
      <c r="I20" s="943"/>
      <c r="J20" s="943"/>
      <c r="K20" s="940"/>
      <c r="L20" s="940"/>
      <c r="M20" s="940"/>
      <c r="N20" s="952"/>
      <c r="O20" s="955"/>
      <c r="P20" s="940"/>
      <c r="Q20" s="943"/>
      <c r="R20" s="949"/>
      <c r="S20" s="940"/>
      <c r="T20" s="211" t="s">
        <v>248</v>
      </c>
      <c r="U20" s="940"/>
      <c r="V20" s="206">
        <v>7876</v>
      </c>
      <c r="W20" s="211" t="s">
        <v>270</v>
      </c>
      <c r="X20" s="207"/>
      <c r="Y20" s="206"/>
      <c r="Z20" s="206"/>
      <c r="AA20" s="940"/>
      <c r="AB20" s="943"/>
      <c r="AC20" s="946"/>
      <c r="AD20" s="2">
        <v>2</v>
      </c>
    </row>
    <row r="21" spans="1:30" x14ac:dyDescent="0.25">
      <c r="A21" s="937"/>
      <c r="B21" s="940"/>
      <c r="C21" s="940"/>
      <c r="D21" s="940"/>
      <c r="E21" s="940"/>
      <c r="F21" s="940"/>
      <c r="G21" s="943"/>
      <c r="H21" s="949"/>
      <c r="I21" s="943"/>
      <c r="J21" s="943"/>
      <c r="K21" s="940"/>
      <c r="L21" s="940"/>
      <c r="M21" s="940"/>
      <c r="N21" s="952"/>
      <c r="O21" s="955"/>
      <c r="P21" s="940"/>
      <c r="Q21" s="943"/>
      <c r="R21" s="949"/>
      <c r="S21" s="940"/>
      <c r="T21" s="211" t="s">
        <v>248</v>
      </c>
      <c r="U21" s="940"/>
      <c r="V21" s="206">
        <v>1488.58</v>
      </c>
      <c r="W21" s="211" t="s">
        <v>270</v>
      </c>
      <c r="X21" s="207"/>
      <c r="Y21" s="206"/>
      <c r="Z21" s="206"/>
      <c r="AA21" s="940"/>
      <c r="AB21" s="943"/>
      <c r="AC21" s="946"/>
      <c r="AD21" s="2">
        <v>2</v>
      </c>
    </row>
    <row r="22" spans="1:30" x14ac:dyDescent="0.25">
      <c r="A22" s="937"/>
      <c r="B22" s="940"/>
      <c r="C22" s="940"/>
      <c r="D22" s="940"/>
      <c r="E22" s="940"/>
      <c r="F22" s="940"/>
      <c r="G22" s="943"/>
      <c r="H22" s="949"/>
      <c r="I22" s="943"/>
      <c r="J22" s="943"/>
      <c r="K22" s="940"/>
      <c r="L22" s="940"/>
      <c r="M22" s="940"/>
      <c r="N22" s="952"/>
      <c r="O22" s="955"/>
      <c r="P22" s="940"/>
      <c r="Q22" s="943"/>
      <c r="R22" s="949"/>
      <c r="S22" s="940"/>
      <c r="T22" s="211" t="s">
        <v>248</v>
      </c>
      <c r="U22" s="940"/>
      <c r="V22" s="206">
        <v>23320.82</v>
      </c>
      <c r="W22" s="211" t="s">
        <v>270</v>
      </c>
      <c r="X22" s="207"/>
      <c r="Y22" s="206"/>
      <c r="Z22" s="206"/>
      <c r="AA22" s="940"/>
      <c r="AB22" s="943"/>
      <c r="AC22" s="946"/>
      <c r="AD22" s="2">
        <v>2</v>
      </c>
    </row>
    <row r="23" spans="1:30" x14ac:dyDescent="0.25">
      <c r="A23" s="937"/>
      <c r="B23" s="940"/>
      <c r="C23" s="940"/>
      <c r="D23" s="940"/>
      <c r="E23" s="940"/>
      <c r="F23" s="940"/>
      <c r="G23" s="943"/>
      <c r="H23" s="949"/>
      <c r="I23" s="943"/>
      <c r="J23" s="943"/>
      <c r="K23" s="940"/>
      <c r="L23" s="940"/>
      <c r="M23" s="940"/>
      <c r="N23" s="952"/>
      <c r="O23" s="955"/>
      <c r="P23" s="940"/>
      <c r="Q23" s="943"/>
      <c r="R23" s="949"/>
      <c r="S23" s="940"/>
      <c r="T23" s="211" t="s">
        <v>250</v>
      </c>
      <c r="U23" s="940"/>
      <c r="V23" s="206">
        <v>40257.730000000003</v>
      </c>
      <c r="W23" s="211" t="s">
        <v>270</v>
      </c>
      <c r="X23" s="207"/>
      <c r="Y23" s="206"/>
      <c r="Z23" s="206"/>
      <c r="AA23" s="940"/>
      <c r="AB23" s="943"/>
      <c r="AC23" s="946"/>
      <c r="AD23" s="2">
        <v>2</v>
      </c>
    </row>
    <row r="24" spans="1:30" x14ac:dyDescent="0.25">
      <c r="A24" s="937"/>
      <c r="B24" s="940"/>
      <c r="C24" s="940"/>
      <c r="D24" s="940"/>
      <c r="E24" s="940"/>
      <c r="F24" s="940"/>
      <c r="G24" s="943"/>
      <c r="H24" s="949"/>
      <c r="I24" s="943"/>
      <c r="J24" s="943"/>
      <c r="K24" s="940"/>
      <c r="L24" s="940"/>
      <c r="M24" s="940"/>
      <c r="N24" s="952"/>
      <c r="O24" s="955"/>
      <c r="P24" s="940"/>
      <c r="Q24" s="943"/>
      <c r="R24" s="949"/>
      <c r="S24" s="940"/>
      <c r="T24" s="211" t="s">
        <v>250</v>
      </c>
      <c r="U24" s="940"/>
      <c r="V24" s="206">
        <v>2569.67</v>
      </c>
      <c r="W24" s="211" t="s">
        <v>270</v>
      </c>
      <c r="X24" s="207"/>
      <c r="Y24" s="206"/>
      <c r="Z24" s="206"/>
      <c r="AA24" s="940"/>
      <c r="AB24" s="943"/>
      <c r="AC24" s="946"/>
      <c r="AD24" s="2">
        <v>2</v>
      </c>
    </row>
    <row r="25" spans="1:30" x14ac:dyDescent="0.25">
      <c r="A25" s="937"/>
      <c r="B25" s="940"/>
      <c r="C25" s="940"/>
      <c r="D25" s="940"/>
      <c r="E25" s="940"/>
      <c r="F25" s="940"/>
      <c r="G25" s="943"/>
      <c r="H25" s="949"/>
      <c r="I25" s="943"/>
      <c r="J25" s="943"/>
      <c r="K25" s="940"/>
      <c r="L25" s="940"/>
      <c r="M25" s="940"/>
      <c r="N25" s="952"/>
      <c r="O25" s="955"/>
      <c r="P25" s="940"/>
      <c r="Q25" s="943"/>
      <c r="R25" s="949"/>
      <c r="S25" s="940"/>
      <c r="T25" s="211" t="s">
        <v>250</v>
      </c>
      <c r="U25" s="940"/>
      <c r="V25" s="206">
        <v>13596</v>
      </c>
      <c r="W25" s="211" t="s">
        <v>270</v>
      </c>
      <c r="X25" s="207"/>
      <c r="Y25" s="206"/>
      <c r="Z25" s="206"/>
      <c r="AA25" s="940"/>
      <c r="AB25" s="943"/>
      <c r="AC25" s="946"/>
      <c r="AD25" s="2">
        <v>2</v>
      </c>
    </row>
    <row r="26" spans="1:30" x14ac:dyDescent="0.25">
      <c r="A26" s="937"/>
      <c r="B26" s="940"/>
      <c r="C26" s="940"/>
      <c r="D26" s="940"/>
      <c r="E26" s="940"/>
      <c r="F26" s="940"/>
      <c r="G26" s="943"/>
      <c r="H26" s="949"/>
      <c r="I26" s="943"/>
      <c r="J26" s="943"/>
      <c r="K26" s="940"/>
      <c r="L26" s="940"/>
      <c r="M26" s="940"/>
      <c r="N26" s="952"/>
      <c r="O26" s="955"/>
      <c r="P26" s="940"/>
      <c r="Q26" s="943"/>
      <c r="R26" s="949"/>
      <c r="S26" s="940"/>
      <c r="T26" s="211" t="s">
        <v>255</v>
      </c>
      <c r="U26" s="940"/>
      <c r="V26" s="206">
        <v>79212.62</v>
      </c>
      <c r="W26" s="211" t="s">
        <v>270</v>
      </c>
      <c r="X26" s="207"/>
      <c r="Y26" s="206"/>
      <c r="Z26" s="206"/>
      <c r="AA26" s="940"/>
      <c r="AB26" s="943"/>
      <c r="AC26" s="946"/>
      <c r="AD26" s="2">
        <v>2</v>
      </c>
    </row>
    <row r="27" spans="1:30" x14ac:dyDescent="0.25">
      <c r="A27" s="937"/>
      <c r="B27" s="940"/>
      <c r="C27" s="940"/>
      <c r="D27" s="940"/>
      <c r="E27" s="940"/>
      <c r="F27" s="940"/>
      <c r="G27" s="943"/>
      <c r="H27" s="949"/>
      <c r="I27" s="943"/>
      <c r="J27" s="943"/>
      <c r="K27" s="940"/>
      <c r="L27" s="940"/>
      <c r="M27" s="940"/>
      <c r="N27" s="952"/>
      <c r="O27" s="955"/>
      <c r="P27" s="940"/>
      <c r="Q27" s="943"/>
      <c r="R27" s="949"/>
      <c r="S27" s="940"/>
      <c r="T27" s="211" t="s">
        <v>255</v>
      </c>
      <c r="U27" s="940"/>
      <c r="V27" s="206">
        <v>5056.18</v>
      </c>
      <c r="W27" s="211" t="s">
        <v>270</v>
      </c>
      <c r="X27" s="207"/>
      <c r="Y27" s="206"/>
      <c r="Z27" s="206"/>
      <c r="AA27" s="940"/>
      <c r="AB27" s="943"/>
      <c r="AC27" s="946"/>
      <c r="AD27" s="2">
        <v>2</v>
      </c>
    </row>
    <row r="28" spans="1:30" x14ac:dyDescent="0.25">
      <c r="A28" s="937"/>
      <c r="B28" s="940"/>
      <c r="C28" s="940"/>
      <c r="D28" s="940"/>
      <c r="E28" s="940"/>
      <c r="F28" s="940"/>
      <c r="G28" s="943"/>
      <c r="H28" s="949"/>
      <c r="I28" s="943"/>
      <c r="J28" s="943"/>
      <c r="K28" s="940"/>
      <c r="L28" s="940"/>
      <c r="M28" s="940"/>
      <c r="N28" s="952"/>
      <c r="O28" s="955"/>
      <c r="P28" s="940"/>
      <c r="Q28" s="943"/>
      <c r="R28" s="949"/>
      <c r="S28" s="940"/>
      <c r="T28" s="211" t="s">
        <v>255</v>
      </c>
      <c r="U28" s="940"/>
      <c r="V28" s="206">
        <v>26752</v>
      </c>
      <c r="W28" s="211" t="s">
        <v>270</v>
      </c>
      <c r="X28" s="207"/>
      <c r="Y28" s="206"/>
      <c r="Z28" s="206"/>
      <c r="AA28" s="940"/>
      <c r="AB28" s="943"/>
      <c r="AC28" s="946"/>
      <c r="AD28" s="2">
        <v>2</v>
      </c>
    </row>
    <row r="29" spans="1:30" x14ac:dyDescent="0.25">
      <c r="A29" s="937"/>
      <c r="B29" s="940"/>
      <c r="C29" s="940"/>
      <c r="D29" s="940"/>
      <c r="E29" s="940"/>
      <c r="F29" s="940"/>
      <c r="G29" s="943"/>
      <c r="H29" s="949"/>
      <c r="I29" s="943"/>
      <c r="J29" s="943"/>
      <c r="K29" s="940"/>
      <c r="L29" s="940"/>
      <c r="M29" s="940"/>
      <c r="N29" s="952"/>
      <c r="O29" s="955"/>
      <c r="P29" s="940"/>
      <c r="Q29" s="943"/>
      <c r="R29" s="949"/>
      <c r="S29" s="940"/>
      <c r="T29" s="211" t="s">
        <v>245</v>
      </c>
      <c r="U29" s="940"/>
      <c r="V29" s="206">
        <v>22440</v>
      </c>
      <c r="W29" s="211" t="s">
        <v>324</v>
      </c>
      <c r="X29" s="207"/>
      <c r="Y29" s="206"/>
      <c r="Z29" s="206"/>
      <c r="AA29" s="940"/>
      <c r="AB29" s="943"/>
      <c r="AC29" s="946"/>
      <c r="AD29" s="2">
        <v>2</v>
      </c>
    </row>
    <row r="30" spans="1:30" x14ac:dyDescent="0.25">
      <c r="A30" s="937"/>
      <c r="B30" s="940"/>
      <c r="C30" s="940"/>
      <c r="D30" s="940"/>
      <c r="E30" s="940"/>
      <c r="F30" s="940"/>
      <c r="G30" s="943"/>
      <c r="H30" s="949"/>
      <c r="I30" s="943"/>
      <c r="J30" s="943"/>
      <c r="K30" s="940"/>
      <c r="L30" s="940"/>
      <c r="M30" s="940"/>
      <c r="N30" s="952"/>
      <c r="O30" s="955"/>
      <c r="P30" s="940"/>
      <c r="Q30" s="943"/>
      <c r="R30" s="949"/>
      <c r="S30" s="940"/>
      <c r="T30" s="211" t="s">
        <v>245</v>
      </c>
      <c r="U30" s="940"/>
      <c r="V30" s="206">
        <v>4241.21</v>
      </c>
      <c r="W30" s="211" t="s">
        <v>324</v>
      </c>
      <c r="X30" s="207"/>
      <c r="Y30" s="206"/>
      <c r="Z30" s="206"/>
      <c r="AA30" s="940"/>
      <c r="AB30" s="943"/>
      <c r="AC30" s="946"/>
      <c r="AD30" s="2">
        <v>2</v>
      </c>
    </row>
    <row r="31" spans="1:30" x14ac:dyDescent="0.25">
      <c r="A31" s="938"/>
      <c r="B31" s="941"/>
      <c r="C31" s="941"/>
      <c r="D31" s="941"/>
      <c r="E31" s="941"/>
      <c r="F31" s="941"/>
      <c r="G31" s="944"/>
      <c r="H31" s="950"/>
      <c r="I31" s="944"/>
      <c r="J31" s="944"/>
      <c r="K31" s="941"/>
      <c r="L31" s="941"/>
      <c r="M31" s="941"/>
      <c r="N31" s="953"/>
      <c r="O31" s="956"/>
      <c r="P31" s="941"/>
      <c r="Q31" s="944"/>
      <c r="R31" s="950"/>
      <c r="S31" s="941"/>
      <c r="T31" s="212" t="s">
        <v>245</v>
      </c>
      <c r="U31" s="941"/>
      <c r="V31" s="208">
        <v>66444.789999999994</v>
      </c>
      <c r="W31" s="212" t="s">
        <v>324</v>
      </c>
      <c r="X31" s="209"/>
      <c r="Y31" s="208"/>
      <c r="Z31" s="208"/>
      <c r="AA31" s="941"/>
      <c r="AB31" s="944"/>
      <c r="AC31" s="947"/>
      <c r="AD31" s="2">
        <v>2</v>
      </c>
    </row>
    <row r="32" spans="1:30" s="85" customFormat="1" ht="93.75" x14ac:dyDescent="0.25">
      <c r="A32" s="419">
        <v>3</v>
      </c>
      <c r="B32" s="420"/>
      <c r="C32" s="420" t="s">
        <v>694</v>
      </c>
      <c r="D32" s="420"/>
      <c r="E32" s="420" t="s">
        <v>695</v>
      </c>
      <c r="F32" s="420" t="s">
        <v>234</v>
      </c>
      <c r="G32" s="422">
        <v>742848</v>
      </c>
      <c r="H32" s="423">
        <f>IF(AD32 = 3, G32 - Q32,0)</f>
        <v>59427.839999999967</v>
      </c>
      <c r="I32" s="422"/>
      <c r="J32" s="422"/>
      <c r="K32" s="420"/>
      <c r="L32" s="420"/>
      <c r="M32" s="420" t="s">
        <v>695</v>
      </c>
      <c r="N32" s="428" t="s">
        <v>684</v>
      </c>
      <c r="O32" s="457">
        <v>2304067057</v>
      </c>
      <c r="P32" s="420" t="s">
        <v>696</v>
      </c>
      <c r="Q32" s="422">
        <v>683420.16000000003</v>
      </c>
      <c r="R32" s="423">
        <f>IF(AD32 = 3, Q32 + SUM(Y32:Y32) - SUM(Z32:Z32) - SUM(V32:V32) - AB32,0)</f>
        <v>683420.16000000003</v>
      </c>
      <c r="S32" s="420" t="s">
        <v>697</v>
      </c>
      <c r="T32" s="428"/>
      <c r="U32" s="420" t="s">
        <v>698</v>
      </c>
      <c r="V32" s="422"/>
      <c r="W32" s="428"/>
      <c r="X32" s="420"/>
      <c r="Y32" s="422"/>
      <c r="Z32" s="422"/>
      <c r="AA32" s="420"/>
      <c r="AB32" s="422"/>
      <c r="AC32" s="427"/>
      <c r="AD32" s="85">
        <v>3</v>
      </c>
    </row>
    <row r="33" spans="13:30" x14ac:dyDescent="0.25">
      <c r="M33" s="3"/>
      <c r="AD33" s="2">
        <v>4</v>
      </c>
    </row>
    <row r="34" spans="13:30" x14ac:dyDescent="0.25">
      <c r="M34" s="3"/>
    </row>
    <row r="35" spans="13:30" x14ac:dyDescent="0.25">
      <c r="M35" s="3"/>
    </row>
    <row r="36" spans="13:30" x14ac:dyDescent="0.25">
      <c r="M36" s="3"/>
    </row>
    <row r="37" spans="13:30" x14ac:dyDescent="0.25">
      <c r="M37" s="3"/>
    </row>
    <row r="38" spans="13:30" x14ac:dyDescent="0.25">
      <c r="M38" s="3"/>
    </row>
    <row r="39" spans="13:30" x14ac:dyDescent="0.25">
      <c r="M39" s="3"/>
    </row>
    <row r="40" spans="13:30" x14ac:dyDescent="0.25">
      <c r="M40" s="3"/>
    </row>
    <row r="41" spans="13:30" x14ac:dyDescent="0.25">
      <c r="M41" s="3"/>
    </row>
  </sheetData>
  <sheetProtection password="EB34" sheet="1" objects="1" scenarios="1" formatCells="0" formatColumns="0" formatRows="0"/>
  <mergeCells count="51">
    <mergeCell ref="AC9:AC16"/>
    <mergeCell ref="D9:D16"/>
    <mergeCell ref="E9:E16"/>
    <mergeCell ref="F9:F16"/>
    <mergeCell ref="G9:G16"/>
    <mergeCell ref="H9:H16"/>
    <mergeCell ref="I9:I16"/>
    <mergeCell ref="J9:J16"/>
    <mergeCell ref="K9:K16"/>
    <mergeCell ref="L9:L16"/>
    <mergeCell ref="M9:M16"/>
    <mergeCell ref="N9:N16"/>
    <mergeCell ref="O9:O16"/>
    <mergeCell ref="P9:P16"/>
    <mergeCell ref="Q9:Q16"/>
    <mergeCell ref="R9:R16"/>
    <mergeCell ref="AC17:AC31"/>
    <mergeCell ref="D17:D31"/>
    <mergeCell ref="E17:E31"/>
    <mergeCell ref="F17:F31"/>
    <mergeCell ref="G17:G31"/>
    <mergeCell ref="H17:H31"/>
    <mergeCell ref="I17:I31"/>
    <mergeCell ref="J17:J31"/>
    <mergeCell ref="K17:K31"/>
    <mergeCell ref="L17:L31"/>
    <mergeCell ref="M17:M31"/>
    <mergeCell ref="N17:N31"/>
    <mergeCell ref="O17:O31"/>
    <mergeCell ref="P17:P31"/>
    <mergeCell ref="Q17:Q31"/>
    <mergeCell ref="R17:R31"/>
    <mergeCell ref="A17:A31"/>
    <mergeCell ref="U17:U31"/>
    <mergeCell ref="AA17:AA31"/>
    <mergeCell ref="B17:B31"/>
    <mergeCell ref="AB17:AB31"/>
    <mergeCell ref="C17:C31"/>
    <mergeCell ref="S17:S31"/>
    <mergeCell ref="P4:R4"/>
    <mergeCell ref="E2:F2"/>
    <mergeCell ref="O2:P2"/>
    <mergeCell ref="Y2:AA2"/>
    <mergeCell ref="T2:U2"/>
    <mergeCell ref="A9:A16"/>
    <mergeCell ref="U9:U16"/>
    <mergeCell ref="AA9:AA16"/>
    <mergeCell ref="B9:B16"/>
    <mergeCell ref="AB9:AB16"/>
    <mergeCell ref="C9:C16"/>
    <mergeCell ref="S9:S1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104</v>
      </c>
      <c r="B1" s="47">
        <v>48</v>
      </c>
      <c r="C1" s="47">
        <v>9</v>
      </c>
      <c r="D1" s="962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963"/>
      <c r="E2" s="32"/>
      <c r="F2" s="62">
        <v>50</v>
      </c>
      <c r="G2" s="66">
        <v>59</v>
      </c>
      <c r="H2" s="65">
        <v>4</v>
      </c>
      <c r="I2" s="64">
        <v>0</v>
      </c>
      <c r="J2" s="63">
        <v>0</v>
      </c>
      <c r="K2" s="67">
        <v>3</v>
      </c>
    </row>
    <row r="3" spans="1:11" ht="15.6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240</v>
      </c>
      <c r="B4" s="44">
        <v>55</v>
      </c>
      <c r="C4" s="44">
        <v>9</v>
      </c>
      <c r="D4" s="964" t="s">
        <v>102</v>
      </c>
      <c r="E4" s="32"/>
      <c r="F4" s="62">
        <v>51</v>
      </c>
      <c r="G4" s="66">
        <v>60</v>
      </c>
      <c r="H4" s="65">
        <v>5</v>
      </c>
      <c r="I4" s="64">
        <v>0</v>
      </c>
      <c r="J4" s="63">
        <v>0</v>
      </c>
      <c r="K4" s="67">
        <v>4</v>
      </c>
    </row>
    <row r="5" spans="1:11" x14ac:dyDescent="0.25">
      <c r="A5" s="43" t="s">
        <v>89</v>
      </c>
      <c r="B5" s="44" t="s">
        <v>88</v>
      </c>
      <c r="C5" s="44" t="s">
        <v>87</v>
      </c>
      <c r="D5" s="965"/>
      <c r="E5" s="32"/>
      <c r="F5" s="32"/>
      <c r="G5" s="32"/>
    </row>
    <row r="6" spans="1:11" ht="15.6" x14ac:dyDescent="0.3">
      <c r="A6" s="34"/>
      <c r="B6" s="32"/>
      <c r="C6" s="32"/>
      <c r="D6" s="32"/>
      <c r="E6" s="32"/>
      <c r="F6" s="32"/>
      <c r="G6" s="32"/>
    </row>
    <row r="7" spans="1:11" x14ac:dyDescent="0.25">
      <c r="A7" s="45">
        <v>13</v>
      </c>
      <c r="B7" s="46">
        <v>2</v>
      </c>
      <c r="C7" s="46">
        <v>9</v>
      </c>
      <c r="D7" s="966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967"/>
      <c r="E8" s="32"/>
      <c r="F8" s="32"/>
      <c r="G8" s="32"/>
    </row>
    <row r="9" spans="1:11" ht="15.6" x14ac:dyDescent="0.3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968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969"/>
      <c r="E11" s="32"/>
      <c r="F11" s="32"/>
      <c r="G11" s="32"/>
    </row>
    <row r="12" spans="1:11" ht="15.6" x14ac:dyDescent="0.3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970" t="s">
        <v>49</v>
      </c>
      <c r="E13" s="32"/>
      <c r="F13" s="32"/>
      <c r="G13" s="32"/>
    </row>
    <row r="14" spans="1:11" x14ac:dyDescent="0.25">
      <c r="A14" s="39" t="s">
        <v>96</v>
      </c>
      <c r="B14" s="40" t="s">
        <v>97</v>
      </c>
      <c r="C14" s="40" t="s">
        <v>98</v>
      </c>
      <c r="D14" s="971"/>
      <c r="E14" s="32"/>
      <c r="F14" s="32"/>
      <c r="G14" s="32"/>
    </row>
    <row r="15" spans="1:11" ht="15.6" x14ac:dyDescent="0.3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32</v>
      </c>
      <c r="B16" s="38">
        <v>3</v>
      </c>
      <c r="C16" s="38">
        <v>9</v>
      </c>
      <c r="D16" s="960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961"/>
    </row>
    <row r="18" spans="1:4" ht="15.6" x14ac:dyDescent="0.3">
      <c r="A18" s="34"/>
    </row>
    <row r="19" spans="1:4" ht="15.6" x14ac:dyDescent="0.3">
      <c r="A19" s="34"/>
    </row>
    <row r="20" spans="1:4" ht="15.6" x14ac:dyDescent="0.3">
      <c r="A20" s="34"/>
    </row>
    <row r="21" spans="1:4" ht="15.6" x14ac:dyDescent="0.3">
      <c r="A21" s="34"/>
    </row>
    <row r="22" spans="1:4" ht="15.6" x14ac:dyDescent="0.3">
      <c r="A22" s="34"/>
    </row>
    <row r="23" spans="1:4" ht="15.6" x14ac:dyDescent="0.3">
      <c r="A23" s="34"/>
    </row>
    <row r="24" spans="1:4" ht="15.6" x14ac:dyDescent="0.3">
      <c r="A24" s="34"/>
    </row>
    <row r="25" spans="1:4" ht="15.6" x14ac:dyDescent="0.3">
      <c r="A25" s="34"/>
    </row>
    <row r="26" spans="1:4" x14ac:dyDescent="0.25">
      <c r="A26" s="34"/>
    </row>
    <row r="27" spans="1:4" x14ac:dyDescent="0.25">
      <c r="A27" s="34"/>
    </row>
    <row r="28" spans="1:4" x14ac:dyDescent="0.25">
      <c r="A28" s="34"/>
    </row>
    <row r="29" spans="1:4" x14ac:dyDescent="0.25">
      <c r="A29" s="34"/>
    </row>
    <row r="30" spans="1:4" x14ac:dyDescent="0.25">
      <c r="A30" s="34"/>
    </row>
    <row r="31" spans="1:4" x14ac:dyDescent="0.25">
      <c r="A31" s="34"/>
    </row>
    <row r="32" spans="1:4" x14ac:dyDescent="0.25">
      <c r="A32" s="34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Костя</cp:lastModifiedBy>
  <cp:lastPrinted>2022-11-08T10:34:42Z</cp:lastPrinted>
  <dcterms:created xsi:type="dcterms:W3CDTF">2017-01-25T04:28:39Z</dcterms:created>
  <dcterms:modified xsi:type="dcterms:W3CDTF">2023-01-12T10:55:08Z</dcterms:modified>
</cp:coreProperties>
</file>