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5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4A1F1121-9CB7-48C8-859F-1FD91440E10C}" xr6:coauthVersionLast="36" xr6:coauthVersionMax="36" xr10:uidLastSave="{00000000-0000-0000-0000-000000000000}"/>
  <workbookProtection workbookPassword="EB34" lockStructure="1"/>
  <bookViews>
    <workbookView xWindow="-108" yWindow="-108" windowWidth="23256" windowHeight="12576" firstSheet="2" activeTab="2" xr2:uid="{00000000-000D-0000-FFFF-FFFF00000000}"/>
  </bookViews>
  <sheets>
    <sheet name="Общая информация" sheetId="21" r:id="rId1"/>
    <sheet name="Ед. поставщик п.4 ч.1" sheetId="27" r:id="rId2"/>
    <sheet name="Ед. поставщик п.5 ч.1" sheetId="31" r:id="rId3"/>
    <sheet name="Ед.поставщик за искл. п.4,5 ч.1" sheetId="19" r:id="rId4"/>
    <sheet name="Состоявшиеся аукционы" sheetId="17" r:id="rId5"/>
    <sheet name="Несостоявшиеся аукционы" sheetId="22" r:id="rId6"/>
    <sheet name="Иные конкурентные закупки" sheetId="20" r:id="rId7"/>
    <sheet name="Настройки" sheetId="32" state="hidden" r:id="rId8"/>
  </sheets>
  <definedNames>
    <definedName name="_xlnm._FilterDatabase" localSheetId="1" hidden="1">'Ед. поставщик п.4 ч.1'!$A$6:$U$8</definedName>
  </definedNames>
  <calcPr calcId="191029" iterate="1"/>
</workbook>
</file>

<file path=xl/calcChain.xml><?xml version="1.0" encoding="utf-8"?>
<calcChain xmlns="http://schemas.openxmlformats.org/spreadsheetml/2006/main">
  <c r="H2" i="31" l="1"/>
  <c r="P2" i="31"/>
  <c r="V2" i="31"/>
  <c r="H13" i="19"/>
  <c r="G2" i="17" l="1"/>
  <c r="Q2" i="17"/>
  <c r="V2" i="17"/>
  <c r="AB2" i="17"/>
  <c r="G2" i="20"/>
  <c r="Q2" i="20"/>
  <c r="V2" i="20"/>
  <c r="AB2" i="20"/>
  <c r="G2" i="22"/>
  <c r="Q2" i="22"/>
  <c r="V2" i="22"/>
  <c r="AB2" i="22"/>
  <c r="G2" i="19"/>
  <c r="N2" i="19"/>
  <c r="T2" i="19"/>
  <c r="H9" i="17"/>
  <c r="R9" i="17"/>
  <c r="I38" i="27"/>
  <c r="H2" i="27"/>
  <c r="P2" i="27"/>
  <c r="V2" i="27"/>
  <c r="I124" i="31"/>
  <c r="I86" i="31"/>
  <c r="I37" i="27"/>
  <c r="I126" i="31"/>
  <c r="I36" i="27"/>
  <c r="I35" i="27"/>
  <c r="I23" i="27"/>
  <c r="I123" i="31" l="1"/>
  <c r="I23" i="31"/>
  <c r="I9" i="31"/>
  <c r="I101" i="31"/>
  <c r="I54" i="31"/>
  <c r="I39" i="31"/>
  <c r="I34" i="31"/>
  <c r="I28" i="31"/>
  <c r="I44" i="31"/>
  <c r="I49" i="31"/>
  <c r="H9" i="22" l="1"/>
  <c r="R9" i="22"/>
  <c r="I34" i="27" l="1"/>
  <c r="I33" i="27"/>
  <c r="I32" i="27"/>
  <c r="I31" i="27"/>
  <c r="I30" i="27"/>
  <c r="I29" i="27"/>
  <c r="I28" i="27"/>
  <c r="I107" i="31"/>
  <c r="I105" i="31"/>
  <c r="H9" i="19" l="1"/>
  <c r="I104" i="31" l="1"/>
  <c r="I22" i="27" l="1"/>
  <c r="I21" i="27"/>
  <c r="I20" i="27"/>
  <c r="I19" i="27"/>
  <c r="I18" i="27"/>
  <c r="I62" i="31" l="1"/>
  <c r="I59" i="31" l="1"/>
  <c r="I100" i="31" l="1"/>
  <c r="I99" i="31"/>
  <c r="I98" i="31"/>
  <c r="I97" i="31"/>
  <c r="I96" i="31"/>
  <c r="I94" i="31"/>
  <c r="I11" i="27"/>
  <c r="I17" i="27" l="1"/>
  <c r="I16" i="27"/>
  <c r="I15" i="27"/>
  <c r="I93" i="31"/>
  <c r="I91" i="31"/>
  <c r="I13" i="27"/>
  <c r="I9" i="27"/>
  <c r="H14" i="17" l="1"/>
  <c r="R14" i="17"/>
  <c r="I33" i="31" l="1"/>
  <c r="D13" i="21" l="1"/>
  <c r="G13" i="21" s="1"/>
  <c r="R8" i="20" l="1"/>
  <c r="H8" i="20"/>
  <c r="R8" i="22"/>
  <c r="H8" i="22"/>
  <c r="I8" i="27" l="1"/>
  <c r="J9" i="21" l="1"/>
  <c r="J13" i="21"/>
  <c r="M5" i="21" s="1"/>
  <c r="J14" i="21" l="1"/>
  <c r="D14" i="21"/>
  <c r="G14" i="21" s="1"/>
  <c r="D12" i="21"/>
  <c r="J12" i="21"/>
  <c r="D19" i="21"/>
  <c r="G12" i="21" l="1"/>
  <c r="H5" i="21" s="1"/>
  <c r="M13" i="21"/>
  <c r="M14" i="21"/>
  <c r="J11" i="21"/>
  <c r="J10" i="21"/>
  <c r="J15" i="21" l="1"/>
  <c r="D10" i="21"/>
  <c r="R8" i="17" l="1"/>
  <c r="H8" i="17"/>
  <c r="D9" i="21" l="1"/>
  <c r="G10" i="21" l="1"/>
  <c r="G11" i="21" l="1"/>
  <c r="D11" i="21"/>
  <c r="D15" i="21" s="1"/>
  <c r="G9" i="21"/>
  <c r="G15" i="21" l="1"/>
  <c r="C5" i="21" s="1"/>
  <c r="M12" i="21"/>
  <c r="M11" i="21"/>
  <c r="M9" i="21"/>
  <c r="M10" i="21"/>
  <c r="M15" i="21" l="1"/>
</calcChain>
</file>

<file path=xl/sharedStrings.xml><?xml version="1.0" encoding="utf-8"?>
<sst xmlns="http://schemas.openxmlformats.org/spreadsheetml/2006/main" count="1209" uniqueCount="462">
  <si>
    <t>Дата заключения</t>
  </si>
  <si>
    <t>№ договора/контракта</t>
  </si>
  <si>
    <t>Дата заключения договора/контракта</t>
  </si>
  <si>
    <t>Предмет договора/контракта</t>
  </si>
  <si>
    <t>Цена договора/контракта</t>
  </si>
  <si>
    <t>Поставщик (подрядчик, исполнитель)</t>
  </si>
  <si>
    <t>Сроки оплаты согласно договора/контракта</t>
  </si>
  <si>
    <t>Фактическая дата поставки товара (оказания услуги, выполнения работы)</t>
  </si>
  <si>
    <t>№ п/п</t>
  </si>
  <si>
    <t>Фактическая дата оплаты</t>
  </si>
  <si>
    <t>Код бюджетной классификации</t>
  </si>
  <si>
    <t>№ извещения</t>
  </si>
  <si>
    <t>Объект закупки</t>
  </si>
  <si>
    <t>Н(М)ЦК</t>
  </si>
  <si>
    <t>СМП и СОНО</t>
  </si>
  <si>
    <t>№ контракта</t>
  </si>
  <si>
    <t>Количество поданных заявок</t>
  </si>
  <si>
    <t>Количество заявок признанные несоответствующими</t>
  </si>
  <si>
    <t>Цена контракта</t>
  </si>
  <si>
    <t>Сроки поставки товара (оказания услуги, выполнения работы), согласно контракта</t>
  </si>
  <si>
    <t>Сроки оплаты согласно контракта</t>
  </si>
  <si>
    <t xml:space="preserve">№ в реестре контрактов </t>
  </si>
  <si>
    <t>Остаток по контракту</t>
  </si>
  <si>
    <t>Сумма согласно документа об исполнении контракта заказчиком</t>
  </si>
  <si>
    <t>Сумма заключенных контрактов</t>
  </si>
  <si>
    <t>СГОЗ  (общий)</t>
  </si>
  <si>
    <t>СГОЗ (остаток)</t>
  </si>
  <si>
    <t>Способ определения поставщика (подрядчика, исполнителя)</t>
  </si>
  <si>
    <t>Начальная (максимальная) цена контракта</t>
  </si>
  <si>
    <t>Фактическая цена контракта</t>
  </si>
  <si>
    <t xml:space="preserve">Экономия </t>
  </si>
  <si>
    <t>Состоявшиеся аукционы</t>
  </si>
  <si>
    <t>№ в реестре контрактов</t>
  </si>
  <si>
    <t>ИКЗ (Идентификационный код закупки)</t>
  </si>
  <si>
    <t>Экономия</t>
  </si>
  <si>
    <t>Всего средств потрачено по заключенным контрактам</t>
  </si>
  <si>
    <t>1</t>
  </si>
  <si>
    <t>Фактическая дата поставки товара (оказания услуги, выполнения работы) и (или) предоставление документов на оплату и подписание документов о приемке</t>
  </si>
  <si>
    <t>Цена контракта (Объем финансового обеспечения подлежащий к оплате в текущем фин. году)</t>
  </si>
  <si>
    <t>Сроки поставки товара (оказания услуги, выполнения работы), согласно контракта; Предоставление документов на оплату Закзчику</t>
  </si>
  <si>
    <t>Изменение контракта (№, дата)</t>
  </si>
  <si>
    <t>Расторжение контракта (№, дата)</t>
  </si>
  <si>
    <t>Примечание</t>
  </si>
  <si>
    <t>Сумма расторжения</t>
  </si>
  <si>
    <t>Сроки поставки товара (оказания услуги, выполнения работы), согласно договора/контракта; Предоставление документов на оплату Заказчику</t>
  </si>
  <si>
    <t>Общая сумма расторжений по контрактам/договорам</t>
  </si>
  <si>
    <t xml:space="preserve">ИНН поставщика (подрядчика, исполнителя) </t>
  </si>
  <si>
    <t>Наименование муниципальной программы, национального или регионального проекта</t>
  </si>
  <si>
    <t>123</t>
  </si>
  <si>
    <t>Несостоявшиеся аукционы</t>
  </si>
  <si>
    <t xml:space="preserve">Ед. поставщик п.4 ч.1 </t>
  </si>
  <si>
    <t>Ед. поставщик п. 5 ч. 1</t>
  </si>
  <si>
    <t>Ед.поставщик за искл. п.4,5 ч.1</t>
  </si>
  <si>
    <t>п.4 (остаток)</t>
  </si>
  <si>
    <t>п.5 (остаток)</t>
  </si>
  <si>
    <t>п.5 (50% СГОЗ)</t>
  </si>
  <si>
    <t>Муниципальная программа "Развитие образования"</t>
  </si>
  <si>
    <t>№ 1</t>
  </si>
  <si>
    <t>902 0113 1310110490 244</t>
  </si>
  <si>
    <t>Поставка бумаги для офисной техники</t>
  </si>
  <si>
    <t>2353019514</t>
  </si>
  <si>
    <t>ИП Котляров К.И.</t>
  </si>
  <si>
    <t>В течение 15 рабочих дней, со дня подписания сторонами контракта</t>
  </si>
  <si>
    <t>Не позднее 30 календарных дней с момента подписания Заказчиком и Подрядчиком акта приема-сдачи и предоставленного Подрядчиком документа на оплату</t>
  </si>
  <si>
    <t>Пример</t>
  </si>
  <si>
    <t>Поставка электрической энергии</t>
  </si>
  <si>
    <t>9020104 5210000190244</t>
  </si>
  <si>
    <t>3235301125818100175</t>
  </si>
  <si>
    <t>АО "НЭСК"</t>
  </si>
  <si>
    <t>Поставка электрической энергии осуществляется постоянно, в течение срока действия контракта</t>
  </si>
  <si>
    <t>До 10 числа расчетного месяца в размере 30%, до 25 числа расчетного месяца 40%, до 18 числа месяца, следующего за расчетным</t>
  </si>
  <si>
    <t>0818300019919000194</t>
  </si>
  <si>
    <t xml:space="preserve">Поставка картриджа и тонер-картриджей </t>
  </si>
  <si>
    <t xml:space="preserve">193235301125823530100103000010000244 </t>
  </si>
  <si>
    <t>902 0113 1210310010 244</t>
  </si>
  <si>
    <t>Нет</t>
  </si>
  <si>
    <t>3235301125819000079</t>
  </si>
  <si>
    <t>Ф.2019.412162</t>
  </si>
  <si>
    <t xml:space="preserve"> ООО "АНАЛИТИК ЦЕНТР" </t>
  </si>
  <si>
    <t>3443923035</t>
  </si>
  <si>
    <t>В течение 20 рабочих дней со дня заключения сторонами муниципального контракта</t>
  </si>
  <si>
    <t>Не позднее 30 календарных дней с момента подписания Заказчиком документа о приемке выполненных работ и представленного Подрядчиком документа на оплату</t>
  </si>
  <si>
    <t>СМП и СОНО                       (да/нет)</t>
  </si>
  <si>
    <t>Иные конкурентные закупки</t>
  </si>
  <si>
    <t>TekStrokaP4</t>
  </si>
  <si>
    <t>TekNomerP4</t>
  </si>
  <si>
    <t>NachStrokaP4</t>
  </si>
  <si>
    <t>NachStrokaP5</t>
  </si>
  <si>
    <t>TekNomerP5</t>
  </si>
  <si>
    <t>TekStrokaP5</t>
  </si>
  <si>
    <t>TekStrokaSt93</t>
  </si>
  <si>
    <t>TekNomerSt93</t>
  </si>
  <si>
    <t>NachStrokaSt93</t>
  </si>
  <si>
    <t>TekStrokaSEA</t>
  </si>
  <si>
    <t>TekNomerSEA</t>
  </si>
  <si>
    <t>NachStrokaSEA</t>
  </si>
  <si>
    <t>TekStrokaNEA</t>
  </si>
  <si>
    <t>TekNomerNEA</t>
  </si>
  <si>
    <t>NachStrokaNEA</t>
  </si>
  <si>
    <t>TekStrokaIKZ</t>
  </si>
  <si>
    <t>TekNomerIKZ</t>
  </si>
  <si>
    <t>NachStrokaIKZ</t>
  </si>
  <si>
    <t xml:space="preserve">Ед. поставщик п.5 ч.1 </t>
  </si>
  <si>
    <t>Изменение контракта (увеличение цены контракта в рублях)</t>
  </si>
  <si>
    <t>Изменение контракта (уменьшение цены контракта в рублях)</t>
  </si>
  <si>
    <t>Сумма расторжения в рублях</t>
  </si>
  <si>
    <t>СМП и СОНО                       (Да/Нет)</t>
  </si>
  <si>
    <t>09.01.2020</t>
  </si>
  <si>
    <t>Index</t>
  </si>
  <si>
    <t>Index+1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</si>
  <si>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</si>
  <si>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</si>
  <si>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</si>
  <si>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</si>
  <si>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</si>
  <si>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</si>
  <si>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</si>
  <si>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</si>
  <si>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</si>
  <si>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</si>
  <si>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</si>
  <si>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</si>
  <si>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</si>
  <si>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</si>
  <si>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</si>
  <si>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</si>
  <si>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</si>
  <si>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</si>
  <si>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</si>
  <si>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</si>
  <si>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</si>
  <si>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</si>
  <si>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</si>
  <si>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</si>
  <si>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</si>
  <si>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</si>
  <si>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</si>
  <si>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Сумма средств выплаченных по контрактам</t>
  </si>
  <si>
    <t>29</t>
  </si>
  <si>
    <t>Сумма начальных (максимальных) цен контрактов</t>
  </si>
  <si>
    <t>п.4 (10% от СГОЗ или 2 000 000)</t>
  </si>
  <si>
    <t>Наименование организации:</t>
  </si>
  <si>
    <t>Расторжение контракта по соглашению сторон</t>
  </si>
  <si>
    <t>Всего</t>
  </si>
  <si>
    <t>Не позднее 30 календарных дней с момента подписания акта приема-сдачи и документа на оплату</t>
  </si>
  <si>
    <t>Контракт заключен в электронном виде посредством                             АИС "Портал поставщиков"   (Да/Нет)</t>
  </si>
  <si>
    <t>АО "АТЭК"</t>
  </si>
  <si>
    <t>ФГКУ "УВО ВНГ России по Краснодарскому краю"</t>
  </si>
  <si>
    <t>№ 1770</t>
  </si>
  <si>
    <t>Поставка тепловой энергии</t>
  </si>
  <si>
    <t>МУП ЖКХ "Поселковое"</t>
  </si>
  <si>
    <t xml:space="preserve">До 18 числа текущего месяца 30%, за фактически потребленную до 25 числа месяца,следующего за расчетным </t>
  </si>
  <si>
    <t>№ 23070500354</t>
  </si>
  <si>
    <t>ООО "КАНкорт"</t>
  </si>
  <si>
    <t>МБОУ СОШ № 14</t>
  </si>
  <si>
    <t>АО "Мусороуборочная компания"</t>
  </si>
  <si>
    <t>2304067057</t>
  </si>
  <si>
    <t>ООО ЧОО "Легион"</t>
  </si>
  <si>
    <t>в срок не более 7 рабочих дней с даты подписания заказчиком документа о приемке</t>
  </si>
  <si>
    <t>№14/1</t>
  </si>
  <si>
    <t>№14</t>
  </si>
  <si>
    <t>№1</t>
  </si>
  <si>
    <t>ИП Даценко И.Н.</t>
  </si>
  <si>
    <t>28.12.2024г.</t>
  </si>
  <si>
    <t>электрическая энергия</t>
  </si>
  <si>
    <t>ПАО "ТНСэнерго Кубань"</t>
  </si>
  <si>
    <t>с 01.01.2025г. по 30.06.2025г.</t>
  </si>
  <si>
    <t>30% до 10 числа расчетного месяца, 40% до 25 числа расчетного месяца</t>
  </si>
  <si>
    <t>№ 173/24</t>
  </si>
  <si>
    <t>медицинские услуги по проведению предрейсовых, послерейсовых медицинских осмотров транспортных средств</t>
  </si>
  <si>
    <t>ГБУЗ "Тимашевская ЦРБ"</t>
  </si>
  <si>
    <t>с 01.01.2025г. по 31.12.2025г.</t>
  </si>
  <si>
    <t>в течении 7 рабочих дней с даты подписания обеими сторонами Акта об оказании услуг</t>
  </si>
  <si>
    <t>№19576/ТМ</t>
  </si>
  <si>
    <t>услуги по обращению с твердыми коммунальными отходами</t>
  </si>
  <si>
    <t>до 10 числа месяца, следующего за месяцем, в котором была оказана услуга</t>
  </si>
  <si>
    <t>№ДГ25/104</t>
  </si>
  <si>
    <t>услуги по техническому сопровождению транспортных средств</t>
  </si>
  <si>
    <t>охрана (ПЦН)</t>
  </si>
  <si>
    <t>в течение 10 рабочих дней с момента подписания акта выполненных работ</t>
  </si>
  <si>
    <t>в течение 10 рабочих дней с даты подписания документов о приемке оказанных услуг</t>
  </si>
  <si>
    <t>27.01.2025г.</t>
  </si>
  <si>
    <t>холодное водоснабжение</t>
  </si>
  <si>
    <t>в течение 10 рабочих дней с даты подписания акта</t>
  </si>
  <si>
    <t>№05-122024</t>
  </si>
  <si>
    <t>услуги по техническому обслуживанию АПС</t>
  </si>
  <si>
    <t>в течение 10 рабочих дней с даты подписания акта выполненных работ</t>
  </si>
  <si>
    <t>№06-122024</t>
  </si>
  <si>
    <t>услуги по техническому мониторингу и плановому эксплуатационно-техническому обслуживанию оборудования ПАК "Стрелец-Мониторинг"</t>
  </si>
  <si>
    <t>№07-122024</t>
  </si>
  <si>
    <t>работы по техническому обслуживанию КТС</t>
  </si>
  <si>
    <t>услуги по организации питания (9р.)</t>
  </si>
  <si>
    <t>ООО "Тимшевское ПРТ "Райпо"</t>
  </si>
  <si>
    <t>с 09.01.2025г. по 21.03.2025г.</t>
  </si>
  <si>
    <t>услуги по организации питания учащихся с ОВЗ, инвалидов без статуса ОВЗ, учащихся из многодетных семей, учащихся из семей участников СВО</t>
  </si>
  <si>
    <t xml:space="preserve">с 01.01.2025г. по         31.12.2025г. </t>
  </si>
  <si>
    <t>с 01.01.2025 г. по 27.05.2025 г.</t>
  </si>
  <si>
    <t>0818300019924000328</t>
  </si>
  <si>
    <t>Услуги частной охраны (Выставление поста охраны)</t>
  </si>
  <si>
    <t>08183000199240003280001</t>
  </si>
  <si>
    <t>да</t>
  </si>
  <si>
    <t>24 32353015326235301001 0019 001 5629 244</t>
  </si>
  <si>
    <t>Оказание услуги по организации питания учащихся муниципальных бюджетных общеобразовательных учреждений средних общеобразовательных школ муниципального образования Тимашевский район</t>
  </si>
  <si>
    <t>0818300019924000321</t>
  </si>
  <si>
    <t>32353015326 24 000009</t>
  </si>
  <si>
    <t>925 0000 0000000000 244</t>
  </si>
  <si>
    <t>08183000199240003210001</t>
  </si>
  <si>
    <t>2353020735</t>
  </si>
  <si>
    <t>ООО "Тимашевское ПРТ райпо"</t>
  </si>
  <si>
    <t>В течение 7 рабочих дней с момента подписания Заказчиком и Подрядчиком акта приема-сдачи и предоставленного Подрядчиком документа на оплату</t>
  </si>
  <si>
    <t>03.02.2025г.</t>
  </si>
  <si>
    <t>поставка товаров</t>
  </si>
  <si>
    <t>ООО "Компьютер бизнес сервис СИБИЭС"</t>
  </si>
  <si>
    <t>с 03.02.2025г. по 21.02.2025г.</t>
  </si>
  <si>
    <t>в течение 10 рабочих дней с даты подписания документов о приемке товара</t>
  </si>
  <si>
    <t>06.02.2025г.</t>
  </si>
  <si>
    <t>2353002623</t>
  </si>
  <si>
    <t>09.01.2025г.</t>
  </si>
  <si>
    <t>поставка нефтепродуктов</t>
  </si>
  <si>
    <t>235300578903</t>
  </si>
  <si>
    <t>ИП Калайчев Ш.С.</t>
  </si>
  <si>
    <t>с 09.01.2025г. по 28.02.2025г.</t>
  </si>
  <si>
    <t>31.01.2025г.</t>
  </si>
  <si>
    <t>в течение 10 рабочих дней с даты получения документов о поставке товаров</t>
  </si>
  <si>
    <t>11.02.2025г.</t>
  </si>
  <si>
    <t>235300203781</t>
  </si>
  <si>
    <t>ИП Ледовская С.В.</t>
  </si>
  <si>
    <t>12.02.2025г.</t>
  </si>
  <si>
    <t>услуги по выполнению предрейсового и послерейсового технического осмотра ТС</t>
  </si>
  <si>
    <t>Тимашевская РО КРО ОО "ВОА"</t>
  </si>
  <si>
    <t>с 27.01.2025г. по 31.12.2025г.</t>
  </si>
  <si>
    <t>в течение 10 рабочих дней с момента выставления счета</t>
  </si>
  <si>
    <t>13.02.2025г.</t>
  </si>
  <si>
    <t>№6</t>
  </si>
  <si>
    <t>поставка товара</t>
  </si>
  <si>
    <t>ИП Латышева Н.П.</t>
  </si>
  <si>
    <t>с 13.02.2025г.по 31.12.2025г.</t>
  </si>
  <si>
    <t>14.02.2025г.</t>
  </si>
  <si>
    <t>№3</t>
  </si>
  <si>
    <t>05.02.2025г.</t>
  </si>
  <si>
    <t>ремонт автомобиля</t>
  </si>
  <si>
    <t>ИП Аполонов А.А.</t>
  </si>
  <si>
    <t>17.02.2025г.</t>
  </si>
  <si>
    <t>25.02.2025г.</t>
  </si>
  <si>
    <t>неисключительное право использования программы для ЭВМ</t>
  </si>
  <si>
    <t>234602203000</t>
  </si>
  <si>
    <t>ИП Архангельский А.А.</t>
  </si>
  <si>
    <t>26.02.2025г.</t>
  </si>
  <si>
    <t>в течение 10 рабочих дней со дня подписания акта оказанных услуг</t>
  </si>
  <si>
    <t>№2</t>
  </si>
  <si>
    <t>24.02.2025г.</t>
  </si>
  <si>
    <t>с 24.02.2025г. по 17.03.2025г.</t>
  </si>
  <si>
    <t>ремонт принтера</t>
  </si>
  <si>
    <t xml:space="preserve">с 17.02.2025г. по 07.03.2025г. </t>
  </si>
  <si>
    <t>27.02.2025г.</t>
  </si>
  <si>
    <t>24.01.2025г.</t>
  </si>
  <si>
    <t>07.02.2025г.</t>
  </si>
  <si>
    <t>20.02.2025г.</t>
  </si>
  <si>
    <t>04.03.2025г.</t>
  </si>
  <si>
    <t>18.02.2025г.</t>
  </si>
  <si>
    <t>18.08.2025г.</t>
  </si>
  <si>
    <t>28.02.2025г.</t>
  </si>
  <si>
    <t>13.03.2025г.</t>
  </si>
  <si>
    <t>14.03.2025г.</t>
  </si>
  <si>
    <t>17.03.2025г.</t>
  </si>
  <si>
    <t>18.03.2025г.</t>
  </si>
  <si>
    <t>10.03.2025г.</t>
  </si>
  <si>
    <t>ИП Карлов И.В.</t>
  </si>
  <si>
    <t>05.02.2025г. по 25.02.2025г.</t>
  </si>
  <si>
    <t>с 10.03.2025г. по 30.04.2025г.</t>
  </si>
  <si>
    <t>ремонт транспортных средств</t>
  </si>
  <si>
    <t>с 28.02.2025г. по 31.03.2025г.</t>
  </si>
  <si>
    <t>11.03.2025г.</t>
  </si>
  <si>
    <t>№01-06/2025</t>
  </si>
  <si>
    <t>эеспертно-оценочные работы</t>
  </si>
  <si>
    <t>Тимашевская торгово-промышленная палата</t>
  </si>
  <si>
    <t>№4</t>
  </si>
  <si>
    <t>с 17.03.2025г. По 02.04.2025г.</t>
  </si>
  <si>
    <t>20.03.2025г.</t>
  </si>
  <si>
    <t>№23-12190</t>
  </si>
  <si>
    <t>полиграфическая продукция</t>
  </si>
  <si>
    <t>ООО "СБМ"</t>
  </si>
  <si>
    <t>с 26.02.2025г. по 31.12.2025г.</t>
  </si>
  <si>
    <t>в течение 10 рабочих дней с момента получения продукции</t>
  </si>
  <si>
    <t>25.03.2025г.</t>
  </si>
  <si>
    <t>№14/26.02</t>
  </si>
  <si>
    <t>учебники для библиотечного фонда</t>
  </si>
  <si>
    <t>ООО "Вольный странник"</t>
  </si>
  <si>
    <t>12.03.2025г.</t>
  </si>
  <si>
    <t>21.03.2025г.</t>
  </si>
  <si>
    <t>31.03.2025г.</t>
  </si>
  <si>
    <t>03.03.2025г.</t>
  </si>
  <si>
    <t>13.02.2024г.</t>
  </si>
  <si>
    <t>11.04.2025г.</t>
  </si>
  <si>
    <t>09.04.2025г.</t>
  </si>
  <si>
    <t>10.04.2025г.</t>
  </si>
  <si>
    <t>б/н от 11.04.2025г.</t>
  </si>
  <si>
    <t>02.04.2025г.</t>
  </si>
  <si>
    <t>01.04.2025г.</t>
  </si>
  <si>
    <t>07.04.2025г.</t>
  </si>
  <si>
    <t>08.04.2025г.</t>
  </si>
  <si>
    <t>15.04.2025г.</t>
  </si>
  <si>
    <t>бензин</t>
  </si>
  <si>
    <t>с 01.03.2025г. по 30.06.2025г.</t>
  </si>
  <si>
    <t>в течение 10 рабочих дней с момента подписания документа о приемке</t>
  </si>
  <si>
    <t>№К134648/25</t>
  </si>
  <si>
    <t>16.04.2025г.</t>
  </si>
  <si>
    <t>программа для ЭВМ</t>
  </si>
  <si>
    <t>6663003127</t>
  </si>
  <si>
    <t>АО "ПФ"СКБ Контур"</t>
  </si>
  <si>
    <t>с 16.04.205г. по 31.12.2025г.</t>
  </si>
  <si>
    <t>17.04.2025г.</t>
  </si>
  <si>
    <t>в течение 10 рабочих дней со дня получения документов на оплату</t>
  </si>
  <si>
    <t>21.04.2025г.</t>
  </si>
  <si>
    <t>№04/2025</t>
  </si>
  <si>
    <t xml:space="preserve">ковер борцовский </t>
  </si>
  <si>
    <t>7329022201</t>
  </si>
  <si>
    <t>ООО "РУССАМБО"</t>
  </si>
  <si>
    <t>с 15.04.2025г. по 31.12.2025г.</t>
  </si>
  <si>
    <t>23.04.2025г.</t>
  </si>
  <si>
    <t>УПД</t>
  </si>
  <si>
    <t>2310132554</t>
  </si>
  <si>
    <t>ООО "Краснодарский краевой коллектор учебно-наглядных пособий, технических средств обучения и оборудования"</t>
  </si>
  <si>
    <t>с 18.03.2025г. по 15.08.2025г.</t>
  </si>
  <si>
    <t>в течение 7 рабочих дней с момента подписания документов</t>
  </si>
  <si>
    <t>аккумулятор</t>
  </si>
  <si>
    <t>233613206000</t>
  </si>
  <si>
    <t>ИП Демченко Е.Ю.</t>
  </si>
  <si>
    <t>04.04.2025г.</t>
  </si>
  <si>
    <t>в течение 10 рабочих дней с момента подписания документов на оплату</t>
  </si>
  <si>
    <t>26.03.2025г.</t>
  </si>
  <si>
    <t>светильники</t>
  </si>
  <si>
    <t>233003348389</t>
  </si>
  <si>
    <t>ИП Тарануха А.В.</t>
  </si>
  <si>
    <t>№14/25</t>
  </si>
  <si>
    <t>дератизация</t>
  </si>
  <si>
    <t>ООО "Дезинфекция"</t>
  </si>
  <si>
    <t>27.03.2025г.</t>
  </si>
  <si>
    <t>20.01.2025г.</t>
  </si>
  <si>
    <t>услуги связи</t>
  </si>
  <si>
    <t>7707049388</t>
  </si>
  <si>
    <t>ПАО "Ростелеком"</t>
  </si>
  <si>
    <t>с 26.03.2025г. по 18.04.2025г.</t>
  </si>
  <si>
    <t>с 02.07.2025г. по 30,04.2025г.</t>
  </si>
  <si>
    <t>№А0172156</t>
  </si>
  <si>
    <t>21.02.2025г.</t>
  </si>
  <si>
    <t>учебники</t>
  </si>
  <si>
    <t>АО "Издательство "Просвещение"</t>
  </si>
  <si>
    <t>c 21.02.2025г. по 30.06.2025г.</t>
  </si>
  <si>
    <t>22.04.2025г.</t>
  </si>
  <si>
    <t>в течение 10 рабочих дней со дня подписания заказчиком УПД</t>
  </si>
  <si>
    <t>03.04.2025г.</t>
  </si>
  <si>
    <t>04.05.2025г.</t>
  </si>
  <si>
    <t>07.05.2025г.</t>
  </si>
  <si>
    <t>28.03.2025г.</t>
  </si>
  <si>
    <t>25.04.2025г.</t>
  </si>
  <si>
    <t>30.04.2025г.</t>
  </si>
  <si>
    <t>05.05.2025г.</t>
  </si>
  <si>
    <t>15.05.2025г.</t>
  </si>
  <si>
    <t>12.05.2025г.</t>
  </si>
  <si>
    <t>13.05.2025г.</t>
  </si>
  <si>
    <t>16.05.2025г.</t>
  </si>
  <si>
    <t>услуги по организации питания</t>
  </si>
  <si>
    <t>ООО Тимашевское предприятие розничной торговли райпо"</t>
  </si>
  <si>
    <t>с 01.04.2025г. по 24.05.2025г.</t>
  </si>
  <si>
    <t>21.05.2025г.</t>
  </si>
  <si>
    <t>23.05.2025г.</t>
  </si>
  <si>
    <t>30.05.2025г.</t>
  </si>
  <si>
    <t>26.05.2025г.</t>
  </si>
  <si>
    <t>товар (ошнетушители)</t>
  </si>
  <si>
    <t>ИП Черненко В.А.</t>
  </si>
  <si>
    <t>с 26.05.2025г. по 31.12.2025г.</t>
  </si>
  <si>
    <t>27.05.2025г.</t>
  </si>
  <si>
    <t>в срок не более 10 рабочих дней с даты подписания заказчиком документа о приемке</t>
  </si>
  <si>
    <t>235307300400</t>
  </si>
  <si>
    <t>№392</t>
  </si>
  <si>
    <t>карта тахографа</t>
  </si>
  <si>
    <t>2369000660</t>
  </si>
  <si>
    <t>с 13.05.2025г. по 31.12.2025г.</t>
  </si>
  <si>
    <t>в срок не более 7 рабочих дней с даты подписания заказчиком дтоварной накладной</t>
  </si>
  <si>
    <t>№АТ00-005223</t>
  </si>
  <si>
    <t>2311187588</t>
  </si>
  <si>
    <t>ООО "АйТи Мониторинг"</t>
  </si>
  <si>
    <t>с 15.05.2025г. по 31.12.2025г.</t>
  </si>
  <si>
    <t>19.05.2025г.</t>
  </si>
  <si>
    <t>№06/К/СМЭВ/7943</t>
  </si>
  <si>
    <t>28.04.2025г.</t>
  </si>
  <si>
    <t>программное обеспечение</t>
  </si>
  <si>
    <t>право использования программного обеспечения</t>
  </si>
  <si>
    <t>2308065195</t>
  </si>
  <si>
    <t>ГУП КК "ЦИТ"</t>
  </si>
  <si>
    <t>в срок не более 7 рабочих дней с даты подписания УПД</t>
  </si>
  <si>
    <t>с 28.04.2025г. по 31.12.2025г.</t>
  </si>
  <si>
    <t>№06/СМЭВ/7942</t>
  </si>
  <si>
    <t>услуги по обслуживанию</t>
  </si>
  <si>
    <t>№75/25</t>
  </si>
  <si>
    <t>медицинские услуги</t>
  </si>
  <si>
    <t>2353006498</t>
  </si>
  <si>
    <t>с 12.05.2025г. по 12.05.2025г.</t>
  </si>
  <si>
    <t>в течение 7 рабочих дней с даты подписания сторонами акта об оказании услуг</t>
  </si>
  <si>
    <t>№75-1/25</t>
  </si>
  <si>
    <t>22.05.2025г.</t>
  </si>
  <si>
    <t>28.05.2025г.</t>
  </si>
  <si>
    <t>02.06.2025г.</t>
  </si>
  <si>
    <t>03.06.2025г.</t>
  </si>
  <si>
    <t>31.05.2025г.</t>
  </si>
  <si>
    <t>04.06.2025г.</t>
  </si>
  <si>
    <t>05.06.2025г.</t>
  </si>
  <si>
    <t>16.06.2025г.</t>
  </si>
  <si>
    <t>№14/25К</t>
  </si>
  <si>
    <t>Дезинсекция</t>
  </si>
  <si>
    <t>с 19.05.2025г. по 15.06.2025г.</t>
  </si>
  <si>
    <t>06.06.2025г.</t>
  </si>
  <si>
    <t>№ 4327/132</t>
  </si>
  <si>
    <t>24.04.2025г.</t>
  </si>
  <si>
    <t>визуально-инструментальное обследование нежилого здания</t>
  </si>
  <si>
    <t>2369002795</t>
  </si>
  <si>
    <t>ООО "Кадастр-Гео"</t>
  </si>
  <si>
    <t>30 рабочих дней со дня заключения контракта</t>
  </si>
  <si>
    <t>10.06.2025г.</t>
  </si>
  <si>
    <t>в течении 10 рабочих дней с момента подписания документа о приемке оказанных услуг</t>
  </si>
  <si>
    <t>19.06.2025г.</t>
  </si>
  <si>
    <t>№A0174626</t>
  </si>
  <si>
    <t>АО "Издательство Просвещение"</t>
  </si>
  <si>
    <t>20.06.2025г.</t>
  </si>
  <si>
    <t>с 21.02.2025г. по 30.06.2025г.</t>
  </si>
  <si>
    <t>в течение 10 рабочих дней с даты утверждения акта приемки товаров</t>
  </si>
  <si>
    <t>№41</t>
  </si>
  <si>
    <t>обучение по программе профессиональной переподготовке</t>
  </si>
  <si>
    <t>2369980106</t>
  </si>
  <si>
    <t>ЧОУ ДПО "Сигнал"</t>
  </si>
  <si>
    <t>21.06.2025г.</t>
  </si>
  <si>
    <t>26.06.2025г.</t>
  </si>
  <si>
    <t>с 05.05.2025г. по 21.06.2025г.</t>
  </si>
  <si>
    <t>в течение 10 рабочих дней с даты подписания сторонами акта об оказании услуг</t>
  </si>
  <si>
    <t>№14-Л</t>
  </si>
  <si>
    <t>организация питания детей в период летнего лагеря дневного пребывания</t>
  </si>
  <si>
    <t>с 26.05.2025г. по 15.06.2025г.</t>
  </si>
  <si>
    <t>25.06.2025г.</t>
  </si>
  <si>
    <t>11.06.2025г.</t>
  </si>
  <si>
    <t>б/н от 30.06.2025</t>
  </si>
  <si>
    <t>б/н от 30.05.2025г.</t>
  </si>
  <si>
    <t>№5720/220</t>
  </si>
  <si>
    <t>поставка периодических печатных изданий</t>
  </si>
  <si>
    <t>7724490000</t>
  </si>
  <si>
    <t>АО "Почта России"</t>
  </si>
  <si>
    <t>с 01.07.2025г. по 30.12.2025г.</t>
  </si>
  <si>
    <t>29.05.2025г.</t>
  </si>
  <si>
    <t>в течение 7 рабочих дней с даты подписания контракта</t>
  </si>
  <si>
    <t>№ФПК-72/5822</t>
  </si>
  <si>
    <t>Повышение квалификации</t>
  </si>
  <si>
    <t>2310018516</t>
  </si>
  <si>
    <t>ФГБОУ ВО КГУФКСТ</t>
  </si>
  <si>
    <t xml:space="preserve"> с 19.05.2025г. по 29.05.2025г.</t>
  </si>
  <si>
    <t>Не позднее 10 рабочих дней с момента подписания акта об оказании услуг</t>
  </si>
  <si>
    <t>08183000199250001470001</t>
  </si>
  <si>
    <t>32353015326 25 000002</t>
  </si>
  <si>
    <t>2353021954</t>
  </si>
  <si>
    <t>ООО "ЧОП "БЕРКУТ"</t>
  </si>
  <si>
    <t>25 32353015326235301001 0008 001 8010 244</t>
  </si>
  <si>
    <t>0818300019925000147</t>
  </si>
  <si>
    <t>с 28.05.2025г. по 02.02.2026г.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</si>
</sst>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7" formatCode="#,##0.00\ &quot;₽&quot;;\-#,##0.00\ &quot;₽&quot;"/>
    <numFmt numFmtId="164" formatCode="#,##0.00\ &quot;₽&quot;"/>
    <numFmt numFmtId="165" formatCode="[$-F800]dddd\,\ mmmm\ dd\,\ yyyy"/>
    <numFmt numFmtId="166" formatCode="#,##0.00&quot;р.&quot;"/>
    <numFmt numFmtId="167" formatCode="0_ ;\-0\ "/>
    <numFmt numFmtId="168" formatCode="#,##0.00_ ;\-#,##0.00\ "/>
  </numFmts>
  <fonts count="16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20"/>
      <color theme="1"/>
      <name val="Times New Roman"/>
      <family val="2"/>
      <charset val="204"/>
    </font>
    <font>
      <b/>
      <sz val="12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6"/>
      <name val="Times New Roman"/>
      <family val="1"/>
      <charset val="204"/>
    </font>
    <font>
      <sz val="16"/>
      <color theme="1"/>
      <name val="Times New Roman"/>
      <family val="2"/>
      <charset val="204"/>
    </font>
    <font>
      <b/>
      <sz val="16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u/>
      <sz val="11"/>
      <color theme="10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20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00FF00"/>
        <bgColor indexed="64"/>
      </patternFill>
    </fill>
  </fills>
  <borders count="8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</borders>
  <cellStyleXfs count="7">
    <xf numFmtId="0" fontId="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2" fillId="0" borderId="0" applyNumberFormat="0" applyFill="0" applyBorder="0" applyAlignment="0" applyProtection="0"/>
  </cellStyleXfs>
  <cellXfs count="562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66" fontId="3" fillId="0" borderId="6" xfId="0" applyNumberFormat="1" applyFont="1" applyBorder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 wrapText="1"/>
    </xf>
    <xf numFmtId="166" fontId="4" fillId="0" borderId="6" xfId="0" applyNumberFormat="1" applyFont="1" applyBorder="1" applyAlignment="1">
      <alignment horizontal="center" vertical="center" wrapText="1"/>
    </xf>
    <xf numFmtId="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64" fontId="1" fillId="0" borderId="0" xfId="0" applyNumberFormat="1" applyFont="1" applyAlignment="1">
      <alignment horizontal="center" vertical="center" wrapText="1"/>
    </xf>
    <xf numFmtId="165" fontId="1" fillId="0" borderId="0" xfId="0" applyNumberFormat="1" applyFont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4" borderId="0" xfId="0" applyFont="1" applyFill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4" fontId="3" fillId="0" borderId="0" xfId="0" applyNumberFormat="1" applyFont="1" applyAlignment="1">
      <alignment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165" fontId="1" fillId="3" borderId="1" xfId="0" applyNumberFormat="1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165" fontId="1" fillId="2" borderId="13" xfId="0" applyNumberFormat="1" applyFont="1" applyFill="1" applyBorder="1" applyAlignment="1">
      <alignment horizontal="center" vertical="center" wrapText="1"/>
    </xf>
    <xf numFmtId="49" fontId="1" fillId="2" borderId="13" xfId="0" applyNumberFormat="1" applyFont="1" applyFill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7" fontId="1" fillId="0" borderId="0" xfId="0" applyNumberFormat="1" applyFont="1" applyAlignment="1">
      <alignment horizontal="center" vertical="center" wrapText="1"/>
    </xf>
    <xf numFmtId="7" fontId="1" fillId="2" borderId="1" xfId="0" applyNumberFormat="1" applyFont="1" applyFill="1" applyBorder="1" applyAlignment="1">
      <alignment horizontal="center" vertical="center" wrapText="1"/>
    </xf>
    <xf numFmtId="7" fontId="1" fillId="3" borderId="1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2" fontId="1" fillId="3" borderId="1" xfId="0" applyNumberFormat="1" applyFont="1" applyFill="1" applyBorder="1" applyAlignment="1">
      <alignment horizontal="center" vertical="center" wrapText="1"/>
    </xf>
    <xf numFmtId="0" fontId="13" fillId="0" borderId="0" xfId="1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3" fillId="0" borderId="0" xfId="4" applyFont="1" applyAlignment="1">
      <alignment horizontal="center" vertical="center" wrapText="1"/>
    </xf>
    <xf numFmtId="0" fontId="13" fillId="0" borderId="0" xfId="6" applyFont="1" applyBorder="1" applyAlignment="1">
      <alignment horizontal="center" vertical="center" wrapText="1"/>
    </xf>
    <xf numFmtId="0" fontId="15" fillId="0" borderId="0" xfId="1" applyFont="1" applyAlignment="1">
      <alignment horizontal="center" vertical="center" wrapText="1"/>
    </xf>
    <xf numFmtId="0" fontId="13" fillId="5" borderId="1" xfId="4" applyFont="1" applyFill="1" applyBorder="1" applyAlignment="1">
      <alignment horizontal="center" vertical="center" wrapText="1"/>
    </xf>
    <xf numFmtId="0" fontId="13" fillId="5" borderId="1" xfId="1" applyFont="1" applyFill="1" applyBorder="1" applyAlignment="1">
      <alignment horizontal="center" vertical="center" wrapText="1"/>
    </xf>
    <xf numFmtId="0" fontId="13" fillId="6" borderId="1" xfId="4" applyFont="1" applyFill="1" applyBorder="1" applyAlignment="1">
      <alignment horizontal="center" vertical="center" wrapText="1"/>
    </xf>
    <xf numFmtId="0" fontId="13" fillId="6" borderId="1" xfId="1" applyFont="1" applyFill="1" applyBorder="1" applyAlignment="1">
      <alignment horizontal="center" vertical="center" wrapText="1"/>
    </xf>
    <xf numFmtId="0" fontId="13" fillId="7" borderId="1" xfId="4" applyFont="1" applyFill="1" applyBorder="1" applyAlignment="1">
      <alignment horizontal="center" vertical="center" wrapText="1"/>
    </xf>
    <xf numFmtId="0" fontId="13" fillId="7" borderId="1" xfId="1" applyFont="1" applyFill="1" applyBorder="1" applyAlignment="1">
      <alignment horizontal="center" vertical="center" wrapText="1"/>
    </xf>
    <xf numFmtId="0" fontId="13" fillId="8" borderId="1" xfId="4" applyFont="1" applyFill="1" applyBorder="1" applyAlignment="1">
      <alignment horizontal="center" vertical="center" wrapText="1"/>
    </xf>
    <xf numFmtId="0" fontId="13" fillId="8" borderId="1" xfId="1" applyFont="1" applyFill="1" applyBorder="1" applyAlignment="1">
      <alignment horizontal="center" vertical="center" wrapText="1"/>
    </xf>
    <xf numFmtId="0" fontId="13" fillId="9" borderId="1" xfId="4" applyFont="1" applyFill="1" applyBorder="1" applyAlignment="1">
      <alignment horizontal="center" vertical="center" wrapText="1"/>
    </xf>
    <xf numFmtId="0" fontId="13" fillId="9" borderId="1" xfId="1" applyFont="1" applyFill="1" applyBorder="1" applyAlignment="1">
      <alignment horizontal="center" vertical="center" wrapText="1"/>
    </xf>
    <xf numFmtId="0" fontId="13" fillId="10" borderId="1" xfId="1" applyFont="1" applyFill="1" applyBorder="1" applyAlignment="1">
      <alignment horizontal="center" vertical="center" wrapText="1"/>
    </xf>
    <xf numFmtId="0" fontId="13" fillId="10" borderId="1" xfId="4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165" fontId="1" fillId="2" borderId="14" xfId="0" applyNumberFormat="1" applyFont="1" applyFill="1" applyBorder="1" applyAlignment="1">
      <alignment horizontal="center" vertical="center" wrapText="1"/>
    </xf>
    <xf numFmtId="49" fontId="1" fillId="2" borderId="14" xfId="0" applyNumberFormat="1" applyFont="1" applyFill="1" applyBorder="1" applyAlignment="1">
      <alignment horizontal="center" vertical="center" wrapText="1"/>
    </xf>
    <xf numFmtId="7" fontId="1" fillId="2" borderId="14" xfId="0" applyNumberFormat="1" applyFont="1" applyFill="1" applyBorder="1" applyAlignment="1">
      <alignment horizontal="center" vertical="center" wrapText="1"/>
    </xf>
    <xf numFmtId="164" fontId="1" fillId="2" borderId="14" xfId="0" applyNumberFormat="1" applyFont="1" applyFill="1" applyBorder="1" applyAlignment="1">
      <alignment horizontal="center" vertical="center" wrapText="1"/>
    </xf>
    <xf numFmtId="49" fontId="1" fillId="3" borderId="14" xfId="0" applyNumberFormat="1" applyFont="1" applyFill="1" applyBorder="1" applyAlignment="1">
      <alignment horizontal="center" vertical="center" wrapText="1"/>
    </xf>
    <xf numFmtId="165" fontId="1" fillId="3" borderId="14" xfId="0" applyNumberFormat="1" applyFont="1" applyFill="1" applyBorder="1" applyAlignment="1">
      <alignment horizontal="center" vertical="center" wrapText="1"/>
    </xf>
    <xf numFmtId="164" fontId="1" fillId="3" borderId="14" xfId="0" applyNumberFormat="1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167" fontId="1" fillId="3" borderId="1" xfId="0" applyNumberFormat="1" applyFont="1" applyFill="1" applyBorder="1" applyAlignment="1">
      <alignment horizontal="center" vertical="center" wrapText="1"/>
    </xf>
    <xf numFmtId="14" fontId="1" fillId="3" borderId="1" xfId="0" applyNumberFormat="1" applyFont="1" applyFill="1" applyBorder="1" applyAlignment="1">
      <alignment horizontal="center" vertical="center" wrapText="1"/>
    </xf>
    <xf numFmtId="49" fontId="1" fillId="0" borderId="14" xfId="0" applyNumberFormat="1" applyFont="1" applyBorder="1" applyAlignment="1">
      <alignment horizontal="center" vertical="center" wrapText="1"/>
    </xf>
    <xf numFmtId="168" fontId="1" fillId="3" borderId="14" xfId="0" applyNumberFormat="1" applyFont="1" applyFill="1" applyBorder="1" applyAlignment="1">
      <alignment horizontal="center" vertical="center" wrapText="1"/>
    </xf>
    <xf numFmtId="0" fontId="13" fillId="10" borderId="14" xfId="1" applyFont="1" applyFill="1" applyBorder="1" applyAlignment="1">
      <alignment horizontal="center" vertical="center" wrapText="1"/>
    </xf>
    <xf numFmtId="0" fontId="13" fillId="6" borderId="14" xfId="1" applyFont="1" applyFill="1" applyBorder="1" applyAlignment="1">
      <alignment horizontal="center" vertical="center" wrapText="1"/>
    </xf>
    <xf numFmtId="0" fontId="13" fillId="7" borderId="14" xfId="1" applyFont="1" applyFill="1" applyBorder="1" applyAlignment="1">
      <alignment horizontal="center" vertical="center" wrapText="1"/>
    </xf>
    <xf numFmtId="0" fontId="13" fillId="9" borderId="14" xfId="1" applyFont="1" applyFill="1" applyBorder="1" applyAlignment="1">
      <alignment horizontal="center" vertical="center" wrapText="1"/>
    </xf>
    <xf numFmtId="0" fontId="13" fillId="8" borderId="14" xfId="1" applyFont="1" applyFill="1" applyBorder="1" applyAlignment="1">
      <alignment horizontal="center" vertical="center" wrapText="1"/>
    </xf>
    <xf numFmtId="0" fontId="13" fillId="5" borderId="14" xfId="1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7" fontId="1" fillId="11" borderId="6" xfId="0" applyNumberFormat="1" applyFont="1" applyFill="1" applyBorder="1" applyAlignment="1">
      <alignment horizontal="center" vertical="center" wrapText="1"/>
    </xf>
    <xf numFmtId="7" fontId="1" fillId="13" borderId="6" xfId="0" applyNumberFormat="1" applyFont="1" applyFill="1" applyBorder="1" applyAlignment="1">
      <alignment horizontal="center" vertical="center" wrapText="1"/>
    </xf>
    <xf numFmtId="164" fontId="1" fillId="2" borderId="13" xfId="0" applyNumberFormat="1" applyFont="1" applyFill="1" applyBorder="1" applyAlignment="1">
      <alignment horizontal="center" vertical="center" wrapText="1"/>
    </xf>
    <xf numFmtId="49" fontId="1" fillId="3" borderId="15" xfId="0" applyNumberFormat="1" applyFont="1" applyFill="1" applyBorder="1" applyAlignment="1">
      <alignment horizontal="center" vertical="center" wrapText="1"/>
    </xf>
    <xf numFmtId="165" fontId="1" fillId="3" borderId="15" xfId="0" applyNumberFormat="1" applyFont="1" applyFill="1" applyBorder="1" applyAlignment="1">
      <alignment horizontal="center" vertical="center" wrapText="1"/>
    </xf>
    <xf numFmtId="164" fontId="1" fillId="3" borderId="15" xfId="0" applyNumberFormat="1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14" fontId="1" fillId="3" borderId="15" xfId="0" applyNumberFormat="1" applyFont="1" applyFill="1" applyBorder="1" applyAlignment="1">
      <alignment horizontal="center" vertical="center" wrapText="1"/>
    </xf>
    <xf numFmtId="1" fontId="1" fillId="3" borderId="15" xfId="0" applyNumberFormat="1" applyFont="1" applyFill="1" applyBorder="1" applyAlignment="1">
      <alignment horizontal="center" vertical="center" wrapText="1"/>
    </xf>
    <xf numFmtId="2" fontId="1" fillId="3" borderId="14" xfId="0" applyNumberFormat="1" applyFont="1" applyFill="1" applyBorder="1" applyAlignment="1">
      <alignment horizontal="center" vertical="center" wrapText="1"/>
    </xf>
    <xf numFmtId="164" fontId="1" fillId="14" borderId="6" xfId="0" applyNumberFormat="1" applyFont="1" applyFill="1" applyBorder="1" applyAlignment="1">
      <alignment horizontal="center" vertical="center" wrapText="1"/>
    </xf>
    <xf numFmtId="4" fontId="3" fillId="0" borderId="6" xfId="0" applyNumberFormat="1" applyFont="1" applyBorder="1" applyAlignment="1">
      <alignment horizontal="center" vertical="center" wrapText="1"/>
    </xf>
    <xf numFmtId="164" fontId="1" fillId="16" borderId="6" xfId="0" applyNumberFormat="1" applyFont="1" applyFill="1" applyBorder="1" applyAlignment="1">
      <alignment horizontal="center" vertical="center" wrapText="1"/>
    </xf>
    <xf numFmtId="49" fontId="1" fillId="10" borderId="3" xfId="0" applyNumberFormat="1" applyFont="1" applyFill="1" applyBorder="1" applyAlignment="1">
      <alignment horizontal="center" vertical="center" wrapText="1"/>
    </xf>
    <xf numFmtId="4" fontId="1" fillId="3" borderId="14" xfId="0" applyNumberFormat="1" applyFont="1" applyFill="1" applyBorder="1" applyAlignment="1">
      <alignment horizontal="center" vertical="center" wrapText="1"/>
    </xf>
    <xf numFmtId="0" fontId="1" fillId="18" borderId="0" xfId="0" applyFont="1" applyFill="1" applyAlignment="1">
      <alignment horizontal="center" vertical="center" wrapText="1"/>
    </xf>
    <xf numFmtId="49" fontId="1" fillId="18" borderId="20" xfId="0" applyNumberFormat="1" applyFont="1" applyFill="1" applyBorder="1" applyAlignment="1">
      <alignment horizontal="center" vertical="center" wrapText="1"/>
    </xf>
    <xf numFmtId="4" fontId="1" fillId="18" borderId="20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0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20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20" xfId="0" applyFont="1" applyFill="1" applyBorder="1" applyAlignment="1" applyProtection="1">
      <alignment horizontal="center" vertical="center" wrapText="1"/>
      <protection locked="0"/>
    </xf>
    <xf numFmtId="165" fontId="1" fillId="18" borderId="2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0" xfId="0" applyNumberFormat="1" applyFont="1" applyFill="1" applyBorder="1" applyAlignment="1">
      <alignment horizontal="center" vertical="center" wrapText="1"/>
    </xf>
    <xf numFmtId="167" fontId="1" fillId="18" borderId="20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20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20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0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20" xfId="0" applyNumberFormat="1" applyFont="1" applyBorder="1" applyAlignment="1">
      <alignment horizontal="center" vertical="center" wrapText="1"/>
    </xf>
    <xf numFmtId="49" fontId="1" fillId="0" borderId="20" xfId="0" applyNumberFormat="1" applyFont="1" applyBorder="1" applyAlignment="1" applyProtection="1">
      <alignment horizontal="center" vertical="center" wrapText="1"/>
      <protection locked="0"/>
    </xf>
    <xf numFmtId="165" fontId="1" fillId="0" borderId="20" xfId="0" applyNumberFormat="1" applyFont="1" applyBorder="1" applyAlignment="1" applyProtection="1">
      <alignment horizontal="center" vertical="center" wrapText="1"/>
      <protection locked="0"/>
    </xf>
    <xf numFmtId="14" fontId="1" fillId="0" borderId="20" xfId="0" applyNumberFormat="1" applyFont="1" applyBorder="1" applyAlignment="1" applyProtection="1">
      <alignment horizontal="center" vertical="center" wrapText="1"/>
      <protection locked="0"/>
    </xf>
    <xf numFmtId="4" fontId="1" fillId="0" borderId="20" xfId="0" applyNumberFormat="1" applyFont="1" applyBorder="1" applyAlignment="1" applyProtection="1">
      <alignment horizontal="center" vertical="center" wrapText="1"/>
      <protection locked="0"/>
    </xf>
    <xf numFmtId="4" fontId="1" fillId="0" borderId="20" xfId="0" applyNumberFormat="1" applyFont="1" applyBorder="1" applyAlignment="1">
      <alignment horizontal="center" vertical="center" wrapText="1"/>
    </xf>
    <xf numFmtId="14" fontId="1" fillId="18" borderId="20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Alignment="1">
      <alignment horizontal="center" vertical="center" wrapText="1"/>
    </xf>
    <xf numFmtId="14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25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25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25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25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7" xfId="0" applyNumberFormat="1" applyFont="1" applyFill="1" applyBorder="1" applyAlignment="1">
      <alignment horizontal="center" vertical="center" wrapText="1"/>
    </xf>
    <xf numFmtId="49" fontId="1" fillId="18" borderId="27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7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7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7" xfId="0" applyNumberFormat="1" applyFont="1" applyFill="1" applyBorder="1" applyAlignment="1">
      <alignment horizontal="center" vertical="center" wrapText="1"/>
    </xf>
    <xf numFmtId="167" fontId="1" fillId="18" borderId="27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27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27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27" xfId="0" applyFont="1" applyFill="1" applyBorder="1" applyAlignment="1" applyProtection="1">
      <alignment horizontal="center" vertical="center" wrapText="1"/>
      <protection locked="0"/>
    </xf>
    <xf numFmtId="4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29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29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29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29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1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31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34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34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31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34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7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1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3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6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36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6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37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37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37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36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37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38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38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38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38" xfId="0" applyNumberFormat="1" applyFont="1" applyFill="1" applyBorder="1" applyAlignment="1" applyProtection="1">
      <alignment horizontal="center" vertical="center" wrapText="1"/>
      <protection locked="0"/>
    </xf>
    <xf numFmtId="4" fontId="1" fillId="4" borderId="36" xfId="0" applyNumberFormat="1" applyFont="1" applyFill="1" applyBorder="1" applyAlignment="1" applyProtection="1">
      <alignment horizontal="center" vertical="center" wrapText="1"/>
      <protection locked="0"/>
    </xf>
    <xf numFmtId="4" fontId="1" fillId="4" borderId="38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9" xfId="0" applyNumberFormat="1" applyFont="1" applyFill="1" applyBorder="1" applyAlignment="1">
      <alignment horizontal="center" vertical="center" wrapText="1"/>
    </xf>
    <xf numFmtId="49" fontId="1" fillId="18" borderId="39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39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9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9" xfId="0" applyNumberFormat="1" applyFont="1" applyFill="1" applyBorder="1" applyAlignment="1">
      <alignment horizontal="center" vertical="center" wrapText="1"/>
    </xf>
    <xf numFmtId="0" fontId="1" fillId="18" borderId="39" xfId="0" applyFont="1" applyFill="1" applyBorder="1" applyAlignment="1" applyProtection="1">
      <alignment horizontal="center" vertical="center" wrapText="1"/>
      <protection locked="0"/>
    </xf>
    <xf numFmtId="49" fontId="1" fillId="18" borderId="39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39" xfId="0" applyFont="1" applyFill="1" applyBorder="1" applyAlignment="1" applyProtection="1">
      <alignment horizontal="center" vertical="center" wrapText="1"/>
      <protection locked="0"/>
    </xf>
    <xf numFmtId="165" fontId="1" fillId="18" borderId="39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9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9" xfId="0" applyNumberFormat="1" applyFont="1" applyFill="1" applyBorder="1" applyAlignment="1">
      <alignment horizontal="center" vertical="center" wrapText="1"/>
    </xf>
    <xf numFmtId="167" fontId="1" fillId="18" borderId="39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39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9" xfId="0" applyNumberFormat="1" applyFont="1" applyFill="1" applyBorder="1" applyAlignment="1">
      <alignment horizontal="center" vertical="center" wrapText="1"/>
    </xf>
    <xf numFmtId="164" fontId="1" fillId="18" borderId="39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39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39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39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41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41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42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42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41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42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3" xfId="0" applyNumberFormat="1" applyFont="1" applyFill="1" applyBorder="1" applyAlignment="1">
      <alignment horizontal="center" vertical="center" wrapText="1"/>
    </xf>
    <xf numFmtId="49" fontId="1" fillId="18" borderId="43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4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3" xfId="0" applyNumberFormat="1" applyFont="1" applyFill="1" applyBorder="1" applyAlignment="1">
      <alignment horizontal="center" vertical="center" wrapText="1"/>
    </xf>
    <xf numFmtId="0" fontId="1" fillId="18" borderId="43" xfId="0" applyFont="1" applyFill="1" applyBorder="1" applyAlignment="1" applyProtection="1">
      <alignment horizontal="center" vertical="center" wrapText="1"/>
      <protection locked="0"/>
    </xf>
    <xf numFmtId="4" fontId="1" fillId="18" borderId="45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45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5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48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48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48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51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51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51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45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48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51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43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4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4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54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57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57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60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60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61" xfId="0" applyFont="1" applyFill="1" applyBorder="1" applyAlignment="1" applyProtection="1">
      <alignment horizontal="center" vertical="center" wrapText="1"/>
      <protection locked="0"/>
    </xf>
    <xf numFmtId="14" fontId="1" fillId="18" borderId="54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57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60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61" xfId="0" applyNumberFormat="1" applyFont="1" applyFill="1" applyBorder="1" applyAlignment="1">
      <alignment horizontal="center" vertical="center" wrapText="1"/>
    </xf>
    <xf numFmtId="49" fontId="1" fillId="18" borderId="61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6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6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61" xfId="0" applyNumberFormat="1" applyFont="1" applyFill="1" applyBorder="1" applyAlignment="1">
      <alignment horizontal="center" vertical="center" wrapText="1"/>
    </xf>
    <xf numFmtId="167" fontId="1" fillId="18" borderId="61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61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61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62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62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6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62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63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63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63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63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64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64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64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62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63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64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61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61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66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66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66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66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69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69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69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69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72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72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72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7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75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75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78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78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75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78" xfId="0" applyNumberFormat="1" applyFont="1" applyFill="1" applyBorder="1" applyAlignment="1" applyProtection="1">
      <alignment horizontal="center" vertical="center" wrapText="1"/>
      <protection locked="0"/>
    </xf>
    <xf numFmtId="0" fontId="2" fillId="17" borderId="3" xfId="0" applyFont="1" applyFill="1" applyBorder="1" applyAlignment="1">
      <alignment horizontal="center" vertical="center" wrapText="1"/>
    </xf>
    <xf numFmtId="0" fontId="2" fillId="17" borderId="4" xfId="0" applyFont="1" applyFill="1" applyBorder="1" applyAlignment="1">
      <alignment horizontal="center" vertical="center" wrapText="1"/>
    </xf>
    <xf numFmtId="0" fontId="2" fillId="17" borderId="5" xfId="0" applyFont="1" applyFill="1" applyBorder="1" applyAlignment="1">
      <alignment horizontal="center" vertical="center" wrapText="1"/>
    </xf>
    <xf numFmtId="0" fontId="8" fillId="12" borderId="8" xfId="0" applyFont="1" applyFill="1" applyBorder="1" applyAlignment="1">
      <alignment horizontal="center" vertical="center" wrapText="1"/>
    </xf>
    <xf numFmtId="0" fontId="8" fillId="12" borderId="9" xfId="0" applyFont="1" applyFill="1" applyBorder="1" applyAlignment="1">
      <alignment horizontal="center" vertical="center" wrapText="1"/>
    </xf>
    <xf numFmtId="0" fontId="8" fillId="12" borderId="10" xfId="0" applyFont="1" applyFill="1" applyBorder="1" applyAlignment="1">
      <alignment horizontal="center" vertical="center" wrapText="1"/>
    </xf>
    <xf numFmtId="0" fontId="8" fillId="12" borderId="11" xfId="0" applyFont="1" applyFill="1" applyBorder="1" applyAlignment="1">
      <alignment horizontal="center" vertical="center" wrapText="1"/>
    </xf>
    <xf numFmtId="0" fontId="8" fillId="12" borderId="7" xfId="0" applyFont="1" applyFill="1" applyBorder="1" applyAlignment="1">
      <alignment horizontal="center" vertical="center" wrapText="1"/>
    </xf>
    <xf numFmtId="0" fontId="8" fillId="12" borderId="12" xfId="0" applyFont="1" applyFill="1" applyBorder="1" applyAlignment="1">
      <alignment horizontal="center" vertical="center" wrapText="1"/>
    </xf>
    <xf numFmtId="164" fontId="9" fillId="2" borderId="8" xfId="0" applyNumberFormat="1" applyFont="1" applyFill="1" applyBorder="1" applyAlignment="1">
      <alignment horizontal="center" vertical="center" wrapText="1"/>
    </xf>
    <xf numFmtId="164" fontId="9" fillId="2" borderId="9" xfId="0" applyNumberFormat="1" applyFont="1" applyFill="1" applyBorder="1" applyAlignment="1">
      <alignment horizontal="center" vertical="center" wrapText="1"/>
    </xf>
    <xf numFmtId="164" fontId="9" fillId="2" borderId="10" xfId="0" applyNumberFormat="1" applyFont="1" applyFill="1" applyBorder="1" applyAlignment="1">
      <alignment horizontal="center" vertical="center" wrapText="1"/>
    </xf>
    <xf numFmtId="164" fontId="9" fillId="2" borderId="11" xfId="0" applyNumberFormat="1" applyFont="1" applyFill="1" applyBorder="1" applyAlignment="1">
      <alignment horizontal="center" vertical="center" wrapText="1"/>
    </xf>
    <xf numFmtId="164" fontId="9" fillId="2" borderId="7" xfId="0" applyNumberFormat="1" applyFont="1" applyFill="1" applyBorder="1" applyAlignment="1">
      <alignment horizontal="center" vertical="center" wrapText="1"/>
    </xf>
    <xf numFmtId="164" fontId="9" fillId="2" borderId="12" xfId="0" applyNumberFormat="1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0" fontId="7" fillId="7" borderId="4" xfId="0" applyFont="1" applyFill="1" applyBorder="1" applyAlignment="1">
      <alignment horizontal="center" vertical="center" wrapText="1"/>
    </xf>
    <xf numFmtId="0" fontId="7" fillId="7" borderId="5" xfId="0" applyFont="1" applyFill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13" borderId="3" xfId="0" applyFont="1" applyFill="1" applyBorder="1" applyAlignment="1">
      <alignment horizontal="center" vertical="center" wrapText="1"/>
    </xf>
    <xf numFmtId="0" fontId="7" fillId="13" borderId="4" xfId="0" applyFont="1" applyFill="1" applyBorder="1" applyAlignment="1">
      <alignment horizontal="center" vertical="center" wrapText="1"/>
    </xf>
    <xf numFmtId="0" fontId="7" fillId="13" borderId="5" xfId="0" applyFont="1" applyFill="1" applyBorder="1" applyAlignment="1">
      <alignment horizontal="center" vertical="center" wrapText="1"/>
    </xf>
    <xf numFmtId="0" fontId="7" fillId="12" borderId="3" xfId="0" applyFont="1" applyFill="1" applyBorder="1" applyAlignment="1">
      <alignment horizontal="center" vertical="center" wrapText="1"/>
    </xf>
    <xf numFmtId="0" fontId="7" fillId="12" borderId="4" xfId="0" applyFont="1" applyFill="1" applyBorder="1" applyAlignment="1">
      <alignment horizontal="center" vertical="center" wrapText="1"/>
    </xf>
    <xf numFmtId="0" fontId="7" fillId="12" borderId="5" xfId="0" applyFont="1" applyFill="1" applyBorder="1" applyAlignment="1">
      <alignment horizontal="center" vertical="center" wrapText="1"/>
    </xf>
    <xf numFmtId="164" fontId="4" fillId="0" borderId="16" xfId="0" applyNumberFormat="1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4" fontId="4" fillId="0" borderId="16" xfId="0" applyNumberFormat="1" applyFont="1" applyBorder="1" applyAlignment="1">
      <alignment horizontal="center" vertical="center" wrapText="1"/>
    </xf>
    <xf numFmtId="4" fontId="4" fillId="0" borderId="18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4" fontId="3" fillId="0" borderId="16" xfId="0" applyNumberFormat="1" applyFont="1" applyBorder="1" applyAlignment="1">
      <alignment horizontal="center" vertical="center" wrapText="1"/>
    </xf>
    <xf numFmtId="4" fontId="3" fillId="0" borderId="17" xfId="0" applyNumberFormat="1" applyFont="1" applyBorder="1" applyAlignment="1">
      <alignment horizontal="center" vertical="center" wrapText="1"/>
    </xf>
    <xf numFmtId="4" fontId="3" fillId="0" borderId="18" xfId="0" applyNumberFormat="1" applyFont="1" applyBorder="1" applyAlignment="1">
      <alignment horizontal="center" vertical="center" wrapText="1"/>
    </xf>
    <xf numFmtId="164" fontId="3" fillId="0" borderId="16" xfId="0" applyNumberFormat="1" applyFont="1" applyBorder="1" applyAlignment="1">
      <alignment horizontal="center" vertical="center" wrapText="1"/>
    </xf>
    <xf numFmtId="164" fontId="3" fillId="0" borderId="17" xfId="0" applyNumberFormat="1" applyFont="1" applyBorder="1" applyAlignment="1">
      <alignment horizontal="center" vertical="center" wrapText="1"/>
    </xf>
    <xf numFmtId="164" fontId="3" fillId="0" borderId="18" xfId="0" applyNumberFormat="1" applyFont="1" applyBorder="1" applyAlignment="1">
      <alignment horizontal="center" vertical="center" wrapText="1"/>
    </xf>
    <xf numFmtId="0" fontId="5" fillId="15" borderId="3" xfId="0" applyFont="1" applyFill="1" applyBorder="1" applyAlignment="1">
      <alignment horizontal="center" vertical="center" wrapText="1"/>
    </xf>
    <xf numFmtId="0" fontId="5" fillId="15" borderId="4" xfId="0" applyFont="1" applyFill="1" applyBorder="1" applyAlignment="1">
      <alignment horizontal="center" vertical="center" wrapText="1"/>
    </xf>
    <xf numFmtId="0" fontId="5" fillId="15" borderId="5" xfId="0" applyFont="1" applyFill="1" applyBorder="1" applyAlignment="1">
      <alignment horizontal="center" vertical="center" wrapText="1"/>
    </xf>
    <xf numFmtId="0" fontId="6" fillId="15" borderId="3" xfId="0" applyFont="1" applyFill="1" applyBorder="1" applyAlignment="1">
      <alignment horizontal="center" vertical="center" wrapText="1"/>
    </xf>
    <xf numFmtId="0" fontId="6" fillId="15" borderId="4" xfId="0" applyFont="1" applyFill="1" applyBorder="1" applyAlignment="1">
      <alignment horizontal="center" vertical="center" wrapText="1"/>
    </xf>
    <xf numFmtId="0" fontId="6" fillId="15" borderId="5" xfId="0" applyFont="1" applyFill="1" applyBorder="1" applyAlignment="1">
      <alignment horizontal="center" vertical="center" wrapText="1"/>
    </xf>
    <xf numFmtId="49" fontId="1" fillId="18" borderId="21" xfId="0" applyNumberFormat="1" applyFont="1" applyFill="1" applyBorder="1" applyAlignment="1">
      <alignment horizontal="center" vertical="center" wrapText="1"/>
    </xf>
    <xf numFmtId="49" fontId="1" fillId="18" borderId="24" xfId="0" applyNumberFormat="1" applyFont="1" applyFill="1" applyBorder="1" applyAlignment="1">
      <alignment horizontal="center" vertical="center" wrapText="1"/>
    </xf>
    <xf numFmtId="14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2" xfId="0" applyNumberFormat="1" applyFont="1" applyFill="1" applyBorder="1" applyAlignment="1">
      <alignment horizontal="center" vertical="center" wrapText="1"/>
    </xf>
    <xf numFmtId="4" fontId="1" fillId="18" borderId="25" xfId="0" applyNumberFormat="1" applyFont="1" applyFill="1" applyBorder="1" applyAlignment="1">
      <alignment horizontal="center" vertical="center" wrapText="1"/>
    </xf>
    <xf numFmtId="0" fontId="1" fillId="18" borderId="23" xfId="0" applyFont="1" applyFill="1" applyBorder="1" applyAlignment="1" applyProtection="1">
      <alignment horizontal="center" vertical="center" wrapText="1"/>
      <protection locked="0"/>
    </xf>
    <xf numFmtId="0" fontId="1" fillId="18" borderId="26" xfId="0" applyFont="1" applyFill="1" applyBorder="1" applyAlignment="1" applyProtection="1">
      <alignment horizontal="center" vertical="center" wrapText="1"/>
      <protection locked="0"/>
    </xf>
    <xf numFmtId="0" fontId="1" fillId="10" borderId="3" xfId="0" applyFont="1" applyFill="1" applyBorder="1" applyAlignment="1">
      <alignment horizontal="center" vertical="center" wrapText="1"/>
    </xf>
    <xf numFmtId="0" fontId="1" fillId="10" borderId="4" xfId="0" applyFont="1" applyFill="1" applyBorder="1" applyAlignment="1">
      <alignment horizontal="center" vertical="center" wrapText="1"/>
    </xf>
    <xf numFmtId="0" fontId="1" fillId="10" borderId="5" xfId="0" applyFont="1" applyFill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1" fillId="18" borderId="28" xfId="0" applyNumberFormat="1" applyFont="1" applyFill="1" applyBorder="1" applyAlignment="1">
      <alignment horizontal="center" vertical="center" wrapText="1"/>
    </xf>
    <xf numFmtId="49" fontId="1" fillId="18" borderId="29" xfId="0" applyNumberFormat="1" applyFont="1" applyFill="1" applyBorder="1" applyAlignment="1">
      <alignment horizontal="center" vertical="center" wrapText="1"/>
    </xf>
    <xf numFmtId="14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9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9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9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29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62" xfId="0" applyFont="1" applyFill="1" applyBorder="1" applyAlignment="1" applyProtection="1">
      <alignment horizontal="center" vertical="center" wrapText="1"/>
      <protection locked="0"/>
    </xf>
    <xf numFmtId="0" fontId="1" fillId="18" borderId="63" xfId="0" applyFont="1" applyFill="1" applyBorder="1" applyAlignment="1" applyProtection="1">
      <alignment horizontal="center" vertical="center" wrapText="1"/>
      <protection locked="0"/>
    </xf>
    <xf numFmtId="0" fontId="1" fillId="18" borderId="64" xfId="0" applyFont="1" applyFill="1" applyBorder="1" applyAlignment="1" applyProtection="1">
      <alignment horizontal="center" vertical="center" wrapText="1"/>
      <protection locked="0"/>
    </xf>
    <xf numFmtId="0" fontId="1" fillId="18" borderId="28" xfId="0" applyFont="1" applyFill="1" applyBorder="1" applyAlignment="1" applyProtection="1">
      <alignment horizontal="center" vertical="center" wrapText="1"/>
      <protection locked="0"/>
    </xf>
    <xf numFmtId="0" fontId="1" fillId="18" borderId="29" xfId="0" applyFont="1" applyFill="1" applyBorder="1" applyAlignment="1" applyProtection="1">
      <alignment horizontal="center" vertical="center" wrapText="1"/>
      <protection locked="0"/>
    </xf>
    <xf numFmtId="165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9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8" xfId="0" applyNumberFormat="1" applyFont="1" applyFill="1" applyBorder="1" applyAlignment="1">
      <alignment horizontal="center" vertical="center" wrapText="1"/>
    </xf>
    <xf numFmtId="4" fontId="1" fillId="18" borderId="29" xfId="0" applyNumberFormat="1" applyFont="1" applyFill="1" applyBorder="1" applyAlignment="1">
      <alignment horizontal="center" vertical="center" wrapText="1"/>
    </xf>
    <xf numFmtId="49" fontId="1" fillId="18" borderId="62" xfId="0" applyNumberFormat="1" applyFont="1" applyFill="1" applyBorder="1" applyAlignment="1">
      <alignment horizontal="center" vertical="center" wrapText="1"/>
    </xf>
    <xf numFmtId="49" fontId="1" fillId="18" borderId="63" xfId="0" applyNumberFormat="1" applyFont="1" applyFill="1" applyBorder="1" applyAlignment="1">
      <alignment horizontal="center" vertical="center" wrapText="1"/>
    </xf>
    <xf numFmtId="49" fontId="1" fillId="18" borderId="64" xfId="0" applyNumberFormat="1" applyFont="1" applyFill="1" applyBorder="1" applyAlignment="1">
      <alignment horizontal="center" vertical="center" wrapText="1"/>
    </xf>
    <xf numFmtId="14" fontId="1" fillId="18" borderId="62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63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6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6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6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64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62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63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64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62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63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64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62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63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6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62" xfId="0" applyNumberFormat="1" applyFont="1" applyFill="1" applyBorder="1" applyAlignment="1">
      <alignment horizontal="center" vertical="center" wrapText="1"/>
    </xf>
    <xf numFmtId="4" fontId="1" fillId="18" borderId="63" xfId="0" applyNumberFormat="1" applyFont="1" applyFill="1" applyBorder="1" applyAlignment="1">
      <alignment horizontal="center" vertical="center" wrapText="1"/>
    </xf>
    <xf numFmtId="4" fontId="1" fillId="18" borderId="64" xfId="0" applyNumberFormat="1" applyFont="1" applyFill="1" applyBorder="1" applyAlignment="1">
      <alignment horizontal="center" vertical="center" wrapText="1"/>
    </xf>
    <xf numFmtId="0" fontId="1" fillId="18" borderId="36" xfId="0" applyFont="1" applyFill="1" applyBorder="1" applyAlignment="1" applyProtection="1">
      <alignment horizontal="center" vertical="center" wrapText="1"/>
      <protection locked="0"/>
    </xf>
    <xf numFmtId="0" fontId="1" fillId="18" borderId="38" xfId="0" applyFont="1" applyFill="1" applyBorder="1" applyAlignment="1" applyProtection="1">
      <alignment horizontal="center" vertical="center" wrapText="1"/>
      <protection locked="0"/>
    </xf>
    <xf numFmtId="0" fontId="1" fillId="18" borderId="37" xfId="0" applyFont="1" applyFill="1" applyBorder="1" applyAlignment="1" applyProtection="1">
      <alignment horizontal="center" vertical="center" wrapText="1"/>
      <protection locked="0"/>
    </xf>
    <xf numFmtId="49" fontId="1" fillId="18" borderId="36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8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7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36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38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37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36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38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37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6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8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7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6" xfId="0" applyNumberFormat="1" applyFont="1" applyFill="1" applyBorder="1" applyAlignment="1">
      <alignment horizontal="center" vertical="center" wrapText="1"/>
    </xf>
    <xf numFmtId="4" fontId="1" fillId="18" borderId="38" xfId="0" applyNumberFormat="1" applyFont="1" applyFill="1" applyBorder="1" applyAlignment="1">
      <alignment horizontal="center" vertical="center" wrapText="1"/>
    </xf>
    <xf numFmtId="4" fontId="1" fillId="18" borderId="37" xfId="0" applyNumberFormat="1" applyFont="1" applyFill="1" applyBorder="1" applyAlignment="1">
      <alignment horizontal="center" vertical="center" wrapText="1"/>
    </xf>
    <xf numFmtId="167" fontId="1" fillId="18" borderId="36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38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37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36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38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37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6" xfId="0" applyNumberFormat="1" applyFont="1" applyFill="1" applyBorder="1" applyAlignment="1">
      <alignment horizontal="center" vertical="center" wrapText="1"/>
    </xf>
    <xf numFmtId="49" fontId="1" fillId="18" borderId="38" xfId="0" applyNumberFormat="1" applyFont="1" applyFill="1" applyBorder="1" applyAlignment="1">
      <alignment horizontal="center" vertical="center" wrapText="1"/>
    </xf>
    <xf numFmtId="49" fontId="1" fillId="18" borderId="37" xfId="0" applyNumberFormat="1" applyFont="1" applyFill="1" applyBorder="1" applyAlignment="1">
      <alignment horizontal="center" vertical="center" wrapText="1"/>
    </xf>
    <xf numFmtId="164" fontId="1" fillId="18" borderId="36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38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37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0" xfId="0" applyNumberFormat="1" applyFont="1" applyFill="1" applyBorder="1" applyAlignment="1">
      <alignment horizontal="center" vertical="center" wrapText="1"/>
    </xf>
    <xf numFmtId="49" fontId="1" fillId="18" borderId="33" xfId="0" applyNumberFormat="1" applyFont="1" applyFill="1" applyBorder="1" applyAlignment="1">
      <alignment horizontal="center" vertical="center" wrapText="1"/>
    </xf>
    <xf numFmtId="14" fontId="1" fillId="18" borderId="31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3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4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1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4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31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34" xfId="0" applyNumberFormat="1" applyFont="1" applyFill="1" applyBorder="1" applyAlignment="1" applyProtection="1">
      <alignment horizontal="center" vertical="center" wrapText="1"/>
      <protection locked="0"/>
    </xf>
    <xf numFmtId="49" fontId="1" fillId="10" borderId="3" xfId="0" applyNumberFormat="1" applyFont="1" applyFill="1" applyBorder="1" applyAlignment="1">
      <alignment horizontal="center" vertical="center" wrapText="1"/>
    </xf>
    <xf numFmtId="49" fontId="1" fillId="10" borderId="5" xfId="0" applyNumberFormat="1" applyFont="1" applyFill="1" applyBorder="1" applyAlignment="1">
      <alignment horizontal="center" vertical="center" wrapText="1"/>
    </xf>
    <xf numFmtId="164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1" xfId="0" applyNumberFormat="1" applyFont="1" applyFill="1" applyBorder="1" applyAlignment="1">
      <alignment horizontal="center" vertical="center" wrapText="1"/>
    </xf>
    <xf numFmtId="4" fontId="1" fillId="18" borderId="34" xfId="0" applyNumberFormat="1" applyFont="1" applyFill="1" applyBorder="1" applyAlignment="1">
      <alignment horizontal="center" vertical="center" wrapText="1"/>
    </xf>
    <xf numFmtId="167" fontId="1" fillId="18" borderId="31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34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31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34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62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63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64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62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63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64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5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51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4" xfId="0" applyNumberFormat="1" applyFont="1" applyFill="1" applyBorder="1" applyAlignment="1">
      <alignment horizontal="center" vertical="center" wrapText="1"/>
    </xf>
    <xf numFmtId="49" fontId="1" fillId="18" borderId="50" xfId="0" applyNumberFormat="1" applyFont="1" applyFill="1" applyBorder="1" applyAlignment="1">
      <alignment horizontal="center" vertical="center" wrapText="1"/>
    </xf>
    <xf numFmtId="49" fontId="1" fillId="18" borderId="47" xfId="0" applyNumberFormat="1" applyFont="1" applyFill="1" applyBorder="1" applyAlignment="1">
      <alignment horizontal="center" vertical="center" wrapText="1"/>
    </xf>
    <xf numFmtId="14" fontId="1" fillId="18" borderId="45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48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51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45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48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5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5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8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5" xfId="0" applyNumberFormat="1" applyFont="1" applyFill="1" applyBorder="1" applyAlignment="1">
      <alignment horizontal="center" vertical="center" wrapText="1"/>
    </xf>
    <xf numFmtId="4" fontId="1" fillId="18" borderId="48" xfId="0" applyNumberFormat="1" applyFont="1" applyFill="1" applyBorder="1" applyAlignment="1">
      <alignment horizontal="center" vertical="center" wrapText="1"/>
    </xf>
    <xf numFmtId="4" fontId="1" fillId="18" borderId="51" xfId="0" applyNumberFormat="1" applyFont="1" applyFill="1" applyBorder="1" applyAlignment="1">
      <alignment horizontal="center" vertical="center" wrapText="1"/>
    </xf>
    <xf numFmtId="167" fontId="1" fillId="18" borderId="45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48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51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45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48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51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8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45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48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51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46" xfId="0" applyFont="1" applyFill="1" applyBorder="1" applyAlignment="1" applyProtection="1">
      <alignment horizontal="center" vertical="center" wrapText="1"/>
      <protection locked="0"/>
    </xf>
    <xf numFmtId="0" fontId="1" fillId="18" borderId="49" xfId="0" applyFont="1" applyFill="1" applyBorder="1" applyAlignment="1" applyProtection="1">
      <alignment horizontal="center" vertical="center" wrapText="1"/>
      <protection locked="0"/>
    </xf>
    <xf numFmtId="0" fontId="1" fillId="18" borderId="52" xfId="0" applyFont="1" applyFill="1" applyBorder="1" applyAlignment="1" applyProtection="1">
      <alignment horizontal="center" vertical="center" wrapText="1"/>
      <protection locked="0"/>
    </xf>
    <xf numFmtId="164" fontId="1" fillId="18" borderId="62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63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64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32" xfId="0" applyFont="1" applyFill="1" applyBorder="1" applyAlignment="1" applyProtection="1">
      <alignment horizontal="center" vertical="center" wrapText="1"/>
      <protection locked="0"/>
    </xf>
    <xf numFmtId="0" fontId="1" fillId="18" borderId="35" xfId="0" applyFont="1" applyFill="1" applyBorder="1" applyAlignment="1" applyProtection="1">
      <alignment horizontal="center" vertical="center" wrapText="1"/>
      <protection locked="0"/>
    </xf>
    <xf numFmtId="165" fontId="1" fillId="18" borderId="31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34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67" xfId="0" applyFont="1" applyFill="1" applyBorder="1" applyAlignment="1" applyProtection="1">
      <alignment horizontal="center" vertical="center" wrapText="1"/>
      <protection locked="0"/>
    </xf>
    <xf numFmtId="0" fontId="1" fillId="18" borderId="73" xfId="0" applyFont="1" applyFill="1" applyBorder="1" applyAlignment="1" applyProtection="1">
      <alignment horizontal="center" vertical="center" wrapText="1"/>
      <protection locked="0"/>
    </xf>
    <xf numFmtId="0" fontId="1" fillId="18" borderId="70" xfId="0" applyFont="1" applyFill="1" applyBorder="1" applyAlignment="1" applyProtection="1">
      <alignment horizontal="center" vertical="center" wrapText="1"/>
      <protection locked="0"/>
    </xf>
    <xf numFmtId="49" fontId="1" fillId="18" borderId="66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69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66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69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66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69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66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69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66" xfId="0" applyNumberFormat="1" applyFont="1" applyFill="1" applyBorder="1" applyAlignment="1">
      <alignment horizontal="center" vertical="center" wrapText="1"/>
    </xf>
    <xf numFmtId="4" fontId="1" fillId="18" borderId="69" xfId="0" applyNumberFormat="1" applyFont="1" applyFill="1" applyBorder="1" applyAlignment="1">
      <alignment horizontal="center" vertical="center" wrapText="1"/>
    </xf>
    <xf numFmtId="167" fontId="1" fillId="18" borderId="66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69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66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69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72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72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72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65" xfId="0" applyNumberFormat="1" applyFont="1" applyFill="1" applyBorder="1" applyAlignment="1">
      <alignment horizontal="center" vertical="center" wrapText="1"/>
    </xf>
    <xf numFmtId="49" fontId="1" fillId="18" borderId="68" xfId="0" applyNumberFormat="1" applyFont="1" applyFill="1" applyBorder="1" applyAlignment="1">
      <alignment horizontal="center" vertical="center" wrapText="1"/>
    </xf>
    <xf numFmtId="164" fontId="1" fillId="18" borderId="66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69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71" xfId="0" applyNumberFormat="1" applyFont="1" applyFill="1" applyBorder="1" applyAlignment="1">
      <alignment horizontal="center" vertical="center" wrapText="1"/>
    </xf>
    <xf numFmtId="14" fontId="1" fillId="18" borderId="7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72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72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7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72" xfId="0" applyNumberFormat="1" applyFont="1" applyFill="1" applyBorder="1" applyAlignment="1">
      <alignment horizontal="center" vertical="center" wrapText="1"/>
    </xf>
    <xf numFmtId="0" fontId="1" fillId="18" borderId="76" xfId="0" applyFont="1" applyFill="1" applyBorder="1" applyAlignment="1" applyProtection="1">
      <alignment horizontal="center" vertical="center" wrapText="1"/>
      <protection locked="0"/>
    </xf>
    <xf numFmtId="0" fontId="1" fillId="18" borderId="79" xfId="0" applyFont="1" applyFill="1" applyBorder="1" applyAlignment="1" applyProtection="1">
      <alignment horizontal="center" vertical="center" wrapText="1"/>
      <protection locked="0"/>
    </xf>
    <xf numFmtId="49" fontId="1" fillId="18" borderId="75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78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75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78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75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78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75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78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75" xfId="0" applyNumberFormat="1" applyFont="1" applyFill="1" applyBorder="1" applyAlignment="1">
      <alignment horizontal="center" vertical="center" wrapText="1"/>
    </xf>
    <xf numFmtId="4" fontId="1" fillId="18" borderId="78" xfId="0" applyNumberFormat="1" applyFont="1" applyFill="1" applyBorder="1" applyAlignment="1">
      <alignment horizontal="center" vertical="center" wrapText="1"/>
    </xf>
    <xf numFmtId="1" fontId="1" fillId="18" borderId="75" xfId="0" applyNumberFormat="1" applyFont="1" applyFill="1" applyBorder="1" applyAlignment="1" applyProtection="1">
      <alignment horizontal="center" vertical="center" wrapText="1"/>
      <protection locked="0"/>
    </xf>
    <xf numFmtId="1" fontId="1" fillId="18" borderId="78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74" xfId="0" applyNumberFormat="1" applyFont="1" applyFill="1" applyBorder="1" applyAlignment="1">
      <alignment horizontal="center" vertical="center" wrapText="1"/>
    </xf>
    <xf numFmtId="49" fontId="1" fillId="18" borderId="77" xfId="0" applyNumberFormat="1" applyFont="1" applyFill="1" applyBorder="1" applyAlignment="1">
      <alignment horizontal="center" vertical="center" wrapText="1"/>
    </xf>
    <xf numFmtId="0" fontId="1" fillId="10" borderId="0" xfId="0" applyFont="1" applyFill="1" applyAlignment="1">
      <alignment horizontal="center" vertical="center" wrapText="1"/>
    </xf>
    <xf numFmtId="0" fontId="1" fillId="10" borderId="19" xfId="0" applyFont="1" applyFill="1" applyBorder="1" applyAlignment="1">
      <alignment horizontal="center" vertical="center" wrapText="1"/>
    </xf>
    <xf numFmtId="49" fontId="1" fillId="18" borderId="40" xfId="0" applyNumberFormat="1" applyFont="1" applyFill="1" applyBorder="1" applyAlignment="1">
      <alignment horizontal="center" vertical="center" wrapText="1"/>
    </xf>
    <xf numFmtId="49" fontId="1" fillId="18" borderId="41" xfId="0" applyNumberFormat="1" applyFont="1" applyFill="1" applyBorder="1" applyAlignment="1">
      <alignment horizontal="center" vertical="center" wrapText="1"/>
    </xf>
    <xf numFmtId="49" fontId="1" fillId="18" borderId="42" xfId="0" applyNumberFormat="1" applyFont="1" applyFill="1" applyBorder="1" applyAlignment="1">
      <alignment horizontal="center" vertical="center" wrapText="1"/>
    </xf>
    <xf numFmtId="49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2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4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2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40" xfId="0" applyFont="1" applyFill="1" applyBorder="1" applyAlignment="1" applyProtection="1">
      <alignment horizontal="center" vertical="center" wrapText="1"/>
      <protection locked="0"/>
    </xf>
    <xf numFmtId="0" fontId="1" fillId="18" borderId="41" xfId="0" applyFont="1" applyFill="1" applyBorder="1" applyAlignment="1" applyProtection="1">
      <alignment horizontal="center" vertical="center" wrapText="1"/>
      <protection locked="0"/>
    </xf>
    <xf numFmtId="0" fontId="1" fillId="18" borderId="42" xfId="0" applyFont="1" applyFill="1" applyBorder="1" applyAlignment="1" applyProtection="1">
      <alignment horizontal="center" vertical="center" wrapText="1"/>
      <protection locked="0"/>
    </xf>
    <xf numFmtId="14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4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0" xfId="0" applyNumberFormat="1" applyFont="1" applyFill="1" applyBorder="1" applyAlignment="1">
      <alignment horizontal="center" vertical="center" wrapText="1"/>
    </xf>
    <xf numFmtId="4" fontId="1" fillId="18" borderId="41" xfId="0" applyNumberFormat="1" applyFont="1" applyFill="1" applyBorder="1" applyAlignment="1">
      <alignment horizontal="center" vertical="center" wrapText="1"/>
    </xf>
    <xf numFmtId="4" fontId="1" fillId="18" borderId="42" xfId="0" applyNumberFormat="1" applyFont="1" applyFill="1" applyBorder="1" applyAlignment="1">
      <alignment horizontal="center" vertical="center" wrapText="1"/>
    </xf>
    <xf numFmtId="1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1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1" fontId="1" fillId="18" borderId="4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7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60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54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57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60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55" xfId="0" applyFont="1" applyFill="1" applyBorder="1" applyAlignment="1" applyProtection="1">
      <alignment horizontal="center" vertical="center" wrapText="1"/>
      <protection locked="0"/>
    </xf>
    <xf numFmtId="0" fontId="1" fillId="18" borderId="58" xfId="0" applyFont="1" applyFill="1" applyBorder="1" applyAlignment="1" applyProtection="1">
      <alignment horizontal="center" vertical="center" wrapText="1"/>
      <protection locked="0"/>
    </xf>
    <xf numFmtId="0" fontId="1" fillId="18" borderId="61" xfId="0" applyFont="1" applyFill="1" applyBorder="1" applyAlignment="1" applyProtection="1">
      <alignment horizontal="center" vertical="center" wrapText="1"/>
      <protection locked="0"/>
    </xf>
    <xf numFmtId="4" fontId="1" fillId="18" borderId="54" xfId="0" applyNumberFormat="1" applyFont="1" applyFill="1" applyBorder="1" applyAlignment="1">
      <alignment horizontal="center" vertical="center" wrapText="1"/>
    </xf>
    <xf numFmtId="4" fontId="1" fillId="18" borderId="57" xfId="0" applyNumberFormat="1" applyFont="1" applyFill="1" applyBorder="1" applyAlignment="1">
      <alignment horizontal="center" vertical="center" wrapText="1"/>
    </xf>
    <xf numFmtId="4" fontId="1" fillId="18" borderId="60" xfId="0" applyNumberFormat="1" applyFont="1" applyFill="1" applyBorder="1" applyAlignment="1">
      <alignment horizontal="center" vertical="center" wrapText="1"/>
    </xf>
    <xf numFmtId="14" fontId="1" fillId="18" borderId="54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57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60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53" xfId="0" applyNumberFormat="1" applyFont="1" applyFill="1" applyBorder="1" applyAlignment="1">
      <alignment horizontal="center" vertical="center" wrapText="1"/>
    </xf>
    <xf numFmtId="49" fontId="1" fillId="18" borderId="56" xfId="0" applyNumberFormat="1" applyFont="1" applyFill="1" applyBorder="1" applyAlignment="1">
      <alignment horizontal="center" vertical="center" wrapText="1"/>
    </xf>
    <xf numFmtId="49" fontId="1" fillId="18" borderId="59" xfId="0" applyNumberFormat="1" applyFont="1" applyFill="1" applyBorder="1" applyAlignment="1">
      <alignment horizontal="center" vertical="center" wrapText="1"/>
    </xf>
    <xf numFmtId="0" fontId="14" fillId="5" borderId="13" xfId="0" applyFont="1" applyFill="1" applyBorder="1" applyAlignment="1">
      <alignment horizontal="center" vertical="center" wrapText="1"/>
    </xf>
    <xf numFmtId="0" fontId="14" fillId="5" borderId="2" xfId="0" applyFont="1" applyFill="1" applyBorder="1" applyAlignment="1">
      <alignment horizontal="center" vertical="center" wrapText="1"/>
    </xf>
    <xf numFmtId="0" fontId="13" fillId="10" borderId="13" xfId="1" applyFont="1" applyFill="1" applyBorder="1" applyAlignment="1">
      <alignment horizontal="center" vertical="center" wrapText="1"/>
    </xf>
    <xf numFmtId="0" fontId="13" fillId="10" borderId="2" xfId="1" applyFont="1" applyFill="1" applyBorder="1" applyAlignment="1">
      <alignment horizontal="center" vertical="center" wrapText="1"/>
    </xf>
    <xf numFmtId="0" fontId="13" fillId="8" borderId="13" xfId="1" applyFont="1" applyFill="1" applyBorder="1" applyAlignment="1">
      <alignment horizontal="center" vertical="center" wrapText="1"/>
    </xf>
    <xf numFmtId="0" fontId="13" fillId="8" borderId="2" xfId="1" applyFont="1" applyFill="1" applyBorder="1" applyAlignment="1">
      <alignment horizontal="center" vertical="center" wrapText="1"/>
    </xf>
    <xf numFmtId="0" fontId="13" fillId="9" borderId="13" xfId="1" applyFont="1" applyFill="1" applyBorder="1" applyAlignment="1">
      <alignment horizontal="center" vertical="center" wrapText="1"/>
    </xf>
    <xf numFmtId="0" fontId="13" fillId="9" borderId="2" xfId="1" applyFont="1" applyFill="1" applyBorder="1" applyAlignment="1">
      <alignment horizontal="center" vertical="center" wrapText="1"/>
    </xf>
    <xf numFmtId="0" fontId="13" fillId="7" borderId="13" xfId="1" applyFont="1" applyFill="1" applyBorder="1" applyAlignment="1">
      <alignment horizontal="center" vertical="center" wrapText="1"/>
    </xf>
    <xf numFmtId="0" fontId="13" fillId="7" borderId="2" xfId="1" applyFont="1" applyFill="1" applyBorder="1" applyAlignment="1">
      <alignment horizontal="center" vertical="center" wrapText="1"/>
    </xf>
    <xf numFmtId="0" fontId="13" fillId="6" borderId="13" xfId="1" applyFont="1" applyFill="1" applyBorder="1" applyAlignment="1">
      <alignment horizontal="center" vertical="center" wrapText="1"/>
    </xf>
    <xf numFmtId="0" fontId="13" fillId="6" borderId="2" xfId="1" applyFont="1" applyFill="1" applyBorder="1" applyAlignment="1">
      <alignment horizontal="center" vertical="center" wrapText="1"/>
    </xf>
  </cellXfs>
  <cellStyles count="7">
    <cellStyle name="Гиперссылка" xfId="6" builtinId="8"/>
    <cellStyle name="Обычный" xfId="0" builtinId="0"/>
    <cellStyle name="Обычный 2" xfId="2" xr:uid="{00000000-0005-0000-0000-000002000000}"/>
    <cellStyle name="Обычный 2 2" xfId="5" xr:uid="{00000000-0005-0000-0000-000003000000}"/>
    <cellStyle name="Обычный 2 3" xfId="3" xr:uid="{00000000-0005-0000-0000-000004000000}"/>
    <cellStyle name="Обычный 3" xfId="1" xr:uid="{00000000-0005-0000-0000-000005000000}"/>
    <cellStyle name="Обычный 4" xfId="4" xr:uid="{00000000-0005-0000-0000-000006000000}"/>
  </cellStyles>
  <dxfs count="0"/>
  <tableStyles count="0" defaultTableStyle="TableStyleMedium2" defaultPivotStyle="PivotStyleLight16"/>
  <colors>
    <mruColors>
      <color rgb="FF00FF00"/>
      <color rgb="FFFF9999"/>
      <color rgb="FFA30101"/>
      <color rgb="FFFF6D6D"/>
      <color rgb="FF8FFF8F"/>
      <color rgb="FFAAFE22"/>
      <color rgb="FFCEFE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1828800</xdr:colOff>
      <xdr:row>2</xdr:row>
      <xdr:rowOff>238950</xdr:rowOff>
    </xdr:from>
    <xdr:to>
      <xdr:col>8</xdr:col>
      <xdr:colOff>673650</xdr:colOff>
      <xdr:row>3</xdr:row>
      <xdr:rowOff>495300</xdr:rowOff>
    </xdr:to>
    <xdr:sp macro="[0]!ДобавитьКонтрактП4" textlink="">
      <xdr:nvSpPr>
        <xdr:cNvPr id="2" name="Скругленный прямоугольник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/>
        </xdr:cNvSpPr>
      </xdr:nvSpPr>
      <xdr:spPr>
        <a:xfrm>
          <a:off x="10972800" y="1000950"/>
          <a:ext cx="5760000" cy="504000"/>
        </a:xfrm>
        <a:prstGeom prst="roundRect">
          <a:avLst/>
        </a:prstGeom>
        <a:gradFill>
          <a:gsLst>
            <a:gs pos="79000">
              <a:srgbClr val="92D050"/>
            </a:gs>
            <a:gs pos="100000">
              <a:schemeClr val="accent3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Добавить</a:t>
          </a:r>
          <a:r>
            <a:rPr lang="ru-RU" sz="3600" b="1" baseline="0">
              <a:solidFill>
                <a:schemeClr val="tx1"/>
              </a:solidFill>
            </a:rPr>
            <a:t> контракт</a:t>
          </a:r>
          <a:endParaRPr lang="ru-RU" sz="3600" b="1">
            <a:solidFill>
              <a:schemeClr val="tx1"/>
            </a:solidFill>
          </a:endParaRPr>
        </a:p>
      </xdr:txBody>
    </xdr:sp>
    <xdr:clientData fPrintsWithSheet="0"/>
  </xdr:twoCellAnchor>
  <xdr:oneCellAnchor>
    <xdr:from>
      <xdr:col>6</xdr:col>
      <xdr:colOff>467591</xdr:colOff>
      <xdr:row>4</xdr:row>
      <xdr:rowOff>69273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11585864" y="1697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twoCellAnchor editAs="oneCell">
    <xdr:from>
      <xdr:col>16</xdr:col>
      <xdr:colOff>742950</xdr:colOff>
      <xdr:row>2</xdr:row>
      <xdr:rowOff>238950</xdr:rowOff>
    </xdr:from>
    <xdr:to>
      <xdr:col>20</xdr:col>
      <xdr:colOff>178350</xdr:colOff>
      <xdr:row>3</xdr:row>
      <xdr:rowOff>495300</xdr:rowOff>
    </xdr:to>
    <xdr:sp macro="[0]!ДобавитьППАктП4" textlink="">
      <xdr:nvSpPr>
        <xdr:cNvPr id="4" name="Скругленный прямоугольник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32061150" y="1000950"/>
          <a:ext cx="5760000" cy="504000"/>
        </a:xfrm>
        <a:prstGeom prst="roundRect">
          <a:avLst/>
        </a:prstGeom>
        <a:gradFill>
          <a:gsLst>
            <a:gs pos="79000">
              <a:srgbClr val="FFC000"/>
            </a:gs>
            <a:gs pos="100000">
              <a:schemeClr val="accent6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ru-RU" sz="3200" b="1">
              <a:solidFill>
                <a:schemeClr val="tx1"/>
              </a:solidFill>
            </a:rPr>
            <a:t>Добавить Акт/ПП</a:t>
          </a:r>
        </a:p>
      </xdr:txBody>
    </xdr:sp>
    <xdr:clientData/>
  </xdr:twoCellAnchor>
  <xdr:twoCellAnchor editAs="oneCell">
    <xdr:from>
      <xdr:col>10</xdr:col>
      <xdr:colOff>877800</xdr:colOff>
      <xdr:row>3</xdr:row>
      <xdr:rowOff>0</xdr:rowOff>
    </xdr:from>
    <xdr:to>
      <xdr:col>13</xdr:col>
      <xdr:colOff>541800</xdr:colOff>
      <xdr:row>4</xdr:row>
      <xdr:rowOff>1080</xdr:rowOff>
    </xdr:to>
    <xdr:sp macro="[0]!УдалитьСтрокуП4" textlink="">
      <xdr:nvSpPr>
        <xdr:cNvPr id="5" name="Скругленный прямоугольник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20651700" y="1009650"/>
          <a:ext cx="5760000" cy="504000"/>
        </a:xfrm>
        <a:prstGeom prst="roundRect">
          <a:avLst/>
        </a:prstGeom>
        <a:gradFill flip="none" rotWithShape="1">
          <a:gsLst>
            <a:gs pos="79000">
              <a:srgbClr val="FF6D6D"/>
            </a:gs>
            <a:gs pos="100000">
              <a:srgbClr val="A30101"/>
            </a:gs>
          </a:gsLst>
          <a:path path="shape">
            <a:fillToRect l="50000" t="50000" r="50000" b="50000"/>
          </a:path>
          <a:tileRect/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Удалить строку / контракт</a:t>
          </a:r>
          <a:r>
            <a:rPr lang="ru-RU" sz="3600" b="1" baseline="0">
              <a:solidFill>
                <a:schemeClr val="tx1"/>
              </a:solidFill>
            </a:rPr>
            <a:t> </a:t>
          </a:r>
          <a:endParaRPr lang="ru-RU" sz="3600" b="1">
            <a:solidFill>
              <a:schemeClr val="tx1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9</xdr:col>
      <xdr:colOff>1440532</xdr:colOff>
      <xdr:row>3</xdr:row>
      <xdr:rowOff>6924</xdr:rowOff>
    </xdr:from>
    <xdr:to>
      <xdr:col>13</xdr:col>
      <xdr:colOff>303685</xdr:colOff>
      <xdr:row>3</xdr:row>
      <xdr:rowOff>501399</xdr:rowOff>
    </xdr:to>
    <xdr:sp macro="[0]!УдалитьСтрокуП5" textlink="">
      <xdr:nvSpPr>
        <xdr:cNvPr id="3" name="Скругленный прямоугольник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20142776" y="1016574"/>
          <a:ext cx="5760000" cy="494475"/>
        </a:xfrm>
        <a:prstGeom prst="roundRect">
          <a:avLst/>
        </a:prstGeom>
        <a:gradFill>
          <a:gsLst>
            <a:gs pos="79000">
              <a:srgbClr val="FF6D6D"/>
            </a:gs>
            <a:gs pos="100000">
              <a:srgbClr val="A30101"/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Удалить строку / контракт</a:t>
          </a:r>
        </a:p>
      </xdr:txBody>
    </xdr:sp>
    <xdr:clientData/>
  </xdr:twoCellAnchor>
  <xdr:twoCellAnchor editAs="absolute">
    <xdr:from>
      <xdr:col>6</xdr:col>
      <xdr:colOff>61478</xdr:colOff>
      <xdr:row>3</xdr:row>
      <xdr:rowOff>0</xdr:rowOff>
    </xdr:from>
    <xdr:to>
      <xdr:col>8</xdr:col>
      <xdr:colOff>643987</xdr:colOff>
      <xdr:row>3</xdr:row>
      <xdr:rowOff>484950</xdr:rowOff>
    </xdr:to>
    <xdr:sp macro="[0]!ДобавитьКонтрактП5" textlink="">
      <xdr:nvSpPr>
        <xdr:cNvPr id="4" name="Скругленный прямоугольник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11415278" y="990600"/>
          <a:ext cx="5760000" cy="504000"/>
        </a:xfrm>
        <a:prstGeom prst="roundRect">
          <a:avLst/>
        </a:prstGeom>
        <a:gradFill>
          <a:gsLst>
            <a:gs pos="79000">
              <a:srgbClr val="92D050"/>
            </a:gs>
            <a:gs pos="100000">
              <a:schemeClr val="accent3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Добавить</a:t>
          </a:r>
          <a:r>
            <a:rPr lang="ru-RU" sz="3600" b="1" baseline="0">
              <a:solidFill>
                <a:schemeClr val="tx1"/>
              </a:solidFill>
            </a:rPr>
            <a:t> контракт</a:t>
          </a:r>
          <a:endParaRPr lang="ru-RU" sz="3600" b="1">
            <a:solidFill>
              <a:schemeClr val="tx1"/>
            </a:solidFill>
          </a:endParaRPr>
        </a:p>
      </xdr:txBody>
    </xdr:sp>
    <xdr:clientData/>
  </xdr:twoCellAnchor>
  <xdr:twoCellAnchor editAs="absolute">
    <xdr:from>
      <xdr:col>14</xdr:col>
      <xdr:colOff>1569670</xdr:colOff>
      <xdr:row>3</xdr:row>
      <xdr:rowOff>0</xdr:rowOff>
    </xdr:from>
    <xdr:to>
      <xdr:col>17</xdr:col>
      <xdr:colOff>1456668</xdr:colOff>
      <xdr:row>3</xdr:row>
      <xdr:rowOff>501534</xdr:rowOff>
    </xdr:to>
    <xdr:sp macro="[0]!ДобавитьППАктП5" textlink="">
      <xdr:nvSpPr>
        <xdr:cNvPr id="5" name="Скругленный прямоугольник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29054712" y="1009650"/>
          <a:ext cx="5760000" cy="509154"/>
        </a:xfrm>
        <a:prstGeom prst="roundRect">
          <a:avLst/>
        </a:prstGeom>
        <a:gradFill>
          <a:gsLst>
            <a:gs pos="79000">
              <a:srgbClr val="FFC000"/>
            </a:gs>
            <a:gs pos="100000">
              <a:schemeClr val="accent6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200" b="1">
              <a:solidFill>
                <a:schemeClr val="tx1"/>
              </a:solidFill>
            </a:rPr>
            <a:t>Добавить Акт/ПП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4</xdr:col>
      <xdr:colOff>12150</xdr:colOff>
      <xdr:row>3</xdr:row>
      <xdr:rowOff>0</xdr:rowOff>
    </xdr:from>
    <xdr:to>
      <xdr:col>6</xdr:col>
      <xdr:colOff>1771650</xdr:colOff>
      <xdr:row>3</xdr:row>
      <xdr:rowOff>499803</xdr:rowOff>
    </xdr:to>
    <xdr:sp macro="[0]!ДобавитьКонтрактSt93" textlink="">
      <xdr:nvSpPr>
        <xdr:cNvPr id="2" name="Скругленный прямоугольник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6889200" y="1009650"/>
          <a:ext cx="5760000" cy="507423"/>
        </a:xfrm>
        <a:prstGeom prst="roundRect">
          <a:avLst/>
        </a:prstGeom>
        <a:gradFill>
          <a:gsLst>
            <a:gs pos="79000">
              <a:srgbClr val="92D050"/>
            </a:gs>
            <a:gs pos="100000">
              <a:schemeClr val="accent3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Добавить</a:t>
          </a:r>
          <a:r>
            <a:rPr lang="ru-RU" sz="3600" b="1" baseline="0">
              <a:solidFill>
                <a:schemeClr val="tx1"/>
              </a:solidFill>
            </a:rPr>
            <a:t> контракт</a:t>
          </a:r>
          <a:endParaRPr lang="ru-RU" sz="3600" b="1">
            <a:solidFill>
              <a:schemeClr val="tx1"/>
            </a:solidFill>
          </a:endParaRPr>
        </a:p>
      </xdr:txBody>
    </xdr:sp>
    <xdr:clientData/>
  </xdr:twoCellAnchor>
  <xdr:twoCellAnchor editAs="absolute">
    <xdr:from>
      <xdr:col>16</xdr:col>
      <xdr:colOff>0</xdr:colOff>
      <xdr:row>3</xdr:row>
      <xdr:rowOff>0</xdr:rowOff>
    </xdr:from>
    <xdr:to>
      <xdr:col>19</xdr:col>
      <xdr:colOff>559350</xdr:colOff>
      <xdr:row>3</xdr:row>
      <xdr:rowOff>490104</xdr:rowOff>
    </xdr:to>
    <xdr:sp macro="[0]!ДобавитьППАктSt93" textlink="">
      <xdr:nvSpPr>
        <xdr:cNvPr id="5" name="Скругленный прямоугольник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30346650" y="990600"/>
          <a:ext cx="5760000" cy="509154"/>
        </a:xfrm>
        <a:prstGeom prst="roundRect">
          <a:avLst/>
        </a:prstGeom>
        <a:gradFill>
          <a:gsLst>
            <a:gs pos="79000">
              <a:srgbClr val="FFC000"/>
            </a:gs>
            <a:gs pos="100000">
              <a:schemeClr val="accent6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200" b="1">
              <a:solidFill>
                <a:schemeClr val="tx1"/>
              </a:solidFill>
            </a:rPr>
            <a:t>Добавить Акт/ПП</a:t>
          </a:r>
        </a:p>
      </xdr:txBody>
    </xdr:sp>
    <xdr:clientData/>
  </xdr:twoCellAnchor>
  <xdr:twoCellAnchor editAs="absolute">
    <xdr:from>
      <xdr:col>11</xdr:col>
      <xdr:colOff>6926</xdr:colOff>
      <xdr:row>3</xdr:row>
      <xdr:rowOff>0</xdr:rowOff>
    </xdr:from>
    <xdr:to>
      <xdr:col>13</xdr:col>
      <xdr:colOff>680576</xdr:colOff>
      <xdr:row>3</xdr:row>
      <xdr:rowOff>499802</xdr:rowOff>
    </xdr:to>
    <xdr:sp macro="[0]!УдалитьСтрокуSt93" textlink="">
      <xdr:nvSpPr>
        <xdr:cNvPr id="6" name="Скругленный прямоугольник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20352326" y="1009650"/>
          <a:ext cx="5760000" cy="507422"/>
        </a:xfrm>
        <a:prstGeom prst="roundRect">
          <a:avLst/>
        </a:prstGeom>
        <a:gradFill>
          <a:gsLst>
            <a:gs pos="79000">
              <a:srgbClr val="FF6D6D"/>
            </a:gs>
            <a:gs pos="100000">
              <a:srgbClr val="A30101"/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Удалить строку / контракт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564600</xdr:colOff>
      <xdr:row>3</xdr:row>
      <xdr:rowOff>29400</xdr:rowOff>
    </xdr:from>
    <xdr:to>
      <xdr:col>9</xdr:col>
      <xdr:colOff>1733550</xdr:colOff>
      <xdr:row>4</xdr:row>
      <xdr:rowOff>19050</xdr:rowOff>
    </xdr:to>
    <xdr:sp macro="[0]!ДобавитьКонтрактSEA" textlink="">
      <xdr:nvSpPr>
        <xdr:cNvPr id="2" name="Скругленный прямоугольник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12909000" y="1039050"/>
          <a:ext cx="5760000" cy="504000"/>
        </a:xfrm>
        <a:prstGeom prst="roundRect">
          <a:avLst/>
        </a:prstGeom>
        <a:gradFill>
          <a:gsLst>
            <a:gs pos="79000">
              <a:srgbClr val="92D050"/>
            </a:gs>
            <a:gs pos="100000">
              <a:schemeClr val="accent3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Добавить</a:t>
          </a:r>
          <a:r>
            <a:rPr lang="ru-RU" sz="3600" b="1" baseline="0">
              <a:solidFill>
                <a:schemeClr val="tx1"/>
              </a:solidFill>
            </a:rPr>
            <a:t> контракт</a:t>
          </a:r>
          <a:endParaRPr lang="ru-RU" sz="3600" b="1">
            <a:solidFill>
              <a:schemeClr val="tx1"/>
            </a:solidFill>
          </a:endParaRPr>
        </a:p>
      </xdr:txBody>
    </xdr:sp>
    <xdr:clientData/>
  </xdr:twoCellAnchor>
  <xdr:twoCellAnchor editAs="absolute">
    <xdr:from>
      <xdr:col>13</xdr:col>
      <xdr:colOff>926550</xdr:colOff>
      <xdr:row>3</xdr:row>
      <xdr:rowOff>19050</xdr:rowOff>
    </xdr:from>
    <xdr:to>
      <xdr:col>16</xdr:col>
      <xdr:colOff>1295400</xdr:colOff>
      <xdr:row>4</xdr:row>
      <xdr:rowOff>8700</xdr:rowOff>
    </xdr:to>
    <xdr:sp macro="[0]!УдалитьСтрокуSEA" textlink="">
      <xdr:nvSpPr>
        <xdr:cNvPr id="3" name="Скругленный прямоугольник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24110400" y="1028700"/>
          <a:ext cx="5760000" cy="504000"/>
        </a:xfrm>
        <a:prstGeom prst="roundRect">
          <a:avLst/>
        </a:prstGeom>
        <a:gradFill>
          <a:gsLst>
            <a:gs pos="61000">
              <a:srgbClr val="FF6D6D"/>
            </a:gs>
            <a:gs pos="100000">
              <a:srgbClr val="A30101"/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Удалить строку / контракт</a:t>
          </a:r>
        </a:p>
      </xdr:txBody>
    </xdr:sp>
    <xdr:clientData/>
  </xdr:twoCellAnchor>
  <xdr:twoCellAnchor editAs="absolute">
    <xdr:from>
      <xdr:col>19</xdr:col>
      <xdr:colOff>2038350</xdr:colOff>
      <xdr:row>3</xdr:row>
      <xdr:rowOff>48450</xdr:rowOff>
    </xdr:from>
    <xdr:to>
      <xdr:col>23</xdr:col>
      <xdr:colOff>483150</xdr:colOff>
      <xdr:row>4</xdr:row>
      <xdr:rowOff>38100</xdr:rowOff>
    </xdr:to>
    <xdr:sp macro="[0]!ДобавитьППАктSEA" textlink="">
      <xdr:nvSpPr>
        <xdr:cNvPr id="4" name="Скругленный прямоугольник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35128200" y="1058100"/>
          <a:ext cx="5760000" cy="504000"/>
        </a:xfrm>
        <a:prstGeom prst="roundRect">
          <a:avLst/>
        </a:prstGeom>
        <a:gradFill>
          <a:gsLst>
            <a:gs pos="79000">
              <a:srgbClr val="FFC000"/>
            </a:gs>
            <a:gs pos="100000">
              <a:schemeClr val="accent6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200" b="1">
              <a:solidFill>
                <a:schemeClr val="tx1"/>
              </a:solidFill>
            </a:rPr>
            <a:t>Добавить Акт/ПП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1962150</xdr:colOff>
      <xdr:row>3</xdr:row>
      <xdr:rowOff>0</xdr:rowOff>
    </xdr:from>
    <xdr:to>
      <xdr:col>9</xdr:col>
      <xdr:colOff>883200</xdr:colOff>
      <xdr:row>4</xdr:row>
      <xdr:rowOff>1080</xdr:rowOff>
    </xdr:to>
    <xdr:sp macro="[0]!ДобавитьКонтрактNEA" textlink="">
      <xdr:nvSpPr>
        <xdr:cNvPr id="2" name="Скругленный прямоугольник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12515850" y="1009650"/>
          <a:ext cx="5760000" cy="504000"/>
        </a:xfrm>
        <a:prstGeom prst="roundRect">
          <a:avLst/>
        </a:prstGeom>
        <a:gradFill>
          <a:gsLst>
            <a:gs pos="79000">
              <a:srgbClr val="92D050"/>
            </a:gs>
            <a:gs pos="100000">
              <a:schemeClr val="accent3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Добавить</a:t>
          </a:r>
          <a:r>
            <a:rPr lang="ru-RU" sz="3600" b="1" baseline="0">
              <a:solidFill>
                <a:schemeClr val="tx1"/>
              </a:solidFill>
            </a:rPr>
            <a:t> контракт</a:t>
          </a:r>
          <a:endParaRPr lang="ru-RU" sz="3600" b="1">
            <a:solidFill>
              <a:schemeClr val="tx1"/>
            </a:solidFill>
          </a:endParaRPr>
        </a:p>
      </xdr:txBody>
    </xdr:sp>
    <xdr:clientData/>
  </xdr:twoCellAnchor>
  <xdr:twoCellAnchor editAs="absolute">
    <xdr:from>
      <xdr:col>12</xdr:col>
      <xdr:colOff>1416626</xdr:colOff>
      <xdr:row>3</xdr:row>
      <xdr:rowOff>0</xdr:rowOff>
    </xdr:from>
    <xdr:to>
      <xdr:col>16</xdr:col>
      <xdr:colOff>70976</xdr:colOff>
      <xdr:row>4</xdr:row>
      <xdr:rowOff>1080</xdr:rowOff>
    </xdr:to>
    <xdr:sp macro="[0]!УдалитьСтрокуNEA" textlink="">
      <xdr:nvSpPr>
        <xdr:cNvPr id="5" name="Скругленный прямоугольник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/>
      </xdr:nvSpPr>
      <xdr:spPr>
        <a:xfrm>
          <a:off x="23343176" y="1009650"/>
          <a:ext cx="5760000" cy="504000"/>
        </a:xfrm>
        <a:prstGeom prst="roundRect">
          <a:avLst/>
        </a:prstGeom>
        <a:gradFill>
          <a:gsLst>
            <a:gs pos="79000">
              <a:srgbClr val="FF6D6D"/>
            </a:gs>
            <a:gs pos="100000">
              <a:srgbClr val="A30101"/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Удалить строку / контракт</a:t>
          </a:r>
        </a:p>
      </xdr:txBody>
    </xdr:sp>
    <xdr:clientData/>
  </xdr:twoCellAnchor>
  <xdr:twoCellAnchor editAs="absolute">
    <xdr:from>
      <xdr:col>19</xdr:col>
      <xdr:colOff>819150</xdr:colOff>
      <xdr:row>2</xdr:row>
      <xdr:rowOff>209550</xdr:rowOff>
    </xdr:from>
    <xdr:to>
      <xdr:col>22</xdr:col>
      <xdr:colOff>864150</xdr:colOff>
      <xdr:row>3</xdr:row>
      <xdr:rowOff>465900</xdr:rowOff>
    </xdr:to>
    <xdr:sp macro="[0]!ДобавитьППАктNEA" textlink="">
      <xdr:nvSpPr>
        <xdr:cNvPr id="7" name="Скругленный прямоугольник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/>
      </xdr:nvSpPr>
      <xdr:spPr>
        <a:xfrm>
          <a:off x="34709100" y="971550"/>
          <a:ext cx="5760000" cy="504000"/>
        </a:xfrm>
        <a:prstGeom prst="roundRect">
          <a:avLst/>
        </a:prstGeom>
        <a:gradFill>
          <a:gsLst>
            <a:gs pos="79000">
              <a:srgbClr val="FFC000"/>
            </a:gs>
            <a:gs pos="100000">
              <a:schemeClr val="accent6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200" b="1">
              <a:solidFill>
                <a:schemeClr val="tx1"/>
              </a:solidFill>
            </a:rPr>
            <a:t>Добавить Акт/ПП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880628</xdr:colOff>
      <xdr:row>3</xdr:row>
      <xdr:rowOff>0</xdr:rowOff>
    </xdr:from>
    <xdr:to>
      <xdr:col>8</xdr:col>
      <xdr:colOff>1420928</xdr:colOff>
      <xdr:row>4</xdr:row>
      <xdr:rowOff>1080</xdr:rowOff>
    </xdr:to>
    <xdr:sp macro="[0]!ДобавитьКонтрактIKZ" textlink="">
      <xdr:nvSpPr>
        <xdr:cNvPr id="2" name="Скругленный прямоугольник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11358128" y="1009650"/>
          <a:ext cx="5760000" cy="504000"/>
        </a:xfrm>
        <a:prstGeom prst="roundRect">
          <a:avLst/>
        </a:prstGeom>
        <a:gradFill>
          <a:gsLst>
            <a:gs pos="79000">
              <a:srgbClr val="92D050"/>
            </a:gs>
            <a:gs pos="100000">
              <a:schemeClr val="accent3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Добавить</a:t>
          </a:r>
          <a:r>
            <a:rPr lang="ru-RU" sz="3600" b="1" baseline="0">
              <a:solidFill>
                <a:schemeClr val="tx1"/>
              </a:solidFill>
            </a:rPr>
            <a:t> контракт</a:t>
          </a:r>
          <a:endParaRPr lang="ru-RU" sz="3600" b="1">
            <a:solidFill>
              <a:schemeClr val="tx1"/>
            </a:solidFill>
          </a:endParaRPr>
        </a:p>
      </xdr:txBody>
    </xdr:sp>
    <xdr:clientData/>
  </xdr:twoCellAnchor>
  <xdr:twoCellAnchor editAs="absolute">
    <xdr:from>
      <xdr:col>12</xdr:col>
      <xdr:colOff>1409700</xdr:colOff>
      <xdr:row>3</xdr:row>
      <xdr:rowOff>10350</xdr:rowOff>
    </xdr:from>
    <xdr:to>
      <xdr:col>15</xdr:col>
      <xdr:colOff>1877610</xdr:colOff>
      <xdr:row>4</xdr:row>
      <xdr:rowOff>0</xdr:rowOff>
    </xdr:to>
    <xdr:sp macro="[0]!УдалитьСтрокуIKZ" textlink="">
      <xdr:nvSpPr>
        <xdr:cNvPr id="3" name="Скругленный прямоугольник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/>
      </xdr:nvSpPr>
      <xdr:spPr>
        <a:xfrm>
          <a:off x="23260050" y="1020000"/>
          <a:ext cx="5760000" cy="504000"/>
        </a:xfrm>
        <a:prstGeom prst="roundRect">
          <a:avLst/>
        </a:prstGeom>
        <a:gradFill>
          <a:gsLst>
            <a:gs pos="79000">
              <a:srgbClr val="FF6D6D"/>
            </a:gs>
            <a:gs pos="100000">
              <a:srgbClr val="A30101"/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Удалить строку / контракт</a:t>
          </a:r>
        </a:p>
      </xdr:txBody>
    </xdr:sp>
    <xdr:clientData fPrintsWithSheet="0"/>
  </xdr:twoCellAnchor>
  <xdr:twoCellAnchor editAs="absolute">
    <xdr:from>
      <xdr:col>19</xdr:col>
      <xdr:colOff>785580</xdr:colOff>
      <xdr:row>3</xdr:row>
      <xdr:rowOff>10350</xdr:rowOff>
    </xdr:from>
    <xdr:to>
      <xdr:col>22</xdr:col>
      <xdr:colOff>868680</xdr:colOff>
      <xdr:row>4</xdr:row>
      <xdr:rowOff>0</xdr:rowOff>
    </xdr:to>
    <xdr:sp macro="[0]!ДобавитьППАктIKZ" textlink="">
      <xdr:nvSpPr>
        <xdr:cNvPr id="4" name="Скругленный прямоугольник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/>
      </xdr:nvSpPr>
      <xdr:spPr>
        <a:xfrm>
          <a:off x="34606950" y="1020000"/>
          <a:ext cx="5760000" cy="504000"/>
        </a:xfrm>
        <a:prstGeom prst="roundRect">
          <a:avLst/>
        </a:prstGeom>
        <a:gradFill>
          <a:gsLst>
            <a:gs pos="79000">
              <a:srgbClr val="FFC000"/>
            </a:gs>
            <a:gs pos="100000">
              <a:schemeClr val="accent6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200" b="1">
              <a:solidFill>
                <a:schemeClr val="tx1"/>
              </a:solidFill>
            </a:rPr>
            <a:t>Добавить Акт/ПП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6">
    <tabColor rgb="FFFFFF00"/>
  </sheetPr>
  <dimension ref="A1:W20"/>
  <sheetViews>
    <sheetView showGridLines="0" zoomScale="70" zoomScaleNormal="70" workbookViewId="0">
      <selection activeCell="D4" sqref="D4"/>
    </sheetView>
  </sheetViews>
  <sheetFormatPr defaultColWidth="0" defaultRowHeight="14.4" x14ac:dyDescent="0.3"/>
  <cols>
    <col min="1" max="2" width="9.109375" style="8" customWidth="1"/>
    <col min="3" max="3" width="25.33203125" style="8" customWidth="1"/>
    <col min="4" max="5" width="9.109375" style="8" customWidth="1"/>
    <col min="6" max="6" width="11.6640625" style="8" customWidth="1"/>
    <col min="7" max="7" width="19" style="8" customWidth="1"/>
    <col min="8" max="8" width="6.5546875" style="8" customWidth="1"/>
    <col min="9" max="9" width="5.5546875" style="8" customWidth="1"/>
    <col min="10" max="10" width="15" style="8" customWidth="1"/>
    <col min="11" max="11" width="14.88671875" style="8" customWidth="1"/>
    <col min="12" max="12" width="21.33203125" style="8" customWidth="1"/>
    <col min="13" max="13" width="10.109375" style="8" customWidth="1"/>
    <col min="14" max="14" width="17.109375" style="8" bestFit="1" customWidth="1"/>
    <col min="15" max="22" width="9.109375" style="8" hidden="1" customWidth="1"/>
    <col min="23" max="23" width="30.6640625" style="8" hidden="1" customWidth="1"/>
    <col min="24" max="16384" width="9.109375" style="8" hidden="1"/>
  </cols>
  <sheetData>
    <row r="1" spans="1:14" ht="27" customHeight="1" thickBot="1" x14ac:dyDescent="0.35">
      <c r="A1" s="252" t="s">
        <v>141</v>
      </c>
      <c r="B1" s="253"/>
      <c r="C1" s="253"/>
      <c r="D1" s="253"/>
      <c r="E1" s="252" t="s">
        <v>154</v>
      </c>
      <c r="F1" s="253"/>
      <c r="G1" s="253"/>
      <c r="H1" s="253"/>
      <c r="I1" s="253"/>
      <c r="J1" s="253"/>
      <c r="K1" s="253"/>
      <c r="L1" s="253"/>
      <c r="M1" s="253"/>
      <c r="N1" s="254"/>
    </row>
    <row r="3" spans="1:14" ht="15" thickBot="1" x14ac:dyDescent="0.35">
      <c r="I3" s="16"/>
      <c r="J3" s="16"/>
      <c r="K3" s="16"/>
      <c r="L3" s="16"/>
      <c r="M3" s="16"/>
      <c r="N3" s="16"/>
    </row>
    <row r="4" spans="1:14" ht="32.25" customHeight="1" thickBot="1" x14ac:dyDescent="0.35">
      <c r="A4" s="288" t="s">
        <v>25</v>
      </c>
      <c r="B4" s="289"/>
      <c r="C4" s="4">
        <v>13461523.08</v>
      </c>
      <c r="D4" s="5"/>
      <c r="E4" s="290" t="s">
        <v>140</v>
      </c>
      <c r="F4" s="291"/>
      <c r="G4" s="292"/>
      <c r="H4" s="293">
        <v>2000000</v>
      </c>
      <c r="I4" s="294"/>
      <c r="J4" s="295"/>
      <c r="K4" s="17"/>
      <c r="L4" s="81" t="s">
        <v>55</v>
      </c>
      <c r="M4" s="290">
        <v>4962082.2699999996</v>
      </c>
      <c r="N4" s="292"/>
    </row>
    <row r="5" spans="1:14" ht="30.75" customHeight="1" thickBot="1" x14ac:dyDescent="0.35">
      <c r="A5" s="288" t="s">
        <v>26</v>
      </c>
      <c r="B5" s="289"/>
      <c r="C5" s="6">
        <f>C4-G15+J15</f>
        <v>4927434.91</v>
      </c>
      <c r="D5" s="5"/>
      <c r="E5" s="290" t="s">
        <v>53</v>
      </c>
      <c r="F5" s="291"/>
      <c r="G5" s="292"/>
      <c r="H5" s="283">
        <f>H4-G12</f>
        <v>1309750.4100000001</v>
      </c>
      <c r="I5" s="284"/>
      <c r="J5" s="285"/>
      <c r="K5" s="17"/>
      <c r="L5" s="81" t="s">
        <v>54</v>
      </c>
      <c r="M5" s="286">
        <f>M4-G13+J13</f>
        <v>2496220.0699999998</v>
      </c>
      <c r="N5" s="287"/>
    </row>
    <row r="6" spans="1:14" x14ac:dyDescent="0.3">
      <c r="C6" s="7"/>
      <c r="D6" s="9"/>
      <c r="E6" s="9"/>
      <c r="F6" s="9"/>
      <c r="G6" s="9"/>
      <c r="H6" s="9"/>
      <c r="I6" s="9"/>
      <c r="J6" s="9"/>
      <c r="K6" s="9"/>
      <c r="L6" s="9"/>
    </row>
    <row r="7" spans="1:14" ht="15" thickBot="1" x14ac:dyDescent="0.35"/>
    <row r="8" spans="1:14" ht="72" customHeight="1" thickBot="1" x14ac:dyDescent="0.35">
      <c r="A8" s="296" t="s">
        <v>27</v>
      </c>
      <c r="B8" s="297"/>
      <c r="C8" s="298"/>
      <c r="D8" s="296" t="s">
        <v>28</v>
      </c>
      <c r="E8" s="297"/>
      <c r="F8" s="298"/>
      <c r="G8" s="299" t="s">
        <v>29</v>
      </c>
      <c r="H8" s="300"/>
      <c r="I8" s="301"/>
      <c r="J8" s="299" t="s">
        <v>142</v>
      </c>
      <c r="K8" s="300"/>
      <c r="L8" s="301"/>
      <c r="M8" s="296" t="s">
        <v>30</v>
      </c>
      <c r="N8" s="298"/>
    </row>
    <row r="9" spans="1:14" ht="41.25" customHeight="1" thickBot="1" x14ac:dyDescent="0.35">
      <c r="A9" s="274" t="s">
        <v>31</v>
      </c>
      <c r="B9" s="275"/>
      <c r="C9" s="276"/>
      <c r="D9" s="273">
        <f>'Состоявшиеся аукционы'!G2</f>
        <v>1839600</v>
      </c>
      <c r="E9" s="273"/>
      <c r="F9" s="273"/>
      <c r="G9" s="273">
        <f>'Состоявшиеся аукционы'!Q2</f>
        <v>1500200.8</v>
      </c>
      <c r="H9" s="273"/>
      <c r="I9" s="273"/>
      <c r="J9" s="270">
        <f>'Состоявшиеся аукционы'!AB2</f>
        <v>0</v>
      </c>
      <c r="K9" s="271"/>
      <c r="L9" s="272"/>
      <c r="M9" s="273">
        <f t="shared" ref="M9:M15" si="0">D9-G9</f>
        <v>339399.19999999995</v>
      </c>
      <c r="N9" s="273"/>
    </row>
    <row r="10" spans="1:14" ht="78.75" customHeight="1" thickBot="1" x14ac:dyDescent="0.35">
      <c r="A10" s="274" t="s">
        <v>49</v>
      </c>
      <c r="B10" s="275"/>
      <c r="C10" s="276"/>
      <c r="D10" s="273">
        <f>'Несостоявшиеся аукционы'!G2</f>
        <v>1539365.26</v>
      </c>
      <c r="E10" s="273"/>
      <c r="F10" s="273"/>
      <c r="G10" s="273">
        <f>'Несостоявшиеся аукционы'!Q2</f>
        <v>1539365.26</v>
      </c>
      <c r="H10" s="273"/>
      <c r="I10" s="273"/>
      <c r="J10" s="270">
        <f>'Несостоявшиеся аукционы'!AB2</f>
        <v>0</v>
      </c>
      <c r="K10" s="271"/>
      <c r="L10" s="272"/>
      <c r="M10" s="273">
        <f t="shared" si="0"/>
        <v>0</v>
      </c>
      <c r="N10" s="273"/>
    </row>
    <row r="11" spans="1:14" ht="40.5" customHeight="1" thickBot="1" x14ac:dyDescent="0.35">
      <c r="A11" s="274" t="s">
        <v>83</v>
      </c>
      <c r="B11" s="275"/>
      <c r="C11" s="276"/>
      <c r="D11" s="270">
        <f>'Иные конкурентные закупки'!G2</f>
        <v>0</v>
      </c>
      <c r="E11" s="271"/>
      <c r="F11" s="272"/>
      <c r="G11" s="270">
        <f>'Иные конкурентные закупки'!Q2</f>
        <v>0</v>
      </c>
      <c r="H11" s="271"/>
      <c r="I11" s="272"/>
      <c r="J11" s="270">
        <f>'Иные конкурентные закупки'!AB2</f>
        <v>0</v>
      </c>
      <c r="K11" s="271"/>
      <c r="L11" s="272"/>
      <c r="M11" s="270">
        <f t="shared" si="0"/>
        <v>0</v>
      </c>
      <c r="N11" s="272"/>
    </row>
    <row r="12" spans="1:14" ht="54.75" customHeight="1" thickBot="1" x14ac:dyDescent="0.35">
      <c r="A12" s="277" t="s">
        <v>50</v>
      </c>
      <c r="B12" s="278"/>
      <c r="C12" s="279"/>
      <c r="D12" s="273">
        <f>'Ед. поставщик п.4 ч.1'!H2</f>
        <v>690249.59</v>
      </c>
      <c r="E12" s="273"/>
      <c r="F12" s="273"/>
      <c r="G12" s="273">
        <f>D12</f>
        <v>690249.59</v>
      </c>
      <c r="H12" s="273"/>
      <c r="I12" s="273"/>
      <c r="J12" s="270">
        <f>'Ед. поставщик п.4 ч.1'!V2</f>
        <v>0</v>
      </c>
      <c r="K12" s="271"/>
      <c r="L12" s="272"/>
      <c r="M12" s="273">
        <f t="shared" si="0"/>
        <v>0</v>
      </c>
      <c r="N12" s="273"/>
    </row>
    <row r="13" spans="1:14" ht="45.75" customHeight="1" thickBot="1" x14ac:dyDescent="0.35">
      <c r="A13" s="277" t="s">
        <v>51</v>
      </c>
      <c r="B13" s="278"/>
      <c r="C13" s="279"/>
      <c r="D13" s="273">
        <f>'Ед. поставщик п.5 ч.1'!H2</f>
        <v>2619235.9699999997</v>
      </c>
      <c r="E13" s="273"/>
      <c r="F13" s="273"/>
      <c r="G13" s="273">
        <f>D13</f>
        <v>2619235.9699999997</v>
      </c>
      <c r="H13" s="273"/>
      <c r="I13" s="273"/>
      <c r="J13" s="270">
        <f>'Ед. поставщик п.5 ч.1'!V2</f>
        <v>153373.76999999999</v>
      </c>
      <c r="K13" s="271"/>
      <c r="L13" s="272"/>
      <c r="M13" s="273">
        <f t="shared" si="0"/>
        <v>0</v>
      </c>
      <c r="N13" s="273"/>
    </row>
    <row r="14" spans="1:14" ht="45.75" customHeight="1" thickBot="1" x14ac:dyDescent="0.35">
      <c r="A14" s="267" t="s">
        <v>52</v>
      </c>
      <c r="B14" s="268"/>
      <c r="C14" s="269"/>
      <c r="D14" s="270">
        <f>'Ед.поставщик за искл. п.4,5 ч.1'!G2</f>
        <v>2338410.3200000003</v>
      </c>
      <c r="E14" s="271"/>
      <c r="F14" s="272"/>
      <c r="G14" s="270">
        <f>D14</f>
        <v>2338410.3200000003</v>
      </c>
      <c r="H14" s="271"/>
      <c r="I14" s="272"/>
      <c r="J14" s="270">
        <f>'Ед.поставщик за искл. п.4,5 ч.1'!T2</f>
        <v>0</v>
      </c>
      <c r="K14" s="271"/>
      <c r="L14" s="272"/>
      <c r="M14" s="273">
        <f t="shared" si="0"/>
        <v>0</v>
      </c>
      <c r="N14" s="273"/>
    </row>
    <row r="15" spans="1:14" ht="21.6" thickBot="1" x14ac:dyDescent="0.35">
      <c r="A15" s="280" t="s">
        <v>143</v>
      </c>
      <c r="B15" s="281"/>
      <c r="C15" s="282"/>
      <c r="D15" s="273">
        <f>SUM(D9:D14)</f>
        <v>9026861.1400000006</v>
      </c>
      <c r="E15" s="273"/>
      <c r="F15" s="273"/>
      <c r="G15" s="270">
        <f>SUM(G9:G14)</f>
        <v>8687461.9399999995</v>
      </c>
      <c r="H15" s="271"/>
      <c r="I15" s="272"/>
      <c r="J15" s="270">
        <f>SUM(J9:J14)</f>
        <v>153373.76999999999</v>
      </c>
      <c r="K15" s="271"/>
      <c r="L15" s="272"/>
      <c r="M15" s="273">
        <f t="shared" si="0"/>
        <v>339399.20000000112</v>
      </c>
      <c r="N15" s="273"/>
    </row>
    <row r="18" spans="1:12" ht="15" thickBot="1" x14ac:dyDescent="0.35"/>
    <row r="19" spans="1:12" ht="23.25" customHeight="1" x14ac:dyDescent="0.3">
      <c r="A19" s="255" t="s">
        <v>35</v>
      </c>
      <c r="B19" s="256"/>
      <c r="C19" s="257"/>
      <c r="D19" s="261">
        <f>'Ед. поставщик п.4 ч.1'!P2+'Ед. поставщик п.5 ч.1'!P2+'Ед.поставщик за искл. п.4,5 ч.1'!N2+'Состоявшиеся аукционы'!V2+'Несостоявшиеся аукционы'!V2+'Иные конкурентные закупки'!V2</f>
        <v>6663986.8299999991</v>
      </c>
      <c r="E19" s="262"/>
      <c r="F19" s="262"/>
      <c r="G19" s="263"/>
      <c r="I19" s="15"/>
      <c r="J19" s="15"/>
      <c r="K19" s="15"/>
      <c r="L19" s="15"/>
    </row>
    <row r="20" spans="1:12" ht="24" customHeight="1" thickBot="1" x14ac:dyDescent="0.35">
      <c r="A20" s="258"/>
      <c r="B20" s="259"/>
      <c r="C20" s="260"/>
      <c r="D20" s="264"/>
      <c r="E20" s="265"/>
      <c r="F20" s="265"/>
      <c r="G20" s="266"/>
      <c r="I20" s="15"/>
      <c r="J20" s="15"/>
      <c r="K20" s="15"/>
      <c r="L20" s="15"/>
    </row>
  </sheetData>
  <mergeCells count="52">
    <mergeCell ref="H5:J5"/>
    <mergeCell ref="M5:N5"/>
    <mergeCell ref="M11:N11"/>
    <mergeCell ref="J11:L11"/>
    <mergeCell ref="A4:B4"/>
    <mergeCell ref="E4:G4"/>
    <mergeCell ref="H4:J4"/>
    <mergeCell ref="M4:N4"/>
    <mergeCell ref="A5:B5"/>
    <mergeCell ref="A8:C8"/>
    <mergeCell ref="D8:F8"/>
    <mergeCell ref="G8:I8"/>
    <mergeCell ref="M8:N8"/>
    <mergeCell ref="J8:L8"/>
    <mergeCell ref="E5:G5"/>
    <mergeCell ref="A10:C10"/>
    <mergeCell ref="D10:F10"/>
    <mergeCell ref="G10:I10"/>
    <mergeCell ref="M10:N10"/>
    <mergeCell ref="J10:L10"/>
    <mergeCell ref="A9:C9"/>
    <mergeCell ref="D9:F9"/>
    <mergeCell ref="G9:I9"/>
    <mergeCell ref="M9:N9"/>
    <mergeCell ref="J9:L9"/>
    <mergeCell ref="J13:L13"/>
    <mergeCell ref="A15:C15"/>
    <mergeCell ref="D15:F15"/>
    <mergeCell ref="G15:I15"/>
    <mergeCell ref="M15:N15"/>
    <mergeCell ref="J15:L15"/>
    <mergeCell ref="A13:C13"/>
    <mergeCell ref="D13:F13"/>
    <mergeCell ref="G13:I13"/>
    <mergeCell ref="J14:L14"/>
    <mergeCell ref="M14:N14"/>
    <mergeCell ref="A1:D1"/>
    <mergeCell ref="E1:N1"/>
    <mergeCell ref="A19:C20"/>
    <mergeCell ref="D19:G20"/>
    <mergeCell ref="A14:C14"/>
    <mergeCell ref="D14:F14"/>
    <mergeCell ref="G14:I14"/>
    <mergeCell ref="M12:N12"/>
    <mergeCell ref="J12:L12"/>
    <mergeCell ref="A11:C11"/>
    <mergeCell ref="D11:F11"/>
    <mergeCell ref="G11:I11"/>
    <mergeCell ref="G12:I12"/>
    <mergeCell ref="A12:C12"/>
    <mergeCell ref="D12:F12"/>
    <mergeCell ref="M13:N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24">
    <tabColor rgb="FFFF0000"/>
    <pageSetUpPr fitToPage="1"/>
  </sheetPr>
  <dimension ref="A1:X39"/>
  <sheetViews>
    <sheetView showGridLines="0" topLeftCell="G1" zoomScale="60" zoomScaleNormal="60" workbookViewId="0">
      <pane ySplit="8" topLeftCell="A36" activePane="bottomLeft" state="frozen"/>
      <selection activeCell="I1" sqref="I1"/>
      <selection pane="bottomLeft" activeCell="O38" sqref="O38"/>
    </sheetView>
  </sheetViews>
  <sheetFormatPr defaultColWidth="0" defaultRowHeight="18" x14ac:dyDescent="0.3"/>
  <cols>
    <col min="1" max="1" width="9.109375" style="3" customWidth="1"/>
    <col min="2" max="3" width="35" style="3" customWidth="1"/>
    <col min="4" max="4" width="32.88671875" style="3" customWidth="1"/>
    <col min="5" max="5" width="24.6640625" style="11" customWidth="1"/>
    <col min="6" max="6" width="27.5546875" style="3" customWidth="1"/>
    <col min="7" max="7" width="49.109375" style="3" customWidth="1"/>
    <col min="8" max="8" width="26.88671875" style="10" customWidth="1"/>
    <col min="9" max="9" width="21.88671875" style="10" customWidth="1"/>
    <col min="10" max="10" width="33.5546875" style="3" customWidth="1"/>
    <col min="11" max="12" width="28.33203125" style="3" customWidth="1"/>
    <col min="13" max="13" width="34.88671875" style="3" customWidth="1"/>
    <col min="14" max="14" width="26.88671875" style="11" customWidth="1"/>
    <col min="15" max="15" width="28.88671875" style="3" customWidth="1"/>
    <col min="16" max="16" width="24" style="26" customWidth="1"/>
    <col min="17" max="17" width="24" style="11" bestFit="1" customWidth="1"/>
    <col min="18" max="18" width="23.44140625" style="2" customWidth="1"/>
    <col min="19" max="20" width="23.6640625" style="2" customWidth="1"/>
    <col min="21" max="21" width="24.5546875" style="11" customWidth="1"/>
    <col min="22" max="22" width="25.5546875" style="26" customWidth="1"/>
    <col min="23" max="23" width="17.6640625" style="2" customWidth="1"/>
    <col min="24" max="16384" width="9.109375" style="2" hidden="1"/>
  </cols>
  <sheetData>
    <row r="1" spans="1:24" ht="18.600000000000001" thickBot="1" x14ac:dyDescent="0.35"/>
    <row r="2" spans="1:24" ht="39.9" customHeight="1" thickBot="1" x14ac:dyDescent="0.35">
      <c r="A2" s="68"/>
      <c r="B2" s="68"/>
      <c r="C2" s="68"/>
      <c r="D2" s="68"/>
      <c r="E2" s="68"/>
      <c r="F2" s="10"/>
      <c r="G2" s="83" t="s">
        <v>24</v>
      </c>
      <c r="H2" s="80">
        <f>SUM(H9:H10000)</f>
        <v>690249.59</v>
      </c>
      <c r="K2" s="322"/>
      <c r="L2" s="322"/>
      <c r="M2" s="322"/>
      <c r="N2" s="318" t="s">
        <v>137</v>
      </c>
      <c r="O2" s="320"/>
      <c r="P2" s="69">
        <f>SUM(P9:P10000)</f>
        <v>683350.59</v>
      </c>
      <c r="R2" s="68"/>
      <c r="S2" s="318" t="s">
        <v>45</v>
      </c>
      <c r="T2" s="319"/>
      <c r="U2" s="320"/>
      <c r="V2" s="70">
        <f>SUM(V9:V10000)</f>
        <v>0</v>
      </c>
    </row>
    <row r="3" spans="1:24" x14ac:dyDescent="0.3">
      <c r="A3" s="322"/>
      <c r="B3" s="322"/>
      <c r="C3" s="322"/>
      <c r="D3" s="322"/>
      <c r="E3" s="322"/>
      <c r="N3" s="68"/>
    </row>
    <row r="4" spans="1:24" ht="39.9" customHeight="1" x14ac:dyDescent="0.3">
      <c r="J4" s="321"/>
      <c r="K4" s="321"/>
      <c r="M4" s="321"/>
      <c r="N4" s="321"/>
      <c r="O4" s="321"/>
      <c r="P4" s="321"/>
    </row>
    <row r="6" spans="1:24" ht="159" customHeight="1" x14ac:dyDescent="0.3">
      <c r="A6" s="51" t="s">
        <v>8</v>
      </c>
      <c r="B6" s="51" t="s">
        <v>47</v>
      </c>
      <c r="C6" s="51" t="s">
        <v>145</v>
      </c>
      <c r="D6" s="51" t="s">
        <v>10</v>
      </c>
      <c r="E6" s="50" t="s">
        <v>1</v>
      </c>
      <c r="F6" s="51" t="s">
        <v>2</v>
      </c>
      <c r="G6" s="51" t="s">
        <v>3</v>
      </c>
      <c r="H6" s="53" t="s">
        <v>4</v>
      </c>
      <c r="I6" s="53" t="s">
        <v>22</v>
      </c>
      <c r="J6" s="51" t="s">
        <v>46</v>
      </c>
      <c r="K6" s="51" t="s">
        <v>5</v>
      </c>
      <c r="L6" s="51" t="s">
        <v>82</v>
      </c>
      <c r="M6" s="51" t="s">
        <v>44</v>
      </c>
      <c r="N6" s="50" t="s">
        <v>7</v>
      </c>
      <c r="O6" s="51" t="s">
        <v>6</v>
      </c>
      <c r="P6" s="52" t="s">
        <v>23</v>
      </c>
      <c r="Q6" s="50" t="s">
        <v>9</v>
      </c>
      <c r="R6" s="49" t="s">
        <v>40</v>
      </c>
      <c r="S6" s="49" t="s">
        <v>103</v>
      </c>
      <c r="T6" s="49" t="s">
        <v>104</v>
      </c>
      <c r="U6" s="50" t="s">
        <v>41</v>
      </c>
      <c r="V6" s="52" t="s">
        <v>105</v>
      </c>
      <c r="W6" s="49" t="s">
        <v>42</v>
      </c>
    </row>
    <row r="7" spans="1:24" x14ac:dyDescent="0.3">
      <c r="A7" s="60" t="s">
        <v>36</v>
      </c>
      <c r="B7" s="60" t="s">
        <v>110</v>
      </c>
      <c r="C7" s="60" t="s">
        <v>111</v>
      </c>
      <c r="D7" s="60" t="s">
        <v>112</v>
      </c>
      <c r="E7" s="60" t="s">
        <v>113</v>
      </c>
      <c r="F7" s="60" t="s">
        <v>114</v>
      </c>
      <c r="G7" s="60" t="s">
        <v>115</v>
      </c>
      <c r="H7" s="60" t="s">
        <v>116</v>
      </c>
      <c r="I7" s="60" t="s">
        <v>117</v>
      </c>
      <c r="J7" s="60" t="s">
        <v>118</v>
      </c>
      <c r="K7" s="60" t="s">
        <v>119</v>
      </c>
      <c r="L7" s="60" t="s">
        <v>120</v>
      </c>
      <c r="M7" s="60" t="s">
        <v>121</v>
      </c>
      <c r="N7" s="60" t="s">
        <v>122</v>
      </c>
      <c r="O7" s="60" t="s">
        <v>123</v>
      </c>
      <c r="P7" s="60" t="s">
        <v>124</v>
      </c>
      <c r="Q7" s="60" t="s">
        <v>125</v>
      </c>
      <c r="R7" s="60" t="s">
        <v>126</v>
      </c>
      <c r="S7" s="60" t="s">
        <v>127</v>
      </c>
      <c r="T7" s="60" t="s">
        <v>128</v>
      </c>
      <c r="U7" s="60" t="s">
        <v>129</v>
      </c>
      <c r="V7" s="60" t="s">
        <v>130</v>
      </c>
      <c r="W7" s="60" t="s">
        <v>131</v>
      </c>
    </row>
    <row r="8" spans="1:24" s="14" customFormat="1" ht="117.6" customHeight="1" x14ac:dyDescent="0.3">
      <c r="A8" s="54">
        <v>1</v>
      </c>
      <c r="B8" s="54" t="s">
        <v>56</v>
      </c>
      <c r="C8" s="54"/>
      <c r="D8" s="54" t="s">
        <v>58</v>
      </c>
      <c r="E8" s="55" t="s">
        <v>57</v>
      </c>
      <c r="F8" s="55" t="s">
        <v>107</v>
      </c>
      <c r="G8" s="54" t="s">
        <v>59</v>
      </c>
      <c r="H8" s="61">
        <v>20000</v>
      </c>
      <c r="I8" s="61">
        <f>H8-P8</f>
        <v>0</v>
      </c>
      <c r="J8" s="54" t="s">
        <v>60</v>
      </c>
      <c r="K8" s="54" t="s">
        <v>61</v>
      </c>
      <c r="L8" s="54"/>
      <c r="M8" s="54" t="s">
        <v>62</v>
      </c>
      <c r="N8" s="55">
        <v>43840</v>
      </c>
      <c r="O8" s="54" t="s">
        <v>144</v>
      </c>
      <c r="P8" s="84">
        <v>20000</v>
      </c>
      <c r="Q8" s="55">
        <v>43840</v>
      </c>
      <c r="R8" s="54"/>
      <c r="S8" s="61"/>
      <c r="T8" s="61"/>
      <c r="U8" s="55"/>
      <c r="V8" s="61"/>
      <c r="W8" s="57" t="s">
        <v>64</v>
      </c>
    </row>
    <row r="9" spans="1:24" s="85" customFormat="1" ht="72" customHeight="1" x14ac:dyDescent="0.3">
      <c r="A9" s="302">
        <v>1</v>
      </c>
      <c r="B9" s="308" t="s">
        <v>56</v>
      </c>
      <c r="C9" s="308"/>
      <c r="D9" s="308"/>
      <c r="E9" s="312" t="s">
        <v>161</v>
      </c>
      <c r="F9" s="304" t="s">
        <v>210</v>
      </c>
      <c r="G9" s="308" t="s">
        <v>211</v>
      </c>
      <c r="H9" s="306">
        <v>24800</v>
      </c>
      <c r="I9" s="314">
        <f>IF(X9 = 145, H9 + SUM(S9:S10) - SUM(T9:T10) - SUM(P9:P10) - V9,0)</f>
        <v>0</v>
      </c>
      <c r="J9" s="308" t="s">
        <v>216</v>
      </c>
      <c r="K9" s="308" t="s">
        <v>212</v>
      </c>
      <c r="L9" s="308"/>
      <c r="M9" s="308" t="s">
        <v>213</v>
      </c>
      <c r="N9" s="105" t="s">
        <v>210</v>
      </c>
      <c r="O9" s="304" t="s">
        <v>214</v>
      </c>
      <c r="P9" s="106">
        <v>8000</v>
      </c>
      <c r="Q9" s="107" t="s">
        <v>215</v>
      </c>
      <c r="R9" s="108"/>
      <c r="S9" s="106"/>
      <c r="T9" s="106"/>
      <c r="U9" s="306"/>
      <c r="V9" s="310"/>
      <c r="W9" s="316"/>
      <c r="X9" s="85">
        <v>145</v>
      </c>
    </row>
    <row r="10" spans="1:24" s="104" customFormat="1" x14ac:dyDescent="0.3">
      <c r="A10" s="303"/>
      <c r="B10" s="309"/>
      <c r="C10" s="309"/>
      <c r="D10" s="309"/>
      <c r="E10" s="313"/>
      <c r="F10" s="305"/>
      <c r="G10" s="309"/>
      <c r="H10" s="307"/>
      <c r="I10" s="315"/>
      <c r="J10" s="309"/>
      <c r="K10" s="309"/>
      <c r="L10" s="309"/>
      <c r="M10" s="309"/>
      <c r="N10" s="109" t="s">
        <v>210</v>
      </c>
      <c r="O10" s="305"/>
      <c r="P10" s="110">
        <v>16800</v>
      </c>
      <c r="Q10" s="111" t="s">
        <v>215</v>
      </c>
      <c r="R10" s="112"/>
      <c r="S10" s="110"/>
      <c r="T10" s="110"/>
      <c r="U10" s="307"/>
      <c r="V10" s="311"/>
      <c r="W10" s="317"/>
      <c r="X10" s="104">
        <v>145</v>
      </c>
    </row>
    <row r="11" spans="1:24" s="85" customFormat="1" ht="72" customHeight="1" x14ac:dyDescent="0.3">
      <c r="A11" s="323">
        <v>2</v>
      </c>
      <c r="B11" s="329" t="s">
        <v>56</v>
      </c>
      <c r="C11" s="329"/>
      <c r="D11" s="329"/>
      <c r="E11" s="338" t="s">
        <v>161</v>
      </c>
      <c r="F11" s="325" t="s">
        <v>217</v>
      </c>
      <c r="G11" s="329" t="s">
        <v>218</v>
      </c>
      <c r="H11" s="327">
        <v>156799.5</v>
      </c>
      <c r="I11" s="340">
        <f>IF(X11 = 146, H11 + SUM(S11:S12) - SUM(T11:T12) - SUM(P11:P12) - V11,0)</f>
        <v>0</v>
      </c>
      <c r="J11" s="329" t="s">
        <v>219</v>
      </c>
      <c r="K11" s="329" t="s">
        <v>220</v>
      </c>
      <c r="L11" s="329"/>
      <c r="M11" s="329" t="s">
        <v>221</v>
      </c>
      <c r="N11" s="128" t="s">
        <v>222</v>
      </c>
      <c r="O11" s="325" t="s">
        <v>223</v>
      </c>
      <c r="P11" s="122">
        <v>61490</v>
      </c>
      <c r="Q11" s="123" t="s">
        <v>224</v>
      </c>
      <c r="R11" s="124"/>
      <c r="S11" s="122"/>
      <c r="T11" s="122"/>
      <c r="U11" s="327"/>
      <c r="V11" s="331"/>
      <c r="W11" s="336"/>
      <c r="X11" s="85">
        <v>146</v>
      </c>
    </row>
    <row r="12" spans="1:24" s="104" customFormat="1" x14ac:dyDescent="0.3">
      <c r="A12" s="324"/>
      <c r="B12" s="330"/>
      <c r="C12" s="330"/>
      <c r="D12" s="330"/>
      <c r="E12" s="339"/>
      <c r="F12" s="326"/>
      <c r="G12" s="330"/>
      <c r="H12" s="328"/>
      <c r="I12" s="341"/>
      <c r="J12" s="330"/>
      <c r="K12" s="330"/>
      <c r="L12" s="330"/>
      <c r="M12" s="330"/>
      <c r="N12" s="129" t="s">
        <v>261</v>
      </c>
      <c r="O12" s="326"/>
      <c r="P12" s="125">
        <v>95309.5</v>
      </c>
      <c r="Q12" s="126" t="s">
        <v>263</v>
      </c>
      <c r="R12" s="127"/>
      <c r="S12" s="125"/>
      <c r="T12" s="125"/>
      <c r="U12" s="328"/>
      <c r="V12" s="332"/>
      <c r="W12" s="337"/>
      <c r="X12" s="104">
        <v>146</v>
      </c>
    </row>
    <row r="13" spans="1:24" s="85" customFormat="1" ht="36" customHeight="1" x14ac:dyDescent="0.3">
      <c r="A13" s="302">
        <v>3</v>
      </c>
      <c r="B13" s="308" t="s">
        <v>56</v>
      </c>
      <c r="C13" s="308"/>
      <c r="D13" s="308"/>
      <c r="E13" s="312" t="s">
        <v>161</v>
      </c>
      <c r="F13" s="304" t="s">
        <v>210</v>
      </c>
      <c r="G13" s="308" t="s">
        <v>211</v>
      </c>
      <c r="H13" s="306">
        <v>26438</v>
      </c>
      <c r="I13" s="314">
        <f>IF(X13 = 147, H13 + SUM(S13:S14) - SUM(T13:T14) - SUM(P13:P14) - V13,0)</f>
        <v>0</v>
      </c>
      <c r="J13" s="308" t="s">
        <v>225</v>
      </c>
      <c r="K13" s="308" t="s">
        <v>226</v>
      </c>
      <c r="L13" s="308"/>
      <c r="M13" s="308" t="s">
        <v>213</v>
      </c>
      <c r="N13" s="105" t="s">
        <v>210</v>
      </c>
      <c r="O13" s="304" t="s">
        <v>214</v>
      </c>
      <c r="P13" s="106">
        <v>16139</v>
      </c>
      <c r="Q13" s="107" t="s">
        <v>224</v>
      </c>
      <c r="R13" s="108"/>
      <c r="S13" s="106"/>
      <c r="T13" s="106"/>
      <c r="U13" s="306"/>
      <c r="V13" s="310"/>
      <c r="W13" s="316"/>
      <c r="X13" s="85">
        <v>147</v>
      </c>
    </row>
    <row r="14" spans="1:24" s="104" customFormat="1" x14ac:dyDescent="0.3">
      <c r="A14" s="303"/>
      <c r="B14" s="309"/>
      <c r="C14" s="309"/>
      <c r="D14" s="309"/>
      <c r="E14" s="313"/>
      <c r="F14" s="305"/>
      <c r="G14" s="309"/>
      <c r="H14" s="307"/>
      <c r="I14" s="315"/>
      <c r="J14" s="309"/>
      <c r="K14" s="309"/>
      <c r="L14" s="309"/>
      <c r="M14" s="309"/>
      <c r="N14" s="109" t="s">
        <v>210</v>
      </c>
      <c r="O14" s="305"/>
      <c r="P14" s="110">
        <v>10299</v>
      </c>
      <c r="Q14" s="111" t="s">
        <v>224</v>
      </c>
      <c r="R14" s="112"/>
      <c r="S14" s="110"/>
      <c r="T14" s="110"/>
      <c r="U14" s="307"/>
      <c r="V14" s="311"/>
      <c r="W14" s="317"/>
      <c r="X14" s="104">
        <v>147</v>
      </c>
    </row>
    <row r="15" spans="1:24" s="85" customFormat="1" ht="54" x14ac:dyDescent="0.3">
      <c r="A15" s="86">
        <v>4</v>
      </c>
      <c r="B15" s="88" t="s">
        <v>56</v>
      </c>
      <c r="C15" s="88"/>
      <c r="D15" s="88"/>
      <c r="E15" s="91" t="s">
        <v>161</v>
      </c>
      <c r="F15" s="103" t="s">
        <v>243</v>
      </c>
      <c r="G15" s="88" t="s">
        <v>244</v>
      </c>
      <c r="H15" s="87">
        <v>8000</v>
      </c>
      <c r="I15" s="92">
        <f>IF(X15 = 148, H15 + SUM(S15:S15) - SUM(T15:T15) - SUM(P15:P15) - V15,0)</f>
        <v>0</v>
      </c>
      <c r="J15" s="88" t="s">
        <v>245</v>
      </c>
      <c r="K15" s="88" t="s">
        <v>246</v>
      </c>
      <c r="L15" s="88"/>
      <c r="M15" s="88" t="s">
        <v>221</v>
      </c>
      <c r="N15" s="103" t="s">
        <v>243</v>
      </c>
      <c r="O15" s="103" t="s">
        <v>248</v>
      </c>
      <c r="P15" s="87">
        <v>8000</v>
      </c>
      <c r="Q15" s="91" t="s">
        <v>247</v>
      </c>
      <c r="R15" s="88"/>
      <c r="S15" s="87"/>
      <c r="T15" s="87"/>
      <c r="U15" s="87"/>
      <c r="V15" s="95"/>
      <c r="W15" s="90"/>
      <c r="X15" s="85">
        <v>148</v>
      </c>
    </row>
    <row r="16" spans="1:24" s="85" customFormat="1" ht="72" x14ac:dyDescent="0.3">
      <c r="A16" s="86">
        <v>5</v>
      </c>
      <c r="B16" s="88" t="s">
        <v>56</v>
      </c>
      <c r="C16" s="88"/>
      <c r="D16" s="88"/>
      <c r="E16" s="91" t="s">
        <v>249</v>
      </c>
      <c r="F16" s="103" t="s">
        <v>250</v>
      </c>
      <c r="G16" s="88" t="s">
        <v>211</v>
      </c>
      <c r="H16" s="87">
        <v>46500</v>
      </c>
      <c r="I16" s="92">
        <f>IF(X16 = 149, H16 + SUM(S16:S16) - SUM(T16:T16) - SUM(P16:P16) - V16,0)</f>
        <v>0</v>
      </c>
      <c r="J16" s="88" t="s">
        <v>216</v>
      </c>
      <c r="K16" s="88" t="s">
        <v>212</v>
      </c>
      <c r="L16" s="88"/>
      <c r="M16" s="88" t="s">
        <v>251</v>
      </c>
      <c r="N16" s="103" t="s">
        <v>250</v>
      </c>
      <c r="O16" s="103" t="s">
        <v>214</v>
      </c>
      <c r="P16" s="87">
        <v>46500</v>
      </c>
      <c r="Q16" s="91">
        <v>45715</v>
      </c>
      <c r="R16" s="88"/>
      <c r="S16" s="87"/>
      <c r="T16" s="87"/>
      <c r="U16" s="87"/>
      <c r="V16" s="95"/>
      <c r="W16" s="90"/>
      <c r="X16" s="85">
        <v>149</v>
      </c>
    </row>
    <row r="17" spans="1:24" s="85" customFormat="1" ht="54" x14ac:dyDescent="0.3">
      <c r="A17" s="86">
        <v>6</v>
      </c>
      <c r="B17" s="88" t="s">
        <v>56</v>
      </c>
      <c r="C17" s="88"/>
      <c r="D17" s="88"/>
      <c r="E17" s="91" t="s">
        <v>238</v>
      </c>
      <c r="F17" s="103" t="s">
        <v>242</v>
      </c>
      <c r="G17" s="88" t="s">
        <v>252</v>
      </c>
      <c r="H17" s="87">
        <v>8100</v>
      </c>
      <c r="I17" s="92">
        <f>IF(X17 = 150, H17 + SUM(S17:S17) - SUM(T17:T17) - SUM(P17:P17) - V17,0)</f>
        <v>0</v>
      </c>
      <c r="J17" s="88" t="s">
        <v>216</v>
      </c>
      <c r="K17" s="88" t="s">
        <v>212</v>
      </c>
      <c r="L17" s="88"/>
      <c r="M17" s="88" t="s">
        <v>253</v>
      </c>
      <c r="N17" s="103" t="s">
        <v>250</v>
      </c>
      <c r="O17" s="103" t="s">
        <v>248</v>
      </c>
      <c r="P17" s="87">
        <v>8100</v>
      </c>
      <c r="Q17" s="91" t="s">
        <v>254</v>
      </c>
      <c r="R17" s="88"/>
      <c r="S17" s="87"/>
      <c r="T17" s="87"/>
      <c r="U17" s="87"/>
      <c r="V17" s="95"/>
      <c r="W17" s="90"/>
      <c r="X17" s="85">
        <v>150</v>
      </c>
    </row>
    <row r="18" spans="1:24" s="85" customFormat="1" ht="54" x14ac:dyDescent="0.3">
      <c r="A18" s="153">
        <v>7</v>
      </c>
      <c r="B18" s="154" t="s">
        <v>56</v>
      </c>
      <c r="C18" s="154"/>
      <c r="D18" s="154"/>
      <c r="E18" s="155" t="s">
        <v>305</v>
      </c>
      <c r="F18" s="168" t="s">
        <v>306</v>
      </c>
      <c r="G18" s="154" t="s">
        <v>307</v>
      </c>
      <c r="H18" s="156">
        <v>2640</v>
      </c>
      <c r="I18" s="157">
        <f>IF(X18 = 151, H18 + SUM(S18:S18) - SUM(T18:T18) - SUM(P18:P18) - V18,0)</f>
        <v>0</v>
      </c>
      <c r="J18" s="154" t="s">
        <v>308</v>
      </c>
      <c r="K18" s="154" t="s">
        <v>309</v>
      </c>
      <c r="L18" s="154"/>
      <c r="M18" s="154" t="s">
        <v>310</v>
      </c>
      <c r="N18" s="168" t="s">
        <v>311</v>
      </c>
      <c r="O18" s="168" t="s">
        <v>312</v>
      </c>
      <c r="P18" s="156">
        <v>2640</v>
      </c>
      <c r="Q18" s="155" t="s">
        <v>313</v>
      </c>
      <c r="R18" s="154"/>
      <c r="S18" s="156"/>
      <c r="T18" s="156"/>
      <c r="U18" s="156"/>
      <c r="V18" s="169"/>
      <c r="W18" s="158"/>
      <c r="X18" s="85">
        <v>151</v>
      </c>
    </row>
    <row r="19" spans="1:24" s="85" customFormat="1" ht="54" x14ac:dyDescent="0.3">
      <c r="A19" s="153">
        <v>8</v>
      </c>
      <c r="B19" s="154" t="s">
        <v>56</v>
      </c>
      <c r="C19" s="154"/>
      <c r="D19" s="154"/>
      <c r="E19" s="155" t="s">
        <v>314</v>
      </c>
      <c r="F19" s="168" t="s">
        <v>301</v>
      </c>
      <c r="G19" s="154" t="s">
        <v>315</v>
      </c>
      <c r="H19" s="156">
        <v>89733</v>
      </c>
      <c r="I19" s="157">
        <f>IF(X19 = 152, H19 + SUM(S19:S19) - SUM(T19:T19) - SUM(P19:P19) - V19,0)</f>
        <v>0</v>
      </c>
      <c r="J19" s="154" t="s">
        <v>316</v>
      </c>
      <c r="K19" s="154" t="s">
        <v>317</v>
      </c>
      <c r="L19" s="154"/>
      <c r="M19" s="154" t="s">
        <v>318</v>
      </c>
      <c r="N19" s="168" t="s">
        <v>301</v>
      </c>
      <c r="O19" s="168" t="s">
        <v>312</v>
      </c>
      <c r="P19" s="156">
        <v>89733</v>
      </c>
      <c r="Q19" s="155" t="s">
        <v>319</v>
      </c>
      <c r="R19" s="154"/>
      <c r="S19" s="156"/>
      <c r="T19" s="156"/>
      <c r="U19" s="156"/>
      <c r="V19" s="169"/>
      <c r="W19" s="158"/>
      <c r="X19" s="85">
        <v>152</v>
      </c>
    </row>
    <row r="20" spans="1:24" s="85" customFormat="1" ht="108" x14ac:dyDescent="0.3">
      <c r="A20" s="153">
        <v>9</v>
      </c>
      <c r="B20" s="154" t="s">
        <v>56</v>
      </c>
      <c r="C20" s="154"/>
      <c r="D20" s="154"/>
      <c r="E20" s="155" t="s">
        <v>161</v>
      </c>
      <c r="F20" s="168" t="s">
        <v>265</v>
      </c>
      <c r="G20" s="154" t="s">
        <v>320</v>
      </c>
      <c r="H20" s="156">
        <v>700</v>
      </c>
      <c r="I20" s="157">
        <f>IF(X20 = 153, H20 + SUM(S20:S20) - SUM(T20:T20) - SUM(P20:P20) - V20,0)</f>
        <v>0</v>
      </c>
      <c r="J20" s="154" t="s">
        <v>321</v>
      </c>
      <c r="K20" s="154" t="s">
        <v>322</v>
      </c>
      <c r="L20" s="154"/>
      <c r="M20" s="154" t="s">
        <v>323</v>
      </c>
      <c r="N20" s="168" t="s">
        <v>301</v>
      </c>
      <c r="O20" s="168" t="s">
        <v>324</v>
      </c>
      <c r="P20" s="156">
        <v>700</v>
      </c>
      <c r="Q20" s="155" t="s">
        <v>313</v>
      </c>
      <c r="R20" s="154"/>
      <c r="S20" s="156"/>
      <c r="T20" s="156"/>
      <c r="U20" s="156"/>
      <c r="V20" s="169"/>
      <c r="W20" s="158"/>
      <c r="X20" s="85">
        <v>153</v>
      </c>
    </row>
    <row r="21" spans="1:24" s="85" customFormat="1" ht="72" x14ac:dyDescent="0.3">
      <c r="A21" s="153">
        <v>10</v>
      </c>
      <c r="B21" s="154" t="s">
        <v>56</v>
      </c>
      <c r="C21" s="154"/>
      <c r="D21" s="154"/>
      <c r="E21" s="155" t="s">
        <v>160</v>
      </c>
      <c r="F21" s="168" t="s">
        <v>297</v>
      </c>
      <c r="G21" s="154" t="s">
        <v>325</v>
      </c>
      <c r="H21" s="156">
        <v>9890</v>
      </c>
      <c r="I21" s="157">
        <f>IF(X21 = 154, H21 + SUM(S21:S21) - SUM(T21:T21) - SUM(P21:P21) - V21,0)</f>
        <v>0</v>
      </c>
      <c r="J21" s="154" t="s">
        <v>326</v>
      </c>
      <c r="K21" s="154" t="s">
        <v>327</v>
      </c>
      <c r="L21" s="154"/>
      <c r="M21" s="154" t="s">
        <v>343</v>
      </c>
      <c r="N21" s="168" t="s">
        <v>328</v>
      </c>
      <c r="O21" s="168" t="s">
        <v>329</v>
      </c>
      <c r="P21" s="156">
        <v>9890</v>
      </c>
      <c r="Q21" s="155" t="s">
        <v>300</v>
      </c>
      <c r="R21" s="154"/>
      <c r="S21" s="156"/>
      <c r="T21" s="156"/>
      <c r="U21" s="156"/>
      <c r="V21" s="169"/>
      <c r="W21" s="158"/>
      <c r="X21" s="85">
        <v>154</v>
      </c>
    </row>
    <row r="22" spans="1:24" s="85" customFormat="1" ht="54" x14ac:dyDescent="0.3">
      <c r="A22" s="153">
        <v>11</v>
      </c>
      <c r="B22" s="154" t="s">
        <v>56</v>
      </c>
      <c r="C22" s="154"/>
      <c r="D22" s="154"/>
      <c r="E22" s="155" t="s">
        <v>160</v>
      </c>
      <c r="F22" s="168" t="s">
        <v>330</v>
      </c>
      <c r="G22" s="154" t="s">
        <v>331</v>
      </c>
      <c r="H22" s="156">
        <v>12151.68</v>
      </c>
      <c r="I22" s="157">
        <f>IF(X22 = 155, H22 + SUM(S22:S22) - SUM(T22:T22) - SUM(P22:P22) - V22,0)</f>
        <v>0</v>
      </c>
      <c r="J22" s="154" t="s">
        <v>332</v>
      </c>
      <c r="K22" s="154" t="s">
        <v>333</v>
      </c>
      <c r="L22" s="154"/>
      <c r="M22" s="154" t="s">
        <v>342</v>
      </c>
      <c r="N22" s="168" t="s">
        <v>337</v>
      </c>
      <c r="O22" s="168" t="s">
        <v>312</v>
      </c>
      <c r="P22" s="156">
        <v>12151.68</v>
      </c>
      <c r="Q22" s="155" t="s">
        <v>297</v>
      </c>
      <c r="R22" s="154"/>
      <c r="S22" s="156"/>
      <c r="T22" s="156"/>
      <c r="U22" s="156"/>
      <c r="V22" s="169"/>
      <c r="W22" s="158"/>
      <c r="X22" s="85">
        <v>155</v>
      </c>
    </row>
    <row r="23" spans="1:24" s="85" customFormat="1" ht="72" customHeight="1" x14ac:dyDescent="0.3">
      <c r="A23" s="342">
        <v>12</v>
      </c>
      <c r="B23" s="351" t="s">
        <v>56</v>
      </c>
      <c r="C23" s="351"/>
      <c r="D23" s="351"/>
      <c r="E23" s="357" t="s">
        <v>160</v>
      </c>
      <c r="F23" s="345" t="s">
        <v>338</v>
      </c>
      <c r="G23" s="351" t="s">
        <v>339</v>
      </c>
      <c r="H23" s="348">
        <v>10980.22</v>
      </c>
      <c r="I23" s="360">
        <f>IF(X23 = 156, H23 + SUM(S23:S27) - SUM(T23:T27) - SUM(P23:P27) - V23,0)</f>
        <v>6898.9999999999991</v>
      </c>
      <c r="J23" s="351" t="s">
        <v>340</v>
      </c>
      <c r="K23" s="351" t="s">
        <v>341</v>
      </c>
      <c r="L23" s="351"/>
      <c r="M23" s="351" t="s">
        <v>171</v>
      </c>
      <c r="N23" s="229" t="s">
        <v>290</v>
      </c>
      <c r="O23" s="345" t="s">
        <v>329</v>
      </c>
      <c r="P23" s="221">
        <v>866.1</v>
      </c>
      <c r="Q23" s="219" t="s">
        <v>294</v>
      </c>
      <c r="R23" s="220"/>
      <c r="S23" s="221"/>
      <c r="T23" s="221"/>
      <c r="U23" s="348"/>
      <c r="V23" s="354"/>
      <c r="W23" s="333"/>
      <c r="X23" s="85">
        <v>156</v>
      </c>
    </row>
    <row r="24" spans="1:24" s="104" customFormat="1" x14ac:dyDescent="0.3">
      <c r="A24" s="343"/>
      <c r="B24" s="352"/>
      <c r="C24" s="352"/>
      <c r="D24" s="352"/>
      <c r="E24" s="358"/>
      <c r="F24" s="346"/>
      <c r="G24" s="352"/>
      <c r="H24" s="349"/>
      <c r="I24" s="361"/>
      <c r="J24" s="352"/>
      <c r="K24" s="352"/>
      <c r="L24" s="352"/>
      <c r="M24" s="352"/>
      <c r="N24" s="230" t="s">
        <v>261</v>
      </c>
      <c r="O24" s="346"/>
      <c r="P24" s="225">
        <v>721.49</v>
      </c>
      <c r="Q24" s="223" t="s">
        <v>262</v>
      </c>
      <c r="R24" s="224"/>
      <c r="S24" s="225"/>
      <c r="T24" s="225"/>
      <c r="U24" s="349"/>
      <c r="V24" s="355"/>
      <c r="W24" s="334"/>
      <c r="X24" s="104">
        <v>156</v>
      </c>
    </row>
    <row r="25" spans="1:24" s="104" customFormat="1" x14ac:dyDescent="0.3">
      <c r="A25" s="343"/>
      <c r="B25" s="352"/>
      <c r="C25" s="352"/>
      <c r="D25" s="352"/>
      <c r="E25" s="358"/>
      <c r="F25" s="346"/>
      <c r="G25" s="352"/>
      <c r="H25" s="349"/>
      <c r="I25" s="361"/>
      <c r="J25" s="352"/>
      <c r="K25" s="352"/>
      <c r="L25" s="352"/>
      <c r="M25" s="352"/>
      <c r="N25" s="230" t="s">
        <v>222</v>
      </c>
      <c r="O25" s="346"/>
      <c r="P25" s="225">
        <v>834.89</v>
      </c>
      <c r="Q25" s="223" t="s">
        <v>227</v>
      </c>
      <c r="R25" s="224"/>
      <c r="S25" s="225"/>
      <c r="T25" s="225"/>
      <c r="U25" s="349"/>
      <c r="V25" s="355"/>
      <c r="W25" s="334"/>
      <c r="X25" s="104">
        <v>156</v>
      </c>
    </row>
    <row r="26" spans="1:24" s="104" customFormat="1" x14ac:dyDescent="0.3">
      <c r="A26" s="343"/>
      <c r="B26" s="352"/>
      <c r="C26" s="352"/>
      <c r="D26" s="352"/>
      <c r="E26" s="358"/>
      <c r="F26" s="346"/>
      <c r="G26" s="352"/>
      <c r="H26" s="349"/>
      <c r="I26" s="361"/>
      <c r="J26" s="352"/>
      <c r="K26" s="352"/>
      <c r="L26" s="352"/>
      <c r="M26" s="352"/>
      <c r="N26" s="230" t="s">
        <v>356</v>
      </c>
      <c r="O26" s="346"/>
      <c r="P26" s="225">
        <v>828.24</v>
      </c>
      <c r="Q26" s="223" t="s">
        <v>357</v>
      </c>
      <c r="R26" s="224"/>
      <c r="S26" s="225"/>
      <c r="T26" s="225"/>
      <c r="U26" s="349"/>
      <c r="V26" s="355"/>
      <c r="W26" s="334"/>
      <c r="X26" s="104">
        <v>156</v>
      </c>
    </row>
    <row r="27" spans="1:24" s="104" customFormat="1" x14ac:dyDescent="0.3">
      <c r="A27" s="344"/>
      <c r="B27" s="353"/>
      <c r="C27" s="353"/>
      <c r="D27" s="353"/>
      <c r="E27" s="359"/>
      <c r="F27" s="347"/>
      <c r="G27" s="353"/>
      <c r="H27" s="350"/>
      <c r="I27" s="362"/>
      <c r="J27" s="353"/>
      <c r="K27" s="353"/>
      <c r="L27" s="353"/>
      <c r="M27" s="353"/>
      <c r="N27" s="231" t="s">
        <v>405</v>
      </c>
      <c r="O27" s="347"/>
      <c r="P27" s="226">
        <v>830.5</v>
      </c>
      <c r="Q27" s="227" t="s">
        <v>412</v>
      </c>
      <c r="R27" s="228"/>
      <c r="S27" s="226"/>
      <c r="T27" s="226"/>
      <c r="U27" s="350"/>
      <c r="V27" s="356"/>
      <c r="W27" s="335"/>
      <c r="X27" s="104">
        <v>156</v>
      </c>
    </row>
    <row r="28" spans="1:24" s="85" customFormat="1" ht="72" x14ac:dyDescent="0.3">
      <c r="A28" s="180">
        <v>13</v>
      </c>
      <c r="B28" s="181" t="s">
        <v>56</v>
      </c>
      <c r="C28" s="181"/>
      <c r="D28" s="181"/>
      <c r="E28" s="182" t="s">
        <v>160</v>
      </c>
      <c r="F28" s="198" t="s">
        <v>368</v>
      </c>
      <c r="G28" s="181" t="s">
        <v>369</v>
      </c>
      <c r="H28" s="183">
        <v>9400</v>
      </c>
      <c r="I28" s="184">
        <f>IF(X28 = 157, H28 + SUM(S28:S28) - SUM(T28:T28) - SUM(P28:P28) - V28,0)</f>
        <v>0</v>
      </c>
      <c r="J28" s="181" t="s">
        <v>374</v>
      </c>
      <c r="K28" s="181" t="s">
        <v>370</v>
      </c>
      <c r="L28" s="181"/>
      <c r="M28" s="181" t="s">
        <v>371</v>
      </c>
      <c r="N28" s="198" t="s">
        <v>372</v>
      </c>
      <c r="O28" s="198" t="s">
        <v>373</v>
      </c>
      <c r="P28" s="183">
        <v>9400</v>
      </c>
      <c r="Q28" s="182" t="s">
        <v>367</v>
      </c>
      <c r="R28" s="181"/>
      <c r="S28" s="183"/>
      <c r="T28" s="183"/>
      <c r="U28" s="183"/>
      <c r="V28" s="199"/>
      <c r="W28" s="185"/>
      <c r="X28" s="85">
        <v>157</v>
      </c>
    </row>
    <row r="29" spans="1:24" s="85" customFormat="1" ht="72" x14ac:dyDescent="0.3">
      <c r="A29" s="180">
        <v>14</v>
      </c>
      <c r="B29" s="181" t="s">
        <v>56</v>
      </c>
      <c r="C29" s="181"/>
      <c r="D29" s="181"/>
      <c r="E29" s="182" t="s">
        <v>375</v>
      </c>
      <c r="F29" s="198" t="s">
        <v>360</v>
      </c>
      <c r="G29" s="181" t="s">
        <v>376</v>
      </c>
      <c r="H29" s="183">
        <v>5000</v>
      </c>
      <c r="I29" s="184">
        <f>IF(X29 = 158, H29 + SUM(S29:S29) - SUM(T29:T29) - SUM(P29:P29) - V29,0)</f>
        <v>0</v>
      </c>
      <c r="J29" s="181" t="s">
        <v>377</v>
      </c>
      <c r="K29" s="181" t="s">
        <v>153</v>
      </c>
      <c r="L29" s="181"/>
      <c r="M29" s="181" t="s">
        <v>378</v>
      </c>
      <c r="N29" s="198" t="s">
        <v>360</v>
      </c>
      <c r="O29" s="198" t="s">
        <v>379</v>
      </c>
      <c r="P29" s="183">
        <v>5000</v>
      </c>
      <c r="Q29" s="182" t="s">
        <v>358</v>
      </c>
      <c r="R29" s="181"/>
      <c r="S29" s="183"/>
      <c r="T29" s="183"/>
      <c r="U29" s="183"/>
      <c r="V29" s="199"/>
      <c r="W29" s="185"/>
      <c r="X29" s="85">
        <v>158</v>
      </c>
    </row>
    <row r="30" spans="1:24" s="85" customFormat="1" ht="72" x14ac:dyDescent="0.3">
      <c r="A30" s="180">
        <v>15</v>
      </c>
      <c r="B30" s="181" t="s">
        <v>56</v>
      </c>
      <c r="C30" s="181"/>
      <c r="D30" s="181"/>
      <c r="E30" s="182" t="s">
        <v>380</v>
      </c>
      <c r="F30" s="198" t="s">
        <v>358</v>
      </c>
      <c r="G30" s="181" t="s">
        <v>388</v>
      </c>
      <c r="H30" s="183">
        <v>4000</v>
      </c>
      <c r="I30" s="184">
        <f>IF(X30 = 159, H30 + SUM(S30:S30) - SUM(T30:T30) - SUM(P30:P30) - V30,0)</f>
        <v>0</v>
      </c>
      <c r="J30" s="181" t="s">
        <v>381</v>
      </c>
      <c r="K30" s="181" t="s">
        <v>382</v>
      </c>
      <c r="L30" s="181"/>
      <c r="M30" s="181" t="s">
        <v>383</v>
      </c>
      <c r="N30" s="198" t="s">
        <v>358</v>
      </c>
      <c r="O30" s="198" t="s">
        <v>373</v>
      </c>
      <c r="P30" s="183">
        <v>4000</v>
      </c>
      <c r="Q30" s="182" t="s">
        <v>384</v>
      </c>
      <c r="R30" s="181"/>
      <c r="S30" s="183"/>
      <c r="T30" s="183"/>
      <c r="U30" s="183"/>
      <c r="V30" s="199"/>
      <c r="W30" s="185"/>
      <c r="X30" s="85">
        <v>159</v>
      </c>
    </row>
    <row r="31" spans="1:24" s="85" customFormat="1" ht="54" x14ac:dyDescent="0.3">
      <c r="A31" s="180">
        <v>16</v>
      </c>
      <c r="B31" s="181" t="s">
        <v>56</v>
      </c>
      <c r="C31" s="181"/>
      <c r="D31" s="181"/>
      <c r="E31" s="182" t="s">
        <v>385</v>
      </c>
      <c r="F31" s="198" t="s">
        <v>386</v>
      </c>
      <c r="G31" s="181" t="s">
        <v>387</v>
      </c>
      <c r="H31" s="183">
        <v>3400</v>
      </c>
      <c r="I31" s="184">
        <f>IF(X31 = 160, H31 + SUM(S31:S31) - SUM(T31:T31) - SUM(P31:P31) - V31,0)</f>
        <v>0</v>
      </c>
      <c r="J31" s="181" t="s">
        <v>389</v>
      </c>
      <c r="K31" s="181" t="s">
        <v>390</v>
      </c>
      <c r="L31" s="181"/>
      <c r="M31" s="181" t="s">
        <v>392</v>
      </c>
      <c r="N31" s="198" t="s">
        <v>386</v>
      </c>
      <c r="O31" s="198" t="s">
        <v>391</v>
      </c>
      <c r="P31" s="183">
        <v>3400</v>
      </c>
      <c r="Q31" s="182" t="s">
        <v>357</v>
      </c>
      <c r="R31" s="181"/>
      <c r="S31" s="183"/>
      <c r="T31" s="183"/>
      <c r="U31" s="183"/>
      <c r="V31" s="199"/>
      <c r="W31" s="185"/>
      <c r="X31" s="85">
        <v>160</v>
      </c>
    </row>
    <row r="32" spans="1:24" s="85" customFormat="1" ht="54" x14ac:dyDescent="0.3">
      <c r="A32" s="180">
        <v>17</v>
      </c>
      <c r="B32" s="181" t="s">
        <v>56</v>
      </c>
      <c r="C32" s="181"/>
      <c r="D32" s="181"/>
      <c r="E32" s="182" t="s">
        <v>393</v>
      </c>
      <c r="F32" s="198" t="s">
        <v>386</v>
      </c>
      <c r="G32" s="181" t="s">
        <v>394</v>
      </c>
      <c r="H32" s="183">
        <v>3701.7</v>
      </c>
      <c r="I32" s="184">
        <f>IF(X32 = 161, H32 + SUM(S32:S32) - SUM(T32:T32) - SUM(P32:P32) - V32,0)</f>
        <v>0</v>
      </c>
      <c r="J32" s="181" t="s">
        <v>389</v>
      </c>
      <c r="K32" s="181" t="s">
        <v>390</v>
      </c>
      <c r="L32" s="181"/>
      <c r="M32" s="181" t="s">
        <v>392</v>
      </c>
      <c r="N32" s="198">
        <v>45775</v>
      </c>
      <c r="O32" s="198" t="s">
        <v>391</v>
      </c>
      <c r="P32" s="183">
        <v>3701.7</v>
      </c>
      <c r="Q32" s="182">
        <v>45782</v>
      </c>
      <c r="R32" s="181"/>
      <c r="S32" s="183"/>
      <c r="T32" s="183"/>
      <c r="U32" s="183"/>
      <c r="V32" s="199"/>
      <c r="W32" s="185"/>
      <c r="X32" s="85">
        <v>161</v>
      </c>
    </row>
    <row r="33" spans="1:24" s="85" customFormat="1" ht="72" x14ac:dyDescent="0.3">
      <c r="A33" s="180">
        <v>18</v>
      </c>
      <c r="B33" s="181" t="s">
        <v>56</v>
      </c>
      <c r="C33" s="181"/>
      <c r="D33" s="181"/>
      <c r="E33" s="182" t="s">
        <v>395</v>
      </c>
      <c r="F33" s="198" t="s">
        <v>299</v>
      </c>
      <c r="G33" s="181" t="s">
        <v>396</v>
      </c>
      <c r="H33" s="183">
        <v>52595</v>
      </c>
      <c r="I33" s="184">
        <f>IF(X33 = 162, H33 + SUM(S33:S33) - SUM(T33:T33) - SUM(P33:P33) - V33,0)</f>
        <v>0</v>
      </c>
      <c r="J33" s="181" t="s">
        <v>397</v>
      </c>
      <c r="K33" s="181" t="s">
        <v>170</v>
      </c>
      <c r="L33" s="181"/>
      <c r="M33" s="181" t="s">
        <v>398</v>
      </c>
      <c r="N33" s="198" t="s">
        <v>359</v>
      </c>
      <c r="O33" s="198" t="s">
        <v>399</v>
      </c>
      <c r="P33" s="183">
        <v>52595</v>
      </c>
      <c r="Q33" s="182" t="s">
        <v>361</v>
      </c>
      <c r="R33" s="181"/>
      <c r="S33" s="183"/>
      <c r="T33" s="183"/>
      <c r="U33" s="183"/>
      <c r="V33" s="199"/>
      <c r="W33" s="185"/>
      <c r="X33" s="85">
        <v>162</v>
      </c>
    </row>
    <row r="34" spans="1:24" s="85" customFormat="1" ht="72" x14ac:dyDescent="0.3">
      <c r="A34" s="180">
        <v>19</v>
      </c>
      <c r="B34" s="181" t="s">
        <v>56</v>
      </c>
      <c r="C34" s="181"/>
      <c r="D34" s="181"/>
      <c r="E34" s="182" t="s">
        <v>400</v>
      </c>
      <c r="F34" s="198" t="s">
        <v>299</v>
      </c>
      <c r="G34" s="181" t="s">
        <v>396</v>
      </c>
      <c r="H34" s="183">
        <v>2916</v>
      </c>
      <c r="I34" s="184">
        <f>IF(X34 = 163, H34 + SUM(S34:S34) - SUM(T34:T34) - SUM(P34:P34) - V34,0)</f>
        <v>0</v>
      </c>
      <c r="J34" s="181" t="s">
        <v>397</v>
      </c>
      <c r="K34" s="181" t="s">
        <v>170</v>
      </c>
      <c r="L34" s="181"/>
      <c r="M34" s="181" t="s">
        <v>398</v>
      </c>
      <c r="N34" s="198" t="s">
        <v>359</v>
      </c>
      <c r="O34" s="198" t="s">
        <v>399</v>
      </c>
      <c r="P34" s="183">
        <v>2916</v>
      </c>
      <c r="Q34" s="182" t="s">
        <v>361</v>
      </c>
      <c r="R34" s="181"/>
      <c r="S34" s="183"/>
      <c r="T34" s="183"/>
      <c r="U34" s="183"/>
      <c r="V34" s="199"/>
      <c r="W34" s="185"/>
      <c r="X34" s="85">
        <v>163</v>
      </c>
    </row>
    <row r="35" spans="1:24" s="85" customFormat="1" ht="90" x14ac:dyDescent="0.3">
      <c r="A35" s="210">
        <v>20</v>
      </c>
      <c r="B35" s="211" t="s">
        <v>56</v>
      </c>
      <c r="C35" s="211"/>
      <c r="D35" s="211"/>
      <c r="E35" s="212" t="s">
        <v>413</v>
      </c>
      <c r="F35" s="232" t="s">
        <v>414</v>
      </c>
      <c r="G35" s="211" t="s">
        <v>415</v>
      </c>
      <c r="H35" s="213">
        <v>180000</v>
      </c>
      <c r="I35" s="214">
        <f>IF(X35 = 164, H35 + SUM(S35:S35) - SUM(T35:T35) - SUM(P35:P35) - V35,0)</f>
        <v>0</v>
      </c>
      <c r="J35" s="211" t="s">
        <v>416</v>
      </c>
      <c r="K35" s="211" t="s">
        <v>417</v>
      </c>
      <c r="L35" s="211"/>
      <c r="M35" s="211" t="s">
        <v>418</v>
      </c>
      <c r="N35" s="232" t="s">
        <v>419</v>
      </c>
      <c r="O35" s="232" t="s">
        <v>420</v>
      </c>
      <c r="P35" s="213">
        <v>180000</v>
      </c>
      <c r="Q35" s="212" t="s">
        <v>421</v>
      </c>
      <c r="R35" s="211"/>
      <c r="S35" s="213"/>
      <c r="T35" s="213"/>
      <c r="U35" s="213"/>
      <c r="V35" s="233"/>
      <c r="W35" s="206"/>
      <c r="X35" s="85">
        <v>164</v>
      </c>
    </row>
    <row r="36" spans="1:24" s="85" customFormat="1" ht="72" x14ac:dyDescent="0.3">
      <c r="A36" s="210">
        <v>21</v>
      </c>
      <c r="B36" s="211" t="s">
        <v>56</v>
      </c>
      <c r="C36" s="211"/>
      <c r="D36" s="211"/>
      <c r="E36" s="212" t="s">
        <v>427</v>
      </c>
      <c r="F36" s="232" t="s">
        <v>357</v>
      </c>
      <c r="G36" s="211" t="s">
        <v>428</v>
      </c>
      <c r="H36" s="213">
        <v>9000</v>
      </c>
      <c r="I36" s="214">
        <f>IF(X36 = 165, H36 + SUM(S36:S36) - SUM(T36:T36) - SUM(P36:P36) - V36,0)</f>
        <v>0</v>
      </c>
      <c r="J36" s="211" t="s">
        <v>429</v>
      </c>
      <c r="K36" s="211" t="s">
        <v>430</v>
      </c>
      <c r="L36" s="211"/>
      <c r="M36" s="211" t="s">
        <v>433</v>
      </c>
      <c r="N36" s="232" t="s">
        <v>431</v>
      </c>
      <c r="O36" s="232" t="s">
        <v>434</v>
      </c>
      <c r="P36" s="213">
        <v>9000</v>
      </c>
      <c r="Q36" s="212" t="s">
        <v>432</v>
      </c>
      <c r="R36" s="211"/>
      <c r="S36" s="213"/>
      <c r="T36" s="213"/>
      <c r="U36" s="213"/>
      <c r="V36" s="233"/>
      <c r="W36" s="206"/>
      <c r="X36" s="85">
        <v>165</v>
      </c>
    </row>
    <row r="37" spans="1:24" s="85" customFormat="1" ht="54" x14ac:dyDescent="0.3">
      <c r="A37" s="210">
        <v>22</v>
      </c>
      <c r="B37" s="211" t="s">
        <v>56</v>
      </c>
      <c r="C37" s="211"/>
      <c r="D37" s="211"/>
      <c r="E37" s="212" t="s">
        <v>442</v>
      </c>
      <c r="F37" s="232" t="s">
        <v>402</v>
      </c>
      <c r="G37" s="211" t="s">
        <v>443</v>
      </c>
      <c r="H37" s="213">
        <v>15504.49</v>
      </c>
      <c r="I37" s="214">
        <f>IF(X37 = 166, H37 + SUM(S37:S37) - SUM(T37:T37) - SUM(P37:P37) - V37,0)</f>
        <v>0</v>
      </c>
      <c r="J37" s="211" t="s">
        <v>444</v>
      </c>
      <c r="K37" s="211" t="s">
        <v>445</v>
      </c>
      <c r="L37" s="211"/>
      <c r="M37" s="211" t="s">
        <v>446</v>
      </c>
      <c r="N37" s="232" t="s">
        <v>447</v>
      </c>
      <c r="O37" s="232" t="s">
        <v>448</v>
      </c>
      <c r="P37" s="213">
        <v>15504.49</v>
      </c>
      <c r="Q37" s="212" t="s">
        <v>404</v>
      </c>
      <c r="R37" s="211"/>
      <c r="S37" s="213"/>
      <c r="T37" s="213"/>
      <c r="U37" s="213"/>
      <c r="V37" s="233"/>
      <c r="W37" s="206"/>
      <c r="X37" s="85">
        <v>166</v>
      </c>
    </row>
    <row r="38" spans="1:24" s="85" customFormat="1" ht="72" x14ac:dyDescent="0.3">
      <c r="A38" s="210">
        <v>23</v>
      </c>
      <c r="B38" s="211" t="s">
        <v>56</v>
      </c>
      <c r="C38" s="211"/>
      <c r="D38" s="211"/>
      <c r="E38" s="212" t="s">
        <v>449</v>
      </c>
      <c r="F38" s="232">
        <v>45796</v>
      </c>
      <c r="G38" s="211" t="s">
        <v>450</v>
      </c>
      <c r="H38" s="213">
        <v>8000</v>
      </c>
      <c r="I38" s="214">
        <f>IF(X38 = 167, H38 + SUM(S38:S38) - SUM(T38:T38) - SUM(P38:P38) - V38,0)</f>
        <v>0</v>
      </c>
      <c r="J38" s="211" t="s">
        <v>451</v>
      </c>
      <c r="K38" s="211" t="s">
        <v>452</v>
      </c>
      <c r="L38" s="211"/>
      <c r="M38" s="211" t="s">
        <v>453</v>
      </c>
      <c r="N38" s="232" t="s">
        <v>447</v>
      </c>
      <c r="O38" s="232" t="s">
        <v>454</v>
      </c>
      <c r="P38" s="213">
        <v>8000</v>
      </c>
      <c r="Q38" s="212" t="s">
        <v>447</v>
      </c>
      <c r="R38" s="211"/>
      <c r="S38" s="213"/>
      <c r="T38" s="213"/>
      <c r="U38" s="213"/>
      <c r="V38" s="233"/>
      <c r="W38" s="206"/>
      <c r="X38" s="85">
        <v>167</v>
      </c>
    </row>
    <row r="39" spans="1:24" x14ac:dyDescent="0.3">
      <c r="X39" s="2">
        <v>168</v>
      </c>
    </row>
  </sheetData>
  <sheetProtection algorithmName="SHA-512" hashValue="w3L6TXyINpBzCOh8ql1BCfSWSQSRwpI2C7fVD/1LmpqdmXfPEocwNhuheDqegtowaxQLkcTiMH5DDyyihHZ87w==" saltValue="XeWmbt5ZGiSMIVAHLPlDNw==" spinCount="100000" sheet="1" objects="1" scenarios="1" formatCells="0" formatColumns="0" formatRows="0"/>
  <mergeCells count="75">
    <mergeCell ref="A23:A27"/>
    <mergeCell ref="O23:O27"/>
    <mergeCell ref="U23:U27"/>
    <mergeCell ref="B23:B27"/>
    <mergeCell ref="V23:V27"/>
    <mergeCell ref="C23:C27"/>
    <mergeCell ref="D23:D27"/>
    <mergeCell ref="E23:E27"/>
    <mergeCell ref="F23:F27"/>
    <mergeCell ref="G23:G27"/>
    <mergeCell ref="H23:H27"/>
    <mergeCell ref="I23:I27"/>
    <mergeCell ref="J23:J27"/>
    <mergeCell ref="K23:K27"/>
    <mergeCell ref="L23:L27"/>
    <mergeCell ref="M23:M27"/>
    <mergeCell ref="W23:W27"/>
    <mergeCell ref="W11:W12"/>
    <mergeCell ref="D11:D12"/>
    <mergeCell ref="E11:E12"/>
    <mergeCell ref="F11:F12"/>
    <mergeCell ref="G11:G12"/>
    <mergeCell ref="H11:H12"/>
    <mergeCell ref="I11:I12"/>
    <mergeCell ref="J11:J12"/>
    <mergeCell ref="K11:K12"/>
    <mergeCell ref="L11:L12"/>
    <mergeCell ref="M11:M12"/>
    <mergeCell ref="W13:W14"/>
    <mergeCell ref="A11:A12"/>
    <mergeCell ref="O11:O12"/>
    <mergeCell ref="U11:U12"/>
    <mergeCell ref="B11:B12"/>
    <mergeCell ref="V11:V12"/>
    <mergeCell ref="C11:C12"/>
    <mergeCell ref="C9:C10"/>
    <mergeCell ref="S2:U2"/>
    <mergeCell ref="N2:O2"/>
    <mergeCell ref="J4:K4"/>
    <mergeCell ref="M4:N4"/>
    <mergeCell ref="O4:P4"/>
    <mergeCell ref="K2:M2"/>
    <mergeCell ref="A3:E3"/>
    <mergeCell ref="A9:A10"/>
    <mergeCell ref="O9:O10"/>
    <mergeCell ref="U9:U10"/>
    <mergeCell ref="B9:B10"/>
    <mergeCell ref="W9:W10"/>
    <mergeCell ref="D9:D10"/>
    <mergeCell ref="E9:E10"/>
    <mergeCell ref="F9:F10"/>
    <mergeCell ref="G9:G10"/>
    <mergeCell ref="H9:H10"/>
    <mergeCell ref="I9:I10"/>
    <mergeCell ref="J9:J10"/>
    <mergeCell ref="K9:K10"/>
    <mergeCell ref="L9:L10"/>
    <mergeCell ref="M9:M10"/>
    <mergeCell ref="V9:V10"/>
    <mergeCell ref="A13:A14"/>
    <mergeCell ref="O13:O14"/>
    <mergeCell ref="U13:U14"/>
    <mergeCell ref="B13:B14"/>
    <mergeCell ref="V13:V14"/>
    <mergeCell ref="C13:C14"/>
    <mergeCell ref="D13:D14"/>
    <mergeCell ref="E13:E14"/>
    <mergeCell ref="F13:F14"/>
    <mergeCell ref="G13:G14"/>
    <mergeCell ref="H13:H14"/>
    <mergeCell ref="I13:I14"/>
    <mergeCell ref="J13:J14"/>
    <mergeCell ref="K13:K14"/>
    <mergeCell ref="L13:L14"/>
    <mergeCell ref="M13:M14"/>
  </mergeCells>
  <pageMargins left="0.23622047244094491" right="0.23622047244094491" top="0.74803149606299213" bottom="0.74803149606299213" header="0.31496062992125984" footer="0.31496062992125984"/>
  <pageSetup paperSize="9" scale="23" fitToHeight="0" orientation="landscape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1">
    <tabColor rgb="FFFF0000"/>
    <pageSetUpPr fitToPage="1"/>
  </sheetPr>
  <dimension ref="A1:X129"/>
  <sheetViews>
    <sheetView showGridLines="0" tabSelected="1" zoomScale="55" zoomScaleNormal="55" workbookViewId="0">
      <pane ySplit="8" topLeftCell="A122" activePane="bottomLeft" state="frozen"/>
      <selection pane="bottomLeft" activeCell="K86" sqref="K86:K90"/>
    </sheetView>
  </sheetViews>
  <sheetFormatPr defaultColWidth="0" defaultRowHeight="18" x14ac:dyDescent="0.3"/>
  <cols>
    <col min="1" max="1" width="14" style="3" customWidth="1"/>
    <col min="2" max="2" width="40.33203125" style="3" customWidth="1"/>
    <col min="3" max="3" width="34" style="3" customWidth="1"/>
    <col min="4" max="4" width="25.44140625" style="3" customWidth="1"/>
    <col min="5" max="5" width="23.88671875" style="3" customWidth="1"/>
    <col min="6" max="6" width="32.44140625" style="3" customWidth="1"/>
    <col min="7" max="7" width="42" style="11" customWidth="1"/>
    <col min="8" max="8" width="35" style="3" customWidth="1"/>
    <col min="9" max="9" width="33" style="3" customWidth="1"/>
    <col min="10" max="11" width="27.33203125" style="26" customWidth="1"/>
    <col min="12" max="12" width="21.44140625" style="3" customWidth="1"/>
    <col min="13" max="13" width="26.5546875" style="3" customWidth="1"/>
    <col min="14" max="14" width="28.109375" style="11" customWidth="1"/>
    <col min="15" max="15" width="39.33203125" style="3" customWidth="1"/>
    <col min="16" max="16" width="24.6640625" style="26" customWidth="1"/>
    <col min="17" max="17" width="24.44140625" style="11" customWidth="1"/>
    <col min="18" max="18" width="23.44140625" style="3" customWidth="1"/>
    <col min="19" max="19" width="25.6640625" style="3" customWidth="1"/>
    <col min="20" max="20" width="26" style="3" customWidth="1"/>
    <col min="21" max="21" width="23.6640625" style="11" customWidth="1"/>
    <col min="22" max="22" width="24" style="10" customWidth="1"/>
    <col min="23" max="23" width="21.88671875" style="2" customWidth="1"/>
    <col min="24" max="16384" width="9.109375" style="2" hidden="1"/>
  </cols>
  <sheetData>
    <row r="1" spans="1:24" ht="18.600000000000001" thickBot="1" x14ac:dyDescent="0.35"/>
    <row r="2" spans="1:24" ht="39.9" customHeight="1" thickBot="1" x14ac:dyDescent="0.35">
      <c r="E2" s="68"/>
      <c r="F2" s="403" t="s">
        <v>24</v>
      </c>
      <c r="G2" s="404"/>
      <c r="H2" s="80">
        <f>SUM(H9:H9999)</f>
        <v>2619235.9699999997</v>
      </c>
      <c r="I2" s="68"/>
      <c r="N2" s="318" t="s">
        <v>137</v>
      </c>
      <c r="O2" s="320"/>
      <c r="P2" s="69">
        <f>SUM(P9:P9999)</f>
        <v>1886460.75</v>
      </c>
      <c r="R2" s="68"/>
      <c r="S2" s="318" t="s">
        <v>45</v>
      </c>
      <c r="T2" s="319"/>
      <c r="U2" s="320"/>
      <c r="V2" s="70">
        <f>SUM(V9:V9999)</f>
        <v>153373.76999999999</v>
      </c>
    </row>
    <row r="3" spans="1:24" x14ac:dyDescent="0.3">
      <c r="F3" s="2"/>
      <c r="G3" s="2"/>
      <c r="H3" s="2"/>
      <c r="I3" s="2"/>
      <c r="N3" s="2"/>
      <c r="O3" s="2"/>
      <c r="R3" s="2"/>
      <c r="S3" s="2"/>
      <c r="T3" s="2"/>
      <c r="U3" s="2"/>
    </row>
    <row r="4" spans="1:24" ht="39.9" customHeight="1" x14ac:dyDescent="0.3">
      <c r="F4" s="2"/>
      <c r="G4" s="2"/>
      <c r="H4" s="2"/>
      <c r="I4" s="2"/>
      <c r="N4" s="2"/>
      <c r="O4" s="2"/>
      <c r="R4" s="2"/>
      <c r="S4" s="2"/>
      <c r="T4" s="2"/>
      <c r="U4" s="2"/>
    </row>
    <row r="6" spans="1:24" ht="144" x14ac:dyDescent="0.3">
      <c r="A6" s="18" t="s">
        <v>8</v>
      </c>
      <c r="B6" s="18" t="s">
        <v>47</v>
      </c>
      <c r="C6" s="18" t="s">
        <v>145</v>
      </c>
      <c r="D6" s="18" t="s">
        <v>10</v>
      </c>
      <c r="E6" s="18" t="s">
        <v>1</v>
      </c>
      <c r="F6" s="18" t="s">
        <v>2</v>
      </c>
      <c r="G6" s="24" t="s">
        <v>3</v>
      </c>
      <c r="H6" s="18" t="s">
        <v>4</v>
      </c>
      <c r="I6" s="18" t="s">
        <v>22</v>
      </c>
      <c r="J6" s="27" t="s">
        <v>46</v>
      </c>
      <c r="K6" s="27" t="s">
        <v>5</v>
      </c>
      <c r="L6" s="18" t="s">
        <v>106</v>
      </c>
      <c r="M6" s="18" t="s">
        <v>39</v>
      </c>
      <c r="N6" s="24" t="s">
        <v>37</v>
      </c>
      <c r="O6" s="18" t="s">
        <v>6</v>
      </c>
      <c r="P6" s="27" t="s">
        <v>23</v>
      </c>
      <c r="Q6" s="24" t="s">
        <v>9</v>
      </c>
      <c r="R6" s="23" t="s">
        <v>40</v>
      </c>
      <c r="S6" s="23" t="s">
        <v>103</v>
      </c>
      <c r="T6" s="23" t="s">
        <v>104</v>
      </c>
      <c r="U6" s="22" t="s">
        <v>41</v>
      </c>
      <c r="V6" s="25" t="s">
        <v>43</v>
      </c>
      <c r="W6" s="1" t="s">
        <v>42</v>
      </c>
    </row>
    <row r="7" spans="1:24" x14ac:dyDescent="0.3">
      <c r="A7" s="60" t="s">
        <v>36</v>
      </c>
      <c r="B7" s="60" t="s">
        <v>110</v>
      </c>
      <c r="C7" s="60" t="s">
        <v>111</v>
      </c>
      <c r="D7" s="60" t="s">
        <v>112</v>
      </c>
      <c r="E7" s="60" t="s">
        <v>113</v>
      </c>
      <c r="F7" s="60" t="s">
        <v>114</v>
      </c>
      <c r="G7" s="60" t="s">
        <v>115</v>
      </c>
      <c r="H7" s="60" t="s">
        <v>116</v>
      </c>
      <c r="I7" s="60" t="s">
        <v>117</v>
      </c>
      <c r="J7" s="60" t="s">
        <v>118</v>
      </c>
      <c r="K7" s="60" t="s">
        <v>119</v>
      </c>
      <c r="L7" s="60" t="s">
        <v>120</v>
      </c>
      <c r="M7" s="60" t="s">
        <v>121</v>
      </c>
      <c r="N7" s="60" t="s">
        <v>122</v>
      </c>
      <c r="O7" s="60" t="s">
        <v>123</v>
      </c>
      <c r="P7" s="60" t="s">
        <v>124</v>
      </c>
      <c r="Q7" s="60" t="s">
        <v>125</v>
      </c>
      <c r="R7" s="60" t="s">
        <v>126</v>
      </c>
      <c r="S7" s="60" t="s">
        <v>127</v>
      </c>
      <c r="T7" s="60" t="s">
        <v>128</v>
      </c>
      <c r="U7" s="60" t="s">
        <v>129</v>
      </c>
      <c r="V7" s="60" t="s">
        <v>130</v>
      </c>
      <c r="W7" s="60" t="s">
        <v>131</v>
      </c>
    </row>
    <row r="8" spans="1:24" s="14" customFormat="1" ht="108" x14ac:dyDescent="0.3">
      <c r="A8" s="21" t="s">
        <v>36</v>
      </c>
      <c r="B8" s="21" t="s">
        <v>56</v>
      </c>
      <c r="C8" s="21"/>
      <c r="D8" s="21" t="s">
        <v>58</v>
      </c>
      <c r="E8" s="21" t="s">
        <v>57</v>
      </c>
      <c r="F8" s="59">
        <v>43839</v>
      </c>
      <c r="G8" s="20" t="s">
        <v>59</v>
      </c>
      <c r="H8" s="19">
        <v>20000</v>
      </c>
      <c r="I8" s="19">
        <v>0</v>
      </c>
      <c r="J8" s="58">
        <v>2353019514</v>
      </c>
      <c r="K8" s="28" t="s">
        <v>61</v>
      </c>
      <c r="L8" s="21"/>
      <c r="M8" s="21" t="s">
        <v>62</v>
      </c>
      <c r="N8" s="20">
        <v>43840</v>
      </c>
      <c r="O8" s="21" t="s">
        <v>63</v>
      </c>
      <c r="P8" s="28">
        <v>20000</v>
      </c>
      <c r="Q8" s="20">
        <v>43840</v>
      </c>
      <c r="R8" s="21"/>
      <c r="S8" s="54"/>
      <c r="T8" s="54"/>
      <c r="U8" s="20"/>
      <c r="V8" s="19"/>
      <c r="W8" s="12" t="s">
        <v>64</v>
      </c>
    </row>
    <row r="9" spans="1:24" s="85" customFormat="1" ht="54" customHeight="1" x14ac:dyDescent="0.3">
      <c r="A9" s="342">
        <v>1</v>
      </c>
      <c r="B9" s="351" t="s">
        <v>56</v>
      </c>
      <c r="C9" s="351"/>
      <c r="D9" s="351"/>
      <c r="E9" s="351" t="s">
        <v>152</v>
      </c>
      <c r="F9" s="345" t="s">
        <v>163</v>
      </c>
      <c r="G9" s="357" t="s">
        <v>164</v>
      </c>
      <c r="H9" s="348">
        <v>431034.73</v>
      </c>
      <c r="I9" s="360">
        <f>IF(X9 = 156, H9 + SUM(S9:S22) - SUM(T9:T22) - SUM(P9:P22) - V9,0)</f>
        <v>39346.629999999946</v>
      </c>
      <c r="J9" s="417">
        <v>2308119595</v>
      </c>
      <c r="K9" s="420" t="s">
        <v>165</v>
      </c>
      <c r="L9" s="351"/>
      <c r="M9" s="351" t="s">
        <v>166</v>
      </c>
      <c r="N9" s="229">
        <v>45717</v>
      </c>
      <c r="O9" s="345" t="s">
        <v>167</v>
      </c>
      <c r="P9" s="218">
        <v>22821.16</v>
      </c>
      <c r="Q9" s="219" t="s">
        <v>258</v>
      </c>
      <c r="R9" s="220"/>
      <c r="S9" s="221"/>
      <c r="T9" s="221"/>
      <c r="U9" s="348"/>
      <c r="V9" s="453"/>
      <c r="W9" s="333"/>
      <c r="X9" s="85">
        <v>156</v>
      </c>
    </row>
    <row r="10" spans="1:24" s="104" customFormat="1" x14ac:dyDescent="0.3">
      <c r="A10" s="343"/>
      <c r="B10" s="352"/>
      <c r="C10" s="352"/>
      <c r="D10" s="352"/>
      <c r="E10" s="352"/>
      <c r="F10" s="346"/>
      <c r="G10" s="358"/>
      <c r="H10" s="349"/>
      <c r="I10" s="361"/>
      <c r="J10" s="418"/>
      <c r="K10" s="421"/>
      <c r="L10" s="352"/>
      <c r="M10" s="352"/>
      <c r="N10" s="230">
        <v>45689</v>
      </c>
      <c r="O10" s="346"/>
      <c r="P10" s="222">
        <v>23926.44</v>
      </c>
      <c r="Q10" s="223" t="s">
        <v>259</v>
      </c>
      <c r="R10" s="224"/>
      <c r="S10" s="225"/>
      <c r="T10" s="225"/>
      <c r="U10" s="349"/>
      <c r="V10" s="454"/>
      <c r="W10" s="334"/>
      <c r="X10" s="104">
        <v>156</v>
      </c>
    </row>
    <row r="11" spans="1:24" s="104" customFormat="1" x14ac:dyDescent="0.3">
      <c r="A11" s="343"/>
      <c r="B11" s="352"/>
      <c r="C11" s="352"/>
      <c r="D11" s="352"/>
      <c r="E11" s="352"/>
      <c r="F11" s="346"/>
      <c r="G11" s="358"/>
      <c r="H11" s="349"/>
      <c r="I11" s="361"/>
      <c r="J11" s="418"/>
      <c r="K11" s="421"/>
      <c r="L11" s="352"/>
      <c r="M11" s="352"/>
      <c r="N11" s="230">
        <v>45658</v>
      </c>
      <c r="O11" s="346"/>
      <c r="P11" s="222">
        <v>26239.72</v>
      </c>
      <c r="Q11" s="223" t="s">
        <v>181</v>
      </c>
      <c r="R11" s="224"/>
      <c r="S11" s="225"/>
      <c r="T11" s="225"/>
      <c r="U11" s="349"/>
      <c r="V11" s="454"/>
      <c r="W11" s="334"/>
      <c r="X11" s="104">
        <v>156</v>
      </c>
    </row>
    <row r="12" spans="1:24" s="104" customFormat="1" x14ac:dyDescent="0.3">
      <c r="A12" s="343"/>
      <c r="B12" s="352"/>
      <c r="C12" s="352"/>
      <c r="D12" s="352"/>
      <c r="E12" s="352"/>
      <c r="F12" s="346"/>
      <c r="G12" s="358"/>
      <c r="H12" s="349"/>
      <c r="I12" s="361"/>
      <c r="J12" s="418"/>
      <c r="K12" s="421"/>
      <c r="L12" s="352"/>
      <c r="M12" s="352"/>
      <c r="N12" s="230">
        <v>45689</v>
      </c>
      <c r="O12" s="346"/>
      <c r="P12" s="222">
        <v>30419.5</v>
      </c>
      <c r="Q12" s="223" t="s">
        <v>260</v>
      </c>
      <c r="R12" s="224"/>
      <c r="S12" s="225"/>
      <c r="T12" s="225"/>
      <c r="U12" s="349"/>
      <c r="V12" s="454"/>
      <c r="W12" s="334"/>
      <c r="X12" s="104">
        <v>156</v>
      </c>
    </row>
    <row r="13" spans="1:24" s="104" customFormat="1" x14ac:dyDescent="0.3">
      <c r="A13" s="343"/>
      <c r="B13" s="352"/>
      <c r="C13" s="352"/>
      <c r="D13" s="352"/>
      <c r="E13" s="352"/>
      <c r="F13" s="346"/>
      <c r="G13" s="358"/>
      <c r="H13" s="349"/>
      <c r="I13" s="361"/>
      <c r="J13" s="418"/>
      <c r="K13" s="421"/>
      <c r="L13" s="352"/>
      <c r="M13" s="352"/>
      <c r="N13" s="230">
        <v>45688</v>
      </c>
      <c r="O13" s="346"/>
      <c r="P13" s="222">
        <v>49822.09</v>
      </c>
      <c r="Q13" s="223" t="s">
        <v>259</v>
      </c>
      <c r="R13" s="224"/>
      <c r="S13" s="225"/>
      <c r="T13" s="225"/>
      <c r="U13" s="349"/>
      <c r="V13" s="454"/>
      <c r="W13" s="334"/>
      <c r="X13" s="104">
        <v>156</v>
      </c>
    </row>
    <row r="14" spans="1:24" s="104" customFormat="1" x14ac:dyDescent="0.3">
      <c r="A14" s="343"/>
      <c r="B14" s="352"/>
      <c r="C14" s="352"/>
      <c r="D14" s="352"/>
      <c r="E14" s="352"/>
      <c r="F14" s="346"/>
      <c r="G14" s="358"/>
      <c r="H14" s="349"/>
      <c r="I14" s="361"/>
      <c r="J14" s="418"/>
      <c r="K14" s="421"/>
      <c r="L14" s="352"/>
      <c r="M14" s="352"/>
      <c r="N14" s="230">
        <v>45716</v>
      </c>
      <c r="O14" s="346"/>
      <c r="P14" s="222">
        <v>41231.519999999997</v>
      </c>
      <c r="Q14" s="223" t="s">
        <v>265</v>
      </c>
      <c r="R14" s="224"/>
      <c r="S14" s="225"/>
      <c r="T14" s="225"/>
      <c r="U14" s="349"/>
      <c r="V14" s="454"/>
      <c r="W14" s="334"/>
      <c r="X14" s="104">
        <v>156</v>
      </c>
    </row>
    <row r="15" spans="1:24" s="104" customFormat="1" x14ac:dyDescent="0.3">
      <c r="A15" s="343"/>
      <c r="B15" s="352"/>
      <c r="C15" s="352"/>
      <c r="D15" s="352"/>
      <c r="E15" s="352"/>
      <c r="F15" s="346"/>
      <c r="G15" s="358"/>
      <c r="H15" s="349"/>
      <c r="I15" s="361"/>
      <c r="J15" s="418"/>
      <c r="K15" s="421"/>
      <c r="L15" s="352"/>
      <c r="M15" s="352"/>
      <c r="N15" s="230">
        <v>45717</v>
      </c>
      <c r="O15" s="346"/>
      <c r="P15" s="222">
        <v>41616.769999999997</v>
      </c>
      <c r="Q15" s="223" t="s">
        <v>265</v>
      </c>
      <c r="R15" s="224"/>
      <c r="S15" s="225"/>
      <c r="T15" s="225"/>
      <c r="U15" s="349"/>
      <c r="V15" s="454"/>
      <c r="W15" s="334"/>
      <c r="X15" s="104">
        <v>156</v>
      </c>
    </row>
    <row r="16" spans="1:24" s="104" customFormat="1" x14ac:dyDescent="0.3">
      <c r="A16" s="343"/>
      <c r="B16" s="352"/>
      <c r="C16" s="352"/>
      <c r="D16" s="352"/>
      <c r="E16" s="352"/>
      <c r="F16" s="346"/>
      <c r="G16" s="358"/>
      <c r="H16" s="349"/>
      <c r="I16" s="361"/>
      <c r="J16" s="418"/>
      <c r="K16" s="421"/>
      <c r="L16" s="352"/>
      <c r="M16" s="352"/>
      <c r="N16" s="230">
        <v>45748</v>
      </c>
      <c r="O16" s="346"/>
      <c r="P16" s="222">
        <v>31219.94</v>
      </c>
      <c r="Q16" s="223" t="s">
        <v>297</v>
      </c>
      <c r="R16" s="224"/>
      <c r="S16" s="225"/>
      <c r="T16" s="225"/>
      <c r="U16" s="349"/>
      <c r="V16" s="454"/>
      <c r="W16" s="334"/>
      <c r="X16" s="104">
        <v>156</v>
      </c>
    </row>
    <row r="17" spans="1:24" s="104" customFormat="1" x14ac:dyDescent="0.3">
      <c r="A17" s="343"/>
      <c r="B17" s="352"/>
      <c r="C17" s="352"/>
      <c r="D17" s="352"/>
      <c r="E17" s="352"/>
      <c r="F17" s="346"/>
      <c r="G17" s="358"/>
      <c r="H17" s="349"/>
      <c r="I17" s="361"/>
      <c r="J17" s="418"/>
      <c r="K17" s="421"/>
      <c r="L17" s="352"/>
      <c r="M17" s="352"/>
      <c r="N17" s="230">
        <v>45748</v>
      </c>
      <c r="O17" s="346"/>
      <c r="P17" s="222">
        <v>22457.84</v>
      </c>
      <c r="Q17" s="223" t="s">
        <v>301</v>
      </c>
      <c r="R17" s="224"/>
      <c r="S17" s="225"/>
      <c r="T17" s="225"/>
      <c r="U17" s="349"/>
      <c r="V17" s="454"/>
      <c r="W17" s="334"/>
      <c r="X17" s="104">
        <v>156</v>
      </c>
    </row>
    <row r="18" spans="1:24" s="104" customFormat="1" x14ac:dyDescent="0.3">
      <c r="A18" s="343"/>
      <c r="B18" s="352"/>
      <c r="C18" s="352"/>
      <c r="D18" s="352"/>
      <c r="E18" s="352"/>
      <c r="F18" s="346"/>
      <c r="G18" s="358"/>
      <c r="H18" s="349"/>
      <c r="I18" s="361"/>
      <c r="J18" s="418"/>
      <c r="K18" s="421"/>
      <c r="L18" s="352"/>
      <c r="M18" s="352"/>
      <c r="N18" s="230">
        <v>45778</v>
      </c>
      <c r="O18" s="346"/>
      <c r="P18" s="222">
        <v>16846.63</v>
      </c>
      <c r="Q18" s="223" t="s">
        <v>357</v>
      </c>
      <c r="R18" s="224"/>
      <c r="S18" s="225"/>
      <c r="T18" s="225"/>
      <c r="U18" s="349"/>
      <c r="V18" s="454"/>
      <c r="W18" s="334"/>
      <c r="X18" s="104">
        <v>156</v>
      </c>
    </row>
    <row r="19" spans="1:24" s="104" customFormat="1" x14ac:dyDescent="0.3">
      <c r="A19" s="343"/>
      <c r="B19" s="352"/>
      <c r="C19" s="352"/>
      <c r="D19" s="352"/>
      <c r="E19" s="352"/>
      <c r="F19" s="346"/>
      <c r="G19" s="358"/>
      <c r="H19" s="349"/>
      <c r="I19" s="361"/>
      <c r="J19" s="418"/>
      <c r="K19" s="421"/>
      <c r="L19" s="352"/>
      <c r="M19" s="352"/>
      <c r="N19" s="230">
        <v>45777</v>
      </c>
      <c r="O19" s="346"/>
      <c r="P19" s="222">
        <v>9744.89</v>
      </c>
      <c r="Q19" s="223" t="s">
        <v>358</v>
      </c>
      <c r="R19" s="224"/>
      <c r="S19" s="225"/>
      <c r="T19" s="225"/>
      <c r="U19" s="349"/>
      <c r="V19" s="454"/>
      <c r="W19" s="334"/>
      <c r="X19" s="104">
        <v>156</v>
      </c>
    </row>
    <row r="20" spans="1:24" s="104" customFormat="1" x14ac:dyDescent="0.3">
      <c r="A20" s="343"/>
      <c r="B20" s="352"/>
      <c r="C20" s="352"/>
      <c r="D20" s="352"/>
      <c r="E20" s="352"/>
      <c r="F20" s="346"/>
      <c r="G20" s="358"/>
      <c r="H20" s="349"/>
      <c r="I20" s="361"/>
      <c r="J20" s="418"/>
      <c r="K20" s="421"/>
      <c r="L20" s="352"/>
      <c r="M20" s="352"/>
      <c r="N20" s="230">
        <v>45778</v>
      </c>
      <c r="O20" s="346"/>
      <c r="P20" s="222">
        <v>31287.71</v>
      </c>
      <c r="Q20" s="223" t="s">
        <v>358</v>
      </c>
      <c r="R20" s="224"/>
      <c r="S20" s="225"/>
      <c r="T20" s="225"/>
      <c r="U20" s="349"/>
      <c r="V20" s="454"/>
      <c r="W20" s="334"/>
      <c r="X20" s="104">
        <v>156</v>
      </c>
    </row>
    <row r="21" spans="1:24" s="104" customFormat="1" x14ac:dyDescent="0.3">
      <c r="A21" s="343"/>
      <c r="B21" s="352"/>
      <c r="C21" s="352"/>
      <c r="D21" s="352"/>
      <c r="E21" s="352"/>
      <c r="F21" s="346"/>
      <c r="G21" s="358"/>
      <c r="H21" s="349"/>
      <c r="I21" s="361"/>
      <c r="J21" s="418"/>
      <c r="K21" s="421"/>
      <c r="L21" s="352"/>
      <c r="M21" s="352"/>
      <c r="N21" s="230">
        <v>45809</v>
      </c>
      <c r="O21" s="346"/>
      <c r="P21" s="225">
        <v>23473</v>
      </c>
      <c r="Q21" s="223" t="s">
        <v>403</v>
      </c>
      <c r="R21" s="224"/>
      <c r="S21" s="225"/>
      <c r="T21" s="225"/>
      <c r="U21" s="349"/>
      <c r="V21" s="454"/>
      <c r="W21" s="334"/>
      <c r="X21" s="104">
        <v>156</v>
      </c>
    </row>
    <row r="22" spans="1:24" s="104" customFormat="1" x14ac:dyDescent="0.3">
      <c r="A22" s="344"/>
      <c r="B22" s="353"/>
      <c r="C22" s="353"/>
      <c r="D22" s="353"/>
      <c r="E22" s="353"/>
      <c r="F22" s="347"/>
      <c r="G22" s="359"/>
      <c r="H22" s="350"/>
      <c r="I22" s="362"/>
      <c r="J22" s="419"/>
      <c r="K22" s="422"/>
      <c r="L22" s="353"/>
      <c r="M22" s="353"/>
      <c r="N22" s="231">
        <v>45809</v>
      </c>
      <c r="O22" s="347"/>
      <c r="P22" s="226">
        <v>20580.89</v>
      </c>
      <c r="Q22" s="227" t="s">
        <v>408</v>
      </c>
      <c r="R22" s="228"/>
      <c r="S22" s="226"/>
      <c r="T22" s="226"/>
      <c r="U22" s="350"/>
      <c r="V22" s="455"/>
      <c r="W22" s="335"/>
      <c r="X22" s="104">
        <v>156</v>
      </c>
    </row>
    <row r="23" spans="1:24" s="85" customFormat="1" ht="72" customHeight="1" x14ac:dyDescent="0.3">
      <c r="A23" s="342">
        <v>2</v>
      </c>
      <c r="B23" s="351" t="s">
        <v>56</v>
      </c>
      <c r="C23" s="351"/>
      <c r="D23" s="351"/>
      <c r="E23" s="351" t="s">
        <v>168</v>
      </c>
      <c r="F23" s="345" t="s">
        <v>163</v>
      </c>
      <c r="G23" s="357" t="s">
        <v>169</v>
      </c>
      <c r="H23" s="348">
        <v>104228</v>
      </c>
      <c r="I23" s="360">
        <f>IF(X23 = 157, H23 + SUM(S23:S27) - SUM(T23:T27) - SUM(P23:P27) - V23,0)</f>
        <v>80844</v>
      </c>
      <c r="J23" s="417">
        <v>2353006498</v>
      </c>
      <c r="K23" s="420" t="s">
        <v>170</v>
      </c>
      <c r="L23" s="351"/>
      <c r="M23" s="351" t="s">
        <v>171</v>
      </c>
      <c r="N23" s="229" t="s">
        <v>261</v>
      </c>
      <c r="O23" s="345" t="s">
        <v>172</v>
      </c>
      <c r="P23" s="221">
        <v>4440</v>
      </c>
      <c r="Q23" s="219" t="s">
        <v>263</v>
      </c>
      <c r="R23" s="220"/>
      <c r="S23" s="221"/>
      <c r="T23" s="221"/>
      <c r="U23" s="348"/>
      <c r="V23" s="453"/>
      <c r="W23" s="333"/>
      <c r="X23" s="85">
        <v>157</v>
      </c>
    </row>
    <row r="24" spans="1:24" s="104" customFormat="1" x14ac:dyDescent="0.3">
      <c r="A24" s="343"/>
      <c r="B24" s="352"/>
      <c r="C24" s="352"/>
      <c r="D24" s="352"/>
      <c r="E24" s="352"/>
      <c r="F24" s="346"/>
      <c r="G24" s="358"/>
      <c r="H24" s="349"/>
      <c r="I24" s="361"/>
      <c r="J24" s="418"/>
      <c r="K24" s="421"/>
      <c r="L24" s="352"/>
      <c r="M24" s="352"/>
      <c r="N24" s="230" t="s">
        <v>222</v>
      </c>
      <c r="O24" s="346"/>
      <c r="P24" s="225">
        <v>2516</v>
      </c>
      <c r="Q24" s="223" t="s">
        <v>264</v>
      </c>
      <c r="R24" s="224"/>
      <c r="S24" s="225"/>
      <c r="T24" s="225"/>
      <c r="U24" s="349"/>
      <c r="V24" s="454"/>
      <c r="W24" s="334"/>
      <c r="X24" s="104">
        <v>157</v>
      </c>
    </row>
    <row r="25" spans="1:24" s="104" customFormat="1" x14ac:dyDescent="0.3">
      <c r="A25" s="343"/>
      <c r="B25" s="352"/>
      <c r="C25" s="352"/>
      <c r="D25" s="352"/>
      <c r="E25" s="352"/>
      <c r="F25" s="346"/>
      <c r="G25" s="358"/>
      <c r="H25" s="349"/>
      <c r="I25" s="361"/>
      <c r="J25" s="418"/>
      <c r="K25" s="421"/>
      <c r="L25" s="352"/>
      <c r="M25" s="352"/>
      <c r="N25" s="230" t="s">
        <v>290</v>
      </c>
      <c r="O25" s="346"/>
      <c r="P25" s="225">
        <v>4884</v>
      </c>
      <c r="Q25" s="223" t="s">
        <v>294</v>
      </c>
      <c r="R25" s="224"/>
      <c r="S25" s="225"/>
      <c r="T25" s="225"/>
      <c r="U25" s="349"/>
      <c r="V25" s="454"/>
      <c r="W25" s="334"/>
      <c r="X25" s="104">
        <v>157</v>
      </c>
    </row>
    <row r="26" spans="1:24" s="104" customFormat="1" x14ac:dyDescent="0.3">
      <c r="A26" s="343"/>
      <c r="B26" s="352"/>
      <c r="C26" s="352"/>
      <c r="D26" s="352"/>
      <c r="E26" s="352"/>
      <c r="F26" s="346"/>
      <c r="G26" s="358"/>
      <c r="H26" s="349"/>
      <c r="I26" s="361"/>
      <c r="J26" s="418"/>
      <c r="K26" s="421"/>
      <c r="L26" s="352"/>
      <c r="M26" s="352"/>
      <c r="N26" s="230" t="s">
        <v>356</v>
      </c>
      <c r="O26" s="346"/>
      <c r="P26" s="225">
        <v>6216</v>
      </c>
      <c r="Q26" s="223" t="s">
        <v>360</v>
      </c>
      <c r="R26" s="224"/>
      <c r="S26" s="225"/>
      <c r="T26" s="225"/>
      <c r="U26" s="349"/>
      <c r="V26" s="454"/>
      <c r="W26" s="334"/>
      <c r="X26" s="104">
        <v>157</v>
      </c>
    </row>
    <row r="27" spans="1:24" s="104" customFormat="1" x14ac:dyDescent="0.3">
      <c r="A27" s="344"/>
      <c r="B27" s="353"/>
      <c r="C27" s="353"/>
      <c r="D27" s="353"/>
      <c r="E27" s="353"/>
      <c r="F27" s="347"/>
      <c r="G27" s="359"/>
      <c r="H27" s="350"/>
      <c r="I27" s="362"/>
      <c r="J27" s="419"/>
      <c r="K27" s="422"/>
      <c r="L27" s="353"/>
      <c r="M27" s="353"/>
      <c r="N27" s="231" t="s">
        <v>367</v>
      </c>
      <c r="O27" s="347"/>
      <c r="P27" s="226">
        <v>5328</v>
      </c>
      <c r="Q27" s="227" t="s">
        <v>408</v>
      </c>
      <c r="R27" s="228"/>
      <c r="S27" s="226"/>
      <c r="T27" s="226"/>
      <c r="U27" s="350"/>
      <c r="V27" s="455"/>
      <c r="W27" s="335"/>
      <c r="X27" s="104">
        <v>157</v>
      </c>
    </row>
    <row r="28" spans="1:24" s="85" customFormat="1" ht="54" customHeight="1" x14ac:dyDescent="0.3">
      <c r="A28" s="342">
        <v>3</v>
      </c>
      <c r="B28" s="351" t="s">
        <v>56</v>
      </c>
      <c r="C28" s="351"/>
      <c r="D28" s="351"/>
      <c r="E28" s="351" t="s">
        <v>173</v>
      </c>
      <c r="F28" s="345" t="s">
        <v>163</v>
      </c>
      <c r="G28" s="357" t="s">
        <v>174</v>
      </c>
      <c r="H28" s="348">
        <v>50565.84</v>
      </c>
      <c r="I28" s="360">
        <f>IF(X28 = 158, H28 + SUM(S28:S32) - SUM(T28:T32) - SUM(P28:P32) - V28,0)</f>
        <v>30354.079999999998</v>
      </c>
      <c r="J28" s="417">
        <v>2308131994</v>
      </c>
      <c r="K28" s="420" t="s">
        <v>155</v>
      </c>
      <c r="L28" s="351"/>
      <c r="M28" s="351" t="s">
        <v>171</v>
      </c>
      <c r="N28" s="229">
        <v>45688</v>
      </c>
      <c r="O28" s="345" t="s">
        <v>175</v>
      </c>
      <c r="P28" s="221">
        <v>4042.35</v>
      </c>
      <c r="Q28" s="219" t="s">
        <v>227</v>
      </c>
      <c r="R28" s="220"/>
      <c r="S28" s="221"/>
      <c r="T28" s="221"/>
      <c r="U28" s="348"/>
      <c r="V28" s="453"/>
      <c r="W28" s="333"/>
      <c r="X28" s="85">
        <v>158</v>
      </c>
    </row>
    <row r="29" spans="1:24" s="104" customFormat="1" x14ac:dyDescent="0.3">
      <c r="A29" s="343"/>
      <c r="B29" s="352"/>
      <c r="C29" s="352"/>
      <c r="D29" s="352"/>
      <c r="E29" s="352"/>
      <c r="F29" s="346"/>
      <c r="G29" s="358"/>
      <c r="H29" s="349"/>
      <c r="I29" s="361"/>
      <c r="J29" s="418"/>
      <c r="K29" s="421"/>
      <c r="L29" s="352"/>
      <c r="M29" s="352"/>
      <c r="N29" s="230" t="s">
        <v>261</v>
      </c>
      <c r="O29" s="346"/>
      <c r="P29" s="225">
        <v>4042.35</v>
      </c>
      <c r="Q29" s="223" t="s">
        <v>262</v>
      </c>
      <c r="R29" s="224"/>
      <c r="S29" s="225"/>
      <c r="T29" s="225"/>
      <c r="U29" s="349"/>
      <c r="V29" s="454"/>
      <c r="W29" s="334"/>
      <c r="X29" s="104">
        <v>158</v>
      </c>
    </row>
    <row r="30" spans="1:24" s="104" customFormat="1" x14ac:dyDescent="0.3">
      <c r="A30" s="343"/>
      <c r="B30" s="352"/>
      <c r="C30" s="352"/>
      <c r="D30" s="352"/>
      <c r="E30" s="352"/>
      <c r="F30" s="346"/>
      <c r="G30" s="358"/>
      <c r="H30" s="349"/>
      <c r="I30" s="361"/>
      <c r="J30" s="418"/>
      <c r="K30" s="421"/>
      <c r="L30" s="352"/>
      <c r="M30" s="352"/>
      <c r="N30" s="230" t="s">
        <v>290</v>
      </c>
      <c r="O30" s="346"/>
      <c r="P30" s="225">
        <v>4042.35</v>
      </c>
      <c r="Q30" s="223" t="s">
        <v>300</v>
      </c>
      <c r="R30" s="224"/>
      <c r="S30" s="225"/>
      <c r="T30" s="225"/>
      <c r="U30" s="349"/>
      <c r="V30" s="454"/>
      <c r="W30" s="334"/>
      <c r="X30" s="104">
        <v>158</v>
      </c>
    </row>
    <row r="31" spans="1:24" s="104" customFormat="1" x14ac:dyDescent="0.3">
      <c r="A31" s="343"/>
      <c r="B31" s="352"/>
      <c r="C31" s="352"/>
      <c r="D31" s="352"/>
      <c r="E31" s="352"/>
      <c r="F31" s="346"/>
      <c r="G31" s="358"/>
      <c r="H31" s="349"/>
      <c r="I31" s="361"/>
      <c r="J31" s="418"/>
      <c r="K31" s="421"/>
      <c r="L31" s="352"/>
      <c r="M31" s="352"/>
      <c r="N31" s="230" t="s">
        <v>356</v>
      </c>
      <c r="O31" s="346"/>
      <c r="P31" s="225">
        <v>4042.35</v>
      </c>
      <c r="Q31" s="223" t="s">
        <v>359</v>
      </c>
      <c r="R31" s="224"/>
      <c r="S31" s="225"/>
      <c r="T31" s="225"/>
      <c r="U31" s="349"/>
      <c r="V31" s="454"/>
      <c r="W31" s="334"/>
      <c r="X31" s="104">
        <v>158</v>
      </c>
    </row>
    <row r="32" spans="1:24" s="104" customFormat="1" x14ac:dyDescent="0.3">
      <c r="A32" s="344"/>
      <c r="B32" s="353"/>
      <c r="C32" s="353"/>
      <c r="D32" s="353"/>
      <c r="E32" s="353"/>
      <c r="F32" s="347"/>
      <c r="G32" s="359"/>
      <c r="H32" s="350"/>
      <c r="I32" s="362"/>
      <c r="J32" s="419"/>
      <c r="K32" s="422"/>
      <c r="L32" s="353"/>
      <c r="M32" s="353"/>
      <c r="N32" s="231" t="s">
        <v>405</v>
      </c>
      <c r="O32" s="347"/>
      <c r="P32" s="226">
        <v>4042.36</v>
      </c>
      <c r="Q32" s="227" t="s">
        <v>404</v>
      </c>
      <c r="R32" s="228"/>
      <c r="S32" s="226"/>
      <c r="T32" s="226"/>
      <c r="U32" s="350"/>
      <c r="V32" s="455"/>
      <c r="W32" s="335"/>
      <c r="X32" s="104">
        <v>158</v>
      </c>
    </row>
    <row r="33" spans="1:24" s="85" customFormat="1" ht="54" x14ac:dyDescent="0.3">
      <c r="A33" s="86">
        <v>4</v>
      </c>
      <c r="B33" s="88" t="s">
        <v>56</v>
      </c>
      <c r="C33" s="88"/>
      <c r="D33" s="88"/>
      <c r="E33" s="88" t="s">
        <v>176</v>
      </c>
      <c r="F33" s="96" t="s">
        <v>163</v>
      </c>
      <c r="G33" s="91" t="s">
        <v>177</v>
      </c>
      <c r="H33" s="87">
        <v>9600</v>
      </c>
      <c r="I33" s="92">
        <f>IF(X33 = 159, H33 + SUM(S33:S33) - SUM(T33:T33) - SUM(P33:P33) - V33,0)</f>
        <v>7200</v>
      </c>
      <c r="J33" s="93">
        <v>2369000660</v>
      </c>
      <c r="K33" s="94" t="s">
        <v>153</v>
      </c>
      <c r="L33" s="88"/>
      <c r="M33" s="88" t="s">
        <v>171</v>
      </c>
      <c r="N33" s="96" t="s">
        <v>290</v>
      </c>
      <c r="O33" s="96" t="s">
        <v>179</v>
      </c>
      <c r="P33" s="87">
        <v>2400</v>
      </c>
      <c r="Q33" s="91" t="s">
        <v>297</v>
      </c>
      <c r="R33" s="88"/>
      <c r="S33" s="87"/>
      <c r="T33" s="87"/>
      <c r="U33" s="87"/>
      <c r="V33" s="89"/>
      <c r="W33" s="90"/>
      <c r="X33" s="85">
        <v>159</v>
      </c>
    </row>
    <row r="34" spans="1:24" s="85" customFormat="1" ht="54" customHeight="1" x14ac:dyDescent="0.3">
      <c r="A34" s="342">
        <v>5</v>
      </c>
      <c r="B34" s="351" t="s">
        <v>56</v>
      </c>
      <c r="C34" s="351"/>
      <c r="D34" s="351"/>
      <c r="E34" s="351" t="s">
        <v>161</v>
      </c>
      <c r="F34" s="345" t="s">
        <v>163</v>
      </c>
      <c r="G34" s="357" t="s">
        <v>178</v>
      </c>
      <c r="H34" s="348">
        <v>27331.200000000001</v>
      </c>
      <c r="I34" s="360">
        <f>IF(X34 = 160, H34 + SUM(S34:S38) - SUM(T34:T38) - SUM(P34:P38) - V34,0)</f>
        <v>15943.2</v>
      </c>
      <c r="J34" s="417">
        <v>2310163739</v>
      </c>
      <c r="K34" s="420" t="s">
        <v>147</v>
      </c>
      <c r="L34" s="351"/>
      <c r="M34" s="351" t="s">
        <v>171</v>
      </c>
      <c r="N34" s="229" t="s">
        <v>222</v>
      </c>
      <c r="O34" s="345" t="s">
        <v>180</v>
      </c>
      <c r="P34" s="221">
        <v>2277.6</v>
      </c>
      <c r="Q34" s="219" t="s">
        <v>243</v>
      </c>
      <c r="R34" s="220"/>
      <c r="S34" s="221"/>
      <c r="T34" s="221"/>
      <c r="U34" s="348"/>
      <c r="V34" s="453"/>
      <c r="W34" s="333"/>
      <c r="X34" s="85">
        <v>160</v>
      </c>
    </row>
    <row r="35" spans="1:24" s="104" customFormat="1" x14ac:dyDescent="0.3">
      <c r="A35" s="343"/>
      <c r="B35" s="352"/>
      <c r="C35" s="352"/>
      <c r="D35" s="352"/>
      <c r="E35" s="352"/>
      <c r="F35" s="346"/>
      <c r="G35" s="358"/>
      <c r="H35" s="349"/>
      <c r="I35" s="361"/>
      <c r="J35" s="418"/>
      <c r="K35" s="421"/>
      <c r="L35" s="352"/>
      <c r="M35" s="352"/>
      <c r="N35" s="230" t="s">
        <v>261</v>
      </c>
      <c r="O35" s="346"/>
      <c r="P35" s="225">
        <v>2277.6</v>
      </c>
      <c r="Q35" s="223" t="s">
        <v>258</v>
      </c>
      <c r="R35" s="224"/>
      <c r="S35" s="225"/>
      <c r="T35" s="225"/>
      <c r="U35" s="349"/>
      <c r="V35" s="454"/>
      <c r="W35" s="334"/>
      <c r="X35" s="104">
        <v>160</v>
      </c>
    </row>
    <row r="36" spans="1:24" s="104" customFormat="1" x14ac:dyDescent="0.3">
      <c r="A36" s="343"/>
      <c r="B36" s="352"/>
      <c r="C36" s="352"/>
      <c r="D36" s="352"/>
      <c r="E36" s="352"/>
      <c r="F36" s="346"/>
      <c r="G36" s="358"/>
      <c r="H36" s="349"/>
      <c r="I36" s="361"/>
      <c r="J36" s="418"/>
      <c r="K36" s="421"/>
      <c r="L36" s="352"/>
      <c r="M36" s="352"/>
      <c r="N36" s="230" t="s">
        <v>290</v>
      </c>
      <c r="O36" s="346"/>
      <c r="P36" s="225">
        <v>2277.6</v>
      </c>
      <c r="Q36" s="223" t="s">
        <v>297</v>
      </c>
      <c r="R36" s="224"/>
      <c r="S36" s="225"/>
      <c r="T36" s="225"/>
      <c r="U36" s="349"/>
      <c r="V36" s="454"/>
      <c r="W36" s="334"/>
      <c r="X36" s="104">
        <v>160</v>
      </c>
    </row>
    <row r="37" spans="1:24" s="104" customFormat="1" x14ac:dyDescent="0.3">
      <c r="A37" s="343"/>
      <c r="B37" s="352"/>
      <c r="C37" s="352"/>
      <c r="D37" s="352"/>
      <c r="E37" s="352"/>
      <c r="F37" s="346"/>
      <c r="G37" s="358"/>
      <c r="H37" s="349"/>
      <c r="I37" s="361"/>
      <c r="J37" s="418"/>
      <c r="K37" s="421"/>
      <c r="L37" s="352"/>
      <c r="M37" s="352"/>
      <c r="N37" s="230" t="s">
        <v>356</v>
      </c>
      <c r="O37" s="346"/>
      <c r="P37" s="225">
        <v>2277.6</v>
      </c>
      <c r="Q37" s="223" t="s">
        <v>359</v>
      </c>
      <c r="R37" s="224"/>
      <c r="S37" s="225"/>
      <c r="T37" s="225"/>
      <c r="U37" s="349"/>
      <c r="V37" s="454"/>
      <c r="W37" s="334"/>
      <c r="X37" s="104">
        <v>160</v>
      </c>
    </row>
    <row r="38" spans="1:24" s="104" customFormat="1" x14ac:dyDescent="0.3">
      <c r="A38" s="344"/>
      <c r="B38" s="353"/>
      <c r="C38" s="353"/>
      <c r="D38" s="353"/>
      <c r="E38" s="353"/>
      <c r="F38" s="347"/>
      <c r="G38" s="359"/>
      <c r="H38" s="350"/>
      <c r="I38" s="362"/>
      <c r="J38" s="419"/>
      <c r="K38" s="422"/>
      <c r="L38" s="353"/>
      <c r="M38" s="353"/>
      <c r="N38" s="231" t="s">
        <v>367</v>
      </c>
      <c r="O38" s="347"/>
      <c r="P38" s="226">
        <v>2277.6</v>
      </c>
      <c r="Q38" s="227" t="s">
        <v>404</v>
      </c>
      <c r="R38" s="228"/>
      <c r="S38" s="226"/>
      <c r="T38" s="226"/>
      <c r="U38" s="350"/>
      <c r="V38" s="455"/>
      <c r="W38" s="335"/>
      <c r="X38" s="104">
        <v>160</v>
      </c>
    </row>
    <row r="39" spans="1:24" s="85" customFormat="1" ht="36" customHeight="1" x14ac:dyDescent="0.3">
      <c r="A39" s="342">
        <v>6</v>
      </c>
      <c r="B39" s="351" t="s">
        <v>56</v>
      </c>
      <c r="C39" s="351"/>
      <c r="D39" s="351"/>
      <c r="E39" s="351" t="s">
        <v>160</v>
      </c>
      <c r="F39" s="345" t="s">
        <v>181</v>
      </c>
      <c r="G39" s="357" t="s">
        <v>182</v>
      </c>
      <c r="H39" s="348">
        <v>90689</v>
      </c>
      <c r="I39" s="360">
        <f>IF(X39 = 161, H39 + SUM(S39:S43) - SUM(T39:T43) - SUM(P39:P43) - V39,0)</f>
        <v>59857.98</v>
      </c>
      <c r="J39" s="417">
        <v>2369002347</v>
      </c>
      <c r="K39" s="420" t="s">
        <v>150</v>
      </c>
      <c r="L39" s="351"/>
      <c r="M39" s="351" t="s">
        <v>171</v>
      </c>
      <c r="N39" s="229" t="s">
        <v>222</v>
      </c>
      <c r="O39" s="345" t="s">
        <v>183</v>
      </c>
      <c r="P39" s="221">
        <v>6201.14</v>
      </c>
      <c r="Q39" s="219" t="s">
        <v>237</v>
      </c>
      <c r="R39" s="220"/>
      <c r="S39" s="221"/>
      <c r="T39" s="221"/>
      <c r="U39" s="348"/>
      <c r="V39" s="453"/>
      <c r="W39" s="333"/>
      <c r="X39" s="85">
        <v>161</v>
      </c>
    </row>
    <row r="40" spans="1:24" s="104" customFormat="1" x14ac:dyDescent="0.3">
      <c r="A40" s="343"/>
      <c r="B40" s="352"/>
      <c r="C40" s="352"/>
      <c r="D40" s="352"/>
      <c r="E40" s="352"/>
      <c r="F40" s="346"/>
      <c r="G40" s="358"/>
      <c r="H40" s="349"/>
      <c r="I40" s="361"/>
      <c r="J40" s="418"/>
      <c r="K40" s="421"/>
      <c r="L40" s="352"/>
      <c r="M40" s="352"/>
      <c r="N40" s="230" t="s">
        <v>261</v>
      </c>
      <c r="O40" s="346"/>
      <c r="P40" s="225">
        <v>6201.14</v>
      </c>
      <c r="Q40" s="223" t="s">
        <v>262</v>
      </c>
      <c r="R40" s="224"/>
      <c r="S40" s="225"/>
      <c r="T40" s="225"/>
      <c r="U40" s="349"/>
      <c r="V40" s="454"/>
      <c r="W40" s="334"/>
      <c r="X40" s="104">
        <v>161</v>
      </c>
    </row>
    <row r="41" spans="1:24" s="104" customFormat="1" x14ac:dyDescent="0.3">
      <c r="A41" s="343"/>
      <c r="B41" s="352"/>
      <c r="C41" s="352"/>
      <c r="D41" s="352"/>
      <c r="E41" s="352"/>
      <c r="F41" s="346"/>
      <c r="G41" s="358"/>
      <c r="H41" s="349"/>
      <c r="I41" s="361"/>
      <c r="J41" s="418"/>
      <c r="K41" s="421"/>
      <c r="L41" s="352"/>
      <c r="M41" s="352"/>
      <c r="N41" s="230" t="s">
        <v>290</v>
      </c>
      <c r="O41" s="346"/>
      <c r="P41" s="225">
        <v>5458.75</v>
      </c>
      <c r="Q41" s="223" t="s">
        <v>298</v>
      </c>
      <c r="R41" s="224"/>
      <c r="S41" s="225"/>
      <c r="T41" s="225"/>
      <c r="U41" s="349"/>
      <c r="V41" s="454"/>
      <c r="W41" s="334"/>
      <c r="X41" s="104">
        <v>161</v>
      </c>
    </row>
    <row r="42" spans="1:24" s="104" customFormat="1" x14ac:dyDescent="0.3">
      <c r="A42" s="343"/>
      <c r="B42" s="352"/>
      <c r="C42" s="352"/>
      <c r="D42" s="352"/>
      <c r="E42" s="352"/>
      <c r="F42" s="346"/>
      <c r="G42" s="358"/>
      <c r="H42" s="349"/>
      <c r="I42" s="361"/>
      <c r="J42" s="418"/>
      <c r="K42" s="421"/>
      <c r="L42" s="352"/>
      <c r="M42" s="352"/>
      <c r="N42" s="230" t="s">
        <v>356</v>
      </c>
      <c r="O42" s="346"/>
      <c r="P42" s="225">
        <v>6943.53</v>
      </c>
      <c r="Q42" s="223" t="s">
        <v>359</v>
      </c>
      <c r="R42" s="224"/>
      <c r="S42" s="225"/>
      <c r="T42" s="225"/>
      <c r="U42" s="349"/>
      <c r="V42" s="454"/>
      <c r="W42" s="334"/>
      <c r="X42" s="104">
        <v>161</v>
      </c>
    </row>
    <row r="43" spans="1:24" s="104" customFormat="1" x14ac:dyDescent="0.3">
      <c r="A43" s="344"/>
      <c r="B43" s="353"/>
      <c r="C43" s="353"/>
      <c r="D43" s="353"/>
      <c r="E43" s="353"/>
      <c r="F43" s="347"/>
      <c r="G43" s="359"/>
      <c r="H43" s="350"/>
      <c r="I43" s="362"/>
      <c r="J43" s="419"/>
      <c r="K43" s="422"/>
      <c r="L43" s="353"/>
      <c r="M43" s="353"/>
      <c r="N43" s="231" t="s">
        <v>367</v>
      </c>
      <c r="O43" s="347"/>
      <c r="P43" s="226">
        <v>6026.46</v>
      </c>
      <c r="Q43" s="227" t="s">
        <v>406</v>
      </c>
      <c r="R43" s="228"/>
      <c r="S43" s="226"/>
      <c r="T43" s="226"/>
      <c r="U43" s="350"/>
      <c r="V43" s="455"/>
      <c r="W43" s="335"/>
      <c r="X43" s="104">
        <v>161</v>
      </c>
    </row>
    <row r="44" spans="1:24" s="85" customFormat="1" ht="54" customHeight="1" x14ac:dyDescent="0.3">
      <c r="A44" s="342">
        <v>7</v>
      </c>
      <c r="B44" s="351" t="s">
        <v>56</v>
      </c>
      <c r="C44" s="351"/>
      <c r="D44" s="351"/>
      <c r="E44" s="351" t="s">
        <v>184</v>
      </c>
      <c r="F44" s="345" t="s">
        <v>163</v>
      </c>
      <c r="G44" s="357" t="s">
        <v>185</v>
      </c>
      <c r="H44" s="348">
        <v>17400</v>
      </c>
      <c r="I44" s="360">
        <f>IF(X44 = 162, H44 + SUM(S44:S48) - SUM(T44:T48) - SUM(P44:P48) - V44,0)</f>
        <v>10150</v>
      </c>
      <c r="J44" s="417">
        <v>231107998282</v>
      </c>
      <c r="K44" s="420" t="s">
        <v>162</v>
      </c>
      <c r="L44" s="351"/>
      <c r="M44" s="351" t="s">
        <v>171</v>
      </c>
      <c r="N44" s="229">
        <v>45688</v>
      </c>
      <c r="O44" s="345" t="s">
        <v>186</v>
      </c>
      <c r="P44" s="221">
        <v>1450</v>
      </c>
      <c r="Q44" s="219" t="s">
        <v>227</v>
      </c>
      <c r="R44" s="220"/>
      <c r="S44" s="221"/>
      <c r="T44" s="221"/>
      <c r="U44" s="348"/>
      <c r="V44" s="453"/>
      <c r="W44" s="333"/>
      <c r="X44" s="85">
        <v>162</v>
      </c>
    </row>
    <row r="45" spans="1:24" s="104" customFormat="1" x14ac:dyDescent="0.3">
      <c r="A45" s="343"/>
      <c r="B45" s="352"/>
      <c r="C45" s="352"/>
      <c r="D45" s="352"/>
      <c r="E45" s="352"/>
      <c r="F45" s="346"/>
      <c r="G45" s="358"/>
      <c r="H45" s="349"/>
      <c r="I45" s="361"/>
      <c r="J45" s="418"/>
      <c r="K45" s="421"/>
      <c r="L45" s="352"/>
      <c r="M45" s="352"/>
      <c r="N45" s="230" t="s">
        <v>261</v>
      </c>
      <c r="O45" s="346"/>
      <c r="P45" s="225">
        <v>1450</v>
      </c>
      <c r="Q45" s="223" t="s">
        <v>263</v>
      </c>
      <c r="R45" s="224"/>
      <c r="S45" s="225"/>
      <c r="T45" s="225"/>
      <c r="U45" s="349"/>
      <c r="V45" s="454"/>
      <c r="W45" s="334"/>
      <c r="X45" s="104">
        <v>162</v>
      </c>
    </row>
    <row r="46" spans="1:24" s="104" customFormat="1" x14ac:dyDescent="0.3">
      <c r="A46" s="343"/>
      <c r="B46" s="352"/>
      <c r="C46" s="352"/>
      <c r="D46" s="352"/>
      <c r="E46" s="352"/>
      <c r="F46" s="346"/>
      <c r="G46" s="358"/>
      <c r="H46" s="349"/>
      <c r="I46" s="361"/>
      <c r="J46" s="418"/>
      <c r="K46" s="421"/>
      <c r="L46" s="352"/>
      <c r="M46" s="352"/>
      <c r="N46" s="230" t="s">
        <v>290</v>
      </c>
      <c r="O46" s="346"/>
      <c r="P46" s="225">
        <v>1450</v>
      </c>
      <c r="Q46" s="223" t="s">
        <v>297</v>
      </c>
      <c r="R46" s="224"/>
      <c r="S46" s="225"/>
      <c r="T46" s="225"/>
      <c r="U46" s="349"/>
      <c r="V46" s="454"/>
      <c r="W46" s="334"/>
      <c r="X46" s="104">
        <v>162</v>
      </c>
    </row>
    <row r="47" spans="1:24" s="104" customFormat="1" x14ac:dyDescent="0.3">
      <c r="A47" s="343"/>
      <c r="B47" s="352"/>
      <c r="C47" s="352"/>
      <c r="D47" s="352"/>
      <c r="E47" s="352"/>
      <c r="F47" s="346"/>
      <c r="G47" s="358"/>
      <c r="H47" s="349"/>
      <c r="I47" s="361"/>
      <c r="J47" s="418"/>
      <c r="K47" s="421"/>
      <c r="L47" s="352"/>
      <c r="M47" s="352"/>
      <c r="N47" s="230" t="s">
        <v>356</v>
      </c>
      <c r="O47" s="346"/>
      <c r="P47" s="225">
        <v>1450</v>
      </c>
      <c r="Q47" s="223" t="s">
        <v>353</v>
      </c>
      <c r="R47" s="224"/>
      <c r="S47" s="225"/>
      <c r="T47" s="225"/>
      <c r="U47" s="349"/>
      <c r="V47" s="454"/>
      <c r="W47" s="334"/>
      <c r="X47" s="104">
        <v>162</v>
      </c>
    </row>
    <row r="48" spans="1:24" s="104" customFormat="1" x14ac:dyDescent="0.3">
      <c r="A48" s="344"/>
      <c r="B48" s="353"/>
      <c r="C48" s="353"/>
      <c r="D48" s="353"/>
      <c r="E48" s="353"/>
      <c r="F48" s="347"/>
      <c r="G48" s="359"/>
      <c r="H48" s="350"/>
      <c r="I48" s="362"/>
      <c r="J48" s="419"/>
      <c r="K48" s="422"/>
      <c r="L48" s="353"/>
      <c r="M48" s="353"/>
      <c r="N48" s="231" t="s">
        <v>367</v>
      </c>
      <c r="O48" s="347"/>
      <c r="P48" s="226">
        <v>1450</v>
      </c>
      <c r="Q48" s="227" t="s">
        <v>404</v>
      </c>
      <c r="R48" s="228"/>
      <c r="S48" s="226"/>
      <c r="T48" s="226"/>
      <c r="U48" s="350"/>
      <c r="V48" s="455"/>
      <c r="W48" s="335"/>
      <c r="X48" s="104">
        <v>162</v>
      </c>
    </row>
    <row r="49" spans="1:24" s="85" customFormat="1" ht="90" customHeight="1" x14ac:dyDescent="0.3">
      <c r="A49" s="342">
        <v>8</v>
      </c>
      <c r="B49" s="351" t="s">
        <v>56</v>
      </c>
      <c r="C49" s="351"/>
      <c r="D49" s="351"/>
      <c r="E49" s="351" t="s">
        <v>187</v>
      </c>
      <c r="F49" s="345" t="s">
        <v>163</v>
      </c>
      <c r="G49" s="357" t="s">
        <v>188</v>
      </c>
      <c r="H49" s="348">
        <v>30000</v>
      </c>
      <c r="I49" s="360">
        <f>IF(X49 = 163, H49 + SUM(S49:S53) - SUM(T49:T53) - SUM(P49:P53) - V49,0)</f>
        <v>17500</v>
      </c>
      <c r="J49" s="417">
        <v>231107998282</v>
      </c>
      <c r="K49" s="420" t="s">
        <v>162</v>
      </c>
      <c r="L49" s="351"/>
      <c r="M49" s="351" t="s">
        <v>171</v>
      </c>
      <c r="N49" s="229" t="s">
        <v>222</v>
      </c>
      <c r="O49" s="345" t="s">
        <v>186</v>
      </c>
      <c r="P49" s="221">
        <v>2500</v>
      </c>
      <c r="Q49" s="219" t="s">
        <v>227</v>
      </c>
      <c r="R49" s="220"/>
      <c r="S49" s="221"/>
      <c r="T49" s="221"/>
      <c r="U49" s="348"/>
      <c r="V49" s="453"/>
      <c r="W49" s="333"/>
      <c r="X49" s="85">
        <v>163</v>
      </c>
    </row>
    <row r="50" spans="1:24" s="104" customFormat="1" x14ac:dyDescent="0.3">
      <c r="A50" s="343"/>
      <c r="B50" s="352"/>
      <c r="C50" s="352"/>
      <c r="D50" s="352"/>
      <c r="E50" s="352"/>
      <c r="F50" s="346"/>
      <c r="G50" s="358"/>
      <c r="H50" s="349"/>
      <c r="I50" s="361"/>
      <c r="J50" s="418"/>
      <c r="K50" s="421"/>
      <c r="L50" s="352"/>
      <c r="M50" s="352"/>
      <c r="N50" s="230" t="s">
        <v>261</v>
      </c>
      <c r="O50" s="346"/>
      <c r="P50" s="225">
        <v>2500</v>
      </c>
      <c r="Q50" s="223" t="s">
        <v>263</v>
      </c>
      <c r="R50" s="224"/>
      <c r="S50" s="225"/>
      <c r="T50" s="225"/>
      <c r="U50" s="349"/>
      <c r="V50" s="454"/>
      <c r="W50" s="334"/>
      <c r="X50" s="104">
        <v>163</v>
      </c>
    </row>
    <row r="51" spans="1:24" s="104" customFormat="1" x14ac:dyDescent="0.3">
      <c r="A51" s="343"/>
      <c r="B51" s="352"/>
      <c r="C51" s="352"/>
      <c r="D51" s="352"/>
      <c r="E51" s="352"/>
      <c r="F51" s="346"/>
      <c r="G51" s="358"/>
      <c r="H51" s="349"/>
      <c r="I51" s="361"/>
      <c r="J51" s="418"/>
      <c r="K51" s="421"/>
      <c r="L51" s="352"/>
      <c r="M51" s="352"/>
      <c r="N51" s="230" t="s">
        <v>290</v>
      </c>
      <c r="O51" s="346"/>
      <c r="P51" s="225">
        <v>2500</v>
      </c>
      <c r="Q51" s="223" t="s">
        <v>297</v>
      </c>
      <c r="R51" s="224"/>
      <c r="S51" s="225"/>
      <c r="T51" s="225"/>
      <c r="U51" s="349"/>
      <c r="V51" s="454"/>
      <c r="W51" s="334"/>
      <c r="X51" s="104">
        <v>163</v>
      </c>
    </row>
    <row r="52" spans="1:24" s="104" customFormat="1" x14ac:dyDescent="0.3">
      <c r="A52" s="343"/>
      <c r="B52" s="352"/>
      <c r="C52" s="352"/>
      <c r="D52" s="352"/>
      <c r="E52" s="352"/>
      <c r="F52" s="346"/>
      <c r="G52" s="358"/>
      <c r="H52" s="349"/>
      <c r="I52" s="361"/>
      <c r="J52" s="418"/>
      <c r="K52" s="421"/>
      <c r="L52" s="352"/>
      <c r="M52" s="352"/>
      <c r="N52" s="230" t="s">
        <v>356</v>
      </c>
      <c r="O52" s="346"/>
      <c r="P52" s="225">
        <v>2500</v>
      </c>
      <c r="Q52" s="223" t="s">
        <v>353</v>
      </c>
      <c r="R52" s="224"/>
      <c r="S52" s="225"/>
      <c r="T52" s="225"/>
      <c r="U52" s="349"/>
      <c r="V52" s="454"/>
      <c r="W52" s="334"/>
      <c r="X52" s="104">
        <v>163</v>
      </c>
    </row>
    <row r="53" spans="1:24" s="104" customFormat="1" x14ac:dyDescent="0.3">
      <c r="A53" s="344"/>
      <c r="B53" s="353"/>
      <c r="C53" s="353"/>
      <c r="D53" s="353"/>
      <c r="E53" s="353"/>
      <c r="F53" s="347"/>
      <c r="G53" s="359"/>
      <c r="H53" s="350"/>
      <c r="I53" s="362"/>
      <c r="J53" s="419"/>
      <c r="K53" s="422"/>
      <c r="L53" s="353"/>
      <c r="M53" s="353"/>
      <c r="N53" s="231" t="s">
        <v>367</v>
      </c>
      <c r="O53" s="347"/>
      <c r="P53" s="226">
        <v>2500</v>
      </c>
      <c r="Q53" s="227" t="s">
        <v>404</v>
      </c>
      <c r="R53" s="228"/>
      <c r="S53" s="226"/>
      <c r="T53" s="226"/>
      <c r="U53" s="350"/>
      <c r="V53" s="455"/>
      <c r="W53" s="335"/>
      <c r="X53" s="104">
        <v>163</v>
      </c>
    </row>
    <row r="54" spans="1:24" s="85" customFormat="1" ht="54" customHeight="1" x14ac:dyDescent="0.3">
      <c r="A54" s="342">
        <v>9</v>
      </c>
      <c r="B54" s="351" t="s">
        <v>56</v>
      </c>
      <c r="C54" s="351"/>
      <c r="D54" s="351"/>
      <c r="E54" s="351" t="s">
        <v>189</v>
      </c>
      <c r="F54" s="345" t="s">
        <v>163</v>
      </c>
      <c r="G54" s="357" t="s">
        <v>190</v>
      </c>
      <c r="H54" s="348">
        <v>18000</v>
      </c>
      <c r="I54" s="360">
        <f>IF(X54 = 164, H54 + SUM(S54:S58) - SUM(T54:T58) - SUM(P54:P58) - V54,0)</f>
        <v>10500</v>
      </c>
      <c r="J54" s="417">
        <v>231107998282</v>
      </c>
      <c r="K54" s="420" t="s">
        <v>162</v>
      </c>
      <c r="L54" s="351"/>
      <c r="M54" s="351" t="s">
        <v>171</v>
      </c>
      <c r="N54" s="229">
        <v>45688</v>
      </c>
      <c r="O54" s="345" t="s">
        <v>186</v>
      </c>
      <c r="P54" s="221">
        <v>1500</v>
      </c>
      <c r="Q54" s="219" t="s">
        <v>227</v>
      </c>
      <c r="R54" s="220"/>
      <c r="S54" s="221"/>
      <c r="T54" s="221"/>
      <c r="U54" s="348"/>
      <c r="V54" s="453"/>
      <c r="W54" s="333"/>
      <c r="X54" s="85">
        <v>164</v>
      </c>
    </row>
    <row r="55" spans="1:24" s="104" customFormat="1" x14ac:dyDescent="0.3">
      <c r="A55" s="343"/>
      <c r="B55" s="352"/>
      <c r="C55" s="352"/>
      <c r="D55" s="352"/>
      <c r="E55" s="352"/>
      <c r="F55" s="346"/>
      <c r="G55" s="358"/>
      <c r="H55" s="349"/>
      <c r="I55" s="361"/>
      <c r="J55" s="418"/>
      <c r="K55" s="421"/>
      <c r="L55" s="352"/>
      <c r="M55" s="352"/>
      <c r="N55" s="230" t="s">
        <v>261</v>
      </c>
      <c r="O55" s="346"/>
      <c r="P55" s="225">
        <v>1500</v>
      </c>
      <c r="Q55" s="223" t="s">
        <v>263</v>
      </c>
      <c r="R55" s="224"/>
      <c r="S55" s="225"/>
      <c r="T55" s="225"/>
      <c r="U55" s="349"/>
      <c r="V55" s="454"/>
      <c r="W55" s="334"/>
      <c r="X55" s="104">
        <v>164</v>
      </c>
    </row>
    <row r="56" spans="1:24" s="104" customFormat="1" x14ac:dyDescent="0.3">
      <c r="A56" s="343"/>
      <c r="B56" s="352"/>
      <c r="C56" s="352"/>
      <c r="D56" s="352"/>
      <c r="E56" s="352"/>
      <c r="F56" s="346"/>
      <c r="G56" s="358"/>
      <c r="H56" s="349"/>
      <c r="I56" s="361"/>
      <c r="J56" s="418"/>
      <c r="K56" s="421"/>
      <c r="L56" s="352"/>
      <c r="M56" s="352"/>
      <c r="N56" s="230" t="s">
        <v>290</v>
      </c>
      <c r="O56" s="346"/>
      <c r="P56" s="225">
        <v>1500</v>
      </c>
      <c r="Q56" s="223" t="s">
        <v>297</v>
      </c>
      <c r="R56" s="224"/>
      <c r="S56" s="225"/>
      <c r="T56" s="225"/>
      <c r="U56" s="349"/>
      <c r="V56" s="454"/>
      <c r="W56" s="334"/>
      <c r="X56" s="104">
        <v>164</v>
      </c>
    </row>
    <row r="57" spans="1:24" s="104" customFormat="1" x14ac:dyDescent="0.3">
      <c r="A57" s="343"/>
      <c r="B57" s="352"/>
      <c r="C57" s="352"/>
      <c r="D57" s="352"/>
      <c r="E57" s="352"/>
      <c r="F57" s="346"/>
      <c r="G57" s="358"/>
      <c r="H57" s="349"/>
      <c r="I57" s="361"/>
      <c r="J57" s="418"/>
      <c r="K57" s="421"/>
      <c r="L57" s="352"/>
      <c r="M57" s="352"/>
      <c r="N57" s="230" t="s">
        <v>356</v>
      </c>
      <c r="O57" s="346"/>
      <c r="P57" s="225">
        <v>1500</v>
      </c>
      <c r="Q57" s="223" t="s">
        <v>353</v>
      </c>
      <c r="R57" s="224"/>
      <c r="S57" s="225"/>
      <c r="T57" s="225"/>
      <c r="U57" s="349"/>
      <c r="V57" s="454"/>
      <c r="W57" s="334"/>
      <c r="X57" s="104">
        <v>164</v>
      </c>
    </row>
    <row r="58" spans="1:24" s="104" customFormat="1" x14ac:dyDescent="0.3">
      <c r="A58" s="344"/>
      <c r="B58" s="353"/>
      <c r="C58" s="353"/>
      <c r="D58" s="353"/>
      <c r="E58" s="353"/>
      <c r="F58" s="347"/>
      <c r="G58" s="359"/>
      <c r="H58" s="350"/>
      <c r="I58" s="362"/>
      <c r="J58" s="419"/>
      <c r="K58" s="422"/>
      <c r="L58" s="353"/>
      <c r="M58" s="353"/>
      <c r="N58" s="231" t="s">
        <v>367</v>
      </c>
      <c r="O58" s="347"/>
      <c r="P58" s="226">
        <v>1500</v>
      </c>
      <c r="Q58" s="227" t="s">
        <v>407</v>
      </c>
      <c r="R58" s="228"/>
      <c r="S58" s="226"/>
      <c r="T58" s="226"/>
      <c r="U58" s="350"/>
      <c r="V58" s="455"/>
      <c r="W58" s="335"/>
      <c r="X58" s="104">
        <v>164</v>
      </c>
    </row>
    <row r="59" spans="1:24" s="85" customFormat="1" ht="54" customHeight="1" x14ac:dyDescent="0.3">
      <c r="A59" s="387">
        <v>10</v>
      </c>
      <c r="B59" s="366" t="s">
        <v>56</v>
      </c>
      <c r="C59" s="366"/>
      <c r="D59" s="366"/>
      <c r="E59" s="366" t="s">
        <v>159</v>
      </c>
      <c r="F59" s="369" t="s">
        <v>181</v>
      </c>
      <c r="G59" s="372" t="s">
        <v>191</v>
      </c>
      <c r="H59" s="375">
        <v>10951.2</v>
      </c>
      <c r="I59" s="378">
        <f>IF(X59 = 165, H59 + SUM(S59:S61) - SUM(T59:T61) - SUM(P59:P61) - V59,0)</f>
        <v>9.0949470177292824E-13</v>
      </c>
      <c r="J59" s="381">
        <v>2353020735</v>
      </c>
      <c r="K59" s="384" t="s">
        <v>192</v>
      </c>
      <c r="L59" s="366"/>
      <c r="M59" s="366" t="s">
        <v>193</v>
      </c>
      <c r="N59" s="145" t="s">
        <v>261</v>
      </c>
      <c r="O59" s="369" t="s">
        <v>186</v>
      </c>
      <c r="P59" s="139">
        <v>2601</v>
      </c>
      <c r="Q59" s="140" t="s">
        <v>265</v>
      </c>
      <c r="R59" s="141"/>
      <c r="S59" s="139"/>
      <c r="T59" s="139"/>
      <c r="U59" s="375" t="s">
        <v>296</v>
      </c>
      <c r="V59" s="390">
        <v>2842.2</v>
      </c>
      <c r="W59" s="363"/>
      <c r="X59" s="85">
        <v>165</v>
      </c>
    </row>
    <row r="60" spans="1:24" s="104" customFormat="1" x14ac:dyDescent="0.3">
      <c r="A60" s="388"/>
      <c r="B60" s="367"/>
      <c r="C60" s="367"/>
      <c r="D60" s="367"/>
      <c r="E60" s="367"/>
      <c r="F60" s="370"/>
      <c r="G60" s="373"/>
      <c r="H60" s="376"/>
      <c r="I60" s="379"/>
      <c r="J60" s="382"/>
      <c r="K60" s="385"/>
      <c r="L60" s="367"/>
      <c r="M60" s="367"/>
      <c r="N60" s="147" t="s">
        <v>222</v>
      </c>
      <c r="O60" s="370"/>
      <c r="P60" s="148">
        <v>3015</v>
      </c>
      <c r="Q60" s="149" t="s">
        <v>237</v>
      </c>
      <c r="R60" s="150"/>
      <c r="S60" s="148"/>
      <c r="T60" s="148"/>
      <c r="U60" s="376"/>
      <c r="V60" s="391"/>
      <c r="W60" s="364"/>
      <c r="X60" s="104">
        <v>165</v>
      </c>
    </row>
    <row r="61" spans="1:24" s="104" customFormat="1" x14ac:dyDescent="0.3">
      <c r="A61" s="389"/>
      <c r="B61" s="368"/>
      <c r="C61" s="368"/>
      <c r="D61" s="368"/>
      <c r="E61" s="368"/>
      <c r="F61" s="371"/>
      <c r="G61" s="374"/>
      <c r="H61" s="377"/>
      <c r="I61" s="380"/>
      <c r="J61" s="383"/>
      <c r="K61" s="386"/>
      <c r="L61" s="368"/>
      <c r="M61" s="368"/>
      <c r="N61" s="146" t="s">
        <v>290</v>
      </c>
      <c r="O61" s="371"/>
      <c r="P61" s="142">
        <v>2493</v>
      </c>
      <c r="Q61" s="143" t="s">
        <v>293</v>
      </c>
      <c r="R61" s="144"/>
      <c r="S61" s="142"/>
      <c r="T61" s="142"/>
      <c r="U61" s="377"/>
      <c r="V61" s="392"/>
      <c r="W61" s="365"/>
      <c r="X61" s="104">
        <v>165</v>
      </c>
    </row>
    <row r="62" spans="1:24" s="85" customFormat="1" ht="90" customHeight="1" x14ac:dyDescent="0.3">
      <c r="A62" s="387">
        <v>11</v>
      </c>
      <c r="B62" s="366" t="s">
        <v>56</v>
      </c>
      <c r="C62" s="366"/>
      <c r="D62" s="366"/>
      <c r="E62" s="366" t="s">
        <v>160</v>
      </c>
      <c r="F62" s="369" t="s">
        <v>181</v>
      </c>
      <c r="G62" s="372" t="s">
        <v>194</v>
      </c>
      <c r="H62" s="375">
        <v>353508.48</v>
      </c>
      <c r="I62" s="378">
        <f>IF(X62 = 166, H62 + SUM(S62:S85) - SUM(T62:T85) - SUM(P62:P85) - V62,0)</f>
        <v>-2.9103830456733704E-11</v>
      </c>
      <c r="J62" s="381">
        <v>2353020735</v>
      </c>
      <c r="K62" s="384" t="s">
        <v>192</v>
      </c>
      <c r="L62" s="366"/>
      <c r="M62" s="366" t="s">
        <v>193</v>
      </c>
      <c r="N62" s="145" t="s">
        <v>261</v>
      </c>
      <c r="O62" s="369" t="s">
        <v>186</v>
      </c>
      <c r="P62" s="151">
        <v>65758</v>
      </c>
      <c r="Q62" s="140" t="s">
        <v>265</v>
      </c>
      <c r="R62" s="141"/>
      <c r="S62" s="139"/>
      <c r="T62" s="139"/>
      <c r="U62" s="375" t="s">
        <v>296</v>
      </c>
      <c r="V62" s="390">
        <v>40482.28</v>
      </c>
      <c r="W62" s="363"/>
      <c r="X62" s="85">
        <v>166</v>
      </c>
    </row>
    <row r="63" spans="1:24" s="104" customFormat="1" x14ac:dyDescent="0.3">
      <c r="A63" s="388"/>
      <c r="B63" s="367"/>
      <c r="C63" s="367"/>
      <c r="D63" s="367"/>
      <c r="E63" s="367"/>
      <c r="F63" s="370"/>
      <c r="G63" s="373"/>
      <c r="H63" s="376"/>
      <c r="I63" s="379"/>
      <c r="J63" s="382"/>
      <c r="K63" s="385"/>
      <c r="L63" s="367"/>
      <c r="M63" s="367"/>
      <c r="N63" s="147" t="s">
        <v>261</v>
      </c>
      <c r="O63" s="370"/>
      <c r="P63" s="152">
        <v>6283.2</v>
      </c>
      <c r="Q63" s="149" t="s">
        <v>265</v>
      </c>
      <c r="R63" s="150"/>
      <c r="S63" s="148"/>
      <c r="T63" s="148"/>
      <c r="U63" s="376"/>
      <c r="V63" s="391"/>
      <c r="W63" s="364"/>
      <c r="X63" s="104">
        <v>166</v>
      </c>
    </row>
    <row r="64" spans="1:24" s="104" customFormat="1" x14ac:dyDescent="0.3">
      <c r="A64" s="388"/>
      <c r="B64" s="367"/>
      <c r="C64" s="367"/>
      <c r="D64" s="367"/>
      <c r="E64" s="367"/>
      <c r="F64" s="370"/>
      <c r="G64" s="373"/>
      <c r="H64" s="376"/>
      <c r="I64" s="379"/>
      <c r="J64" s="382"/>
      <c r="K64" s="385"/>
      <c r="L64" s="367"/>
      <c r="M64" s="367"/>
      <c r="N64" s="147" t="s">
        <v>261</v>
      </c>
      <c r="O64" s="370"/>
      <c r="P64" s="152">
        <v>1570.8</v>
      </c>
      <c r="Q64" s="149" t="s">
        <v>265</v>
      </c>
      <c r="R64" s="150"/>
      <c r="S64" s="148"/>
      <c r="T64" s="148"/>
      <c r="U64" s="376"/>
      <c r="V64" s="391"/>
      <c r="W64" s="364"/>
      <c r="X64" s="104">
        <v>166</v>
      </c>
    </row>
    <row r="65" spans="1:24" s="104" customFormat="1" x14ac:dyDescent="0.3">
      <c r="A65" s="388"/>
      <c r="B65" s="367"/>
      <c r="C65" s="367"/>
      <c r="D65" s="367"/>
      <c r="E65" s="367"/>
      <c r="F65" s="370"/>
      <c r="G65" s="373"/>
      <c r="H65" s="376"/>
      <c r="I65" s="379"/>
      <c r="J65" s="382"/>
      <c r="K65" s="385"/>
      <c r="L65" s="367"/>
      <c r="M65" s="367"/>
      <c r="N65" s="147" t="s">
        <v>261</v>
      </c>
      <c r="O65" s="370"/>
      <c r="P65" s="152">
        <v>10998.25</v>
      </c>
      <c r="Q65" s="149" t="s">
        <v>265</v>
      </c>
      <c r="R65" s="150"/>
      <c r="S65" s="148"/>
      <c r="T65" s="148"/>
      <c r="U65" s="376"/>
      <c r="V65" s="391"/>
      <c r="W65" s="364"/>
      <c r="X65" s="104">
        <v>166</v>
      </c>
    </row>
    <row r="66" spans="1:24" s="104" customFormat="1" x14ac:dyDescent="0.3">
      <c r="A66" s="388"/>
      <c r="B66" s="367"/>
      <c r="C66" s="367"/>
      <c r="D66" s="367"/>
      <c r="E66" s="367"/>
      <c r="F66" s="370"/>
      <c r="G66" s="373"/>
      <c r="H66" s="376"/>
      <c r="I66" s="379"/>
      <c r="J66" s="382"/>
      <c r="K66" s="385"/>
      <c r="L66" s="367"/>
      <c r="M66" s="367"/>
      <c r="N66" s="147" t="s">
        <v>261</v>
      </c>
      <c r="O66" s="370"/>
      <c r="P66" s="152">
        <v>13442.15</v>
      </c>
      <c r="Q66" s="149" t="s">
        <v>265</v>
      </c>
      <c r="R66" s="150"/>
      <c r="S66" s="148"/>
      <c r="T66" s="148"/>
      <c r="U66" s="376"/>
      <c r="V66" s="391"/>
      <c r="W66" s="364"/>
      <c r="X66" s="104">
        <v>166</v>
      </c>
    </row>
    <row r="67" spans="1:24" s="104" customFormat="1" x14ac:dyDescent="0.3">
      <c r="A67" s="388"/>
      <c r="B67" s="367"/>
      <c r="C67" s="367"/>
      <c r="D67" s="367"/>
      <c r="E67" s="367"/>
      <c r="F67" s="370"/>
      <c r="G67" s="373"/>
      <c r="H67" s="376"/>
      <c r="I67" s="379"/>
      <c r="J67" s="382"/>
      <c r="K67" s="385"/>
      <c r="L67" s="367"/>
      <c r="M67" s="367"/>
      <c r="N67" s="147" t="s">
        <v>261</v>
      </c>
      <c r="O67" s="370"/>
      <c r="P67" s="152">
        <v>8225</v>
      </c>
      <c r="Q67" s="149" t="s">
        <v>265</v>
      </c>
      <c r="R67" s="150"/>
      <c r="S67" s="148"/>
      <c r="T67" s="148"/>
      <c r="U67" s="376"/>
      <c r="V67" s="391"/>
      <c r="W67" s="364"/>
      <c r="X67" s="104">
        <v>166</v>
      </c>
    </row>
    <row r="68" spans="1:24" s="104" customFormat="1" x14ac:dyDescent="0.3">
      <c r="A68" s="388"/>
      <c r="B68" s="367"/>
      <c r="C68" s="367"/>
      <c r="D68" s="367"/>
      <c r="E68" s="367"/>
      <c r="F68" s="370"/>
      <c r="G68" s="373"/>
      <c r="H68" s="376"/>
      <c r="I68" s="379"/>
      <c r="J68" s="382"/>
      <c r="K68" s="385"/>
      <c r="L68" s="367"/>
      <c r="M68" s="367"/>
      <c r="N68" s="147" t="s">
        <v>261</v>
      </c>
      <c r="O68" s="370"/>
      <c r="P68" s="152">
        <v>8304</v>
      </c>
      <c r="Q68" s="149" t="s">
        <v>265</v>
      </c>
      <c r="R68" s="150"/>
      <c r="S68" s="148"/>
      <c r="T68" s="148"/>
      <c r="U68" s="376"/>
      <c r="V68" s="391"/>
      <c r="W68" s="364"/>
      <c r="X68" s="104">
        <v>166</v>
      </c>
    </row>
    <row r="69" spans="1:24" s="104" customFormat="1" x14ac:dyDescent="0.3">
      <c r="A69" s="388"/>
      <c r="B69" s="367"/>
      <c r="C69" s="367"/>
      <c r="D69" s="367"/>
      <c r="E69" s="367"/>
      <c r="F69" s="370"/>
      <c r="G69" s="373"/>
      <c r="H69" s="376"/>
      <c r="I69" s="379"/>
      <c r="J69" s="382"/>
      <c r="K69" s="385"/>
      <c r="L69" s="367"/>
      <c r="M69" s="367"/>
      <c r="N69" s="147" t="s">
        <v>261</v>
      </c>
      <c r="O69" s="370"/>
      <c r="P69" s="152">
        <v>2800</v>
      </c>
      <c r="Q69" s="149" t="s">
        <v>265</v>
      </c>
      <c r="R69" s="150"/>
      <c r="S69" s="148"/>
      <c r="T69" s="148"/>
      <c r="U69" s="376"/>
      <c r="V69" s="391"/>
      <c r="W69" s="364"/>
      <c r="X69" s="104">
        <v>166</v>
      </c>
    </row>
    <row r="70" spans="1:24" s="104" customFormat="1" x14ac:dyDescent="0.3">
      <c r="A70" s="388"/>
      <c r="B70" s="367"/>
      <c r="C70" s="367"/>
      <c r="D70" s="367"/>
      <c r="E70" s="367"/>
      <c r="F70" s="370"/>
      <c r="G70" s="373"/>
      <c r="H70" s="376"/>
      <c r="I70" s="379"/>
      <c r="J70" s="382"/>
      <c r="K70" s="385"/>
      <c r="L70" s="367"/>
      <c r="M70" s="367"/>
      <c r="N70" s="147" t="s">
        <v>222</v>
      </c>
      <c r="O70" s="370"/>
      <c r="P70" s="152">
        <v>60522</v>
      </c>
      <c r="Q70" s="149" t="s">
        <v>237</v>
      </c>
      <c r="R70" s="150"/>
      <c r="S70" s="148"/>
      <c r="T70" s="148"/>
      <c r="U70" s="376"/>
      <c r="V70" s="391"/>
      <c r="W70" s="364"/>
      <c r="X70" s="104">
        <v>166</v>
      </c>
    </row>
    <row r="71" spans="1:24" s="104" customFormat="1" x14ac:dyDescent="0.3">
      <c r="A71" s="388"/>
      <c r="B71" s="367"/>
      <c r="C71" s="367"/>
      <c r="D71" s="367"/>
      <c r="E71" s="367"/>
      <c r="F71" s="370"/>
      <c r="G71" s="373"/>
      <c r="H71" s="376"/>
      <c r="I71" s="379"/>
      <c r="J71" s="382"/>
      <c r="K71" s="385"/>
      <c r="L71" s="367"/>
      <c r="M71" s="367"/>
      <c r="N71" s="147" t="s">
        <v>222</v>
      </c>
      <c r="O71" s="370"/>
      <c r="P71" s="152">
        <v>3326.4</v>
      </c>
      <c r="Q71" s="149" t="s">
        <v>237</v>
      </c>
      <c r="R71" s="150"/>
      <c r="S71" s="148"/>
      <c r="T71" s="148"/>
      <c r="U71" s="376"/>
      <c r="V71" s="391"/>
      <c r="W71" s="364"/>
      <c r="X71" s="104">
        <v>166</v>
      </c>
    </row>
    <row r="72" spans="1:24" s="104" customFormat="1" x14ac:dyDescent="0.3">
      <c r="A72" s="388"/>
      <c r="B72" s="367"/>
      <c r="C72" s="367"/>
      <c r="D72" s="367"/>
      <c r="E72" s="367"/>
      <c r="F72" s="370"/>
      <c r="G72" s="373"/>
      <c r="H72" s="376"/>
      <c r="I72" s="379"/>
      <c r="J72" s="382"/>
      <c r="K72" s="385"/>
      <c r="L72" s="367"/>
      <c r="M72" s="367"/>
      <c r="N72" s="147" t="s">
        <v>222</v>
      </c>
      <c r="O72" s="370"/>
      <c r="P72" s="152">
        <v>831.6</v>
      </c>
      <c r="Q72" s="149" t="s">
        <v>237</v>
      </c>
      <c r="R72" s="150"/>
      <c r="S72" s="148"/>
      <c r="T72" s="148"/>
      <c r="U72" s="376"/>
      <c r="V72" s="391"/>
      <c r="W72" s="364"/>
      <c r="X72" s="104">
        <v>166</v>
      </c>
    </row>
    <row r="73" spans="1:24" s="104" customFormat="1" x14ac:dyDescent="0.3">
      <c r="A73" s="388"/>
      <c r="B73" s="367"/>
      <c r="C73" s="367"/>
      <c r="D73" s="367"/>
      <c r="E73" s="367"/>
      <c r="F73" s="370"/>
      <c r="G73" s="373"/>
      <c r="H73" s="376"/>
      <c r="I73" s="379"/>
      <c r="J73" s="382"/>
      <c r="K73" s="385"/>
      <c r="L73" s="367"/>
      <c r="M73" s="367"/>
      <c r="N73" s="147" t="s">
        <v>222</v>
      </c>
      <c r="O73" s="370"/>
      <c r="P73" s="152">
        <v>6643.2</v>
      </c>
      <c r="Q73" s="149" t="s">
        <v>237</v>
      </c>
      <c r="R73" s="150"/>
      <c r="S73" s="148"/>
      <c r="T73" s="148"/>
      <c r="U73" s="376"/>
      <c r="V73" s="391"/>
      <c r="W73" s="364"/>
      <c r="X73" s="104">
        <v>166</v>
      </c>
    </row>
    <row r="74" spans="1:24" s="104" customFormat="1" x14ac:dyDescent="0.3">
      <c r="A74" s="388"/>
      <c r="B74" s="367"/>
      <c r="C74" s="367"/>
      <c r="D74" s="367"/>
      <c r="E74" s="367"/>
      <c r="F74" s="370"/>
      <c r="G74" s="373"/>
      <c r="H74" s="376"/>
      <c r="I74" s="379"/>
      <c r="J74" s="382"/>
      <c r="K74" s="385"/>
      <c r="L74" s="367"/>
      <c r="M74" s="367"/>
      <c r="N74" s="147" t="s">
        <v>222</v>
      </c>
      <c r="O74" s="370"/>
      <c r="P74" s="152">
        <v>2240</v>
      </c>
      <c r="Q74" s="149" t="s">
        <v>237</v>
      </c>
      <c r="R74" s="150"/>
      <c r="S74" s="148"/>
      <c r="T74" s="148"/>
      <c r="U74" s="376"/>
      <c r="V74" s="391"/>
      <c r="W74" s="364"/>
      <c r="X74" s="104">
        <v>166</v>
      </c>
    </row>
    <row r="75" spans="1:24" s="104" customFormat="1" x14ac:dyDescent="0.3">
      <c r="A75" s="388"/>
      <c r="B75" s="367"/>
      <c r="C75" s="367"/>
      <c r="D75" s="367"/>
      <c r="E75" s="367"/>
      <c r="F75" s="370"/>
      <c r="G75" s="373"/>
      <c r="H75" s="376"/>
      <c r="I75" s="379"/>
      <c r="J75" s="382"/>
      <c r="K75" s="385"/>
      <c r="L75" s="367"/>
      <c r="M75" s="367"/>
      <c r="N75" s="147" t="s">
        <v>222</v>
      </c>
      <c r="O75" s="370"/>
      <c r="P75" s="152">
        <v>11901.72</v>
      </c>
      <c r="Q75" s="149" t="s">
        <v>237</v>
      </c>
      <c r="R75" s="150"/>
      <c r="S75" s="148"/>
      <c r="T75" s="148"/>
      <c r="U75" s="376"/>
      <c r="V75" s="391"/>
      <c r="W75" s="364"/>
      <c r="X75" s="104">
        <v>166</v>
      </c>
    </row>
    <row r="76" spans="1:24" s="104" customFormat="1" x14ac:dyDescent="0.3">
      <c r="A76" s="388"/>
      <c r="B76" s="367"/>
      <c r="C76" s="367"/>
      <c r="D76" s="367"/>
      <c r="E76" s="367"/>
      <c r="F76" s="370"/>
      <c r="G76" s="373"/>
      <c r="H76" s="376"/>
      <c r="I76" s="379"/>
      <c r="J76" s="382"/>
      <c r="K76" s="385"/>
      <c r="L76" s="367"/>
      <c r="M76" s="367"/>
      <c r="N76" s="147" t="s">
        <v>222</v>
      </c>
      <c r="O76" s="370"/>
      <c r="P76" s="152">
        <v>9737.8799999999992</v>
      </c>
      <c r="Q76" s="149" t="s">
        <v>237</v>
      </c>
      <c r="R76" s="150"/>
      <c r="S76" s="148"/>
      <c r="T76" s="148"/>
      <c r="U76" s="376"/>
      <c r="V76" s="391"/>
      <c r="W76" s="364"/>
      <c r="X76" s="104">
        <v>166</v>
      </c>
    </row>
    <row r="77" spans="1:24" s="104" customFormat="1" x14ac:dyDescent="0.3">
      <c r="A77" s="388"/>
      <c r="B77" s="367"/>
      <c r="C77" s="367"/>
      <c r="D77" s="367"/>
      <c r="E77" s="367"/>
      <c r="F77" s="370"/>
      <c r="G77" s="373"/>
      <c r="H77" s="376"/>
      <c r="I77" s="379"/>
      <c r="J77" s="382"/>
      <c r="K77" s="385"/>
      <c r="L77" s="367"/>
      <c r="M77" s="367"/>
      <c r="N77" s="147" t="s">
        <v>222</v>
      </c>
      <c r="O77" s="370"/>
      <c r="P77" s="152">
        <v>7280</v>
      </c>
      <c r="Q77" s="149" t="s">
        <v>237</v>
      </c>
      <c r="R77" s="150"/>
      <c r="S77" s="148"/>
      <c r="T77" s="148"/>
      <c r="U77" s="376"/>
      <c r="V77" s="391"/>
      <c r="W77" s="364"/>
      <c r="X77" s="104">
        <v>166</v>
      </c>
    </row>
    <row r="78" spans="1:24" s="104" customFormat="1" x14ac:dyDescent="0.3">
      <c r="A78" s="388"/>
      <c r="B78" s="367"/>
      <c r="C78" s="367"/>
      <c r="D78" s="367"/>
      <c r="E78" s="367"/>
      <c r="F78" s="370"/>
      <c r="G78" s="373"/>
      <c r="H78" s="376"/>
      <c r="I78" s="379"/>
      <c r="J78" s="382"/>
      <c r="K78" s="385"/>
      <c r="L78" s="367"/>
      <c r="M78" s="367"/>
      <c r="N78" s="147" t="s">
        <v>290</v>
      </c>
      <c r="O78" s="370"/>
      <c r="P78" s="148">
        <v>54516</v>
      </c>
      <c r="Q78" s="149" t="s">
        <v>294</v>
      </c>
      <c r="R78" s="150"/>
      <c r="S78" s="148"/>
      <c r="T78" s="148"/>
      <c r="U78" s="376"/>
      <c r="V78" s="391"/>
      <c r="W78" s="364"/>
      <c r="X78" s="104">
        <v>166</v>
      </c>
    </row>
    <row r="79" spans="1:24" s="104" customFormat="1" x14ac:dyDescent="0.3">
      <c r="A79" s="388"/>
      <c r="B79" s="367"/>
      <c r="C79" s="367"/>
      <c r="D79" s="367"/>
      <c r="E79" s="367"/>
      <c r="F79" s="370"/>
      <c r="G79" s="373"/>
      <c r="H79" s="376"/>
      <c r="I79" s="379"/>
      <c r="J79" s="382"/>
      <c r="K79" s="385"/>
      <c r="L79" s="367"/>
      <c r="M79" s="367"/>
      <c r="N79" s="147" t="s">
        <v>290</v>
      </c>
      <c r="O79" s="370"/>
      <c r="P79" s="148">
        <v>10296.61</v>
      </c>
      <c r="Q79" s="149" t="s">
        <v>294</v>
      </c>
      <c r="R79" s="150"/>
      <c r="S79" s="148"/>
      <c r="T79" s="148"/>
      <c r="U79" s="376"/>
      <c r="V79" s="391"/>
      <c r="W79" s="364"/>
      <c r="X79" s="104">
        <v>166</v>
      </c>
    </row>
    <row r="80" spans="1:24" s="104" customFormat="1" x14ac:dyDescent="0.3">
      <c r="A80" s="388"/>
      <c r="B80" s="367"/>
      <c r="C80" s="367"/>
      <c r="D80" s="367"/>
      <c r="E80" s="367"/>
      <c r="F80" s="370"/>
      <c r="G80" s="373"/>
      <c r="H80" s="376"/>
      <c r="I80" s="379"/>
      <c r="J80" s="382"/>
      <c r="K80" s="385"/>
      <c r="L80" s="367"/>
      <c r="M80" s="367"/>
      <c r="N80" s="147" t="s">
        <v>290</v>
      </c>
      <c r="O80" s="370"/>
      <c r="P80" s="148">
        <v>8424.59</v>
      </c>
      <c r="Q80" s="149" t="s">
        <v>294</v>
      </c>
      <c r="R80" s="150"/>
      <c r="S80" s="148"/>
      <c r="T80" s="148"/>
      <c r="U80" s="376"/>
      <c r="V80" s="391"/>
      <c r="W80" s="364"/>
      <c r="X80" s="104">
        <v>166</v>
      </c>
    </row>
    <row r="81" spans="1:24" s="104" customFormat="1" x14ac:dyDescent="0.3">
      <c r="A81" s="388"/>
      <c r="B81" s="367"/>
      <c r="C81" s="367"/>
      <c r="D81" s="367"/>
      <c r="E81" s="367"/>
      <c r="F81" s="370"/>
      <c r="G81" s="373"/>
      <c r="H81" s="376"/>
      <c r="I81" s="379"/>
      <c r="J81" s="382"/>
      <c r="K81" s="385"/>
      <c r="L81" s="367"/>
      <c r="M81" s="367"/>
      <c r="N81" s="147" t="s">
        <v>290</v>
      </c>
      <c r="O81" s="370"/>
      <c r="P81" s="148">
        <v>6300</v>
      </c>
      <c r="Q81" s="149" t="s">
        <v>294</v>
      </c>
      <c r="R81" s="150"/>
      <c r="S81" s="148"/>
      <c r="T81" s="148"/>
      <c r="U81" s="376"/>
      <c r="V81" s="391"/>
      <c r="W81" s="364"/>
      <c r="X81" s="104">
        <v>166</v>
      </c>
    </row>
    <row r="82" spans="1:24" s="104" customFormat="1" x14ac:dyDescent="0.3">
      <c r="A82" s="388"/>
      <c r="B82" s="367"/>
      <c r="C82" s="367"/>
      <c r="D82" s="367"/>
      <c r="E82" s="367"/>
      <c r="F82" s="370"/>
      <c r="G82" s="373"/>
      <c r="H82" s="376"/>
      <c r="I82" s="379"/>
      <c r="J82" s="382"/>
      <c r="K82" s="385"/>
      <c r="L82" s="367"/>
      <c r="M82" s="367"/>
      <c r="N82" s="147" t="s">
        <v>290</v>
      </c>
      <c r="O82" s="370"/>
      <c r="P82" s="148">
        <v>5812.8</v>
      </c>
      <c r="Q82" s="149" t="s">
        <v>294</v>
      </c>
      <c r="R82" s="150"/>
      <c r="S82" s="148"/>
      <c r="T82" s="148"/>
      <c r="U82" s="376"/>
      <c r="V82" s="391"/>
      <c r="W82" s="364"/>
      <c r="X82" s="104">
        <v>166</v>
      </c>
    </row>
    <row r="83" spans="1:24" s="104" customFormat="1" x14ac:dyDescent="0.3">
      <c r="A83" s="388"/>
      <c r="B83" s="367"/>
      <c r="C83" s="367"/>
      <c r="D83" s="367"/>
      <c r="E83" s="367"/>
      <c r="F83" s="370"/>
      <c r="G83" s="373"/>
      <c r="H83" s="376"/>
      <c r="I83" s="379"/>
      <c r="J83" s="382"/>
      <c r="K83" s="385"/>
      <c r="L83" s="367"/>
      <c r="M83" s="367"/>
      <c r="N83" s="147" t="s">
        <v>290</v>
      </c>
      <c r="O83" s="370"/>
      <c r="P83" s="148">
        <v>1960</v>
      </c>
      <c r="Q83" s="149" t="s">
        <v>294</v>
      </c>
      <c r="R83" s="150"/>
      <c r="S83" s="148"/>
      <c r="T83" s="148"/>
      <c r="U83" s="376"/>
      <c r="V83" s="391"/>
      <c r="W83" s="364"/>
      <c r="X83" s="104">
        <v>166</v>
      </c>
    </row>
    <row r="84" spans="1:24" s="104" customFormat="1" x14ac:dyDescent="0.3">
      <c r="A84" s="388"/>
      <c r="B84" s="367"/>
      <c r="C84" s="367"/>
      <c r="D84" s="367"/>
      <c r="E84" s="367"/>
      <c r="F84" s="370"/>
      <c r="G84" s="373"/>
      <c r="H84" s="376"/>
      <c r="I84" s="379"/>
      <c r="J84" s="382"/>
      <c r="K84" s="385"/>
      <c r="L84" s="367"/>
      <c r="M84" s="367"/>
      <c r="N84" s="147" t="s">
        <v>290</v>
      </c>
      <c r="O84" s="370"/>
      <c r="P84" s="148">
        <v>1170.4000000000001</v>
      </c>
      <c r="Q84" s="149" t="s">
        <v>295</v>
      </c>
      <c r="R84" s="150"/>
      <c r="S84" s="148"/>
      <c r="T84" s="148"/>
      <c r="U84" s="376"/>
      <c r="V84" s="391"/>
      <c r="W84" s="364"/>
      <c r="X84" s="104">
        <v>166</v>
      </c>
    </row>
    <row r="85" spans="1:24" s="104" customFormat="1" x14ac:dyDescent="0.3">
      <c r="A85" s="389"/>
      <c r="B85" s="368"/>
      <c r="C85" s="368"/>
      <c r="D85" s="368"/>
      <c r="E85" s="368"/>
      <c r="F85" s="371"/>
      <c r="G85" s="374"/>
      <c r="H85" s="377"/>
      <c r="I85" s="380"/>
      <c r="J85" s="383"/>
      <c r="K85" s="386"/>
      <c r="L85" s="368"/>
      <c r="M85" s="368"/>
      <c r="N85" s="146" t="s">
        <v>290</v>
      </c>
      <c r="O85" s="371"/>
      <c r="P85" s="142">
        <v>4681.6000000000004</v>
      </c>
      <c r="Q85" s="143" t="s">
        <v>295</v>
      </c>
      <c r="R85" s="144"/>
      <c r="S85" s="142"/>
      <c r="T85" s="142"/>
      <c r="U85" s="377"/>
      <c r="V85" s="392"/>
      <c r="W85" s="365"/>
      <c r="X85" s="104">
        <v>166</v>
      </c>
    </row>
    <row r="86" spans="1:24" s="85" customFormat="1" ht="54" customHeight="1" x14ac:dyDescent="0.3">
      <c r="A86" s="342">
        <v>12</v>
      </c>
      <c r="B86" s="351" t="s">
        <v>56</v>
      </c>
      <c r="C86" s="351"/>
      <c r="D86" s="351"/>
      <c r="E86" s="351" t="s">
        <v>161</v>
      </c>
      <c r="F86" s="345" t="s">
        <v>181</v>
      </c>
      <c r="G86" s="357" t="s">
        <v>228</v>
      </c>
      <c r="H86" s="348">
        <v>84968</v>
      </c>
      <c r="I86" s="360">
        <f>IF(X86 = 168, H86 + SUM(S86:S90) - SUM(T86:T90) - SUM(P86:P90) - V86,0)</f>
        <v>55900</v>
      </c>
      <c r="J86" s="417">
        <v>2353017179</v>
      </c>
      <c r="K86" s="420" t="s">
        <v>229</v>
      </c>
      <c r="L86" s="351"/>
      <c r="M86" s="351" t="s">
        <v>230</v>
      </c>
      <c r="N86" s="229" t="s">
        <v>222</v>
      </c>
      <c r="O86" s="345" t="s">
        <v>231</v>
      </c>
      <c r="P86" s="221">
        <v>2924</v>
      </c>
      <c r="Q86" s="219" t="s">
        <v>232</v>
      </c>
      <c r="R86" s="220"/>
      <c r="S86" s="221"/>
      <c r="T86" s="221"/>
      <c r="U86" s="348"/>
      <c r="V86" s="453"/>
      <c r="W86" s="333"/>
      <c r="X86" s="85">
        <v>168</v>
      </c>
    </row>
    <row r="87" spans="1:24" s="104" customFormat="1" x14ac:dyDescent="0.3">
      <c r="A87" s="343"/>
      <c r="B87" s="352"/>
      <c r="C87" s="352"/>
      <c r="D87" s="352"/>
      <c r="E87" s="352"/>
      <c r="F87" s="346"/>
      <c r="G87" s="358"/>
      <c r="H87" s="349"/>
      <c r="I87" s="361"/>
      <c r="J87" s="418"/>
      <c r="K87" s="421"/>
      <c r="L87" s="352"/>
      <c r="M87" s="352"/>
      <c r="N87" s="230" t="s">
        <v>261</v>
      </c>
      <c r="O87" s="346"/>
      <c r="P87" s="225">
        <v>5332</v>
      </c>
      <c r="Q87" s="223" t="s">
        <v>264</v>
      </c>
      <c r="R87" s="224"/>
      <c r="S87" s="225"/>
      <c r="T87" s="225"/>
      <c r="U87" s="349"/>
      <c r="V87" s="454"/>
      <c r="W87" s="334"/>
      <c r="X87" s="104">
        <v>168</v>
      </c>
    </row>
    <row r="88" spans="1:24" s="104" customFormat="1" x14ac:dyDescent="0.3">
      <c r="A88" s="343"/>
      <c r="B88" s="352"/>
      <c r="C88" s="352"/>
      <c r="D88" s="352"/>
      <c r="E88" s="352"/>
      <c r="F88" s="346"/>
      <c r="G88" s="358"/>
      <c r="H88" s="349"/>
      <c r="I88" s="361"/>
      <c r="J88" s="418"/>
      <c r="K88" s="421"/>
      <c r="L88" s="352"/>
      <c r="M88" s="352"/>
      <c r="N88" s="230" t="s">
        <v>290</v>
      </c>
      <c r="O88" s="346"/>
      <c r="P88" s="225">
        <v>7224</v>
      </c>
      <c r="Q88" s="223" t="s">
        <v>299</v>
      </c>
      <c r="R88" s="224"/>
      <c r="S88" s="225"/>
      <c r="T88" s="225"/>
      <c r="U88" s="349"/>
      <c r="V88" s="454"/>
      <c r="W88" s="334"/>
      <c r="X88" s="104">
        <v>168</v>
      </c>
    </row>
    <row r="89" spans="1:24" s="104" customFormat="1" x14ac:dyDescent="0.3">
      <c r="A89" s="343"/>
      <c r="B89" s="352"/>
      <c r="C89" s="352"/>
      <c r="D89" s="352"/>
      <c r="E89" s="352"/>
      <c r="F89" s="346"/>
      <c r="G89" s="358"/>
      <c r="H89" s="349"/>
      <c r="I89" s="361"/>
      <c r="J89" s="418"/>
      <c r="K89" s="421"/>
      <c r="L89" s="352"/>
      <c r="M89" s="352"/>
      <c r="N89" s="230" t="s">
        <v>367</v>
      </c>
      <c r="O89" s="346"/>
      <c r="P89" s="225">
        <v>6536</v>
      </c>
      <c r="Q89" s="223" t="s">
        <v>408</v>
      </c>
      <c r="R89" s="224"/>
      <c r="S89" s="225"/>
      <c r="T89" s="225"/>
      <c r="U89" s="349"/>
      <c r="V89" s="454"/>
      <c r="W89" s="334"/>
      <c r="X89" s="104">
        <v>168</v>
      </c>
    </row>
    <row r="90" spans="1:24" s="104" customFormat="1" x14ac:dyDescent="0.3">
      <c r="A90" s="344"/>
      <c r="B90" s="353"/>
      <c r="C90" s="353"/>
      <c r="D90" s="353"/>
      <c r="E90" s="353"/>
      <c r="F90" s="347"/>
      <c r="G90" s="359"/>
      <c r="H90" s="350"/>
      <c r="I90" s="362"/>
      <c r="J90" s="419"/>
      <c r="K90" s="422"/>
      <c r="L90" s="353"/>
      <c r="M90" s="353"/>
      <c r="N90" s="231" t="s">
        <v>356</v>
      </c>
      <c r="O90" s="347"/>
      <c r="P90" s="226">
        <v>7052</v>
      </c>
      <c r="Q90" s="227" t="s">
        <v>353</v>
      </c>
      <c r="R90" s="228"/>
      <c r="S90" s="226"/>
      <c r="T90" s="226"/>
      <c r="U90" s="350"/>
      <c r="V90" s="455"/>
      <c r="W90" s="335"/>
      <c r="X90" s="104">
        <v>168</v>
      </c>
    </row>
    <row r="91" spans="1:24" s="85" customFormat="1" ht="36" customHeight="1" x14ac:dyDescent="0.3">
      <c r="A91" s="302">
        <v>13</v>
      </c>
      <c r="B91" s="308" t="s">
        <v>56</v>
      </c>
      <c r="C91" s="308"/>
      <c r="D91" s="308"/>
      <c r="E91" s="308" t="s">
        <v>233</v>
      </c>
      <c r="F91" s="304" t="s">
        <v>232</v>
      </c>
      <c r="G91" s="312" t="s">
        <v>234</v>
      </c>
      <c r="H91" s="306">
        <v>16305</v>
      </c>
      <c r="I91" s="314">
        <f>IF(X91 = 169, H91 + SUM(S91:S92) - SUM(T91:T92) - SUM(P91:P92) - V91,0)</f>
        <v>0</v>
      </c>
      <c r="J91" s="407">
        <v>235000239811</v>
      </c>
      <c r="K91" s="409" t="s">
        <v>235</v>
      </c>
      <c r="L91" s="308"/>
      <c r="M91" s="308" t="s">
        <v>236</v>
      </c>
      <c r="N91" s="105" t="s">
        <v>232</v>
      </c>
      <c r="O91" s="304" t="s">
        <v>231</v>
      </c>
      <c r="P91" s="106">
        <v>12880</v>
      </c>
      <c r="Q91" s="107" t="s">
        <v>237</v>
      </c>
      <c r="R91" s="108"/>
      <c r="S91" s="106"/>
      <c r="T91" s="106"/>
      <c r="U91" s="306"/>
      <c r="V91" s="405"/>
      <c r="W91" s="316"/>
      <c r="X91" s="85">
        <v>169</v>
      </c>
    </row>
    <row r="92" spans="1:24" s="104" customFormat="1" x14ac:dyDescent="0.3">
      <c r="A92" s="303"/>
      <c r="B92" s="309"/>
      <c r="C92" s="309"/>
      <c r="D92" s="309"/>
      <c r="E92" s="309"/>
      <c r="F92" s="305"/>
      <c r="G92" s="313"/>
      <c r="H92" s="307"/>
      <c r="I92" s="315"/>
      <c r="J92" s="408"/>
      <c r="K92" s="410"/>
      <c r="L92" s="309"/>
      <c r="M92" s="309"/>
      <c r="N92" s="109" t="s">
        <v>232</v>
      </c>
      <c r="O92" s="305"/>
      <c r="P92" s="110">
        <v>3425</v>
      </c>
      <c r="Q92" s="111" t="s">
        <v>237</v>
      </c>
      <c r="R92" s="112"/>
      <c r="S92" s="110"/>
      <c r="T92" s="110"/>
      <c r="U92" s="307"/>
      <c r="V92" s="406"/>
      <c r="W92" s="317"/>
      <c r="X92" s="104">
        <v>169</v>
      </c>
    </row>
    <row r="93" spans="1:24" s="85" customFormat="1" ht="54" x14ac:dyDescent="0.3">
      <c r="A93" s="86">
        <v>14</v>
      </c>
      <c r="B93" s="88" t="s">
        <v>56</v>
      </c>
      <c r="C93" s="88"/>
      <c r="D93" s="88"/>
      <c r="E93" s="88" t="s">
        <v>238</v>
      </c>
      <c r="F93" s="103" t="s">
        <v>239</v>
      </c>
      <c r="G93" s="91" t="s">
        <v>240</v>
      </c>
      <c r="H93" s="87">
        <v>53310</v>
      </c>
      <c r="I93" s="92">
        <f>IF(X93 = 170, H93 + SUM(S93:S93) - SUM(T93:T93) - SUM(P93:P93) - V93,0)</f>
        <v>0</v>
      </c>
      <c r="J93" s="93">
        <v>235303483777</v>
      </c>
      <c r="K93" s="94" t="s">
        <v>241</v>
      </c>
      <c r="L93" s="88"/>
      <c r="M93" s="88" t="s">
        <v>268</v>
      </c>
      <c r="N93" s="103" t="s">
        <v>224</v>
      </c>
      <c r="O93" s="103" t="s">
        <v>179</v>
      </c>
      <c r="P93" s="87">
        <v>53310</v>
      </c>
      <c r="Q93" s="91" t="s">
        <v>242</v>
      </c>
      <c r="R93" s="88"/>
      <c r="S93" s="87"/>
      <c r="T93" s="87"/>
      <c r="U93" s="87"/>
      <c r="V93" s="89"/>
      <c r="W93" s="90"/>
      <c r="X93" s="85">
        <v>170</v>
      </c>
    </row>
    <row r="94" spans="1:24" s="85" customFormat="1" ht="36" customHeight="1" x14ac:dyDescent="0.3">
      <c r="A94" s="393">
        <v>15</v>
      </c>
      <c r="B94" s="399" t="s">
        <v>56</v>
      </c>
      <c r="C94" s="399"/>
      <c r="D94" s="399"/>
      <c r="E94" s="399" t="s">
        <v>160</v>
      </c>
      <c r="F94" s="395" t="s">
        <v>266</v>
      </c>
      <c r="G94" s="458" t="s">
        <v>234</v>
      </c>
      <c r="H94" s="397">
        <v>73830</v>
      </c>
      <c r="I94" s="411">
        <f>IF(X94 = 171, H94 + SUM(S94:S95) - SUM(T94:T95) - SUM(P94:P95) - V94,0)</f>
        <v>0</v>
      </c>
      <c r="J94" s="413">
        <v>235305540660</v>
      </c>
      <c r="K94" s="415" t="s">
        <v>267</v>
      </c>
      <c r="L94" s="399"/>
      <c r="M94" s="399" t="s">
        <v>269</v>
      </c>
      <c r="N94" s="134" t="s">
        <v>263</v>
      </c>
      <c r="O94" s="395" t="s">
        <v>231</v>
      </c>
      <c r="P94" s="130">
        <v>50900</v>
      </c>
      <c r="Q94" s="131" t="s">
        <v>264</v>
      </c>
      <c r="R94" s="137"/>
      <c r="S94" s="130"/>
      <c r="T94" s="130"/>
      <c r="U94" s="397"/>
      <c r="V94" s="401"/>
      <c r="W94" s="456"/>
      <c r="X94" s="85">
        <v>171</v>
      </c>
    </row>
    <row r="95" spans="1:24" s="104" customFormat="1" x14ac:dyDescent="0.3">
      <c r="A95" s="394"/>
      <c r="B95" s="400"/>
      <c r="C95" s="400"/>
      <c r="D95" s="400"/>
      <c r="E95" s="400"/>
      <c r="F95" s="396"/>
      <c r="G95" s="459"/>
      <c r="H95" s="398"/>
      <c r="I95" s="412"/>
      <c r="J95" s="414"/>
      <c r="K95" s="416"/>
      <c r="L95" s="400"/>
      <c r="M95" s="400"/>
      <c r="N95" s="135" t="s">
        <v>263</v>
      </c>
      <c r="O95" s="396"/>
      <c r="P95" s="132">
        <v>22930</v>
      </c>
      <c r="Q95" s="133" t="s">
        <v>264</v>
      </c>
      <c r="R95" s="138"/>
      <c r="S95" s="132"/>
      <c r="T95" s="132"/>
      <c r="U95" s="398"/>
      <c r="V95" s="402"/>
      <c r="W95" s="457"/>
      <c r="X95" s="104">
        <v>171</v>
      </c>
    </row>
    <row r="96" spans="1:24" s="85" customFormat="1" ht="54" x14ac:dyDescent="0.3">
      <c r="A96" s="113">
        <v>16</v>
      </c>
      <c r="B96" s="114" t="s">
        <v>56</v>
      </c>
      <c r="C96" s="114"/>
      <c r="D96" s="114"/>
      <c r="E96" s="114" t="s">
        <v>238</v>
      </c>
      <c r="F96" s="136" t="s">
        <v>261</v>
      </c>
      <c r="G96" s="115" t="s">
        <v>270</v>
      </c>
      <c r="H96" s="116">
        <v>12630</v>
      </c>
      <c r="I96" s="117">
        <f>IF(X96 = 172, H96 + SUM(S96:S96) - SUM(T96:T96) - SUM(P96:P96) - V96,0)</f>
        <v>0</v>
      </c>
      <c r="J96" s="93">
        <v>235303483777</v>
      </c>
      <c r="K96" s="94" t="s">
        <v>241</v>
      </c>
      <c r="L96" s="114"/>
      <c r="M96" s="114" t="s">
        <v>271</v>
      </c>
      <c r="N96" s="136" t="s">
        <v>261</v>
      </c>
      <c r="O96" s="103" t="s">
        <v>179</v>
      </c>
      <c r="P96" s="116">
        <v>12630</v>
      </c>
      <c r="Q96" s="115" t="s">
        <v>272</v>
      </c>
      <c r="R96" s="114"/>
      <c r="S96" s="116"/>
      <c r="T96" s="116"/>
      <c r="U96" s="116"/>
      <c r="V96" s="120"/>
      <c r="W96" s="121"/>
      <c r="X96" s="85">
        <v>172</v>
      </c>
    </row>
    <row r="97" spans="1:24" s="85" customFormat="1" ht="54" x14ac:dyDescent="0.3">
      <c r="A97" s="113">
        <v>17</v>
      </c>
      <c r="B97" s="114" t="s">
        <v>56</v>
      </c>
      <c r="C97" s="114"/>
      <c r="D97" s="114"/>
      <c r="E97" s="114" t="s">
        <v>273</v>
      </c>
      <c r="F97" s="136" t="s">
        <v>247</v>
      </c>
      <c r="G97" s="115" t="s">
        <v>274</v>
      </c>
      <c r="H97" s="116">
        <v>10000</v>
      </c>
      <c r="I97" s="117">
        <f>IF(X97 = 173, H97 + SUM(S97:S97) - SUM(T97:T97) - SUM(P97:P97) - V97,0)</f>
        <v>0</v>
      </c>
      <c r="J97" s="118">
        <v>235301015365</v>
      </c>
      <c r="K97" s="119" t="s">
        <v>275</v>
      </c>
      <c r="L97" s="114"/>
      <c r="M97" s="114"/>
      <c r="N97" s="136" t="s">
        <v>254</v>
      </c>
      <c r="O97" s="136" t="s">
        <v>179</v>
      </c>
      <c r="P97" s="116">
        <v>10000</v>
      </c>
      <c r="Q97" s="115" t="s">
        <v>272</v>
      </c>
      <c r="R97" s="114"/>
      <c r="S97" s="116"/>
      <c r="T97" s="116"/>
      <c r="U97" s="116"/>
      <c r="V97" s="120"/>
      <c r="W97" s="121"/>
      <c r="X97" s="85">
        <v>173</v>
      </c>
    </row>
    <row r="98" spans="1:24" s="85" customFormat="1" ht="54" x14ac:dyDescent="0.3">
      <c r="A98" s="113">
        <v>18</v>
      </c>
      <c r="B98" s="114" t="s">
        <v>56</v>
      </c>
      <c r="C98" s="114"/>
      <c r="D98" s="114"/>
      <c r="E98" s="114" t="s">
        <v>276</v>
      </c>
      <c r="F98" s="136" t="s">
        <v>264</v>
      </c>
      <c r="G98" s="115" t="s">
        <v>270</v>
      </c>
      <c r="H98" s="116">
        <v>9760</v>
      </c>
      <c r="I98" s="117">
        <f>IF(X98 = 174, H98 + SUM(S98:S98) - SUM(T98:T98) - SUM(P98:P98) - V98,0)</f>
        <v>0</v>
      </c>
      <c r="J98" s="93">
        <v>235303483777</v>
      </c>
      <c r="K98" s="94" t="s">
        <v>241</v>
      </c>
      <c r="L98" s="114"/>
      <c r="M98" s="114" t="s">
        <v>277</v>
      </c>
      <c r="N98" s="136" t="s">
        <v>264</v>
      </c>
      <c r="O98" s="103" t="s">
        <v>179</v>
      </c>
      <c r="P98" s="116">
        <v>9760</v>
      </c>
      <c r="Q98" s="115" t="s">
        <v>278</v>
      </c>
      <c r="R98" s="114"/>
      <c r="S98" s="116"/>
      <c r="T98" s="116"/>
      <c r="U98" s="116"/>
      <c r="V98" s="120"/>
      <c r="W98" s="121"/>
      <c r="X98" s="85">
        <v>174</v>
      </c>
    </row>
    <row r="99" spans="1:24" s="85" customFormat="1" ht="36" x14ac:dyDescent="0.3">
      <c r="A99" s="113">
        <v>19</v>
      </c>
      <c r="B99" s="114" t="s">
        <v>56</v>
      </c>
      <c r="C99" s="114"/>
      <c r="D99" s="114"/>
      <c r="E99" s="114" t="s">
        <v>279</v>
      </c>
      <c r="F99" s="136" t="s">
        <v>247</v>
      </c>
      <c r="G99" s="115" t="s">
        <v>280</v>
      </c>
      <c r="H99" s="116">
        <v>20685.099999999999</v>
      </c>
      <c r="I99" s="117">
        <f>IF(X99 = 175, H99 + SUM(S99:S99) - SUM(T99:T99) - SUM(P99:P99) - V99,0)</f>
        <v>0</v>
      </c>
      <c r="J99" s="118">
        <v>7706526550</v>
      </c>
      <c r="K99" s="119" t="s">
        <v>281</v>
      </c>
      <c r="L99" s="114"/>
      <c r="M99" s="114" t="s">
        <v>282</v>
      </c>
      <c r="N99" s="136" t="s">
        <v>263</v>
      </c>
      <c r="O99" s="136" t="s">
        <v>283</v>
      </c>
      <c r="P99" s="116">
        <v>20685.099999999999</v>
      </c>
      <c r="Q99" s="115" t="s">
        <v>284</v>
      </c>
      <c r="R99" s="114"/>
      <c r="S99" s="116"/>
      <c r="T99" s="116"/>
      <c r="U99" s="116"/>
      <c r="V99" s="120"/>
      <c r="W99" s="121"/>
      <c r="X99" s="85">
        <v>175</v>
      </c>
    </row>
    <row r="100" spans="1:24" s="85" customFormat="1" ht="36" x14ac:dyDescent="0.3">
      <c r="A100" s="113">
        <v>20</v>
      </c>
      <c r="B100" s="114" t="s">
        <v>56</v>
      </c>
      <c r="C100" s="114"/>
      <c r="D100" s="114"/>
      <c r="E100" s="114" t="s">
        <v>285</v>
      </c>
      <c r="F100" s="136" t="s">
        <v>247</v>
      </c>
      <c r="G100" s="115" t="s">
        <v>286</v>
      </c>
      <c r="H100" s="116">
        <v>2625</v>
      </c>
      <c r="I100" s="117">
        <f>IF(X100 = 176, H100 + SUM(S100:S100) - SUM(T100:T100) - SUM(P100:P100) - V100,0)</f>
        <v>0</v>
      </c>
      <c r="J100" s="118">
        <v>7728499444</v>
      </c>
      <c r="K100" s="119" t="s">
        <v>287</v>
      </c>
      <c r="L100" s="114"/>
      <c r="M100" s="114" t="s">
        <v>282</v>
      </c>
      <c r="N100" s="136" t="s">
        <v>247</v>
      </c>
      <c r="O100" s="136" t="s">
        <v>283</v>
      </c>
      <c r="P100" s="116">
        <v>2625</v>
      </c>
      <c r="Q100" s="115" t="s">
        <v>284</v>
      </c>
      <c r="R100" s="114"/>
      <c r="S100" s="116"/>
      <c r="T100" s="116"/>
      <c r="U100" s="116"/>
      <c r="V100" s="120"/>
      <c r="W100" s="121"/>
      <c r="X100" s="85">
        <v>176</v>
      </c>
    </row>
    <row r="101" spans="1:24" s="85" customFormat="1" ht="54" customHeight="1" x14ac:dyDescent="0.3">
      <c r="A101" s="342">
        <v>21</v>
      </c>
      <c r="B101" s="351" t="s">
        <v>56</v>
      </c>
      <c r="C101" s="351"/>
      <c r="D101" s="351"/>
      <c r="E101" s="351" t="s">
        <v>249</v>
      </c>
      <c r="F101" s="345" t="s">
        <v>261</v>
      </c>
      <c r="G101" s="357" t="s">
        <v>302</v>
      </c>
      <c r="H101" s="348">
        <v>511700</v>
      </c>
      <c r="I101" s="360">
        <f>IF(X101 = 177, H101 + SUM(S101:S103) - SUM(T101:T103) - SUM(P101:P103) - V101,0)</f>
        <v>225821</v>
      </c>
      <c r="J101" s="417">
        <v>235300578903</v>
      </c>
      <c r="K101" s="420" t="s">
        <v>220</v>
      </c>
      <c r="L101" s="351"/>
      <c r="M101" s="351" t="s">
        <v>303</v>
      </c>
      <c r="N101" s="229" t="s">
        <v>290</v>
      </c>
      <c r="O101" s="345" t="s">
        <v>304</v>
      </c>
      <c r="P101" s="221">
        <v>78114</v>
      </c>
      <c r="Q101" s="219" t="s">
        <v>299</v>
      </c>
      <c r="R101" s="220"/>
      <c r="S101" s="221"/>
      <c r="T101" s="221"/>
      <c r="U101" s="348"/>
      <c r="V101" s="453"/>
      <c r="W101" s="333"/>
      <c r="X101" s="85">
        <v>177</v>
      </c>
    </row>
    <row r="102" spans="1:24" s="104" customFormat="1" x14ac:dyDescent="0.3">
      <c r="A102" s="343"/>
      <c r="B102" s="352"/>
      <c r="C102" s="352"/>
      <c r="D102" s="352"/>
      <c r="E102" s="352"/>
      <c r="F102" s="346"/>
      <c r="G102" s="358"/>
      <c r="H102" s="349"/>
      <c r="I102" s="361"/>
      <c r="J102" s="418"/>
      <c r="K102" s="421"/>
      <c r="L102" s="352"/>
      <c r="M102" s="352"/>
      <c r="N102" s="230">
        <v>45777</v>
      </c>
      <c r="O102" s="346"/>
      <c r="P102" s="225">
        <v>112860</v>
      </c>
      <c r="Q102" s="223" t="s">
        <v>359</v>
      </c>
      <c r="R102" s="224"/>
      <c r="S102" s="225"/>
      <c r="T102" s="225"/>
      <c r="U102" s="349"/>
      <c r="V102" s="454"/>
      <c r="W102" s="334"/>
      <c r="X102" s="104">
        <v>177</v>
      </c>
    </row>
    <row r="103" spans="1:24" s="104" customFormat="1" x14ac:dyDescent="0.3">
      <c r="A103" s="344"/>
      <c r="B103" s="353"/>
      <c r="C103" s="353"/>
      <c r="D103" s="353"/>
      <c r="E103" s="353"/>
      <c r="F103" s="347"/>
      <c r="G103" s="359"/>
      <c r="H103" s="350"/>
      <c r="I103" s="362"/>
      <c r="J103" s="419"/>
      <c r="K103" s="422"/>
      <c r="L103" s="353"/>
      <c r="M103" s="353"/>
      <c r="N103" s="231" t="s">
        <v>405</v>
      </c>
      <c r="O103" s="347"/>
      <c r="P103" s="226">
        <v>94905</v>
      </c>
      <c r="Q103" s="227" t="s">
        <v>407</v>
      </c>
      <c r="R103" s="228"/>
      <c r="S103" s="226"/>
      <c r="T103" s="226"/>
      <c r="U103" s="350"/>
      <c r="V103" s="455"/>
      <c r="W103" s="335"/>
      <c r="X103" s="104">
        <v>177</v>
      </c>
    </row>
    <row r="104" spans="1:24" s="85" customFormat="1" ht="54" x14ac:dyDescent="0.3">
      <c r="A104" s="166">
        <v>22</v>
      </c>
      <c r="B104" s="159" t="s">
        <v>56</v>
      </c>
      <c r="C104" s="159"/>
      <c r="D104" s="159"/>
      <c r="E104" s="159" t="s">
        <v>334</v>
      </c>
      <c r="F104" s="170" t="s">
        <v>181</v>
      </c>
      <c r="G104" s="161" t="s">
        <v>335</v>
      </c>
      <c r="H104" s="162">
        <v>34646.080000000002</v>
      </c>
      <c r="I104" s="163">
        <f>IF(X104 = 178, H104 + SUM(S104:S104) - SUM(T104:T104) - SUM(P104:P104) - V104,0)</f>
        <v>25984.560000000001</v>
      </c>
      <c r="J104" s="164">
        <v>2353018870</v>
      </c>
      <c r="K104" s="165" t="s">
        <v>336</v>
      </c>
      <c r="L104" s="159"/>
      <c r="M104" s="159" t="s">
        <v>171</v>
      </c>
      <c r="N104" s="170" t="s">
        <v>337</v>
      </c>
      <c r="O104" s="170" t="s">
        <v>304</v>
      </c>
      <c r="P104" s="162">
        <v>8661.52</v>
      </c>
      <c r="Q104" s="161" t="s">
        <v>297</v>
      </c>
      <c r="R104" s="159"/>
      <c r="S104" s="162"/>
      <c r="T104" s="162"/>
      <c r="U104" s="162"/>
      <c r="V104" s="167"/>
      <c r="W104" s="160"/>
      <c r="X104" s="85">
        <v>178</v>
      </c>
    </row>
    <row r="105" spans="1:24" s="85" customFormat="1" ht="72" customHeight="1" x14ac:dyDescent="0.3">
      <c r="A105" s="425">
        <v>23</v>
      </c>
      <c r="B105" s="423" t="s">
        <v>56</v>
      </c>
      <c r="C105" s="423"/>
      <c r="D105" s="423"/>
      <c r="E105" s="423" t="s">
        <v>159</v>
      </c>
      <c r="F105" s="428" t="s">
        <v>298</v>
      </c>
      <c r="G105" s="431" t="s">
        <v>362</v>
      </c>
      <c r="H105" s="434">
        <v>13104</v>
      </c>
      <c r="I105" s="437">
        <f>IF(X105 = 179, H105 + SUM(S105:S106) - SUM(T105:T106) - SUM(P105:P106) - V105,0)</f>
        <v>0</v>
      </c>
      <c r="J105" s="440">
        <v>2353020735</v>
      </c>
      <c r="K105" s="443" t="s">
        <v>363</v>
      </c>
      <c r="L105" s="423"/>
      <c r="M105" s="423" t="s">
        <v>364</v>
      </c>
      <c r="N105" s="195" t="s">
        <v>356</v>
      </c>
      <c r="O105" s="428" t="s">
        <v>186</v>
      </c>
      <c r="P105" s="186">
        <v>5740</v>
      </c>
      <c r="Q105" s="187" t="s">
        <v>365</v>
      </c>
      <c r="R105" s="188"/>
      <c r="S105" s="186"/>
      <c r="T105" s="186"/>
      <c r="U105" s="434" t="s">
        <v>441</v>
      </c>
      <c r="V105" s="447">
        <v>4172</v>
      </c>
      <c r="W105" s="450"/>
      <c r="X105" s="85">
        <v>179</v>
      </c>
    </row>
    <row r="106" spans="1:24" s="104" customFormat="1" x14ac:dyDescent="0.3">
      <c r="A106" s="426"/>
      <c r="B106" s="424"/>
      <c r="C106" s="424"/>
      <c r="D106" s="424"/>
      <c r="E106" s="424"/>
      <c r="F106" s="430"/>
      <c r="G106" s="433"/>
      <c r="H106" s="436"/>
      <c r="I106" s="439"/>
      <c r="J106" s="442"/>
      <c r="K106" s="445"/>
      <c r="L106" s="424"/>
      <c r="M106" s="424"/>
      <c r="N106" s="197" t="s">
        <v>366</v>
      </c>
      <c r="O106" s="430"/>
      <c r="P106" s="192">
        <v>3192</v>
      </c>
      <c r="Q106" s="193" t="s">
        <v>367</v>
      </c>
      <c r="R106" s="194"/>
      <c r="S106" s="192"/>
      <c r="T106" s="192"/>
      <c r="U106" s="436"/>
      <c r="V106" s="449"/>
      <c r="W106" s="452"/>
      <c r="X106" s="104">
        <v>179</v>
      </c>
    </row>
    <row r="107" spans="1:24" s="85" customFormat="1" ht="90" customHeight="1" x14ac:dyDescent="0.3">
      <c r="A107" s="425">
        <v>24</v>
      </c>
      <c r="B107" s="423" t="s">
        <v>56</v>
      </c>
      <c r="C107" s="423"/>
      <c r="D107" s="423"/>
      <c r="E107" s="423" t="s">
        <v>160</v>
      </c>
      <c r="F107" s="428" t="s">
        <v>298</v>
      </c>
      <c r="G107" s="431" t="s">
        <v>194</v>
      </c>
      <c r="H107" s="434">
        <v>322992</v>
      </c>
      <c r="I107" s="437">
        <f>IF(X107 = 180, H107 + SUM(S107:S122) - SUM(T107:T122) - SUM(P107:P122) - V107,0)</f>
        <v>1.4551915228366852E-11</v>
      </c>
      <c r="J107" s="440">
        <v>2353020735</v>
      </c>
      <c r="K107" s="443" t="s">
        <v>363</v>
      </c>
      <c r="L107" s="423"/>
      <c r="M107" s="423" t="s">
        <v>364</v>
      </c>
      <c r="N107" s="195" t="s">
        <v>356</v>
      </c>
      <c r="O107" s="428" t="s">
        <v>186</v>
      </c>
      <c r="P107" s="186">
        <v>79618</v>
      </c>
      <c r="Q107" s="187" t="s">
        <v>365</v>
      </c>
      <c r="R107" s="188"/>
      <c r="S107" s="186"/>
      <c r="T107" s="186"/>
      <c r="U107" s="434" t="s">
        <v>441</v>
      </c>
      <c r="V107" s="447">
        <v>105418.2</v>
      </c>
      <c r="W107" s="450"/>
      <c r="X107" s="85">
        <v>180</v>
      </c>
    </row>
    <row r="108" spans="1:24" s="104" customFormat="1" x14ac:dyDescent="0.3">
      <c r="A108" s="427"/>
      <c r="B108" s="446"/>
      <c r="C108" s="446"/>
      <c r="D108" s="446"/>
      <c r="E108" s="446"/>
      <c r="F108" s="429"/>
      <c r="G108" s="432"/>
      <c r="H108" s="435"/>
      <c r="I108" s="438"/>
      <c r="J108" s="441"/>
      <c r="K108" s="444"/>
      <c r="L108" s="446"/>
      <c r="M108" s="446"/>
      <c r="N108" s="196" t="s">
        <v>356</v>
      </c>
      <c r="O108" s="429"/>
      <c r="P108" s="189">
        <v>8719.2000000000007</v>
      </c>
      <c r="Q108" s="190" t="s">
        <v>365</v>
      </c>
      <c r="R108" s="191"/>
      <c r="S108" s="189"/>
      <c r="T108" s="189"/>
      <c r="U108" s="435"/>
      <c r="V108" s="448"/>
      <c r="W108" s="451"/>
      <c r="X108" s="104">
        <v>180</v>
      </c>
    </row>
    <row r="109" spans="1:24" s="104" customFormat="1" x14ac:dyDescent="0.3">
      <c r="A109" s="427"/>
      <c r="B109" s="446"/>
      <c r="C109" s="446"/>
      <c r="D109" s="446"/>
      <c r="E109" s="446"/>
      <c r="F109" s="429"/>
      <c r="G109" s="432"/>
      <c r="H109" s="435"/>
      <c r="I109" s="438"/>
      <c r="J109" s="441"/>
      <c r="K109" s="444"/>
      <c r="L109" s="446"/>
      <c r="M109" s="446"/>
      <c r="N109" s="196" t="s">
        <v>356</v>
      </c>
      <c r="O109" s="429"/>
      <c r="P109" s="189">
        <v>2940</v>
      </c>
      <c r="Q109" s="190" t="s">
        <v>365</v>
      </c>
      <c r="R109" s="191"/>
      <c r="S109" s="189"/>
      <c r="T109" s="189"/>
      <c r="U109" s="435"/>
      <c r="V109" s="448"/>
      <c r="W109" s="451"/>
      <c r="X109" s="104">
        <v>180</v>
      </c>
    </row>
    <row r="110" spans="1:24" s="104" customFormat="1" x14ac:dyDescent="0.3">
      <c r="A110" s="427"/>
      <c r="B110" s="446"/>
      <c r="C110" s="446"/>
      <c r="D110" s="446"/>
      <c r="E110" s="446"/>
      <c r="F110" s="429"/>
      <c r="G110" s="432"/>
      <c r="H110" s="435"/>
      <c r="I110" s="438"/>
      <c r="J110" s="441"/>
      <c r="K110" s="444"/>
      <c r="L110" s="446"/>
      <c r="M110" s="446"/>
      <c r="N110" s="196" t="s">
        <v>356</v>
      </c>
      <c r="O110" s="429"/>
      <c r="P110" s="189">
        <v>6529.6</v>
      </c>
      <c r="Q110" s="190" t="s">
        <v>365</v>
      </c>
      <c r="R110" s="191"/>
      <c r="S110" s="189"/>
      <c r="T110" s="189"/>
      <c r="U110" s="435"/>
      <c r="V110" s="448"/>
      <c r="W110" s="451"/>
      <c r="X110" s="104">
        <v>180</v>
      </c>
    </row>
    <row r="111" spans="1:24" s="104" customFormat="1" x14ac:dyDescent="0.3">
      <c r="A111" s="427"/>
      <c r="B111" s="446"/>
      <c r="C111" s="446"/>
      <c r="D111" s="446"/>
      <c r="E111" s="446"/>
      <c r="F111" s="429"/>
      <c r="G111" s="432"/>
      <c r="H111" s="435"/>
      <c r="I111" s="438"/>
      <c r="J111" s="441"/>
      <c r="K111" s="444"/>
      <c r="L111" s="446"/>
      <c r="M111" s="446"/>
      <c r="N111" s="196" t="s">
        <v>356</v>
      </c>
      <c r="O111" s="429"/>
      <c r="P111" s="189">
        <v>1632.4</v>
      </c>
      <c r="Q111" s="190" t="s">
        <v>365</v>
      </c>
      <c r="R111" s="191"/>
      <c r="S111" s="189"/>
      <c r="T111" s="189"/>
      <c r="U111" s="435"/>
      <c r="V111" s="448"/>
      <c r="W111" s="451"/>
      <c r="X111" s="104">
        <v>180</v>
      </c>
    </row>
    <row r="112" spans="1:24" s="104" customFormat="1" x14ac:dyDescent="0.3">
      <c r="A112" s="427"/>
      <c r="B112" s="446"/>
      <c r="C112" s="446"/>
      <c r="D112" s="446"/>
      <c r="E112" s="446"/>
      <c r="F112" s="429"/>
      <c r="G112" s="432"/>
      <c r="H112" s="435"/>
      <c r="I112" s="438"/>
      <c r="J112" s="441"/>
      <c r="K112" s="444"/>
      <c r="L112" s="446"/>
      <c r="M112" s="446"/>
      <c r="N112" s="196" t="s">
        <v>356</v>
      </c>
      <c r="O112" s="429"/>
      <c r="P112" s="189">
        <v>13731.89</v>
      </c>
      <c r="Q112" s="190" t="s">
        <v>365</v>
      </c>
      <c r="R112" s="191"/>
      <c r="S112" s="189"/>
      <c r="T112" s="189"/>
      <c r="U112" s="435"/>
      <c r="V112" s="448"/>
      <c r="W112" s="451"/>
      <c r="X112" s="104">
        <v>180</v>
      </c>
    </row>
    <row r="113" spans="1:24" s="104" customFormat="1" x14ac:dyDescent="0.3">
      <c r="A113" s="427"/>
      <c r="B113" s="446"/>
      <c r="C113" s="446"/>
      <c r="D113" s="446"/>
      <c r="E113" s="446"/>
      <c r="F113" s="429"/>
      <c r="G113" s="432"/>
      <c r="H113" s="435"/>
      <c r="I113" s="438"/>
      <c r="J113" s="441"/>
      <c r="K113" s="444"/>
      <c r="L113" s="446"/>
      <c r="M113" s="446"/>
      <c r="N113" s="196" t="s">
        <v>356</v>
      </c>
      <c r="O113" s="429"/>
      <c r="P113" s="189">
        <v>11235.31</v>
      </c>
      <c r="Q113" s="190" t="s">
        <v>365</v>
      </c>
      <c r="R113" s="191"/>
      <c r="S113" s="189"/>
      <c r="T113" s="189"/>
      <c r="U113" s="435"/>
      <c r="V113" s="448"/>
      <c r="W113" s="451"/>
      <c r="X113" s="104">
        <v>180</v>
      </c>
    </row>
    <row r="114" spans="1:24" s="104" customFormat="1" x14ac:dyDescent="0.3">
      <c r="A114" s="427"/>
      <c r="B114" s="446"/>
      <c r="C114" s="446"/>
      <c r="D114" s="446"/>
      <c r="E114" s="446"/>
      <c r="F114" s="429"/>
      <c r="G114" s="432"/>
      <c r="H114" s="435"/>
      <c r="I114" s="438"/>
      <c r="J114" s="441"/>
      <c r="K114" s="444"/>
      <c r="L114" s="446"/>
      <c r="M114" s="446"/>
      <c r="N114" s="196" t="s">
        <v>356</v>
      </c>
      <c r="O114" s="429"/>
      <c r="P114" s="189">
        <v>8400</v>
      </c>
      <c r="Q114" s="190" t="s">
        <v>365</v>
      </c>
      <c r="R114" s="191"/>
      <c r="S114" s="189"/>
      <c r="T114" s="189"/>
      <c r="U114" s="435"/>
      <c r="V114" s="448"/>
      <c r="W114" s="451"/>
      <c r="X114" s="104">
        <v>180</v>
      </c>
    </row>
    <row r="115" spans="1:24" s="104" customFormat="1" x14ac:dyDescent="0.3">
      <c r="A115" s="427"/>
      <c r="B115" s="446"/>
      <c r="C115" s="446"/>
      <c r="D115" s="446"/>
      <c r="E115" s="446"/>
      <c r="F115" s="429"/>
      <c r="G115" s="432"/>
      <c r="H115" s="435"/>
      <c r="I115" s="438"/>
      <c r="J115" s="441"/>
      <c r="K115" s="444"/>
      <c r="L115" s="446"/>
      <c r="M115" s="446"/>
      <c r="N115" s="196" t="s">
        <v>366</v>
      </c>
      <c r="O115" s="429"/>
      <c r="P115" s="189">
        <v>6335</v>
      </c>
      <c r="Q115" s="190" t="s">
        <v>367</v>
      </c>
      <c r="R115" s="191"/>
      <c r="S115" s="189"/>
      <c r="T115" s="189"/>
      <c r="U115" s="435"/>
      <c r="V115" s="448"/>
      <c r="W115" s="451"/>
      <c r="X115" s="104">
        <v>180</v>
      </c>
    </row>
    <row r="116" spans="1:24" s="104" customFormat="1" x14ac:dyDescent="0.3">
      <c r="A116" s="427"/>
      <c r="B116" s="446"/>
      <c r="C116" s="446"/>
      <c r="D116" s="446"/>
      <c r="E116" s="446"/>
      <c r="F116" s="429"/>
      <c r="G116" s="432"/>
      <c r="H116" s="435"/>
      <c r="I116" s="438"/>
      <c r="J116" s="441"/>
      <c r="K116" s="444"/>
      <c r="L116" s="446"/>
      <c r="M116" s="446"/>
      <c r="N116" s="196" t="s">
        <v>366</v>
      </c>
      <c r="O116" s="429"/>
      <c r="P116" s="189">
        <v>47586</v>
      </c>
      <c r="Q116" s="190" t="s">
        <v>367</v>
      </c>
      <c r="R116" s="191"/>
      <c r="S116" s="189"/>
      <c r="T116" s="189"/>
      <c r="U116" s="435"/>
      <c r="V116" s="448"/>
      <c r="W116" s="451"/>
      <c r="X116" s="104">
        <v>180</v>
      </c>
    </row>
    <row r="117" spans="1:24" s="104" customFormat="1" x14ac:dyDescent="0.3">
      <c r="A117" s="427"/>
      <c r="B117" s="446"/>
      <c r="C117" s="446"/>
      <c r="D117" s="446"/>
      <c r="E117" s="446"/>
      <c r="F117" s="429"/>
      <c r="G117" s="432"/>
      <c r="H117" s="435"/>
      <c r="I117" s="438"/>
      <c r="J117" s="441"/>
      <c r="K117" s="444"/>
      <c r="L117" s="446"/>
      <c r="M117" s="446"/>
      <c r="N117" s="196" t="s">
        <v>366</v>
      </c>
      <c r="O117" s="429"/>
      <c r="P117" s="189">
        <v>5190</v>
      </c>
      <c r="Q117" s="190" t="s">
        <v>367</v>
      </c>
      <c r="R117" s="191"/>
      <c r="S117" s="189"/>
      <c r="T117" s="189"/>
      <c r="U117" s="435"/>
      <c r="V117" s="448"/>
      <c r="W117" s="451"/>
      <c r="X117" s="104">
        <v>180</v>
      </c>
    </row>
    <row r="118" spans="1:24" s="104" customFormat="1" x14ac:dyDescent="0.3">
      <c r="A118" s="427"/>
      <c r="B118" s="446"/>
      <c r="C118" s="446"/>
      <c r="D118" s="446"/>
      <c r="E118" s="446"/>
      <c r="F118" s="429"/>
      <c r="G118" s="432"/>
      <c r="H118" s="435"/>
      <c r="I118" s="438"/>
      <c r="J118" s="441"/>
      <c r="K118" s="444"/>
      <c r="L118" s="446"/>
      <c r="M118" s="446"/>
      <c r="N118" s="196" t="s">
        <v>366</v>
      </c>
      <c r="O118" s="429"/>
      <c r="P118" s="189">
        <v>1750</v>
      </c>
      <c r="Q118" s="190" t="s">
        <v>367</v>
      </c>
      <c r="R118" s="191"/>
      <c r="S118" s="189"/>
      <c r="T118" s="189"/>
      <c r="U118" s="435"/>
      <c r="V118" s="448"/>
      <c r="W118" s="451"/>
      <c r="X118" s="104">
        <v>180</v>
      </c>
    </row>
    <row r="119" spans="1:24" s="104" customFormat="1" x14ac:dyDescent="0.3">
      <c r="A119" s="427"/>
      <c r="B119" s="446"/>
      <c r="C119" s="446"/>
      <c r="D119" s="446"/>
      <c r="E119" s="446"/>
      <c r="F119" s="429"/>
      <c r="G119" s="432"/>
      <c r="H119" s="435"/>
      <c r="I119" s="438"/>
      <c r="J119" s="441"/>
      <c r="K119" s="444"/>
      <c r="L119" s="446"/>
      <c r="M119" s="446"/>
      <c r="N119" s="196" t="s">
        <v>366</v>
      </c>
      <c r="O119" s="429"/>
      <c r="P119" s="189">
        <v>4065.6</v>
      </c>
      <c r="Q119" s="190" t="s">
        <v>367</v>
      </c>
      <c r="R119" s="191"/>
      <c r="S119" s="189"/>
      <c r="T119" s="189"/>
      <c r="U119" s="435"/>
      <c r="V119" s="448"/>
      <c r="W119" s="451"/>
      <c r="X119" s="104">
        <v>180</v>
      </c>
    </row>
    <row r="120" spans="1:24" s="104" customFormat="1" x14ac:dyDescent="0.3">
      <c r="A120" s="427"/>
      <c r="B120" s="446"/>
      <c r="C120" s="446"/>
      <c r="D120" s="446"/>
      <c r="E120" s="446"/>
      <c r="F120" s="429"/>
      <c r="G120" s="432"/>
      <c r="H120" s="435"/>
      <c r="I120" s="438"/>
      <c r="J120" s="441"/>
      <c r="K120" s="444"/>
      <c r="L120" s="446"/>
      <c r="M120" s="446"/>
      <c r="N120" s="196" t="s">
        <v>366</v>
      </c>
      <c r="O120" s="429"/>
      <c r="P120" s="189">
        <v>1016.4</v>
      </c>
      <c r="Q120" s="190" t="s">
        <v>367</v>
      </c>
      <c r="R120" s="191"/>
      <c r="S120" s="189"/>
      <c r="T120" s="189"/>
      <c r="U120" s="435"/>
      <c r="V120" s="448"/>
      <c r="W120" s="451"/>
      <c r="X120" s="104">
        <v>180</v>
      </c>
    </row>
    <row r="121" spans="1:24" s="104" customFormat="1" x14ac:dyDescent="0.3">
      <c r="A121" s="427"/>
      <c r="B121" s="446"/>
      <c r="C121" s="446"/>
      <c r="D121" s="446"/>
      <c r="E121" s="446"/>
      <c r="F121" s="429"/>
      <c r="G121" s="432"/>
      <c r="H121" s="435"/>
      <c r="I121" s="438"/>
      <c r="J121" s="441"/>
      <c r="K121" s="444"/>
      <c r="L121" s="446"/>
      <c r="M121" s="446"/>
      <c r="N121" s="196" t="s">
        <v>366</v>
      </c>
      <c r="O121" s="429"/>
      <c r="P121" s="189">
        <v>8471.0300000000007</v>
      </c>
      <c r="Q121" s="190" t="s">
        <v>367</v>
      </c>
      <c r="R121" s="191"/>
      <c r="S121" s="189"/>
      <c r="T121" s="189"/>
      <c r="U121" s="435"/>
      <c r="V121" s="448"/>
      <c r="W121" s="451"/>
      <c r="X121" s="104">
        <v>180</v>
      </c>
    </row>
    <row r="122" spans="1:24" s="104" customFormat="1" x14ac:dyDescent="0.3">
      <c r="A122" s="426"/>
      <c r="B122" s="424"/>
      <c r="C122" s="424"/>
      <c r="D122" s="424"/>
      <c r="E122" s="424"/>
      <c r="F122" s="430"/>
      <c r="G122" s="433"/>
      <c r="H122" s="436"/>
      <c r="I122" s="439"/>
      <c r="J122" s="442"/>
      <c r="K122" s="445"/>
      <c r="L122" s="424"/>
      <c r="M122" s="424"/>
      <c r="N122" s="197" t="s">
        <v>366</v>
      </c>
      <c r="O122" s="430"/>
      <c r="P122" s="192">
        <v>10353.370000000001</v>
      </c>
      <c r="Q122" s="193" t="s">
        <v>367</v>
      </c>
      <c r="R122" s="194"/>
      <c r="S122" s="192"/>
      <c r="T122" s="192"/>
      <c r="U122" s="436"/>
      <c r="V122" s="449"/>
      <c r="W122" s="452"/>
      <c r="X122" s="104">
        <v>180</v>
      </c>
    </row>
    <row r="123" spans="1:24" s="85" customFormat="1" ht="36" x14ac:dyDescent="0.3">
      <c r="A123" s="210">
        <v>25</v>
      </c>
      <c r="B123" s="211" t="s">
        <v>56</v>
      </c>
      <c r="C123" s="211"/>
      <c r="D123" s="211"/>
      <c r="E123" s="211" t="s">
        <v>409</v>
      </c>
      <c r="F123" s="232" t="s">
        <v>359</v>
      </c>
      <c r="G123" s="212" t="s">
        <v>410</v>
      </c>
      <c r="H123" s="213">
        <v>8000</v>
      </c>
      <c r="I123" s="214">
        <f>IF(X123 = 182, H123 + SUM(S123:S123) - SUM(T123:T123) - SUM(P123:P123) - V123,0)</f>
        <v>0</v>
      </c>
      <c r="J123" s="215">
        <v>2353018870</v>
      </c>
      <c r="K123" s="216" t="s">
        <v>336</v>
      </c>
      <c r="L123" s="211"/>
      <c r="M123" s="211" t="s">
        <v>411</v>
      </c>
      <c r="N123" s="232" t="s">
        <v>368</v>
      </c>
      <c r="O123" s="232"/>
      <c r="P123" s="213">
        <v>8000</v>
      </c>
      <c r="Q123" s="212" t="s">
        <v>404</v>
      </c>
      <c r="R123" s="211"/>
      <c r="S123" s="213"/>
      <c r="T123" s="213"/>
      <c r="U123" s="213"/>
      <c r="V123" s="217"/>
      <c r="W123" s="206"/>
      <c r="X123" s="85">
        <v>182</v>
      </c>
    </row>
    <row r="124" spans="1:24" s="85" customFormat="1" ht="54" customHeight="1" x14ac:dyDescent="0.3">
      <c r="A124" s="480">
        <v>26</v>
      </c>
      <c r="B124" s="463" t="s">
        <v>56</v>
      </c>
      <c r="C124" s="463"/>
      <c r="D124" s="463"/>
      <c r="E124" s="463" t="s">
        <v>422</v>
      </c>
      <c r="F124" s="465" t="s">
        <v>345</v>
      </c>
      <c r="G124" s="467" t="s">
        <v>286</v>
      </c>
      <c r="H124" s="469">
        <v>133033.34</v>
      </c>
      <c r="I124" s="471">
        <f>IF(X124 = 183, H124 + SUM(S124:S125) - SUM(T124:T125) - SUM(P124:P125) - V124,0)</f>
        <v>0</v>
      </c>
      <c r="J124" s="473">
        <v>7715995942</v>
      </c>
      <c r="K124" s="475" t="s">
        <v>423</v>
      </c>
      <c r="L124" s="463"/>
      <c r="M124" s="463" t="s">
        <v>425</v>
      </c>
      <c r="N124" s="234" t="s">
        <v>365</v>
      </c>
      <c r="O124" s="465" t="s">
        <v>426</v>
      </c>
      <c r="P124" s="235">
        <v>3330.36</v>
      </c>
      <c r="Q124" s="236" t="s">
        <v>424</v>
      </c>
      <c r="R124" s="237"/>
      <c r="S124" s="235"/>
      <c r="T124" s="235"/>
      <c r="U124" s="469"/>
      <c r="V124" s="482"/>
      <c r="W124" s="460"/>
      <c r="X124" s="85">
        <v>183</v>
      </c>
    </row>
    <row r="125" spans="1:24" s="104" customFormat="1" x14ac:dyDescent="0.3">
      <c r="A125" s="481"/>
      <c r="B125" s="464"/>
      <c r="C125" s="464"/>
      <c r="D125" s="464"/>
      <c r="E125" s="464"/>
      <c r="F125" s="466"/>
      <c r="G125" s="468"/>
      <c r="H125" s="470"/>
      <c r="I125" s="472"/>
      <c r="J125" s="474"/>
      <c r="K125" s="476"/>
      <c r="L125" s="464"/>
      <c r="M125" s="464"/>
      <c r="N125" s="238" t="s">
        <v>352</v>
      </c>
      <c r="O125" s="466"/>
      <c r="P125" s="239">
        <v>129702.98</v>
      </c>
      <c r="Q125" s="240" t="s">
        <v>402</v>
      </c>
      <c r="R125" s="241"/>
      <c r="S125" s="239"/>
      <c r="T125" s="239"/>
      <c r="U125" s="470"/>
      <c r="V125" s="483"/>
      <c r="W125" s="462"/>
      <c r="X125" s="104">
        <v>183</v>
      </c>
    </row>
    <row r="126" spans="1:24" s="85" customFormat="1" ht="72" customHeight="1" x14ac:dyDescent="0.3">
      <c r="A126" s="480">
        <v>27</v>
      </c>
      <c r="B126" s="463" t="s">
        <v>56</v>
      </c>
      <c r="C126" s="463"/>
      <c r="D126" s="463"/>
      <c r="E126" s="463" t="s">
        <v>435</v>
      </c>
      <c r="F126" s="465" t="s">
        <v>368</v>
      </c>
      <c r="G126" s="467" t="s">
        <v>436</v>
      </c>
      <c r="H126" s="469">
        <v>168339</v>
      </c>
      <c r="I126" s="471">
        <f>IF(X126 = 184, H126 + SUM(S126:S128) - SUM(T126:T128) - SUM(P126:P128) - V126,0)</f>
        <v>-3.4674485505092889E-12</v>
      </c>
      <c r="J126" s="473">
        <v>2353020735</v>
      </c>
      <c r="K126" s="475" t="s">
        <v>363</v>
      </c>
      <c r="L126" s="463"/>
      <c r="M126" s="463" t="s">
        <v>437</v>
      </c>
      <c r="N126" s="234" t="s">
        <v>439</v>
      </c>
      <c r="O126" s="465"/>
      <c r="P126" s="235">
        <v>14843.91</v>
      </c>
      <c r="Q126" s="236" t="s">
        <v>438</v>
      </c>
      <c r="R126" s="237"/>
      <c r="S126" s="235"/>
      <c r="T126" s="235"/>
      <c r="U126" s="469" t="s">
        <v>440</v>
      </c>
      <c r="V126" s="482">
        <v>459.09</v>
      </c>
      <c r="W126" s="460"/>
      <c r="X126" s="85">
        <v>184</v>
      </c>
    </row>
    <row r="127" spans="1:24" s="104" customFormat="1" x14ac:dyDescent="0.3">
      <c r="A127" s="484"/>
      <c r="B127" s="479"/>
      <c r="C127" s="479"/>
      <c r="D127" s="479"/>
      <c r="E127" s="479"/>
      <c r="F127" s="485"/>
      <c r="G127" s="488"/>
      <c r="H127" s="486"/>
      <c r="I127" s="489"/>
      <c r="J127" s="477"/>
      <c r="K127" s="478"/>
      <c r="L127" s="479"/>
      <c r="M127" s="479"/>
      <c r="N127" s="242" t="s">
        <v>439</v>
      </c>
      <c r="O127" s="485"/>
      <c r="P127" s="243">
        <v>121278</v>
      </c>
      <c r="Q127" s="244" t="s">
        <v>438</v>
      </c>
      <c r="R127" s="245"/>
      <c r="S127" s="243"/>
      <c r="T127" s="243"/>
      <c r="U127" s="486"/>
      <c r="V127" s="487"/>
      <c r="W127" s="461"/>
      <c r="X127" s="104">
        <v>184</v>
      </c>
    </row>
    <row r="128" spans="1:24" s="104" customFormat="1" x14ac:dyDescent="0.3">
      <c r="A128" s="481"/>
      <c r="B128" s="464"/>
      <c r="C128" s="464"/>
      <c r="D128" s="464"/>
      <c r="E128" s="464"/>
      <c r="F128" s="466"/>
      <c r="G128" s="468"/>
      <c r="H128" s="470"/>
      <c r="I128" s="472"/>
      <c r="J128" s="474"/>
      <c r="K128" s="476"/>
      <c r="L128" s="464"/>
      <c r="M128" s="464"/>
      <c r="N128" s="238" t="s">
        <v>439</v>
      </c>
      <c r="O128" s="466"/>
      <c r="P128" s="239">
        <v>31758</v>
      </c>
      <c r="Q128" s="240" t="s">
        <v>438</v>
      </c>
      <c r="R128" s="241"/>
      <c r="S128" s="239"/>
      <c r="T128" s="239"/>
      <c r="U128" s="470"/>
      <c r="V128" s="483"/>
      <c r="W128" s="462"/>
      <c r="X128" s="104">
        <v>184</v>
      </c>
    </row>
    <row r="129" spans="24:24" x14ac:dyDescent="0.3">
      <c r="X129" s="2">
        <v>185</v>
      </c>
    </row>
  </sheetData>
  <sheetProtection algorithmName="SHA-512" hashValue="lUubE3dCxYkQQvguRuGVRQckUCGCWqhsA1pkuRcWozdEtp21/gTbS4CMxFrvKAmlSKXmDoaUdwpm3LxpXfoDxQ==" saltValue="pYBKGkvg2VFiv9qWqRUdow==" spinCount="100000" sheet="1" objects="1" scenarios="1" formatCells="0" formatColumns="0" formatRows="0"/>
  <mergeCells count="309">
    <mergeCell ref="A86:A90"/>
    <mergeCell ref="O86:O90"/>
    <mergeCell ref="U86:U90"/>
    <mergeCell ref="B86:B90"/>
    <mergeCell ref="V86:V90"/>
    <mergeCell ref="C86:C90"/>
    <mergeCell ref="W86:W90"/>
    <mergeCell ref="D86:D90"/>
    <mergeCell ref="E86:E90"/>
    <mergeCell ref="F86:F90"/>
    <mergeCell ref="G86:G90"/>
    <mergeCell ref="H86:H90"/>
    <mergeCell ref="I86:I90"/>
    <mergeCell ref="J86:J90"/>
    <mergeCell ref="K86:K90"/>
    <mergeCell ref="L86:L90"/>
    <mergeCell ref="M86:M90"/>
    <mergeCell ref="J126:J128"/>
    <mergeCell ref="K126:K128"/>
    <mergeCell ref="L126:L128"/>
    <mergeCell ref="A124:A125"/>
    <mergeCell ref="O124:O125"/>
    <mergeCell ref="U124:U125"/>
    <mergeCell ref="B124:B125"/>
    <mergeCell ref="V124:V125"/>
    <mergeCell ref="C124:C125"/>
    <mergeCell ref="A126:A128"/>
    <mergeCell ref="O126:O128"/>
    <mergeCell ref="U126:U128"/>
    <mergeCell ref="B126:B128"/>
    <mergeCell ref="V126:V128"/>
    <mergeCell ref="C126:C128"/>
    <mergeCell ref="M126:M128"/>
    <mergeCell ref="D126:D128"/>
    <mergeCell ref="E126:E128"/>
    <mergeCell ref="F126:F128"/>
    <mergeCell ref="G126:G128"/>
    <mergeCell ref="H126:H128"/>
    <mergeCell ref="I126:I128"/>
    <mergeCell ref="W124:W125"/>
    <mergeCell ref="D124:D125"/>
    <mergeCell ref="E124:E125"/>
    <mergeCell ref="F124:F125"/>
    <mergeCell ref="G124:G125"/>
    <mergeCell ref="H124:H125"/>
    <mergeCell ref="I124:I125"/>
    <mergeCell ref="J124:J125"/>
    <mergeCell ref="K124:K125"/>
    <mergeCell ref="L124:L125"/>
    <mergeCell ref="M124:M125"/>
    <mergeCell ref="W126:W128"/>
    <mergeCell ref="M9:M22"/>
    <mergeCell ref="A23:A27"/>
    <mergeCell ref="O23:O27"/>
    <mergeCell ref="U23:U27"/>
    <mergeCell ref="B23:B27"/>
    <mergeCell ref="V23:V27"/>
    <mergeCell ref="C23:C27"/>
    <mergeCell ref="A101:A103"/>
    <mergeCell ref="O101:O103"/>
    <mergeCell ref="U101:U103"/>
    <mergeCell ref="B101:B103"/>
    <mergeCell ref="V101:V103"/>
    <mergeCell ref="C101:C103"/>
    <mergeCell ref="W101:W103"/>
    <mergeCell ref="D101:D103"/>
    <mergeCell ref="E101:E103"/>
    <mergeCell ref="F101:F103"/>
    <mergeCell ref="G101:G103"/>
    <mergeCell ref="H101:H103"/>
    <mergeCell ref="I101:I103"/>
    <mergeCell ref="J101:J103"/>
    <mergeCell ref="K101:K103"/>
    <mergeCell ref="L101:L103"/>
    <mergeCell ref="M101:M103"/>
    <mergeCell ref="A54:A58"/>
    <mergeCell ref="O54:O58"/>
    <mergeCell ref="U54:U58"/>
    <mergeCell ref="B54:B58"/>
    <mergeCell ref="V54:V58"/>
    <mergeCell ref="C54:C58"/>
    <mergeCell ref="W54:W58"/>
    <mergeCell ref="D54:D58"/>
    <mergeCell ref="E54:E58"/>
    <mergeCell ref="F54:F58"/>
    <mergeCell ref="G54:G58"/>
    <mergeCell ref="H54:H58"/>
    <mergeCell ref="I54:I58"/>
    <mergeCell ref="J54:J58"/>
    <mergeCell ref="K54:K58"/>
    <mergeCell ref="L54:L58"/>
    <mergeCell ref="M54:M58"/>
    <mergeCell ref="W94:W95"/>
    <mergeCell ref="D94:D95"/>
    <mergeCell ref="E94:E95"/>
    <mergeCell ref="F94:F95"/>
    <mergeCell ref="G94:G95"/>
    <mergeCell ref="H94:H95"/>
    <mergeCell ref="A39:A43"/>
    <mergeCell ref="O39:O43"/>
    <mergeCell ref="U39:U43"/>
    <mergeCell ref="B39:B43"/>
    <mergeCell ref="V39:V43"/>
    <mergeCell ref="C39:C43"/>
    <mergeCell ref="W39:W43"/>
    <mergeCell ref="D39:D43"/>
    <mergeCell ref="E39:E43"/>
    <mergeCell ref="F39:F43"/>
    <mergeCell ref="G39:G43"/>
    <mergeCell ref="H39:H43"/>
    <mergeCell ref="I39:I43"/>
    <mergeCell ref="J39:J43"/>
    <mergeCell ref="K39:K43"/>
    <mergeCell ref="L39:L43"/>
    <mergeCell ref="M39:M43"/>
    <mergeCell ref="A34:A38"/>
    <mergeCell ref="O34:O38"/>
    <mergeCell ref="U34:U38"/>
    <mergeCell ref="B34:B38"/>
    <mergeCell ref="V34:V38"/>
    <mergeCell ref="C34:C38"/>
    <mergeCell ref="W34:W38"/>
    <mergeCell ref="D34:D38"/>
    <mergeCell ref="E34:E38"/>
    <mergeCell ref="F34:F38"/>
    <mergeCell ref="G34:G38"/>
    <mergeCell ref="H34:H38"/>
    <mergeCell ref="I34:I38"/>
    <mergeCell ref="J34:J38"/>
    <mergeCell ref="K34:K38"/>
    <mergeCell ref="L34:L38"/>
    <mergeCell ref="M34:M38"/>
    <mergeCell ref="A28:A32"/>
    <mergeCell ref="O28:O32"/>
    <mergeCell ref="U28:U32"/>
    <mergeCell ref="B28:B32"/>
    <mergeCell ref="V28:V32"/>
    <mergeCell ref="C28:C32"/>
    <mergeCell ref="W28:W32"/>
    <mergeCell ref="D28:D32"/>
    <mergeCell ref="E28:E32"/>
    <mergeCell ref="F28:F32"/>
    <mergeCell ref="G28:G32"/>
    <mergeCell ref="H28:H32"/>
    <mergeCell ref="I28:I32"/>
    <mergeCell ref="J28:J32"/>
    <mergeCell ref="K28:K32"/>
    <mergeCell ref="L28:L32"/>
    <mergeCell ref="M28:M32"/>
    <mergeCell ref="B44:B48"/>
    <mergeCell ref="V44:V48"/>
    <mergeCell ref="C44:C48"/>
    <mergeCell ref="W44:W48"/>
    <mergeCell ref="D44:D48"/>
    <mergeCell ref="E44:E48"/>
    <mergeCell ref="F44:F48"/>
    <mergeCell ref="G44:G48"/>
    <mergeCell ref="H44:H48"/>
    <mergeCell ref="I44:I48"/>
    <mergeCell ref="J44:J48"/>
    <mergeCell ref="K44:K48"/>
    <mergeCell ref="L44:L48"/>
    <mergeCell ref="M44:M48"/>
    <mergeCell ref="A9:A22"/>
    <mergeCell ref="O9:O22"/>
    <mergeCell ref="U9:U22"/>
    <mergeCell ref="B9:B22"/>
    <mergeCell ref="V9:V22"/>
    <mergeCell ref="C9:C22"/>
    <mergeCell ref="A49:A53"/>
    <mergeCell ref="O49:O53"/>
    <mergeCell ref="U49:U53"/>
    <mergeCell ref="B49:B53"/>
    <mergeCell ref="V49:V53"/>
    <mergeCell ref="C49:C53"/>
    <mergeCell ref="D9:D22"/>
    <mergeCell ref="E9:E22"/>
    <mergeCell ref="F9:F22"/>
    <mergeCell ref="G9:G22"/>
    <mergeCell ref="H9:H22"/>
    <mergeCell ref="I9:I22"/>
    <mergeCell ref="J9:J22"/>
    <mergeCell ref="K9:K22"/>
    <mergeCell ref="L9:L22"/>
    <mergeCell ref="M49:M53"/>
    <mergeCell ref="A44:A48"/>
    <mergeCell ref="O44:O48"/>
    <mergeCell ref="W9:W22"/>
    <mergeCell ref="O107:O122"/>
    <mergeCell ref="U107:U122"/>
    <mergeCell ref="B107:B122"/>
    <mergeCell ref="V107:V122"/>
    <mergeCell ref="C107:C122"/>
    <mergeCell ref="W107:W122"/>
    <mergeCell ref="D107:D122"/>
    <mergeCell ref="E107:E122"/>
    <mergeCell ref="O105:O106"/>
    <mergeCell ref="U105:U106"/>
    <mergeCell ref="B105:B106"/>
    <mergeCell ref="V105:V106"/>
    <mergeCell ref="C105:C106"/>
    <mergeCell ref="W105:W106"/>
    <mergeCell ref="D105:D106"/>
    <mergeCell ref="E105:E106"/>
    <mergeCell ref="F105:F106"/>
    <mergeCell ref="G105:G106"/>
    <mergeCell ref="H105:H106"/>
    <mergeCell ref="I105:I106"/>
    <mergeCell ref="J105:J106"/>
    <mergeCell ref="K105:K106"/>
    <mergeCell ref="L105:L106"/>
    <mergeCell ref="M105:M106"/>
    <mergeCell ref="A105:A106"/>
    <mergeCell ref="A107:A122"/>
    <mergeCell ref="F107:F122"/>
    <mergeCell ref="G107:G122"/>
    <mergeCell ref="H107:H122"/>
    <mergeCell ref="I107:I122"/>
    <mergeCell ref="J107:J122"/>
    <mergeCell ref="K107:K122"/>
    <mergeCell ref="L107:L122"/>
    <mergeCell ref="M107:M122"/>
    <mergeCell ref="W49:W53"/>
    <mergeCell ref="W23:W27"/>
    <mergeCell ref="D23:D27"/>
    <mergeCell ref="E23:E27"/>
    <mergeCell ref="F23:F27"/>
    <mergeCell ref="G23:G27"/>
    <mergeCell ref="H23:H27"/>
    <mergeCell ref="I23:I27"/>
    <mergeCell ref="J23:J27"/>
    <mergeCell ref="K23:K27"/>
    <mergeCell ref="L23:L27"/>
    <mergeCell ref="M23:M27"/>
    <mergeCell ref="J49:J53"/>
    <mergeCell ref="K49:K53"/>
    <mergeCell ref="L49:L53"/>
    <mergeCell ref="U44:U48"/>
    <mergeCell ref="D49:D53"/>
    <mergeCell ref="E49:E53"/>
    <mergeCell ref="F49:F53"/>
    <mergeCell ref="G49:G53"/>
    <mergeCell ref="H49:H53"/>
    <mergeCell ref="I49:I53"/>
    <mergeCell ref="I94:I95"/>
    <mergeCell ref="J94:J95"/>
    <mergeCell ref="K94:K95"/>
    <mergeCell ref="L94:L95"/>
    <mergeCell ref="M94:M95"/>
    <mergeCell ref="W91:W92"/>
    <mergeCell ref="W62:W85"/>
    <mergeCell ref="M62:M85"/>
    <mergeCell ref="D62:D85"/>
    <mergeCell ref="E62:E85"/>
    <mergeCell ref="L91:L92"/>
    <mergeCell ref="A94:A95"/>
    <mergeCell ref="O94:O95"/>
    <mergeCell ref="U94:U95"/>
    <mergeCell ref="B94:B95"/>
    <mergeCell ref="V94:V95"/>
    <mergeCell ref="C94:C95"/>
    <mergeCell ref="M91:M92"/>
    <mergeCell ref="S2:U2"/>
    <mergeCell ref="F2:G2"/>
    <mergeCell ref="N2:O2"/>
    <mergeCell ref="A91:A92"/>
    <mergeCell ref="O91:O92"/>
    <mergeCell ref="U91:U92"/>
    <mergeCell ref="B91:B92"/>
    <mergeCell ref="V91:V92"/>
    <mergeCell ref="C91:C92"/>
    <mergeCell ref="D91:D92"/>
    <mergeCell ref="E91:E92"/>
    <mergeCell ref="F91:F92"/>
    <mergeCell ref="G91:G92"/>
    <mergeCell ref="H91:H92"/>
    <mergeCell ref="I91:I92"/>
    <mergeCell ref="J91:J92"/>
    <mergeCell ref="K91:K92"/>
    <mergeCell ref="A62:A85"/>
    <mergeCell ref="O62:O85"/>
    <mergeCell ref="U62:U85"/>
    <mergeCell ref="B62:B85"/>
    <mergeCell ref="V62:V85"/>
    <mergeCell ref="C62:C85"/>
    <mergeCell ref="U59:U61"/>
    <mergeCell ref="B59:B61"/>
    <mergeCell ref="V59:V61"/>
    <mergeCell ref="C59:C61"/>
    <mergeCell ref="F62:F85"/>
    <mergeCell ref="G62:G85"/>
    <mergeCell ref="H62:H85"/>
    <mergeCell ref="I62:I85"/>
    <mergeCell ref="J62:J85"/>
    <mergeCell ref="K62:K85"/>
    <mergeCell ref="L62:L85"/>
    <mergeCell ref="A59:A61"/>
    <mergeCell ref="W59:W61"/>
    <mergeCell ref="D59:D61"/>
    <mergeCell ref="E59:E61"/>
    <mergeCell ref="F59:F61"/>
    <mergeCell ref="G59:G61"/>
    <mergeCell ref="H59:H61"/>
    <mergeCell ref="I59:I61"/>
    <mergeCell ref="J59:J61"/>
    <mergeCell ref="K59:K61"/>
    <mergeCell ref="L59:L61"/>
    <mergeCell ref="M59:M61"/>
    <mergeCell ref="O59:O61"/>
  </mergeCells>
  <pageMargins left="0.25" right="0.25" top="0.75" bottom="0.75" header="0.3" footer="0.3"/>
  <pageSetup paperSize="9" scale="22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Лист18">
    <tabColor rgb="FF00B050"/>
    <pageSetUpPr fitToPage="1"/>
  </sheetPr>
  <dimension ref="A1:V15"/>
  <sheetViews>
    <sheetView showGridLines="0" view="pageBreakPreview" topLeftCell="F1" zoomScale="60" zoomScaleNormal="50" workbookViewId="0">
      <pane ySplit="8" topLeftCell="A9" activePane="bottomLeft" state="frozen"/>
      <selection pane="bottomLeft" activeCell="M13" sqref="M13:M14"/>
    </sheetView>
  </sheetViews>
  <sheetFormatPr defaultColWidth="0" defaultRowHeight="18" x14ac:dyDescent="0.3"/>
  <cols>
    <col min="1" max="1" width="14" style="3" customWidth="1"/>
    <col min="2" max="2" width="25.44140625" style="3" customWidth="1"/>
    <col min="3" max="3" width="39.5546875" style="3" bestFit="1" customWidth="1"/>
    <col min="4" max="4" width="23.88671875" style="3" customWidth="1"/>
    <col min="5" max="5" width="32.44140625" style="3" customWidth="1"/>
    <col min="6" max="6" width="27.44140625" style="11" customWidth="1"/>
    <col min="7" max="7" width="27.44140625" style="3" customWidth="1"/>
    <col min="8" max="8" width="33" style="3" customWidth="1"/>
    <col min="9" max="10" width="27.33203125" style="10" customWidth="1"/>
    <col min="11" max="11" width="26.5546875" style="3" customWidth="1"/>
    <col min="12" max="12" width="38.44140625" style="11" customWidth="1"/>
    <col min="13" max="13" width="37.5546875" style="3" customWidth="1"/>
    <col min="14" max="14" width="24.6640625" style="10" customWidth="1"/>
    <col min="15" max="15" width="24.44140625" style="11" customWidth="1"/>
    <col min="16" max="16" width="24.33203125" style="11" customWidth="1"/>
    <col min="17" max="17" width="27.44140625" style="11" customWidth="1"/>
    <col min="18" max="18" width="27.109375" style="11" customWidth="1"/>
    <col min="19" max="19" width="23.44140625" style="11" customWidth="1"/>
    <col min="20" max="20" width="22.88671875" style="10" customWidth="1"/>
    <col min="21" max="21" width="21.88671875" style="2" customWidth="1"/>
    <col min="22" max="16384" width="9.109375" style="2" hidden="1"/>
  </cols>
  <sheetData>
    <row r="1" spans="1:22" ht="18.600000000000001" thickBot="1" x14ac:dyDescent="0.35"/>
    <row r="2" spans="1:22" ht="39.9" customHeight="1" thickBot="1" x14ac:dyDescent="0.35">
      <c r="B2" s="68"/>
      <c r="C2" s="68"/>
      <c r="D2" s="68"/>
      <c r="E2" s="403" t="s">
        <v>24</v>
      </c>
      <c r="F2" s="404"/>
      <c r="G2" s="80">
        <f>SUM(G9:G10000)</f>
        <v>2338410.3200000003</v>
      </c>
      <c r="L2" s="506" t="s">
        <v>137</v>
      </c>
      <c r="M2" s="507"/>
      <c r="N2" s="69">
        <f>SUM(N9:N10000)</f>
        <v>2054062.1800000002</v>
      </c>
      <c r="P2" s="68"/>
      <c r="Q2" s="318" t="s">
        <v>45</v>
      </c>
      <c r="R2" s="319"/>
      <c r="S2" s="320"/>
      <c r="T2" s="70">
        <f>SUM(T9:T10000)</f>
        <v>0</v>
      </c>
    </row>
    <row r="3" spans="1:22" x14ac:dyDescent="0.3">
      <c r="E3" s="2"/>
      <c r="F3" s="2"/>
      <c r="G3" s="2"/>
      <c r="H3" s="2"/>
      <c r="L3" s="2"/>
      <c r="M3" s="2"/>
      <c r="P3" s="2"/>
      <c r="Q3" s="2"/>
      <c r="R3" s="2"/>
      <c r="S3" s="2"/>
    </row>
    <row r="4" spans="1:22" ht="39.9" customHeight="1" x14ac:dyDescent="0.3">
      <c r="E4" s="2"/>
      <c r="F4" s="2"/>
      <c r="G4" s="2"/>
      <c r="H4" s="2"/>
      <c r="L4" s="2"/>
      <c r="M4" s="2"/>
      <c r="P4" s="2"/>
      <c r="Q4" s="2"/>
      <c r="R4" s="2"/>
      <c r="S4" s="2"/>
    </row>
    <row r="6" spans="1:22" ht="144" x14ac:dyDescent="0.3">
      <c r="A6" s="23" t="s">
        <v>8</v>
      </c>
      <c r="B6" s="23" t="s">
        <v>21</v>
      </c>
      <c r="C6" s="23" t="s">
        <v>10</v>
      </c>
      <c r="D6" s="23" t="s">
        <v>15</v>
      </c>
      <c r="E6" s="23" t="s">
        <v>0</v>
      </c>
      <c r="F6" s="22" t="s">
        <v>3</v>
      </c>
      <c r="G6" s="23" t="s">
        <v>38</v>
      </c>
      <c r="H6" s="23" t="s">
        <v>22</v>
      </c>
      <c r="I6" s="71" t="s">
        <v>46</v>
      </c>
      <c r="J6" s="71" t="s">
        <v>5</v>
      </c>
      <c r="K6" s="23" t="s">
        <v>39</v>
      </c>
      <c r="L6" s="22" t="s">
        <v>37</v>
      </c>
      <c r="M6" s="23" t="s">
        <v>6</v>
      </c>
      <c r="N6" s="71" t="s">
        <v>23</v>
      </c>
      <c r="O6" s="22" t="s">
        <v>9</v>
      </c>
      <c r="P6" s="22" t="s">
        <v>40</v>
      </c>
      <c r="Q6" s="22" t="s">
        <v>103</v>
      </c>
      <c r="R6" s="22" t="s">
        <v>104</v>
      </c>
      <c r="S6" s="22" t="s">
        <v>41</v>
      </c>
      <c r="T6" s="71" t="s">
        <v>43</v>
      </c>
      <c r="U6" s="13" t="s">
        <v>42</v>
      </c>
    </row>
    <row r="7" spans="1:22" x14ac:dyDescent="0.3">
      <c r="A7" s="60" t="s">
        <v>36</v>
      </c>
      <c r="B7" s="60" t="s">
        <v>110</v>
      </c>
      <c r="C7" s="60" t="s">
        <v>111</v>
      </c>
      <c r="D7" s="60" t="s">
        <v>112</v>
      </c>
      <c r="E7" s="60" t="s">
        <v>113</v>
      </c>
      <c r="F7" s="60" t="s">
        <v>114</v>
      </c>
      <c r="G7" s="60" t="s">
        <v>115</v>
      </c>
      <c r="H7" s="60" t="s">
        <v>116</v>
      </c>
      <c r="I7" s="60" t="s">
        <v>117</v>
      </c>
      <c r="J7" s="60" t="s">
        <v>118</v>
      </c>
      <c r="K7" s="60" t="s">
        <v>119</v>
      </c>
      <c r="L7" s="60" t="s">
        <v>120</v>
      </c>
      <c r="M7" s="60" t="s">
        <v>121</v>
      </c>
      <c r="N7" s="60" t="s">
        <v>122</v>
      </c>
      <c r="O7" s="60" t="s">
        <v>123</v>
      </c>
      <c r="P7" s="60" t="s">
        <v>124</v>
      </c>
      <c r="Q7" s="60" t="s">
        <v>125</v>
      </c>
      <c r="R7" s="60" t="s">
        <v>126</v>
      </c>
      <c r="S7" s="60" t="s">
        <v>127</v>
      </c>
      <c r="T7" s="60" t="s">
        <v>128</v>
      </c>
      <c r="U7" s="60" t="s">
        <v>129</v>
      </c>
    </row>
    <row r="8" spans="1:22" s="14" customFormat="1" ht="108" x14ac:dyDescent="0.3">
      <c r="A8" s="72" t="s">
        <v>36</v>
      </c>
      <c r="B8" s="72" t="s">
        <v>67</v>
      </c>
      <c r="C8" s="72" t="s">
        <v>66</v>
      </c>
      <c r="D8" s="72" t="s">
        <v>48</v>
      </c>
      <c r="E8" s="77">
        <v>43823</v>
      </c>
      <c r="F8" s="73" t="s">
        <v>65</v>
      </c>
      <c r="G8" s="74">
        <v>100000</v>
      </c>
      <c r="H8" s="74">
        <v>90000</v>
      </c>
      <c r="I8" s="78">
        <v>2308091759</v>
      </c>
      <c r="J8" s="72" t="s">
        <v>68</v>
      </c>
      <c r="K8" s="72" t="s">
        <v>69</v>
      </c>
      <c r="L8" s="73">
        <v>43801</v>
      </c>
      <c r="M8" s="72" t="s">
        <v>70</v>
      </c>
      <c r="N8" s="74">
        <v>10000</v>
      </c>
      <c r="O8" s="73">
        <v>43489</v>
      </c>
      <c r="P8" s="73"/>
      <c r="Q8" s="73"/>
      <c r="R8" s="73"/>
      <c r="S8" s="73"/>
      <c r="T8" s="74"/>
      <c r="U8" s="75" t="s">
        <v>64</v>
      </c>
    </row>
    <row r="9" spans="1:22" s="85" customFormat="1" ht="90" customHeight="1" x14ac:dyDescent="0.3">
      <c r="A9" s="508">
        <v>1</v>
      </c>
      <c r="B9" s="511"/>
      <c r="C9" s="511"/>
      <c r="D9" s="511" t="s">
        <v>148</v>
      </c>
      <c r="E9" s="523" t="s">
        <v>163</v>
      </c>
      <c r="F9" s="514" t="s">
        <v>149</v>
      </c>
      <c r="G9" s="517">
        <v>1434561.11</v>
      </c>
      <c r="H9" s="526">
        <f>IF(V9 = 6, G9 + SUM(Q9:Q12) - SUM(R9:R12) - SUM(N9:N12) - T9,0)</f>
        <v>284348.1399999999</v>
      </c>
      <c r="I9" s="529">
        <v>2312054894</v>
      </c>
      <c r="J9" s="511" t="s">
        <v>146</v>
      </c>
      <c r="K9" s="511" t="s">
        <v>195</v>
      </c>
      <c r="L9" s="177" t="s">
        <v>222</v>
      </c>
      <c r="M9" s="511" t="s">
        <v>151</v>
      </c>
      <c r="N9" s="171">
        <v>368073.78</v>
      </c>
      <c r="O9" s="177" t="s">
        <v>259</v>
      </c>
      <c r="P9" s="172"/>
      <c r="Q9" s="171"/>
      <c r="R9" s="171"/>
      <c r="S9" s="514"/>
      <c r="T9" s="517"/>
      <c r="U9" s="520"/>
      <c r="V9" s="85">
        <v>6</v>
      </c>
    </row>
    <row r="10" spans="1:22" s="104" customFormat="1" x14ac:dyDescent="0.3">
      <c r="A10" s="509"/>
      <c r="B10" s="512"/>
      <c r="C10" s="512"/>
      <c r="D10" s="512"/>
      <c r="E10" s="524"/>
      <c r="F10" s="515"/>
      <c r="G10" s="518"/>
      <c r="H10" s="527"/>
      <c r="I10" s="530"/>
      <c r="J10" s="512"/>
      <c r="K10" s="512"/>
      <c r="L10" s="178" t="s">
        <v>261</v>
      </c>
      <c r="M10" s="512"/>
      <c r="N10" s="173">
        <v>366192.79</v>
      </c>
      <c r="O10" s="178" t="s">
        <v>262</v>
      </c>
      <c r="P10" s="174"/>
      <c r="Q10" s="173"/>
      <c r="R10" s="173"/>
      <c r="S10" s="515"/>
      <c r="T10" s="518"/>
      <c r="U10" s="521"/>
      <c r="V10" s="104">
        <v>6</v>
      </c>
    </row>
    <row r="11" spans="1:22" s="104" customFormat="1" x14ac:dyDescent="0.3">
      <c r="A11" s="509"/>
      <c r="B11" s="512"/>
      <c r="C11" s="512"/>
      <c r="D11" s="512"/>
      <c r="E11" s="524"/>
      <c r="F11" s="515"/>
      <c r="G11" s="518"/>
      <c r="H11" s="527"/>
      <c r="I11" s="530"/>
      <c r="J11" s="512"/>
      <c r="K11" s="512"/>
      <c r="L11" s="178" t="s">
        <v>290</v>
      </c>
      <c r="M11" s="512"/>
      <c r="N11" s="173">
        <v>278282.53000000003</v>
      </c>
      <c r="O11" s="178" t="s">
        <v>306</v>
      </c>
      <c r="P11" s="174"/>
      <c r="Q11" s="173"/>
      <c r="R11" s="173"/>
      <c r="S11" s="515"/>
      <c r="T11" s="518"/>
      <c r="U11" s="521"/>
      <c r="V11" s="104">
        <v>6</v>
      </c>
    </row>
    <row r="12" spans="1:22" s="104" customFormat="1" x14ac:dyDescent="0.3">
      <c r="A12" s="510"/>
      <c r="B12" s="513"/>
      <c r="C12" s="513"/>
      <c r="D12" s="513"/>
      <c r="E12" s="525"/>
      <c r="F12" s="516"/>
      <c r="G12" s="519"/>
      <c r="H12" s="528"/>
      <c r="I12" s="531"/>
      <c r="J12" s="513"/>
      <c r="K12" s="513"/>
      <c r="L12" s="179" t="s">
        <v>356</v>
      </c>
      <c r="M12" s="513"/>
      <c r="N12" s="175">
        <v>137663.87</v>
      </c>
      <c r="O12" s="179" t="s">
        <v>361</v>
      </c>
      <c r="P12" s="176"/>
      <c r="Q12" s="175"/>
      <c r="R12" s="175"/>
      <c r="S12" s="516"/>
      <c r="T12" s="519"/>
      <c r="U12" s="522"/>
      <c r="V12" s="104">
        <v>6</v>
      </c>
    </row>
    <row r="13" spans="1:22" s="85" customFormat="1" ht="54" customHeight="1" x14ac:dyDescent="0.3">
      <c r="A13" s="504">
        <v>2</v>
      </c>
      <c r="B13" s="492"/>
      <c r="C13" s="492"/>
      <c r="D13" s="492" t="s">
        <v>344</v>
      </c>
      <c r="E13" s="494" t="s">
        <v>345</v>
      </c>
      <c r="F13" s="496" t="s">
        <v>346</v>
      </c>
      <c r="G13" s="498">
        <v>903849.21</v>
      </c>
      <c r="H13" s="500">
        <f>IF(V13 = 10, G13 + SUM(Q13:Q14) - SUM(R13:R14) - SUM(N13:N14) - T13,0)</f>
        <v>-1.1641532182693481E-10</v>
      </c>
      <c r="I13" s="502">
        <v>7715995942</v>
      </c>
      <c r="J13" s="492" t="s">
        <v>347</v>
      </c>
      <c r="K13" s="492" t="s">
        <v>348</v>
      </c>
      <c r="L13" s="250" t="s">
        <v>311</v>
      </c>
      <c r="M13" s="492" t="s">
        <v>350</v>
      </c>
      <c r="N13" s="246">
        <v>698021.06</v>
      </c>
      <c r="O13" s="250" t="s">
        <v>349</v>
      </c>
      <c r="P13" s="247"/>
      <c r="Q13" s="246"/>
      <c r="R13" s="246"/>
      <c r="S13" s="496"/>
      <c r="T13" s="498"/>
      <c r="U13" s="490"/>
      <c r="V13" s="85">
        <v>10</v>
      </c>
    </row>
    <row r="14" spans="1:22" s="104" customFormat="1" x14ac:dyDescent="0.3">
      <c r="A14" s="505"/>
      <c r="B14" s="493"/>
      <c r="C14" s="493"/>
      <c r="D14" s="493"/>
      <c r="E14" s="495"/>
      <c r="F14" s="497"/>
      <c r="G14" s="499"/>
      <c r="H14" s="501"/>
      <c r="I14" s="503"/>
      <c r="J14" s="493"/>
      <c r="K14" s="493"/>
      <c r="L14" s="251">
        <v>45800</v>
      </c>
      <c r="M14" s="493"/>
      <c r="N14" s="248">
        <v>205828.15</v>
      </c>
      <c r="O14" s="251" t="s">
        <v>367</v>
      </c>
      <c r="P14" s="249"/>
      <c r="Q14" s="248"/>
      <c r="R14" s="248"/>
      <c r="S14" s="497"/>
      <c r="T14" s="499"/>
      <c r="U14" s="491"/>
      <c r="V14" s="104">
        <v>10</v>
      </c>
    </row>
    <row r="15" spans="1:22" x14ac:dyDescent="0.3">
      <c r="V15" s="2">
        <v>11</v>
      </c>
    </row>
  </sheetData>
  <sheetProtection algorithmName="SHA-512" hashValue="U4dai+Vi2cntFiX3597/QGeL7ZyR72Qp1XYee+xksV0N9fN5SbzlEMZhT17JETvIBlPbP4z0ekuoIzVX6XfTzw==" saltValue="/raV1HnGbbWLIzv5TQSdIA==" spinCount="100000" sheet="1" objects="1" scenarios="1" formatCells="0" formatColumns="0" formatRows="0"/>
  <mergeCells count="33">
    <mergeCell ref="T9:T12"/>
    <mergeCell ref="C9:C12"/>
    <mergeCell ref="U9:U12"/>
    <mergeCell ref="D9:D12"/>
    <mergeCell ref="E9:E12"/>
    <mergeCell ref="F9:F12"/>
    <mergeCell ref="G9:G12"/>
    <mergeCell ref="H9:H12"/>
    <mergeCell ref="I9:I12"/>
    <mergeCell ref="J9:J12"/>
    <mergeCell ref="K9:K12"/>
    <mergeCell ref="Q2:S2"/>
    <mergeCell ref="E2:F2"/>
    <mergeCell ref="L2:M2"/>
    <mergeCell ref="A9:A12"/>
    <mergeCell ref="M9:M12"/>
    <mergeCell ref="S9:S12"/>
    <mergeCell ref="B9:B12"/>
    <mergeCell ref="A13:A14"/>
    <mergeCell ref="M13:M14"/>
    <mergeCell ref="S13:S14"/>
    <mergeCell ref="B13:B14"/>
    <mergeCell ref="T13:T14"/>
    <mergeCell ref="C13:C14"/>
    <mergeCell ref="U13:U14"/>
    <mergeCell ref="D13:D14"/>
    <mergeCell ref="E13:E14"/>
    <mergeCell ref="F13:F14"/>
    <mergeCell ref="G13:G14"/>
    <mergeCell ref="H13:H14"/>
    <mergeCell ref="I13:I14"/>
    <mergeCell ref="J13:J14"/>
    <mergeCell ref="K13:K14"/>
  </mergeCells>
  <pageMargins left="0.70866141732283472" right="0.70866141732283472" top="0.74803149606299213" bottom="0.74803149606299213" header="0.31496062992125984" footer="0.31496062992125984"/>
  <pageSetup paperSize="9" scale="22" fitToHeight="2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Лист19">
    <tabColor theme="3" tint="0.39997558519241921"/>
  </sheetPr>
  <dimension ref="A1:AL14"/>
  <sheetViews>
    <sheetView showGridLines="0" topLeftCell="N1" zoomScale="50" zoomScaleNormal="50" workbookViewId="0">
      <pane ySplit="8" topLeftCell="A9" activePane="bottomLeft" state="frozen"/>
      <selection pane="bottomLeft" activeCell="AD14" sqref="AD14 G14 Q14"/>
    </sheetView>
  </sheetViews>
  <sheetFormatPr defaultColWidth="0" defaultRowHeight="18" x14ac:dyDescent="0.3"/>
  <cols>
    <col min="1" max="1" width="9.109375" style="3" customWidth="1"/>
    <col min="2" max="2" width="44" style="3" customWidth="1"/>
    <col min="3" max="3" width="30.6640625" style="3" customWidth="1"/>
    <col min="4" max="6" width="33.6640625" style="3" customWidth="1"/>
    <col min="7" max="8" width="22.33203125" style="10" customWidth="1"/>
    <col min="9" max="9" width="24.33203125" style="29" customWidth="1"/>
    <col min="10" max="10" width="28.44140625" style="29" customWidth="1"/>
    <col min="11" max="12" width="19.5546875" style="3" customWidth="1"/>
    <col min="13" max="13" width="25.6640625" style="3" customWidth="1"/>
    <col min="14" max="14" width="24.44140625" style="11" bestFit="1" customWidth="1"/>
    <col min="15" max="15" width="24.44140625" style="3" customWidth="1"/>
    <col min="16" max="16" width="31.5546875" style="3" customWidth="1"/>
    <col min="17" max="18" width="21.88671875" style="10" customWidth="1"/>
    <col min="19" max="19" width="23.5546875" style="3" customWidth="1"/>
    <col min="20" max="20" width="31.33203125" style="11" customWidth="1"/>
    <col min="21" max="21" width="27.6640625" style="11" customWidth="1"/>
    <col min="22" max="22" width="25.44140625" style="10" customWidth="1"/>
    <col min="23" max="23" width="25" style="11" customWidth="1"/>
    <col min="24" max="24" width="24.5546875" style="3" customWidth="1"/>
    <col min="25" max="25" width="24.88671875" style="3" customWidth="1"/>
    <col min="26" max="26" width="24" style="3" customWidth="1"/>
    <col min="27" max="27" width="23.6640625" style="11" customWidth="1"/>
    <col min="28" max="28" width="19.109375" style="10" customWidth="1"/>
    <col min="29" max="29" width="23.109375" style="3" customWidth="1"/>
    <col min="30" max="30" width="9.109375" style="2" hidden="1" customWidth="1"/>
    <col min="31" max="31" width="8.5546875" style="2" hidden="1" customWidth="1"/>
    <col min="32" max="38" width="0" style="2" hidden="1" customWidth="1"/>
    <col min="39" max="16384" width="9.109375" style="2" hidden="1"/>
  </cols>
  <sheetData>
    <row r="1" spans="1:30" ht="18.600000000000001" thickBot="1" x14ac:dyDescent="0.35"/>
    <row r="2" spans="1:30" ht="39.9" customHeight="1" thickBot="1" x14ac:dyDescent="0.35">
      <c r="E2" s="403" t="s">
        <v>139</v>
      </c>
      <c r="F2" s="404"/>
      <c r="G2" s="82">
        <f>SUM(G9:G9999)</f>
        <v>1839600</v>
      </c>
      <c r="O2" s="403" t="s">
        <v>24</v>
      </c>
      <c r="P2" s="404"/>
      <c r="Q2" s="80">
        <f>SUM(Q9:Q9999)</f>
        <v>1500200.8</v>
      </c>
      <c r="T2" s="318" t="s">
        <v>137</v>
      </c>
      <c r="U2" s="320"/>
      <c r="V2" s="69">
        <f>SUM(V9:V9999)</f>
        <v>689356.76</v>
      </c>
      <c r="X2" s="68"/>
      <c r="Y2" s="318" t="s">
        <v>45</v>
      </c>
      <c r="Z2" s="319"/>
      <c r="AA2" s="320"/>
      <c r="AB2" s="70">
        <f>SUM(AB9:AB9999)</f>
        <v>0</v>
      </c>
    </row>
    <row r="3" spans="1:30" x14ac:dyDescent="0.3">
      <c r="T3" s="2"/>
      <c r="U3" s="2"/>
      <c r="X3" s="2"/>
      <c r="Y3" s="2"/>
      <c r="Z3" s="2"/>
      <c r="AA3" s="2"/>
    </row>
    <row r="4" spans="1:30" ht="39.9" customHeight="1" x14ac:dyDescent="0.3">
      <c r="T4" s="2"/>
      <c r="U4" s="2"/>
      <c r="X4" s="2"/>
      <c r="Y4" s="2"/>
      <c r="Z4" s="2"/>
      <c r="AA4" s="2"/>
    </row>
    <row r="6" spans="1:30" ht="126" x14ac:dyDescent="0.3">
      <c r="A6" s="18" t="s">
        <v>8</v>
      </c>
      <c r="B6" s="18" t="s">
        <v>47</v>
      </c>
      <c r="C6" s="18" t="s">
        <v>33</v>
      </c>
      <c r="D6" s="18" t="s">
        <v>10</v>
      </c>
      <c r="E6" s="18" t="s">
        <v>11</v>
      </c>
      <c r="F6" s="18" t="s">
        <v>12</v>
      </c>
      <c r="G6" s="25" t="s">
        <v>13</v>
      </c>
      <c r="H6" s="25" t="s">
        <v>34</v>
      </c>
      <c r="I6" s="30" t="s">
        <v>16</v>
      </c>
      <c r="J6" s="30" t="s">
        <v>17</v>
      </c>
      <c r="K6" s="18" t="s">
        <v>14</v>
      </c>
      <c r="L6" s="18" t="s">
        <v>32</v>
      </c>
      <c r="M6" s="18" t="s">
        <v>15</v>
      </c>
      <c r="N6" s="24" t="s">
        <v>0</v>
      </c>
      <c r="O6" s="18" t="s">
        <v>46</v>
      </c>
      <c r="P6" s="18" t="s">
        <v>5</v>
      </c>
      <c r="Q6" s="25" t="s">
        <v>18</v>
      </c>
      <c r="R6" s="25" t="s">
        <v>22</v>
      </c>
      <c r="S6" s="18" t="s">
        <v>19</v>
      </c>
      <c r="T6" s="24" t="s">
        <v>37</v>
      </c>
      <c r="U6" s="24" t="s">
        <v>20</v>
      </c>
      <c r="V6" s="25" t="s">
        <v>23</v>
      </c>
      <c r="W6" s="24" t="s">
        <v>9</v>
      </c>
      <c r="X6" s="23" t="s">
        <v>40</v>
      </c>
      <c r="Y6" s="23" t="s">
        <v>103</v>
      </c>
      <c r="Z6" s="23" t="s">
        <v>104</v>
      </c>
      <c r="AA6" s="22" t="s">
        <v>41</v>
      </c>
      <c r="AB6" s="25" t="s">
        <v>43</v>
      </c>
      <c r="AC6" s="18" t="s">
        <v>42</v>
      </c>
    </row>
    <row r="7" spans="1:30" x14ac:dyDescent="0.3">
      <c r="A7" s="60" t="s">
        <v>36</v>
      </c>
      <c r="B7" s="60" t="s">
        <v>110</v>
      </c>
      <c r="C7" s="60" t="s">
        <v>111</v>
      </c>
      <c r="D7" s="60" t="s">
        <v>112</v>
      </c>
      <c r="E7" s="60" t="s">
        <v>113</v>
      </c>
      <c r="F7" s="60" t="s">
        <v>114</v>
      </c>
      <c r="G7" s="60" t="s">
        <v>115</v>
      </c>
      <c r="H7" s="60" t="s">
        <v>116</v>
      </c>
      <c r="I7" s="60" t="s">
        <v>117</v>
      </c>
      <c r="J7" s="60" t="s">
        <v>118</v>
      </c>
      <c r="K7" s="60" t="s">
        <v>119</v>
      </c>
      <c r="L7" s="60" t="s">
        <v>120</v>
      </c>
      <c r="M7" s="60" t="s">
        <v>121</v>
      </c>
      <c r="N7" s="60" t="s">
        <v>122</v>
      </c>
      <c r="O7" s="60" t="s">
        <v>123</v>
      </c>
      <c r="P7" s="60" t="s">
        <v>124</v>
      </c>
      <c r="Q7" s="60" t="s">
        <v>125</v>
      </c>
      <c r="R7" s="60" t="s">
        <v>126</v>
      </c>
      <c r="S7" s="60" t="s">
        <v>127</v>
      </c>
      <c r="T7" s="60" t="s">
        <v>128</v>
      </c>
      <c r="U7" s="60" t="s">
        <v>129</v>
      </c>
      <c r="V7" s="60" t="s">
        <v>130</v>
      </c>
      <c r="W7" s="60" t="s">
        <v>131</v>
      </c>
      <c r="X7" s="60" t="s">
        <v>132</v>
      </c>
      <c r="Y7" s="60" t="s">
        <v>133</v>
      </c>
      <c r="Z7" s="60" t="s">
        <v>134</v>
      </c>
      <c r="AA7" s="60" t="s">
        <v>135</v>
      </c>
      <c r="AB7" s="60" t="s">
        <v>136</v>
      </c>
      <c r="AC7" s="60" t="s">
        <v>138</v>
      </c>
    </row>
    <row r="8" spans="1:30" ht="162" x14ac:dyDescent="0.3">
      <c r="A8" s="21" t="s">
        <v>36</v>
      </c>
      <c r="B8" s="21"/>
      <c r="C8" s="21" t="s">
        <v>73</v>
      </c>
      <c r="D8" s="21" t="s">
        <v>74</v>
      </c>
      <c r="E8" s="21" t="s">
        <v>71</v>
      </c>
      <c r="F8" s="21" t="s">
        <v>72</v>
      </c>
      <c r="G8" s="19">
        <v>15500.01</v>
      </c>
      <c r="H8" s="19">
        <f t="shared" ref="H8" si="0">G8-Q8</f>
        <v>6725</v>
      </c>
      <c r="I8" s="31">
        <v>6</v>
      </c>
      <c r="J8" s="31">
        <v>0</v>
      </c>
      <c r="K8" s="21" t="s">
        <v>75</v>
      </c>
      <c r="L8" s="21" t="s">
        <v>76</v>
      </c>
      <c r="M8" s="21" t="s">
        <v>77</v>
      </c>
      <c r="N8" s="20">
        <v>43655</v>
      </c>
      <c r="O8" s="21" t="s">
        <v>79</v>
      </c>
      <c r="P8" s="21" t="s">
        <v>78</v>
      </c>
      <c r="Q8" s="19">
        <v>8775.01</v>
      </c>
      <c r="R8" s="19">
        <f>Q8-V8</f>
        <v>0</v>
      </c>
      <c r="S8" s="21" t="s">
        <v>80</v>
      </c>
      <c r="T8" s="20">
        <v>43677</v>
      </c>
      <c r="U8" s="20" t="s">
        <v>81</v>
      </c>
      <c r="V8" s="19">
        <v>8775.01</v>
      </c>
      <c r="W8" s="20">
        <v>43696</v>
      </c>
      <c r="X8" s="21"/>
      <c r="Y8" s="54"/>
      <c r="Z8" s="54"/>
      <c r="AA8" s="20"/>
      <c r="AB8" s="19"/>
      <c r="AC8" s="21" t="s">
        <v>64</v>
      </c>
    </row>
    <row r="9" spans="1:30" s="85" customFormat="1" ht="72" customHeight="1" x14ac:dyDescent="0.3">
      <c r="A9" s="342">
        <v>1</v>
      </c>
      <c r="B9" s="351"/>
      <c r="C9" s="351" t="s">
        <v>201</v>
      </c>
      <c r="D9" s="351" t="s">
        <v>205</v>
      </c>
      <c r="E9" s="351" t="s">
        <v>197</v>
      </c>
      <c r="F9" s="351" t="s">
        <v>198</v>
      </c>
      <c r="G9" s="348">
        <v>740880</v>
      </c>
      <c r="H9" s="360">
        <f>IF(AD9 = 1, G9 - Q9,0)</f>
        <v>66679.199999999953</v>
      </c>
      <c r="I9" s="348">
        <v>2</v>
      </c>
      <c r="J9" s="348">
        <v>0</v>
      </c>
      <c r="K9" s="351" t="s">
        <v>200</v>
      </c>
      <c r="L9" s="351" t="s">
        <v>204</v>
      </c>
      <c r="M9" s="351" t="s">
        <v>199</v>
      </c>
      <c r="N9" s="345">
        <v>45649</v>
      </c>
      <c r="O9" s="351" t="s">
        <v>156</v>
      </c>
      <c r="P9" s="351" t="s">
        <v>157</v>
      </c>
      <c r="Q9" s="348">
        <v>674200.8</v>
      </c>
      <c r="R9" s="360">
        <f>IF(AD9 = 1, Q9 + SUM(Y9:Y13) - SUM(Z9:Z13) - SUM(V9:V13) - AB9,0)</f>
        <v>0</v>
      </c>
      <c r="S9" s="351" t="s">
        <v>196</v>
      </c>
      <c r="T9" s="229" t="s">
        <v>210</v>
      </c>
      <c r="U9" s="357" t="s">
        <v>158</v>
      </c>
      <c r="V9" s="221">
        <v>142178.4</v>
      </c>
      <c r="W9" s="229" t="s">
        <v>292</v>
      </c>
      <c r="X9" s="220"/>
      <c r="Y9" s="221"/>
      <c r="Z9" s="221"/>
      <c r="AA9" s="357"/>
      <c r="AB9" s="348"/>
      <c r="AC9" s="351"/>
      <c r="AD9" s="85">
        <v>1</v>
      </c>
    </row>
    <row r="10" spans="1:30" s="104" customFormat="1" x14ac:dyDescent="0.3">
      <c r="A10" s="343"/>
      <c r="B10" s="352"/>
      <c r="C10" s="352"/>
      <c r="D10" s="352"/>
      <c r="E10" s="352"/>
      <c r="F10" s="352"/>
      <c r="G10" s="349"/>
      <c r="H10" s="361"/>
      <c r="I10" s="349"/>
      <c r="J10" s="349"/>
      <c r="K10" s="352"/>
      <c r="L10" s="352"/>
      <c r="M10" s="352"/>
      <c r="N10" s="346"/>
      <c r="O10" s="352"/>
      <c r="P10" s="352"/>
      <c r="Q10" s="349"/>
      <c r="R10" s="361"/>
      <c r="S10" s="352"/>
      <c r="T10" s="230" t="s">
        <v>291</v>
      </c>
      <c r="U10" s="358"/>
      <c r="V10" s="225">
        <v>128419.2</v>
      </c>
      <c r="W10" s="230" t="s">
        <v>262</v>
      </c>
      <c r="X10" s="224"/>
      <c r="Y10" s="225"/>
      <c r="Z10" s="225"/>
      <c r="AA10" s="358"/>
      <c r="AB10" s="349"/>
      <c r="AC10" s="352"/>
      <c r="AD10" s="104">
        <v>1</v>
      </c>
    </row>
    <row r="11" spans="1:30" s="104" customFormat="1" x14ac:dyDescent="0.3">
      <c r="A11" s="343"/>
      <c r="B11" s="352"/>
      <c r="C11" s="352"/>
      <c r="D11" s="352"/>
      <c r="E11" s="352"/>
      <c r="F11" s="352"/>
      <c r="G11" s="349"/>
      <c r="H11" s="361"/>
      <c r="I11" s="349"/>
      <c r="J11" s="349"/>
      <c r="K11" s="352"/>
      <c r="L11" s="352"/>
      <c r="M11" s="352"/>
      <c r="N11" s="346"/>
      <c r="O11" s="352"/>
      <c r="P11" s="352"/>
      <c r="Q11" s="349"/>
      <c r="R11" s="361"/>
      <c r="S11" s="352"/>
      <c r="T11" s="230" t="s">
        <v>351</v>
      </c>
      <c r="U11" s="358"/>
      <c r="V11" s="225">
        <v>142178.4</v>
      </c>
      <c r="W11" s="230" t="s">
        <v>311</v>
      </c>
      <c r="X11" s="224"/>
      <c r="Y11" s="225"/>
      <c r="Z11" s="225"/>
      <c r="AA11" s="358"/>
      <c r="AB11" s="349"/>
      <c r="AC11" s="352"/>
      <c r="AD11" s="104">
        <v>1</v>
      </c>
    </row>
    <row r="12" spans="1:30" s="104" customFormat="1" x14ac:dyDescent="0.3">
      <c r="A12" s="343"/>
      <c r="B12" s="352"/>
      <c r="C12" s="352"/>
      <c r="D12" s="352"/>
      <c r="E12" s="352"/>
      <c r="F12" s="352"/>
      <c r="G12" s="349"/>
      <c r="H12" s="361"/>
      <c r="I12" s="349"/>
      <c r="J12" s="349"/>
      <c r="K12" s="352"/>
      <c r="L12" s="352"/>
      <c r="M12" s="352"/>
      <c r="N12" s="346"/>
      <c r="O12" s="352"/>
      <c r="P12" s="352"/>
      <c r="Q12" s="349"/>
      <c r="R12" s="361"/>
      <c r="S12" s="352"/>
      <c r="T12" s="230" t="s">
        <v>352</v>
      </c>
      <c r="U12" s="358"/>
      <c r="V12" s="225">
        <v>137592</v>
      </c>
      <c r="W12" s="230" t="s">
        <v>353</v>
      </c>
      <c r="X12" s="224"/>
      <c r="Y12" s="225"/>
      <c r="Z12" s="225"/>
      <c r="AA12" s="358"/>
      <c r="AB12" s="349"/>
      <c r="AC12" s="352"/>
      <c r="AD12" s="104">
        <v>1</v>
      </c>
    </row>
    <row r="13" spans="1:30" s="104" customFormat="1" x14ac:dyDescent="0.3">
      <c r="A13" s="344"/>
      <c r="B13" s="353"/>
      <c r="C13" s="353"/>
      <c r="D13" s="353"/>
      <c r="E13" s="353"/>
      <c r="F13" s="353"/>
      <c r="G13" s="350"/>
      <c r="H13" s="362"/>
      <c r="I13" s="350"/>
      <c r="J13" s="350"/>
      <c r="K13" s="353"/>
      <c r="L13" s="353"/>
      <c r="M13" s="353"/>
      <c r="N13" s="347"/>
      <c r="O13" s="353"/>
      <c r="P13" s="353"/>
      <c r="Q13" s="350"/>
      <c r="R13" s="362"/>
      <c r="S13" s="353"/>
      <c r="T13" s="231" t="s">
        <v>402</v>
      </c>
      <c r="U13" s="359"/>
      <c r="V13" s="226">
        <v>123832.8</v>
      </c>
      <c r="W13" s="231" t="s">
        <v>407</v>
      </c>
      <c r="X13" s="228"/>
      <c r="Y13" s="226"/>
      <c r="Z13" s="226"/>
      <c r="AA13" s="359"/>
      <c r="AB13" s="350"/>
      <c r="AC13" s="353"/>
      <c r="AD13" s="104">
        <v>1</v>
      </c>
    </row>
    <row r="14" spans="1:30" ht="36" x14ac:dyDescent="0.3">
      <c r="A14" s="97"/>
      <c r="B14" s="98"/>
      <c r="C14" s="98" t="s">
        <v>459</v>
      </c>
      <c r="D14" s="98" t="s">
        <v>205</v>
      </c>
      <c r="E14" s="98" t="s">
        <v>460</v>
      </c>
      <c r="F14" s="98" t="s">
        <v>198</v>
      </c>
      <c r="G14" s="101">
        <v>1098720</v>
      </c>
      <c r="H14" s="102">
        <f>IF(AD14 = 3, G14 - Q14,0)</f>
        <v>272720</v>
      </c>
      <c r="I14" s="101">
        <v>2</v>
      </c>
      <c r="J14" s="101"/>
      <c r="K14" s="98" t="s">
        <v>200</v>
      </c>
      <c r="L14" s="98" t="s">
        <v>456</v>
      </c>
      <c r="M14" s="98" t="s">
        <v>455</v>
      </c>
      <c r="N14" s="100">
        <v>45800</v>
      </c>
      <c r="O14" s="98" t="s">
        <v>457</v>
      </c>
      <c r="P14" s="98" t="s">
        <v>458</v>
      </c>
      <c r="Q14" s="101">
        <v>826000</v>
      </c>
      <c r="R14" s="102">
        <f>IF(AD14 = 3, Q14 + SUM(Y14:Y14) - SUM(Z14:Z14) - SUM(V14:V14) - AB14,0)</f>
        <v>810844.04</v>
      </c>
      <c r="S14" s="98" t="s">
        <v>461</v>
      </c>
      <c r="T14" s="100" t="s">
        <v>404</v>
      </c>
      <c r="U14" s="99"/>
      <c r="V14" s="101">
        <v>15155.96</v>
      </c>
      <c r="W14" s="100" t="s">
        <v>439</v>
      </c>
      <c r="X14" s="98"/>
      <c r="Y14" s="101"/>
      <c r="Z14" s="101"/>
      <c r="AA14" s="99"/>
      <c r="AB14" s="101"/>
      <c r="AC14" s="98"/>
      <c r="AD14" s="2">
        <v>3</v>
      </c>
    </row>
  </sheetData>
  <sheetProtection algorithmName="SHA-512" hashValue="1z7Y6RqGe3KpyxWhJ+fxZW19HSXiolntoEb3ZAhff8ukN2TYubrUfUtG1fSjD16UqiJwnM5knabSDaE5piealg==" saltValue="DIR1nonzqI5HJ1XBd/pbbQ==" spinCount="100000" sheet="1" objects="1" scenarios="1" formatCells="0" formatColumns="0" formatRows="0"/>
  <mergeCells count="27">
    <mergeCell ref="AB9:AB13"/>
    <mergeCell ref="C9:C13"/>
    <mergeCell ref="AC9:AC13"/>
    <mergeCell ref="D9:D13"/>
    <mergeCell ref="E9:E13"/>
    <mergeCell ref="F9:F13"/>
    <mergeCell ref="G9:G13"/>
    <mergeCell ref="H9:H13"/>
    <mergeCell ref="I9:I13"/>
    <mergeCell ref="J9:J13"/>
    <mergeCell ref="K9:K13"/>
    <mergeCell ref="L9:L13"/>
    <mergeCell ref="M9:M13"/>
    <mergeCell ref="N9:N13"/>
    <mergeCell ref="E2:F2"/>
    <mergeCell ref="O2:P2"/>
    <mergeCell ref="Y2:AA2"/>
    <mergeCell ref="T2:U2"/>
    <mergeCell ref="R9:R13"/>
    <mergeCell ref="S9:S13"/>
    <mergeCell ref="A9:A13"/>
    <mergeCell ref="U9:U13"/>
    <mergeCell ref="AA9:AA13"/>
    <mergeCell ref="B9:B13"/>
    <mergeCell ref="Q9:Q13"/>
    <mergeCell ref="O9:O13"/>
    <mergeCell ref="P9:P13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Лист20">
    <tabColor theme="3" tint="0.39997558519241921"/>
  </sheetPr>
  <dimension ref="A1:AL42"/>
  <sheetViews>
    <sheetView showGridLines="0" topLeftCell="J1" zoomScale="50" zoomScaleNormal="50" workbookViewId="0">
      <pane ySplit="8" topLeftCell="A15" activePane="bottomLeft" state="frozen"/>
      <selection pane="bottomLeft" activeCell="V41" sqref="V9:V41"/>
    </sheetView>
  </sheetViews>
  <sheetFormatPr defaultColWidth="0" defaultRowHeight="18" x14ac:dyDescent="0.3"/>
  <cols>
    <col min="1" max="1" width="9.109375" style="3" customWidth="1"/>
    <col min="2" max="2" width="47.109375" style="3" customWidth="1"/>
    <col min="3" max="3" width="34.44140625" style="3" customWidth="1"/>
    <col min="4" max="6" width="33.6640625" style="3" customWidth="1"/>
    <col min="7" max="7" width="22.33203125" style="10" customWidth="1"/>
    <col min="8" max="8" width="22.33203125" style="2" customWidth="1"/>
    <col min="9" max="9" width="24.33203125" style="29" customWidth="1"/>
    <col min="10" max="10" width="28.44140625" style="29" customWidth="1"/>
    <col min="11" max="12" width="19.5546875" style="3" customWidth="1"/>
    <col min="13" max="13" width="25.6640625" style="3" customWidth="1"/>
    <col min="14" max="14" width="24.44140625" style="11" bestFit="1" customWidth="1"/>
    <col min="15" max="15" width="24.44140625" style="3" customWidth="1"/>
    <col min="16" max="16" width="31.5546875" style="3" customWidth="1"/>
    <col min="17" max="17" width="27" style="10" customWidth="1"/>
    <col min="18" max="18" width="21.88671875" style="2" customWidth="1"/>
    <col min="19" max="19" width="23.5546875" style="2" customWidth="1"/>
    <col min="20" max="20" width="32.44140625" style="2" customWidth="1"/>
    <col min="21" max="21" width="27.6640625" style="2" customWidth="1"/>
    <col min="22" max="22" width="25.44140625" style="2" customWidth="1"/>
    <col min="23" max="23" width="25" style="2" customWidth="1"/>
    <col min="24" max="26" width="25.109375" style="2" customWidth="1"/>
    <col min="27" max="27" width="23.88671875" style="2" customWidth="1"/>
    <col min="28" max="28" width="20.33203125" style="2" customWidth="1"/>
    <col min="29" max="29" width="20" style="2" customWidth="1"/>
    <col min="30" max="38" width="0" style="2" hidden="1" customWidth="1"/>
    <col min="39" max="16384" width="9.109375" style="2" hidden="1"/>
  </cols>
  <sheetData>
    <row r="1" spans="1:30" ht="18.600000000000001" thickBot="1" x14ac:dyDescent="0.35"/>
    <row r="2" spans="1:30" ht="39.9" customHeight="1" thickBot="1" x14ac:dyDescent="0.35">
      <c r="E2" s="403" t="s">
        <v>139</v>
      </c>
      <c r="F2" s="404"/>
      <c r="G2" s="82">
        <f>SUM(G9:G9999)</f>
        <v>1539365.26</v>
      </c>
      <c r="H2" s="10"/>
      <c r="O2" s="403" t="s">
        <v>24</v>
      </c>
      <c r="P2" s="404"/>
      <c r="Q2" s="80">
        <f>SUM(Q9:Q9999)</f>
        <v>1539365.26</v>
      </c>
      <c r="T2" s="318" t="s">
        <v>137</v>
      </c>
      <c r="U2" s="320"/>
      <c r="V2" s="69">
        <f>SUM(V9:V9999)</f>
        <v>1350756.5499999998</v>
      </c>
      <c r="X2" s="68"/>
      <c r="Y2" s="318" t="s">
        <v>45</v>
      </c>
      <c r="Z2" s="319"/>
      <c r="AA2" s="320"/>
      <c r="AB2" s="70">
        <f>SUM(AB9:AB9999)</f>
        <v>0</v>
      </c>
    </row>
    <row r="4" spans="1:30" ht="39.9" customHeight="1" x14ac:dyDescent="0.3"/>
    <row r="6" spans="1:30" ht="108" x14ac:dyDescent="0.3">
      <c r="A6" s="18" t="s">
        <v>8</v>
      </c>
      <c r="B6" s="18" t="s">
        <v>47</v>
      </c>
      <c r="C6" s="18" t="s">
        <v>33</v>
      </c>
      <c r="D6" s="18" t="s">
        <v>10</v>
      </c>
      <c r="E6" s="18" t="s">
        <v>11</v>
      </c>
      <c r="F6" s="18" t="s">
        <v>12</v>
      </c>
      <c r="G6" s="25" t="s">
        <v>13</v>
      </c>
      <c r="H6" s="1" t="s">
        <v>34</v>
      </c>
      <c r="I6" s="30" t="s">
        <v>16</v>
      </c>
      <c r="J6" s="30" t="s">
        <v>17</v>
      </c>
      <c r="K6" s="18" t="s">
        <v>14</v>
      </c>
      <c r="L6" s="18" t="s">
        <v>32</v>
      </c>
      <c r="M6" s="18" t="s">
        <v>15</v>
      </c>
      <c r="N6" s="24" t="s">
        <v>0</v>
      </c>
      <c r="O6" s="18" t="s">
        <v>46</v>
      </c>
      <c r="P6" s="18" t="s">
        <v>5</v>
      </c>
      <c r="Q6" s="25" t="s">
        <v>38</v>
      </c>
      <c r="R6" s="1" t="s">
        <v>22</v>
      </c>
      <c r="S6" s="1" t="s">
        <v>19</v>
      </c>
      <c r="T6" s="1" t="s">
        <v>37</v>
      </c>
      <c r="U6" s="1" t="s">
        <v>20</v>
      </c>
      <c r="V6" s="1" t="s">
        <v>23</v>
      </c>
      <c r="W6" s="1" t="s">
        <v>9</v>
      </c>
      <c r="X6" s="13" t="s">
        <v>40</v>
      </c>
      <c r="Y6" s="13" t="s">
        <v>103</v>
      </c>
      <c r="Z6" s="13" t="s">
        <v>104</v>
      </c>
      <c r="AA6" s="13" t="s">
        <v>41</v>
      </c>
      <c r="AB6" s="1" t="s">
        <v>43</v>
      </c>
      <c r="AC6" s="1" t="s">
        <v>42</v>
      </c>
    </row>
    <row r="7" spans="1:30" x14ac:dyDescent="0.3">
      <c r="A7" s="60" t="s">
        <v>36</v>
      </c>
      <c r="B7" s="60" t="s">
        <v>110</v>
      </c>
      <c r="C7" s="60" t="s">
        <v>111</v>
      </c>
      <c r="D7" s="60" t="s">
        <v>112</v>
      </c>
      <c r="E7" s="60" t="s">
        <v>113</v>
      </c>
      <c r="F7" s="60" t="s">
        <v>114</v>
      </c>
      <c r="G7" s="60" t="s">
        <v>115</v>
      </c>
      <c r="H7" s="60" t="s">
        <v>116</v>
      </c>
      <c r="I7" s="60" t="s">
        <v>117</v>
      </c>
      <c r="J7" s="60" t="s">
        <v>118</v>
      </c>
      <c r="K7" s="60" t="s">
        <v>119</v>
      </c>
      <c r="L7" s="60" t="s">
        <v>120</v>
      </c>
      <c r="M7" s="60" t="s">
        <v>121</v>
      </c>
      <c r="N7" s="60" t="s">
        <v>122</v>
      </c>
      <c r="O7" s="60" t="s">
        <v>123</v>
      </c>
      <c r="P7" s="60" t="s">
        <v>124</v>
      </c>
      <c r="Q7" s="60" t="s">
        <v>125</v>
      </c>
      <c r="R7" s="60" t="s">
        <v>126</v>
      </c>
      <c r="S7" s="60" t="s">
        <v>127</v>
      </c>
      <c r="T7" s="60" t="s">
        <v>128</v>
      </c>
      <c r="U7" s="60" t="s">
        <v>129</v>
      </c>
      <c r="V7" s="60" t="s">
        <v>130</v>
      </c>
      <c r="W7" s="60" t="s">
        <v>131</v>
      </c>
      <c r="X7" s="60" t="s">
        <v>132</v>
      </c>
      <c r="Y7" s="60" t="s">
        <v>133</v>
      </c>
      <c r="Z7" s="60" t="s">
        <v>134</v>
      </c>
      <c r="AA7" s="60" t="s">
        <v>135</v>
      </c>
      <c r="AB7" s="60" t="s">
        <v>136</v>
      </c>
      <c r="AC7" s="60" t="s">
        <v>138</v>
      </c>
    </row>
    <row r="8" spans="1:30" ht="162" x14ac:dyDescent="0.3">
      <c r="A8" s="54" t="s">
        <v>36</v>
      </c>
      <c r="B8" s="54"/>
      <c r="C8" s="54" t="s">
        <v>73</v>
      </c>
      <c r="D8" s="54" t="s">
        <v>74</v>
      </c>
      <c r="E8" s="54" t="s">
        <v>71</v>
      </c>
      <c r="F8" s="54" t="s">
        <v>72</v>
      </c>
      <c r="G8" s="56">
        <v>15500.01</v>
      </c>
      <c r="H8" s="56">
        <f t="shared" ref="H8" si="0">G8-Q8</f>
        <v>6725</v>
      </c>
      <c r="I8" s="79">
        <v>6</v>
      </c>
      <c r="J8" s="79">
        <v>0</v>
      </c>
      <c r="K8" s="54" t="s">
        <v>75</v>
      </c>
      <c r="L8" s="54" t="s">
        <v>76</v>
      </c>
      <c r="M8" s="54" t="s">
        <v>77</v>
      </c>
      <c r="N8" s="55">
        <v>43655</v>
      </c>
      <c r="O8" s="54" t="s">
        <v>79</v>
      </c>
      <c r="P8" s="54" t="s">
        <v>78</v>
      </c>
      <c r="Q8" s="56">
        <v>8775.01</v>
      </c>
      <c r="R8" s="56">
        <f>Q8-V8</f>
        <v>0</v>
      </c>
      <c r="S8" s="54" t="s">
        <v>80</v>
      </c>
      <c r="T8" s="55">
        <v>43677</v>
      </c>
      <c r="U8" s="54" t="s">
        <v>81</v>
      </c>
      <c r="V8" s="56">
        <v>8775.01</v>
      </c>
      <c r="W8" s="55">
        <v>43696</v>
      </c>
      <c r="X8" s="54"/>
      <c r="Y8" s="54"/>
      <c r="Z8" s="54"/>
      <c r="AA8" s="54"/>
      <c r="AB8" s="56"/>
      <c r="AC8" s="57" t="s">
        <v>64</v>
      </c>
    </row>
    <row r="9" spans="1:30" s="85" customFormat="1" ht="180" customHeight="1" x14ac:dyDescent="0.3">
      <c r="A9" s="547">
        <v>1</v>
      </c>
      <c r="B9" s="535"/>
      <c r="C9" s="535" t="s">
        <v>201</v>
      </c>
      <c r="D9" s="535" t="s">
        <v>205</v>
      </c>
      <c r="E9" s="535" t="s">
        <v>203</v>
      </c>
      <c r="F9" s="535" t="s">
        <v>202</v>
      </c>
      <c r="G9" s="532">
        <v>1539365.26</v>
      </c>
      <c r="H9" s="541">
        <f>IF(AD9 = 1, G9 - Q9,0)</f>
        <v>0</v>
      </c>
      <c r="I9" s="532">
        <v>1</v>
      </c>
      <c r="J9" s="532"/>
      <c r="K9" s="535" t="s">
        <v>200</v>
      </c>
      <c r="L9" s="535" t="s">
        <v>204</v>
      </c>
      <c r="M9" s="535" t="s">
        <v>206</v>
      </c>
      <c r="N9" s="544">
        <v>45642</v>
      </c>
      <c r="O9" s="535" t="s">
        <v>207</v>
      </c>
      <c r="P9" s="535" t="s">
        <v>208</v>
      </c>
      <c r="Q9" s="532">
        <v>1539365.26</v>
      </c>
      <c r="R9" s="541">
        <f>IF(AD9 = 1, Q9 + SUM(Y9:Y41) - SUM(Z9:Z41) - SUM(V9:V41) - AB9,0)</f>
        <v>188608.7100000002</v>
      </c>
      <c r="S9" s="535"/>
      <c r="T9" s="207" t="s">
        <v>255</v>
      </c>
      <c r="U9" s="535" t="s">
        <v>209</v>
      </c>
      <c r="V9" s="200">
        <v>28490</v>
      </c>
      <c r="W9" s="207" t="s">
        <v>237</v>
      </c>
      <c r="X9" s="201"/>
      <c r="Y9" s="200"/>
      <c r="Z9" s="200"/>
      <c r="AA9" s="535"/>
      <c r="AB9" s="532"/>
      <c r="AC9" s="538"/>
      <c r="AD9" s="85">
        <v>1</v>
      </c>
    </row>
    <row r="10" spans="1:30" s="104" customFormat="1" x14ac:dyDescent="0.3">
      <c r="A10" s="548"/>
      <c r="B10" s="536"/>
      <c r="C10" s="536"/>
      <c r="D10" s="536"/>
      <c r="E10" s="536"/>
      <c r="F10" s="536"/>
      <c r="G10" s="533"/>
      <c r="H10" s="542"/>
      <c r="I10" s="533"/>
      <c r="J10" s="533"/>
      <c r="K10" s="536"/>
      <c r="L10" s="536"/>
      <c r="M10" s="536"/>
      <c r="N10" s="545"/>
      <c r="O10" s="536"/>
      <c r="P10" s="536"/>
      <c r="Q10" s="533"/>
      <c r="R10" s="542"/>
      <c r="S10" s="536"/>
      <c r="T10" s="208" t="s">
        <v>256</v>
      </c>
      <c r="U10" s="536"/>
      <c r="V10" s="202">
        <v>39375</v>
      </c>
      <c r="W10" s="208" t="s">
        <v>237</v>
      </c>
      <c r="X10" s="203"/>
      <c r="Y10" s="202"/>
      <c r="Z10" s="202"/>
      <c r="AA10" s="536"/>
      <c r="AB10" s="533"/>
      <c r="AC10" s="539"/>
      <c r="AD10" s="104">
        <v>1</v>
      </c>
    </row>
    <row r="11" spans="1:30" s="104" customFormat="1" x14ac:dyDescent="0.3">
      <c r="A11" s="548"/>
      <c r="B11" s="536"/>
      <c r="C11" s="536"/>
      <c r="D11" s="536"/>
      <c r="E11" s="536"/>
      <c r="F11" s="536"/>
      <c r="G11" s="533"/>
      <c r="H11" s="542"/>
      <c r="I11" s="533"/>
      <c r="J11" s="533"/>
      <c r="K11" s="536"/>
      <c r="L11" s="536"/>
      <c r="M11" s="536"/>
      <c r="N11" s="545"/>
      <c r="O11" s="536"/>
      <c r="P11" s="536"/>
      <c r="Q11" s="533"/>
      <c r="R11" s="542"/>
      <c r="S11" s="536"/>
      <c r="T11" s="208" t="s">
        <v>256</v>
      </c>
      <c r="U11" s="536"/>
      <c r="V11" s="202">
        <v>122320.95</v>
      </c>
      <c r="W11" s="208" t="s">
        <v>250</v>
      </c>
      <c r="X11" s="203"/>
      <c r="Y11" s="202"/>
      <c r="Z11" s="202"/>
      <c r="AA11" s="536"/>
      <c r="AB11" s="533"/>
      <c r="AC11" s="539"/>
      <c r="AD11" s="104">
        <v>1</v>
      </c>
    </row>
    <row r="12" spans="1:30" s="104" customFormat="1" x14ac:dyDescent="0.3">
      <c r="A12" s="548"/>
      <c r="B12" s="536"/>
      <c r="C12" s="536"/>
      <c r="D12" s="536"/>
      <c r="E12" s="536"/>
      <c r="F12" s="536"/>
      <c r="G12" s="533"/>
      <c r="H12" s="542"/>
      <c r="I12" s="533"/>
      <c r="J12" s="533"/>
      <c r="K12" s="536"/>
      <c r="L12" s="536"/>
      <c r="M12" s="536"/>
      <c r="N12" s="545"/>
      <c r="O12" s="536"/>
      <c r="P12" s="536"/>
      <c r="Q12" s="533"/>
      <c r="R12" s="542"/>
      <c r="S12" s="536"/>
      <c r="T12" s="208" t="s">
        <v>256</v>
      </c>
      <c r="U12" s="536"/>
      <c r="V12" s="202">
        <v>7807.8</v>
      </c>
      <c r="W12" s="208" t="s">
        <v>250</v>
      </c>
      <c r="X12" s="203"/>
      <c r="Y12" s="202"/>
      <c r="Z12" s="202"/>
      <c r="AA12" s="536"/>
      <c r="AB12" s="533"/>
      <c r="AC12" s="539"/>
      <c r="AD12" s="104">
        <v>1</v>
      </c>
    </row>
    <row r="13" spans="1:30" s="104" customFormat="1" x14ac:dyDescent="0.3">
      <c r="A13" s="548"/>
      <c r="B13" s="536"/>
      <c r="C13" s="536"/>
      <c r="D13" s="536"/>
      <c r="E13" s="536"/>
      <c r="F13" s="536"/>
      <c r="G13" s="533"/>
      <c r="H13" s="542"/>
      <c r="I13" s="533"/>
      <c r="J13" s="533"/>
      <c r="K13" s="536"/>
      <c r="L13" s="536"/>
      <c r="M13" s="536"/>
      <c r="N13" s="545"/>
      <c r="O13" s="536"/>
      <c r="P13" s="536"/>
      <c r="Q13" s="533"/>
      <c r="R13" s="542"/>
      <c r="S13" s="536"/>
      <c r="T13" s="208" t="s">
        <v>255</v>
      </c>
      <c r="U13" s="536"/>
      <c r="V13" s="202">
        <v>88506</v>
      </c>
      <c r="W13" s="208" t="s">
        <v>250</v>
      </c>
      <c r="X13" s="203"/>
      <c r="Y13" s="202"/>
      <c r="Z13" s="202"/>
      <c r="AA13" s="536"/>
      <c r="AB13" s="533"/>
      <c r="AC13" s="539"/>
      <c r="AD13" s="104">
        <v>1</v>
      </c>
    </row>
    <row r="14" spans="1:30" s="104" customFormat="1" x14ac:dyDescent="0.3">
      <c r="A14" s="548"/>
      <c r="B14" s="536"/>
      <c r="C14" s="536"/>
      <c r="D14" s="536"/>
      <c r="E14" s="536"/>
      <c r="F14" s="536"/>
      <c r="G14" s="533"/>
      <c r="H14" s="542"/>
      <c r="I14" s="533"/>
      <c r="J14" s="533"/>
      <c r="K14" s="536"/>
      <c r="L14" s="536"/>
      <c r="M14" s="536"/>
      <c r="N14" s="545"/>
      <c r="O14" s="536"/>
      <c r="P14" s="536"/>
      <c r="Q14" s="533"/>
      <c r="R14" s="542"/>
      <c r="S14" s="536"/>
      <c r="T14" s="208" t="s">
        <v>255</v>
      </c>
      <c r="U14" s="536"/>
      <c r="V14" s="202">
        <v>5649.38</v>
      </c>
      <c r="W14" s="208" t="s">
        <v>250</v>
      </c>
      <c r="X14" s="203"/>
      <c r="Y14" s="202"/>
      <c r="Z14" s="202"/>
      <c r="AA14" s="536"/>
      <c r="AB14" s="533"/>
      <c r="AC14" s="539"/>
      <c r="AD14" s="104">
        <v>1</v>
      </c>
    </row>
    <row r="15" spans="1:30" s="104" customFormat="1" x14ac:dyDescent="0.3">
      <c r="A15" s="548"/>
      <c r="B15" s="536"/>
      <c r="C15" s="536"/>
      <c r="D15" s="536"/>
      <c r="E15" s="536"/>
      <c r="F15" s="536"/>
      <c r="G15" s="533"/>
      <c r="H15" s="542"/>
      <c r="I15" s="533"/>
      <c r="J15" s="533"/>
      <c r="K15" s="536"/>
      <c r="L15" s="536"/>
      <c r="M15" s="536"/>
      <c r="N15" s="545"/>
      <c r="O15" s="536"/>
      <c r="P15" s="536"/>
      <c r="Q15" s="533"/>
      <c r="R15" s="542"/>
      <c r="S15" s="536"/>
      <c r="T15" s="208" t="s">
        <v>257</v>
      </c>
      <c r="U15" s="536"/>
      <c r="V15" s="202">
        <v>7065.19</v>
      </c>
      <c r="W15" s="208" t="s">
        <v>247</v>
      </c>
      <c r="X15" s="203"/>
      <c r="Y15" s="202"/>
      <c r="Z15" s="202"/>
      <c r="AA15" s="536"/>
      <c r="AB15" s="533"/>
      <c r="AC15" s="539"/>
      <c r="AD15" s="104">
        <v>1</v>
      </c>
    </row>
    <row r="16" spans="1:30" s="104" customFormat="1" x14ac:dyDescent="0.3">
      <c r="A16" s="548"/>
      <c r="B16" s="536"/>
      <c r="C16" s="536"/>
      <c r="D16" s="536"/>
      <c r="E16" s="536"/>
      <c r="F16" s="536"/>
      <c r="G16" s="533"/>
      <c r="H16" s="542"/>
      <c r="I16" s="533"/>
      <c r="J16" s="533"/>
      <c r="K16" s="536"/>
      <c r="L16" s="536"/>
      <c r="M16" s="536"/>
      <c r="N16" s="545"/>
      <c r="O16" s="536"/>
      <c r="P16" s="536"/>
      <c r="Q16" s="533"/>
      <c r="R16" s="542"/>
      <c r="S16" s="536"/>
      <c r="T16" s="208" t="s">
        <v>257</v>
      </c>
      <c r="U16" s="536"/>
      <c r="V16" s="202">
        <v>110686.87</v>
      </c>
      <c r="W16" s="208" t="s">
        <v>247</v>
      </c>
      <c r="X16" s="203"/>
      <c r="Y16" s="202"/>
      <c r="Z16" s="202"/>
      <c r="AA16" s="536"/>
      <c r="AB16" s="533"/>
      <c r="AC16" s="539"/>
      <c r="AD16" s="104">
        <v>1</v>
      </c>
    </row>
    <row r="17" spans="1:30" s="104" customFormat="1" x14ac:dyDescent="0.3">
      <c r="A17" s="548"/>
      <c r="B17" s="536"/>
      <c r="C17" s="536"/>
      <c r="D17" s="536"/>
      <c r="E17" s="536"/>
      <c r="F17" s="536"/>
      <c r="G17" s="533"/>
      <c r="H17" s="542"/>
      <c r="I17" s="533"/>
      <c r="J17" s="533"/>
      <c r="K17" s="536"/>
      <c r="L17" s="536"/>
      <c r="M17" s="536"/>
      <c r="N17" s="545"/>
      <c r="O17" s="536"/>
      <c r="P17" s="536"/>
      <c r="Q17" s="533"/>
      <c r="R17" s="542"/>
      <c r="S17" s="536"/>
      <c r="T17" s="208" t="s">
        <v>257</v>
      </c>
      <c r="U17" s="536"/>
      <c r="V17" s="202">
        <v>35630</v>
      </c>
      <c r="W17" s="208" t="s">
        <v>247</v>
      </c>
      <c r="X17" s="203"/>
      <c r="Y17" s="202"/>
      <c r="Z17" s="202"/>
      <c r="AA17" s="536"/>
      <c r="AB17" s="533"/>
      <c r="AC17" s="539"/>
      <c r="AD17" s="104">
        <v>1</v>
      </c>
    </row>
    <row r="18" spans="1:30" s="104" customFormat="1" x14ac:dyDescent="0.3">
      <c r="A18" s="548"/>
      <c r="B18" s="536"/>
      <c r="C18" s="536"/>
      <c r="D18" s="536"/>
      <c r="E18" s="536"/>
      <c r="F18" s="536"/>
      <c r="G18" s="533"/>
      <c r="H18" s="542"/>
      <c r="I18" s="533"/>
      <c r="J18" s="533"/>
      <c r="K18" s="536"/>
      <c r="L18" s="536"/>
      <c r="M18" s="536"/>
      <c r="N18" s="545"/>
      <c r="O18" s="536"/>
      <c r="P18" s="536"/>
      <c r="Q18" s="533"/>
      <c r="R18" s="542"/>
      <c r="S18" s="536"/>
      <c r="T18" s="208" t="s">
        <v>288</v>
      </c>
      <c r="U18" s="536"/>
      <c r="V18" s="202">
        <v>4608.34</v>
      </c>
      <c r="W18" s="208" t="s">
        <v>263</v>
      </c>
      <c r="X18" s="203"/>
      <c r="Y18" s="202"/>
      <c r="Z18" s="202"/>
      <c r="AA18" s="536"/>
      <c r="AB18" s="533"/>
      <c r="AC18" s="539"/>
      <c r="AD18" s="104">
        <v>1</v>
      </c>
    </row>
    <row r="19" spans="1:30" s="104" customFormat="1" x14ac:dyDescent="0.3">
      <c r="A19" s="548"/>
      <c r="B19" s="536"/>
      <c r="C19" s="536"/>
      <c r="D19" s="536"/>
      <c r="E19" s="536"/>
      <c r="F19" s="536"/>
      <c r="G19" s="533"/>
      <c r="H19" s="542"/>
      <c r="I19" s="533"/>
      <c r="J19" s="533"/>
      <c r="K19" s="536"/>
      <c r="L19" s="536"/>
      <c r="M19" s="536"/>
      <c r="N19" s="545"/>
      <c r="O19" s="536"/>
      <c r="P19" s="536"/>
      <c r="Q19" s="533"/>
      <c r="R19" s="542"/>
      <c r="S19" s="536"/>
      <c r="T19" s="208" t="s">
        <v>288</v>
      </c>
      <c r="U19" s="536"/>
      <c r="V19" s="202">
        <v>72196.539999999994</v>
      </c>
      <c r="W19" s="208" t="s">
        <v>263</v>
      </c>
      <c r="X19" s="203"/>
      <c r="Y19" s="202"/>
      <c r="Z19" s="202"/>
      <c r="AA19" s="536"/>
      <c r="AB19" s="533"/>
      <c r="AC19" s="539"/>
      <c r="AD19" s="104">
        <v>1</v>
      </c>
    </row>
    <row r="20" spans="1:30" s="104" customFormat="1" x14ac:dyDescent="0.3">
      <c r="A20" s="548"/>
      <c r="B20" s="536"/>
      <c r="C20" s="536"/>
      <c r="D20" s="536"/>
      <c r="E20" s="536"/>
      <c r="F20" s="536"/>
      <c r="G20" s="533"/>
      <c r="H20" s="542"/>
      <c r="I20" s="533"/>
      <c r="J20" s="533"/>
      <c r="K20" s="536"/>
      <c r="L20" s="536"/>
      <c r="M20" s="536"/>
      <c r="N20" s="545"/>
      <c r="O20" s="536"/>
      <c r="P20" s="536"/>
      <c r="Q20" s="533"/>
      <c r="R20" s="542"/>
      <c r="S20" s="536"/>
      <c r="T20" s="208" t="s">
        <v>288</v>
      </c>
      <c r="U20" s="536"/>
      <c r="V20" s="202">
        <v>23240</v>
      </c>
      <c r="W20" s="208" t="s">
        <v>263</v>
      </c>
      <c r="X20" s="203"/>
      <c r="Y20" s="202"/>
      <c r="Z20" s="202"/>
      <c r="AA20" s="536"/>
      <c r="AB20" s="533"/>
      <c r="AC20" s="539"/>
      <c r="AD20" s="104">
        <v>1</v>
      </c>
    </row>
    <row r="21" spans="1:30" s="104" customFormat="1" x14ac:dyDescent="0.3">
      <c r="A21" s="548"/>
      <c r="B21" s="536"/>
      <c r="C21" s="536"/>
      <c r="D21" s="536"/>
      <c r="E21" s="536"/>
      <c r="F21" s="536"/>
      <c r="G21" s="533"/>
      <c r="H21" s="542"/>
      <c r="I21" s="533"/>
      <c r="J21" s="533"/>
      <c r="K21" s="536"/>
      <c r="L21" s="536"/>
      <c r="M21" s="536"/>
      <c r="N21" s="545"/>
      <c r="O21" s="536"/>
      <c r="P21" s="536"/>
      <c r="Q21" s="533"/>
      <c r="R21" s="542"/>
      <c r="S21" s="536"/>
      <c r="T21" s="208" t="s">
        <v>289</v>
      </c>
      <c r="U21" s="536"/>
      <c r="V21" s="202">
        <v>26530</v>
      </c>
      <c r="W21" s="208" t="s">
        <v>290</v>
      </c>
      <c r="X21" s="203"/>
      <c r="Y21" s="202"/>
      <c r="Z21" s="202"/>
      <c r="AA21" s="536"/>
      <c r="AB21" s="533"/>
      <c r="AC21" s="539"/>
      <c r="AD21" s="104">
        <v>1</v>
      </c>
    </row>
    <row r="22" spans="1:30" s="104" customFormat="1" x14ac:dyDescent="0.3">
      <c r="A22" s="548"/>
      <c r="B22" s="536"/>
      <c r="C22" s="536"/>
      <c r="D22" s="536"/>
      <c r="E22" s="536"/>
      <c r="F22" s="536"/>
      <c r="G22" s="533"/>
      <c r="H22" s="542"/>
      <c r="I22" s="533"/>
      <c r="J22" s="533"/>
      <c r="K22" s="536"/>
      <c r="L22" s="536"/>
      <c r="M22" s="536"/>
      <c r="N22" s="545"/>
      <c r="O22" s="536"/>
      <c r="P22" s="536"/>
      <c r="Q22" s="533"/>
      <c r="R22" s="542"/>
      <c r="S22" s="536"/>
      <c r="T22" s="208" t="s">
        <v>289</v>
      </c>
      <c r="U22" s="536"/>
      <c r="V22" s="202">
        <v>82417.14</v>
      </c>
      <c r="W22" s="208" t="s">
        <v>290</v>
      </c>
      <c r="X22" s="203"/>
      <c r="Y22" s="202"/>
      <c r="Z22" s="202"/>
      <c r="AA22" s="536"/>
      <c r="AB22" s="533"/>
      <c r="AC22" s="539"/>
      <c r="AD22" s="104">
        <v>1</v>
      </c>
    </row>
    <row r="23" spans="1:30" s="104" customFormat="1" x14ac:dyDescent="0.3">
      <c r="A23" s="548"/>
      <c r="B23" s="536"/>
      <c r="C23" s="536"/>
      <c r="D23" s="536"/>
      <c r="E23" s="536"/>
      <c r="F23" s="536"/>
      <c r="G23" s="533"/>
      <c r="H23" s="542"/>
      <c r="I23" s="533"/>
      <c r="J23" s="533"/>
      <c r="K23" s="536"/>
      <c r="L23" s="536"/>
      <c r="M23" s="536"/>
      <c r="N23" s="545"/>
      <c r="O23" s="536"/>
      <c r="P23" s="536"/>
      <c r="Q23" s="533"/>
      <c r="R23" s="542"/>
      <c r="S23" s="536"/>
      <c r="T23" s="208" t="s">
        <v>289</v>
      </c>
      <c r="U23" s="536"/>
      <c r="V23" s="202">
        <v>5260.72</v>
      </c>
      <c r="W23" s="208" t="s">
        <v>290</v>
      </c>
      <c r="X23" s="203"/>
      <c r="Y23" s="202"/>
      <c r="Z23" s="202"/>
      <c r="AA23" s="536"/>
      <c r="AB23" s="533"/>
      <c r="AC23" s="539"/>
      <c r="AD23" s="104">
        <v>1</v>
      </c>
    </row>
    <row r="24" spans="1:30" s="104" customFormat="1" x14ac:dyDescent="0.3">
      <c r="A24" s="548"/>
      <c r="B24" s="536"/>
      <c r="C24" s="536"/>
      <c r="D24" s="536"/>
      <c r="E24" s="536"/>
      <c r="F24" s="536"/>
      <c r="G24" s="533"/>
      <c r="H24" s="542"/>
      <c r="I24" s="533"/>
      <c r="J24" s="533"/>
      <c r="K24" s="536"/>
      <c r="L24" s="536"/>
      <c r="M24" s="536"/>
      <c r="N24" s="545"/>
      <c r="O24" s="536"/>
      <c r="P24" s="536"/>
      <c r="Q24" s="533"/>
      <c r="R24" s="542"/>
      <c r="S24" s="536"/>
      <c r="T24" s="208" t="s">
        <v>354</v>
      </c>
      <c r="U24" s="536"/>
      <c r="V24" s="202">
        <v>20895</v>
      </c>
      <c r="W24" s="208" t="s">
        <v>301</v>
      </c>
      <c r="X24" s="203"/>
      <c r="Y24" s="202"/>
      <c r="Z24" s="202"/>
      <c r="AA24" s="536"/>
      <c r="AB24" s="533"/>
      <c r="AC24" s="539"/>
      <c r="AD24" s="104">
        <v>1</v>
      </c>
    </row>
    <row r="25" spans="1:30" s="104" customFormat="1" x14ac:dyDescent="0.3">
      <c r="A25" s="548"/>
      <c r="B25" s="536"/>
      <c r="C25" s="536"/>
      <c r="D25" s="536"/>
      <c r="E25" s="536"/>
      <c r="F25" s="536"/>
      <c r="G25" s="533"/>
      <c r="H25" s="542"/>
      <c r="I25" s="533"/>
      <c r="J25" s="533"/>
      <c r="K25" s="536"/>
      <c r="L25" s="536"/>
      <c r="M25" s="536"/>
      <c r="N25" s="545"/>
      <c r="O25" s="536"/>
      <c r="P25" s="536"/>
      <c r="Q25" s="533"/>
      <c r="R25" s="542"/>
      <c r="S25" s="536"/>
      <c r="T25" s="208" t="s">
        <v>354</v>
      </c>
      <c r="U25" s="536"/>
      <c r="V25" s="202">
        <v>64911.65</v>
      </c>
      <c r="W25" s="208" t="s">
        <v>301</v>
      </c>
      <c r="X25" s="203"/>
      <c r="Y25" s="202"/>
      <c r="Z25" s="202"/>
      <c r="AA25" s="536"/>
      <c r="AB25" s="533"/>
      <c r="AC25" s="539"/>
      <c r="AD25" s="104">
        <v>1</v>
      </c>
    </row>
    <row r="26" spans="1:30" s="104" customFormat="1" x14ac:dyDescent="0.3">
      <c r="A26" s="548"/>
      <c r="B26" s="536"/>
      <c r="C26" s="536"/>
      <c r="D26" s="536"/>
      <c r="E26" s="536"/>
      <c r="F26" s="536"/>
      <c r="G26" s="533"/>
      <c r="H26" s="542"/>
      <c r="I26" s="533"/>
      <c r="J26" s="533"/>
      <c r="K26" s="536"/>
      <c r="L26" s="536"/>
      <c r="M26" s="536"/>
      <c r="N26" s="545"/>
      <c r="O26" s="536"/>
      <c r="P26" s="536"/>
      <c r="Q26" s="533"/>
      <c r="R26" s="542"/>
      <c r="S26" s="536"/>
      <c r="T26" s="208" t="s">
        <v>354</v>
      </c>
      <c r="U26" s="536"/>
      <c r="V26" s="202">
        <v>4143.34</v>
      </c>
      <c r="W26" s="208" t="s">
        <v>301</v>
      </c>
      <c r="X26" s="203"/>
      <c r="Y26" s="202"/>
      <c r="Z26" s="202"/>
      <c r="AA26" s="536"/>
      <c r="AB26" s="533"/>
      <c r="AC26" s="539"/>
      <c r="AD26" s="104">
        <v>1</v>
      </c>
    </row>
    <row r="27" spans="1:30" s="104" customFormat="1" x14ac:dyDescent="0.3">
      <c r="A27" s="548"/>
      <c r="B27" s="536"/>
      <c r="C27" s="536"/>
      <c r="D27" s="536"/>
      <c r="E27" s="536"/>
      <c r="F27" s="536"/>
      <c r="G27" s="533"/>
      <c r="H27" s="542"/>
      <c r="I27" s="533"/>
      <c r="J27" s="533"/>
      <c r="K27" s="536"/>
      <c r="L27" s="536"/>
      <c r="M27" s="536"/>
      <c r="N27" s="545"/>
      <c r="O27" s="536"/>
      <c r="P27" s="536"/>
      <c r="Q27" s="533"/>
      <c r="R27" s="542"/>
      <c r="S27" s="536"/>
      <c r="T27" s="208" t="s">
        <v>293</v>
      </c>
      <c r="U27" s="536"/>
      <c r="V27" s="202">
        <v>4275.2</v>
      </c>
      <c r="W27" s="208" t="s">
        <v>306</v>
      </c>
      <c r="X27" s="203"/>
      <c r="Y27" s="202"/>
      <c r="Z27" s="202"/>
      <c r="AA27" s="536"/>
      <c r="AB27" s="533"/>
      <c r="AC27" s="539"/>
      <c r="AD27" s="104">
        <v>1</v>
      </c>
    </row>
    <row r="28" spans="1:30" s="104" customFormat="1" x14ac:dyDescent="0.3">
      <c r="A28" s="548"/>
      <c r="B28" s="536"/>
      <c r="C28" s="536"/>
      <c r="D28" s="536"/>
      <c r="E28" s="536"/>
      <c r="F28" s="536"/>
      <c r="G28" s="533"/>
      <c r="H28" s="542"/>
      <c r="I28" s="533"/>
      <c r="J28" s="533"/>
      <c r="K28" s="536"/>
      <c r="L28" s="536"/>
      <c r="M28" s="536"/>
      <c r="N28" s="545"/>
      <c r="O28" s="536"/>
      <c r="P28" s="536"/>
      <c r="Q28" s="533"/>
      <c r="R28" s="542"/>
      <c r="S28" s="536"/>
      <c r="T28" s="208" t="s">
        <v>293</v>
      </c>
      <c r="U28" s="536"/>
      <c r="V28" s="202">
        <v>21560</v>
      </c>
      <c r="W28" s="208" t="s">
        <v>306</v>
      </c>
      <c r="X28" s="203"/>
      <c r="Y28" s="202"/>
      <c r="Z28" s="202"/>
      <c r="AA28" s="536"/>
      <c r="AB28" s="533"/>
      <c r="AC28" s="539"/>
      <c r="AD28" s="104">
        <v>1</v>
      </c>
    </row>
    <row r="29" spans="1:30" s="104" customFormat="1" x14ac:dyDescent="0.3">
      <c r="A29" s="548"/>
      <c r="B29" s="536"/>
      <c r="C29" s="536"/>
      <c r="D29" s="536"/>
      <c r="E29" s="536"/>
      <c r="F29" s="536"/>
      <c r="G29" s="533"/>
      <c r="H29" s="542"/>
      <c r="I29" s="533"/>
      <c r="J29" s="533"/>
      <c r="K29" s="536"/>
      <c r="L29" s="536"/>
      <c r="M29" s="536"/>
      <c r="N29" s="545"/>
      <c r="O29" s="536"/>
      <c r="P29" s="536"/>
      <c r="Q29" s="533"/>
      <c r="R29" s="542"/>
      <c r="S29" s="536"/>
      <c r="T29" s="208" t="s">
        <v>293</v>
      </c>
      <c r="U29" s="536"/>
      <c r="V29" s="202">
        <v>66977.52</v>
      </c>
      <c r="W29" s="208" t="s">
        <v>306</v>
      </c>
      <c r="X29" s="203"/>
      <c r="Y29" s="202"/>
      <c r="Z29" s="202"/>
      <c r="AA29" s="536"/>
      <c r="AB29" s="533"/>
      <c r="AC29" s="539"/>
      <c r="AD29" s="104">
        <v>1</v>
      </c>
    </row>
    <row r="30" spans="1:30" s="104" customFormat="1" x14ac:dyDescent="0.3">
      <c r="A30" s="548"/>
      <c r="B30" s="536"/>
      <c r="C30" s="536"/>
      <c r="D30" s="536"/>
      <c r="E30" s="536"/>
      <c r="F30" s="536"/>
      <c r="G30" s="533"/>
      <c r="H30" s="542"/>
      <c r="I30" s="533"/>
      <c r="J30" s="533"/>
      <c r="K30" s="536"/>
      <c r="L30" s="536"/>
      <c r="M30" s="536"/>
      <c r="N30" s="545"/>
      <c r="O30" s="536"/>
      <c r="P30" s="536"/>
      <c r="Q30" s="533"/>
      <c r="R30" s="542"/>
      <c r="S30" s="536"/>
      <c r="T30" s="208" t="s">
        <v>355</v>
      </c>
      <c r="U30" s="536"/>
      <c r="V30" s="202">
        <v>7689.81</v>
      </c>
      <c r="W30" s="208" t="s">
        <v>353</v>
      </c>
      <c r="X30" s="203"/>
      <c r="Y30" s="202"/>
      <c r="Z30" s="202"/>
      <c r="AA30" s="536"/>
      <c r="AB30" s="533"/>
      <c r="AC30" s="539"/>
      <c r="AD30" s="104">
        <v>1</v>
      </c>
    </row>
    <row r="31" spans="1:30" s="104" customFormat="1" x14ac:dyDescent="0.3">
      <c r="A31" s="548"/>
      <c r="B31" s="536"/>
      <c r="C31" s="536"/>
      <c r="D31" s="536"/>
      <c r="E31" s="536"/>
      <c r="F31" s="536"/>
      <c r="G31" s="533"/>
      <c r="H31" s="542"/>
      <c r="I31" s="533"/>
      <c r="J31" s="533"/>
      <c r="K31" s="536"/>
      <c r="L31" s="536"/>
      <c r="M31" s="536"/>
      <c r="N31" s="545"/>
      <c r="O31" s="536"/>
      <c r="P31" s="536"/>
      <c r="Q31" s="533"/>
      <c r="R31" s="542"/>
      <c r="S31" s="536"/>
      <c r="T31" s="208" t="s">
        <v>355</v>
      </c>
      <c r="U31" s="536"/>
      <c r="V31" s="202">
        <v>38780</v>
      </c>
      <c r="W31" s="208" t="s">
        <v>353</v>
      </c>
      <c r="X31" s="203"/>
      <c r="Y31" s="202"/>
      <c r="Z31" s="202"/>
      <c r="AA31" s="536"/>
      <c r="AB31" s="533"/>
      <c r="AC31" s="539"/>
      <c r="AD31" s="104">
        <v>1</v>
      </c>
    </row>
    <row r="32" spans="1:30" s="104" customFormat="1" x14ac:dyDescent="0.3">
      <c r="A32" s="548"/>
      <c r="B32" s="536"/>
      <c r="C32" s="536"/>
      <c r="D32" s="536"/>
      <c r="E32" s="536"/>
      <c r="F32" s="536"/>
      <c r="G32" s="533"/>
      <c r="H32" s="542"/>
      <c r="I32" s="533"/>
      <c r="J32" s="533"/>
      <c r="K32" s="536"/>
      <c r="L32" s="536"/>
      <c r="M32" s="536"/>
      <c r="N32" s="545"/>
      <c r="O32" s="536"/>
      <c r="P32" s="536"/>
      <c r="Q32" s="533"/>
      <c r="R32" s="542"/>
      <c r="S32" s="536"/>
      <c r="T32" s="208" t="s">
        <v>355</v>
      </c>
      <c r="U32" s="536"/>
      <c r="V32" s="202">
        <v>120472.55</v>
      </c>
      <c r="W32" s="208" t="s">
        <v>353</v>
      </c>
      <c r="X32" s="203"/>
      <c r="Y32" s="202"/>
      <c r="Z32" s="202"/>
      <c r="AA32" s="536"/>
      <c r="AB32" s="533"/>
      <c r="AC32" s="539"/>
      <c r="AD32" s="104">
        <v>1</v>
      </c>
    </row>
    <row r="33" spans="1:30" s="104" customFormat="1" x14ac:dyDescent="0.3">
      <c r="A33" s="548"/>
      <c r="B33" s="536"/>
      <c r="C33" s="536"/>
      <c r="D33" s="536"/>
      <c r="E33" s="536"/>
      <c r="F33" s="536"/>
      <c r="G33" s="533"/>
      <c r="H33" s="542"/>
      <c r="I33" s="533"/>
      <c r="J33" s="533"/>
      <c r="K33" s="536"/>
      <c r="L33" s="536"/>
      <c r="M33" s="536"/>
      <c r="N33" s="545"/>
      <c r="O33" s="536"/>
      <c r="P33" s="536"/>
      <c r="Q33" s="533"/>
      <c r="R33" s="542"/>
      <c r="S33" s="536"/>
      <c r="T33" s="208" t="s">
        <v>359</v>
      </c>
      <c r="U33" s="536"/>
      <c r="V33" s="202">
        <v>28455</v>
      </c>
      <c r="W33" s="208" t="s">
        <v>358</v>
      </c>
      <c r="X33" s="203"/>
      <c r="Y33" s="202"/>
      <c r="Z33" s="202"/>
      <c r="AA33" s="536"/>
      <c r="AB33" s="533"/>
      <c r="AC33" s="539"/>
      <c r="AD33" s="104">
        <v>1</v>
      </c>
    </row>
    <row r="34" spans="1:30" s="104" customFormat="1" x14ac:dyDescent="0.3">
      <c r="A34" s="548"/>
      <c r="B34" s="536"/>
      <c r="C34" s="536"/>
      <c r="D34" s="536"/>
      <c r="E34" s="536"/>
      <c r="F34" s="536"/>
      <c r="G34" s="533"/>
      <c r="H34" s="542"/>
      <c r="I34" s="533"/>
      <c r="J34" s="533"/>
      <c r="K34" s="536"/>
      <c r="L34" s="536"/>
      <c r="M34" s="536"/>
      <c r="N34" s="545"/>
      <c r="O34" s="536"/>
      <c r="P34" s="536"/>
      <c r="Q34" s="533"/>
      <c r="R34" s="542"/>
      <c r="S34" s="536"/>
      <c r="T34" s="208" t="s">
        <v>359</v>
      </c>
      <c r="U34" s="536"/>
      <c r="V34" s="202">
        <v>88397.27</v>
      </c>
      <c r="W34" s="208" t="s">
        <v>358</v>
      </c>
      <c r="X34" s="203"/>
      <c r="Y34" s="202"/>
      <c r="Z34" s="202"/>
      <c r="AA34" s="536"/>
      <c r="AB34" s="533"/>
      <c r="AC34" s="539"/>
      <c r="AD34" s="104">
        <v>1</v>
      </c>
    </row>
    <row r="35" spans="1:30" s="104" customFormat="1" x14ac:dyDescent="0.3">
      <c r="A35" s="548"/>
      <c r="B35" s="536"/>
      <c r="C35" s="536"/>
      <c r="D35" s="536"/>
      <c r="E35" s="536"/>
      <c r="F35" s="536"/>
      <c r="G35" s="533"/>
      <c r="H35" s="542"/>
      <c r="I35" s="533"/>
      <c r="J35" s="533"/>
      <c r="K35" s="536"/>
      <c r="L35" s="536"/>
      <c r="M35" s="536"/>
      <c r="N35" s="545"/>
      <c r="O35" s="536"/>
      <c r="P35" s="536"/>
      <c r="Q35" s="533"/>
      <c r="R35" s="542"/>
      <c r="S35" s="536"/>
      <c r="T35" s="208" t="s">
        <v>359</v>
      </c>
      <c r="U35" s="536"/>
      <c r="V35" s="202">
        <v>5642.44</v>
      </c>
      <c r="W35" s="208" t="s">
        <v>358</v>
      </c>
      <c r="X35" s="203"/>
      <c r="Y35" s="202"/>
      <c r="Z35" s="202"/>
      <c r="AA35" s="536"/>
      <c r="AB35" s="533"/>
      <c r="AC35" s="539"/>
      <c r="AD35" s="104">
        <v>1</v>
      </c>
    </row>
    <row r="36" spans="1:30" s="104" customFormat="1" x14ac:dyDescent="0.3">
      <c r="A36" s="548"/>
      <c r="B36" s="536"/>
      <c r="C36" s="536"/>
      <c r="D36" s="536"/>
      <c r="E36" s="536"/>
      <c r="F36" s="536"/>
      <c r="G36" s="533"/>
      <c r="H36" s="542"/>
      <c r="I36" s="533"/>
      <c r="J36" s="533"/>
      <c r="K36" s="536"/>
      <c r="L36" s="536"/>
      <c r="M36" s="536"/>
      <c r="N36" s="545"/>
      <c r="O36" s="536"/>
      <c r="P36" s="536"/>
      <c r="Q36" s="533"/>
      <c r="R36" s="542"/>
      <c r="S36" s="536"/>
      <c r="T36" s="208" t="s">
        <v>401</v>
      </c>
      <c r="U36" s="536"/>
      <c r="V36" s="202">
        <v>31745</v>
      </c>
      <c r="W36" s="208" t="s">
        <v>372</v>
      </c>
      <c r="X36" s="203"/>
      <c r="Y36" s="202"/>
      <c r="Z36" s="202"/>
      <c r="AA36" s="536"/>
      <c r="AB36" s="533"/>
      <c r="AC36" s="539"/>
      <c r="AD36" s="104">
        <v>1</v>
      </c>
    </row>
    <row r="37" spans="1:30" s="104" customFormat="1" x14ac:dyDescent="0.3">
      <c r="A37" s="548"/>
      <c r="B37" s="536"/>
      <c r="C37" s="536"/>
      <c r="D37" s="536"/>
      <c r="E37" s="536"/>
      <c r="F37" s="536"/>
      <c r="G37" s="533"/>
      <c r="H37" s="542"/>
      <c r="I37" s="533"/>
      <c r="J37" s="533"/>
      <c r="K37" s="536"/>
      <c r="L37" s="536"/>
      <c r="M37" s="536"/>
      <c r="N37" s="545"/>
      <c r="O37" s="536"/>
      <c r="P37" s="536"/>
      <c r="Q37" s="533"/>
      <c r="R37" s="542"/>
      <c r="S37" s="536"/>
      <c r="T37" s="208" t="s">
        <v>401</v>
      </c>
      <c r="U37" s="536"/>
      <c r="V37" s="202">
        <v>6294.82</v>
      </c>
      <c r="W37" s="208" t="s">
        <v>372</v>
      </c>
      <c r="X37" s="203"/>
      <c r="Y37" s="202"/>
      <c r="Z37" s="202"/>
      <c r="AA37" s="536"/>
      <c r="AB37" s="533"/>
      <c r="AC37" s="539"/>
      <c r="AD37" s="104">
        <v>1</v>
      </c>
    </row>
    <row r="38" spans="1:30" s="104" customFormat="1" x14ac:dyDescent="0.3">
      <c r="A38" s="548"/>
      <c r="B38" s="536"/>
      <c r="C38" s="536"/>
      <c r="D38" s="536"/>
      <c r="E38" s="536"/>
      <c r="F38" s="536"/>
      <c r="G38" s="533"/>
      <c r="H38" s="542"/>
      <c r="I38" s="533"/>
      <c r="J38" s="533"/>
      <c r="K38" s="536"/>
      <c r="L38" s="536"/>
      <c r="M38" s="536"/>
      <c r="N38" s="545"/>
      <c r="O38" s="536"/>
      <c r="P38" s="536"/>
      <c r="Q38" s="533"/>
      <c r="R38" s="542"/>
      <c r="S38" s="536"/>
      <c r="T38" s="208" t="s">
        <v>401</v>
      </c>
      <c r="U38" s="536"/>
      <c r="V38" s="202">
        <v>98617.87</v>
      </c>
      <c r="W38" s="208" t="s">
        <v>372</v>
      </c>
      <c r="X38" s="203"/>
      <c r="Y38" s="202"/>
      <c r="Z38" s="202"/>
      <c r="AA38" s="536"/>
      <c r="AB38" s="533"/>
      <c r="AC38" s="539"/>
      <c r="AD38" s="104">
        <v>1</v>
      </c>
    </row>
    <row r="39" spans="1:30" s="104" customFormat="1" x14ac:dyDescent="0.3">
      <c r="A39" s="548"/>
      <c r="B39" s="536"/>
      <c r="C39" s="536"/>
      <c r="D39" s="536"/>
      <c r="E39" s="536"/>
      <c r="F39" s="536"/>
      <c r="G39" s="533"/>
      <c r="H39" s="542"/>
      <c r="I39" s="533"/>
      <c r="J39" s="533"/>
      <c r="K39" s="536"/>
      <c r="L39" s="536"/>
      <c r="M39" s="536"/>
      <c r="N39" s="545"/>
      <c r="O39" s="536"/>
      <c r="P39" s="536"/>
      <c r="Q39" s="533"/>
      <c r="R39" s="542"/>
      <c r="S39" s="536"/>
      <c r="T39" s="208" t="s">
        <v>402</v>
      </c>
      <c r="U39" s="536"/>
      <c r="V39" s="202">
        <v>3782.44</v>
      </c>
      <c r="W39" s="208" t="s">
        <v>403</v>
      </c>
      <c r="X39" s="203"/>
      <c r="Y39" s="202"/>
      <c r="Z39" s="202"/>
      <c r="AA39" s="536"/>
      <c r="AB39" s="533"/>
      <c r="AC39" s="539"/>
      <c r="AD39" s="104">
        <v>1</v>
      </c>
    </row>
    <row r="40" spans="1:30" s="104" customFormat="1" x14ac:dyDescent="0.3">
      <c r="A40" s="548"/>
      <c r="B40" s="536"/>
      <c r="C40" s="536"/>
      <c r="D40" s="536"/>
      <c r="E40" s="536"/>
      <c r="F40" s="536"/>
      <c r="G40" s="533"/>
      <c r="H40" s="542"/>
      <c r="I40" s="533"/>
      <c r="J40" s="533"/>
      <c r="K40" s="536"/>
      <c r="L40" s="536"/>
      <c r="M40" s="536"/>
      <c r="N40" s="545"/>
      <c r="O40" s="536"/>
      <c r="P40" s="536"/>
      <c r="Q40" s="533"/>
      <c r="R40" s="542"/>
      <c r="S40" s="536"/>
      <c r="T40" s="208" t="s">
        <v>402</v>
      </c>
      <c r="U40" s="536"/>
      <c r="V40" s="202">
        <v>59257.71</v>
      </c>
      <c r="W40" s="208" t="s">
        <v>403</v>
      </c>
      <c r="X40" s="203"/>
      <c r="Y40" s="202"/>
      <c r="Z40" s="202"/>
      <c r="AA40" s="536"/>
      <c r="AB40" s="533"/>
      <c r="AC40" s="539"/>
      <c r="AD40" s="104">
        <v>1</v>
      </c>
    </row>
    <row r="41" spans="1:30" s="104" customFormat="1" x14ac:dyDescent="0.3">
      <c r="A41" s="549"/>
      <c r="B41" s="537"/>
      <c r="C41" s="537"/>
      <c r="D41" s="537"/>
      <c r="E41" s="537"/>
      <c r="F41" s="537"/>
      <c r="G41" s="534"/>
      <c r="H41" s="543"/>
      <c r="I41" s="534"/>
      <c r="J41" s="534"/>
      <c r="K41" s="537"/>
      <c r="L41" s="537"/>
      <c r="M41" s="537"/>
      <c r="N41" s="546"/>
      <c r="O41" s="537"/>
      <c r="P41" s="537"/>
      <c r="Q41" s="534"/>
      <c r="R41" s="543"/>
      <c r="S41" s="537"/>
      <c r="T41" s="208" t="s">
        <v>402</v>
      </c>
      <c r="U41" s="537"/>
      <c r="V41" s="204">
        <v>19075</v>
      </c>
      <c r="W41" s="209" t="s">
        <v>403</v>
      </c>
      <c r="X41" s="205"/>
      <c r="Y41" s="204"/>
      <c r="Z41" s="204"/>
      <c r="AA41" s="537"/>
      <c r="AB41" s="534"/>
      <c r="AC41" s="540"/>
      <c r="AD41" s="104">
        <v>1</v>
      </c>
    </row>
    <row r="42" spans="1:30" x14ac:dyDescent="0.3">
      <c r="AD42" s="2">
        <v>2</v>
      </c>
    </row>
  </sheetData>
  <sheetProtection algorithmName="SHA-512" hashValue="h8g3HjQGbQDQpD4a8ijwoJxiL53BM0ZL/3axiodcg24rzG3kvEjPr2wBaRZF3YtIbks/EPqf36KvIB7J2Ngzuw==" saltValue="T70M3T/lUQL+Js2vwqk/Ng==" spinCount="100000" sheet="1" objects="1" scenarios="1" formatCells="0" formatColumns="0" formatRows="0"/>
  <mergeCells count="27">
    <mergeCell ref="E2:F2"/>
    <mergeCell ref="O2:P2"/>
    <mergeCell ref="Y2:AA2"/>
    <mergeCell ref="T2:U2"/>
    <mergeCell ref="A9:A41"/>
    <mergeCell ref="U9:U41"/>
    <mergeCell ref="O9:O41"/>
    <mergeCell ref="P9:P41"/>
    <mergeCell ref="Q9:Q41"/>
    <mergeCell ref="R9:R41"/>
    <mergeCell ref="S9:S41"/>
    <mergeCell ref="AA9:AA41"/>
    <mergeCell ref="B9:B41"/>
    <mergeCell ref="AB9:AB41"/>
    <mergeCell ref="C9:C41"/>
    <mergeCell ref="AC9:AC41"/>
    <mergeCell ref="D9:D41"/>
    <mergeCell ref="E9:E41"/>
    <mergeCell ref="F9:F41"/>
    <mergeCell ref="G9:G41"/>
    <mergeCell ref="H9:H41"/>
    <mergeCell ref="I9:I41"/>
    <mergeCell ref="J9:J41"/>
    <mergeCell ref="K9:K41"/>
    <mergeCell ref="L9:L41"/>
    <mergeCell ref="M9:M41"/>
    <mergeCell ref="N9:N41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Лист21">
    <tabColor theme="3" tint="0.39997558519241921"/>
  </sheetPr>
  <dimension ref="A1:AD17"/>
  <sheetViews>
    <sheetView showGridLines="0" zoomScale="50" zoomScaleNormal="50" workbookViewId="0">
      <pane ySplit="8" topLeftCell="A9" activePane="bottomLeft" state="frozen"/>
      <selection pane="bottomLeft" activeCell="O8" sqref="O8"/>
    </sheetView>
  </sheetViews>
  <sheetFormatPr defaultColWidth="0" defaultRowHeight="18" x14ac:dyDescent="0.3"/>
  <cols>
    <col min="1" max="1" width="9.109375" style="2" customWidth="1"/>
    <col min="2" max="2" width="47.109375" style="2" customWidth="1"/>
    <col min="3" max="3" width="33.33203125" style="2" customWidth="1"/>
    <col min="4" max="6" width="33.6640625" style="2" customWidth="1"/>
    <col min="7" max="8" width="22.33203125" style="2" customWidth="1"/>
    <col min="9" max="9" width="24.33203125" style="2" customWidth="1"/>
    <col min="10" max="10" width="28.44140625" style="2" customWidth="1"/>
    <col min="11" max="12" width="19.5546875" style="2" customWidth="1"/>
    <col min="13" max="13" width="27.6640625" style="2" customWidth="1"/>
    <col min="14" max="14" width="24.44140625" style="2" bestFit="1" customWidth="1"/>
    <col min="15" max="15" width="27.44140625" style="2" customWidth="1"/>
    <col min="16" max="16" width="31.5546875" style="2" customWidth="1"/>
    <col min="17" max="18" width="21.88671875" style="2" customWidth="1"/>
    <col min="19" max="19" width="23.5546875" style="2" customWidth="1"/>
    <col min="20" max="20" width="31.88671875" style="2" customWidth="1"/>
    <col min="21" max="21" width="27.6640625" style="2" customWidth="1"/>
    <col min="22" max="22" width="25.44140625" style="2" customWidth="1"/>
    <col min="23" max="23" width="25" style="2" customWidth="1"/>
    <col min="24" max="26" width="29.44140625" style="2" customWidth="1"/>
    <col min="27" max="27" width="26.33203125" style="2" customWidth="1"/>
    <col min="28" max="28" width="25.109375" style="2" customWidth="1"/>
    <col min="29" max="29" width="19.109375" style="2" customWidth="1"/>
    <col min="30" max="16384" width="9.109375" style="2" hidden="1"/>
  </cols>
  <sheetData>
    <row r="1" spans="1:30" ht="18.600000000000001" thickBot="1" x14ac:dyDescent="0.35"/>
    <row r="2" spans="1:30" ht="39.9" customHeight="1" thickBot="1" x14ac:dyDescent="0.35">
      <c r="E2" s="403" t="s">
        <v>139</v>
      </c>
      <c r="F2" s="404"/>
      <c r="G2" s="82">
        <f>SUM(G9:G9999)</f>
        <v>0</v>
      </c>
      <c r="H2" s="10"/>
      <c r="O2" s="403" t="s">
        <v>24</v>
      </c>
      <c r="P2" s="404"/>
      <c r="Q2" s="80">
        <f>SUM(Q9:Q9999)</f>
        <v>0</v>
      </c>
      <c r="T2" s="318" t="s">
        <v>137</v>
      </c>
      <c r="U2" s="320"/>
      <c r="V2" s="69">
        <f>SUM(V9:V9999)</f>
        <v>0</v>
      </c>
      <c r="X2" s="68"/>
      <c r="Y2" s="318" t="s">
        <v>45</v>
      </c>
      <c r="Z2" s="319"/>
      <c r="AA2" s="320"/>
      <c r="AB2" s="70">
        <f>SUM(AB9:AB9999)</f>
        <v>0</v>
      </c>
    </row>
    <row r="4" spans="1:30" ht="39.9" customHeight="1" x14ac:dyDescent="0.3">
      <c r="P4" s="322"/>
      <c r="Q4" s="322"/>
      <c r="R4" s="322"/>
      <c r="T4" s="68"/>
      <c r="U4" s="68"/>
    </row>
    <row r="6" spans="1:30" ht="126" x14ac:dyDescent="0.3">
      <c r="A6" s="1" t="s">
        <v>8</v>
      </c>
      <c r="B6" s="1" t="s">
        <v>47</v>
      </c>
      <c r="C6" s="1" t="s">
        <v>33</v>
      </c>
      <c r="D6" s="1" t="s">
        <v>10</v>
      </c>
      <c r="E6" s="1" t="s">
        <v>11</v>
      </c>
      <c r="F6" s="1" t="s">
        <v>12</v>
      </c>
      <c r="G6" s="1" t="s">
        <v>13</v>
      </c>
      <c r="H6" s="1" t="s">
        <v>34</v>
      </c>
      <c r="I6" s="1" t="s">
        <v>16</v>
      </c>
      <c r="J6" s="1" t="s">
        <v>17</v>
      </c>
      <c r="K6" s="1" t="s">
        <v>14</v>
      </c>
      <c r="L6" s="1" t="s">
        <v>32</v>
      </c>
      <c r="M6" s="1" t="s">
        <v>15</v>
      </c>
      <c r="N6" s="1" t="s">
        <v>0</v>
      </c>
      <c r="O6" s="1" t="s">
        <v>46</v>
      </c>
      <c r="P6" s="1" t="s">
        <v>5</v>
      </c>
      <c r="Q6" s="1" t="s">
        <v>18</v>
      </c>
      <c r="R6" s="1" t="s">
        <v>22</v>
      </c>
      <c r="S6" s="1" t="s">
        <v>19</v>
      </c>
      <c r="T6" s="1" t="s">
        <v>37</v>
      </c>
      <c r="U6" s="1" t="s">
        <v>20</v>
      </c>
      <c r="V6" s="1" t="s">
        <v>23</v>
      </c>
      <c r="W6" s="1" t="s">
        <v>9</v>
      </c>
      <c r="X6" s="13" t="s">
        <v>40</v>
      </c>
      <c r="Y6" s="13" t="s">
        <v>103</v>
      </c>
      <c r="Z6" s="13" t="s">
        <v>104</v>
      </c>
      <c r="AA6" s="13" t="s">
        <v>41</v>
      </c>
      <c r="AB6" s="1" t="s">
        <v>43</v>
      </c>
      <c r="AC6" s="1" t="s">
        <v>42</v>
      </c>
    </row>
    <row r="7" spans="1:30" x14ac:dyDescent="0.3">
      <c r="A7" s="76">
        <v>1</v>
      </c>
      <c r="B7" s="76">
        <v>2</v>
      </c>
      <c r="C7" s="76">
        <v>3</v>
      </c>
      <c r="D7" s="76">
        <v>4</v>
      </c>
      <c r="E7" s="76">
        <v>5</v>
      </c>
      <c r="F7" s="76">
        <v>6</v>
      </c>
      <c r="G7" s="76">
        <v>7</v>
      </c>
      <c r="H7" s="76">
        <v>8</v>
      </c>
      <c r="I7" s="76">
        <v>9</v>
      </c>
      <c r="J7" s="76">
        <v>10</v>
      </c>
      <c r="K7" s="76">
        <v>11</v>
      </c>
      <c r="L7" s="76">
        <v>12</v>
      </c>
      <c r="M7" s="76">
        <v>13</v>
      </c>
      <c r="N7" s="76">
        <v>14</v>
      </c>
      <c r="O7" s="76">
        <v>15</v>
      </c>
      <c r="P7" s="76">
        <v>16</v>
      </c>
      <c r="Q7" s="76">
        <v>17</v>
      </c>
      <c r="R7" s="76">
        <v>18</v>
      </c>
      <c r="S7" s="76">
        <v>19</v>
      </c>
      <c r="T7" s="76">
        <v>20</v>
      </c>
      <c r="U7" s="76">
        <v>21</v>
      </c>
      <c r="V7" s="76">
        <v>22</v>
      </c>
      <c r="W7" s="76">
        <v>23</v>
      </c>
      <c r="X7" s="76">
        <v>24</v>
      </c>
      <c r="Y7" s="76">
        <v>25</v>
      </c>
      <c r="Z7" s="76">
        <v>26</v>
      </c>
      <c r="AA7" s="76">
        <v>27</v>
      </c>
      <c r="AB7" s="76">
        <v>28</v>
      </c>
      <c r="AC7" s="76">
        <v>29</v>
      </c>
    </row>
    <row r="8" spans="1:30" ht="162" x14ac:dyDescent="0.3">
      <c r="A8" s="21" t="s">
        <v>36</v>
      </c>
      <c r="B8" s="21"/>
      <c r="C8" s="21" t="s">
        <v>73</v>
      </c>
      <c r="D8" s="21" t="s">
        <v>74</v>
      </c>
      <c r="E8" s="21" t="s">
        <v>71</v>
      </c>
      <c r="F8" s="21" t="s">
        <v>72</v>
      </c>
      <c r="G8" s="19">
        <v>15500.01</v>
      </c>
      <c r="H8" s="19">
        <f t="shared" ref="H8" si="0">G8-Q8</f>
        <v>6725</v>
      </c>
      <c r="I8" s="31">
        <v>6</v>
      </c>
      <c r="J8" s="31">
        <v>0</v>
      </c>
      <c r="K8" s="21" t="s">
        <v>75</v>
      </c>
      <c r="L8" s="21" t="s">
        <v>76</v>
      </c>
      <c r="M8" s="21" t="s">
        <v>77</v>
      </c>
      <c r="N8" s="20">
        <v>43655</v>
      </c>
      <c r="O8" s="20" t="s">
        <v>79</v>
      </c>
      <c r="P8" s="21" t="s">
        <v>78</v>
      </c>
      <c r="Q8" s="19">
        <v>8775.01</v>
      </c>
      <c r="R8" s="19">
        <f>Q8-V8</f>
        <v>0</v>
      </c>
      <c r="S8" s="21" t="s">
        <v>80</v>
      </c>
      <c r="T8" s="20">
        <v>43677</v>
      </c>
      <c r="U8" s="21" t="s">
        <v>81</v>
      </c>
      <c r="V8" s="19">
        <v>8775.01</v>
      </c>
      <c r="W8" s="20">
        <v>43696</v>
      </c>
      <c r="X8" s="21"/>
      <c r="Y8" s="54"/>
      <c r="Z8" s="54"/>
      <c r="AA8" s="21"/>
      <c r="AB8" s="19"/>
      <c r="AC8" s="12" t="s">
        <v>64</v>
      </c>
    </row>
    <row r="9" spans="1:30" x14ac:dyDescent="0.3">
      <c r="M9" s="3"/>
      <c r="AD9" s="2">
        <v>10</v>
      </c>
    </row>
    <row r="10" spans="1:30" x14ac:dyDescent="0.3">
      <c r="M10" s="3"/>
    </row>
    <row r="11" spans="1:30" x14ac:dyDescent="0.3">
      <c r="M11" s="3"/>
    </row>
    <row r="12" spans="1:30" x14ac:dyDescent="0.3">
      <c r="M12" s="3"/>
    </row>
    <row r="13" spans="1:30" x14ac:dyDescent="0.3">
      <c r="M13" s="3"/>
    </row>
    <row r="14" spans="1:30" x14ac:dyDescent="0.3">
      <c r="M14" s="3"/>
    </row>
    <row r="15" spans="1:30" x14ac:dyDescent="0.3">
      <c r="M15" s="3"/>
    </row>
    <row r="16" spans="1:30" x14ac:dyDescent="0.3">
      <c r="M16" s="3"/>
    </row>
    <row r="17" spans="13:13" x14ac:dyDescent="0.3">
      <c r="M17" s="3"/>
    </row>
  </sheetData>
  <sheetProtection algorithmName="SHA-512" hashValue="HbrPuUQu5dNgMxSBSe6xhVbdgCS18rSP1ui70saF+cakLtT+QN4fdD/qvoPOoGbp/qnHvM96OmyxLtN3D9jZmg==" saltValue="zD/Rv0G0fmmd6eq758c9LQ==" spinCount="100000" sheet="1" objects="1" scenarios="1" formatCells="0" formatColumns="0" formatRows="0"/>
  <mergeCells count="5">
    <mergeCell ref="P4:R4"/>
    <mergeCell ref="E2:F2"/>
    <mergeCell ref="O2:P2"/>
    <mergeCell ref="Y2:AA2"/>
    <mergeCell ref="T2:U2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Лист2">
    <tabColor theme="3" tint="0.39997558519241921"/>
  </sheetPr>
  <dimension ref="A1:K83"/>
  <sheetViews>
    <sheetView workbookViewId="0">
      <selection activeCell="F20" sqref="F20"/>
    </sheetView>
  </sheetViews>
  <sheetFormatPr defaultColWidth="9.109375" defaultRowHeight="15.6" x14ac:dyDescent="0.3"/>
  <cols>
    <col min="1" max="1" width="15.33203125" style="33" customWidth="1"/>
    <col min="2" max="2" width="17.44140625" style="33" customWidth="1"/>
    <col min="3" max="3" width="17.33203125" style="33" customWidth="1"/>
    <col min="4" max="4" width="38.88671875" style="33" customWidth="1"/>
    <col min="5" max="5" width="15.5546875" style="33" bestFit="1" customWidth="1"/>
    <col min="6" max="11" width="16.109375" style="33" customWidth="1"/>
    <col min="12" max="16384" width="9.109375" style="33"/>
  </cols>
  <sheetData>
    <row r="1" spans="1:11" x14ac:dyDescent="0.3">
      <c r="A1" s="47">
        <v>38</v>
      </c>
      <c r="B1" s="47">
        <v>23</v>
      </c>
      <c r="C1" s="47">
        <v>9</v>
      </c>
      <c r="D1" s="552" t="s">
        <v>50</v>
      </c>
      <c r="E1" s="32"/>
      <c r="F1" s="62" t="s">
        <v>108</v>
      </c>
      <c r="G1" s="66" t="s">
        <v>108</v>
      </c>
      <c r="H1" s="65" t="s">
        <v>108</v>
      </c>
      <c r="I1" s="64" t="s">
        <v>108</v>
      </c>
      <c r="J1" s="63" t="s">
        <v>108</v>
      </c>
      <c r="K1" s="67" t="s">
        <v>108</v>
      </c>
    </row>
    <row r="2" spans="1:11" x14ac:dyDescent="0.3">
      <c r="A2" s="48" t="s">
        <v>84</v>
      </c>
      <c r="B2" s="47" t="s">
        <v>85</v>
      </c>
      <c r="C2" s="47" t="s">
        <v>86</v>
      </c>
      <c r="D2" s="553"/>
      <c r="E2" s="32"/>
      <c r="F2" s="62">
        <v>167</v>
      </c>
      <c r="G2" s="66">
        <v>184</v>
      </c>
      <c r="H2" s="65">
        <v>10</v>
      </c>
      <c r="I2" s="64">
        <v>2</v>
      </c>
      <c r="J2" s="63">
        <v>1</v>
      </c>
      <c r="K2" s="67">
        <v>9</v>
      </c>
    </row>
    <row r="3" spans="1:11" x14ac:dyDescent="0.3">
      <c r="A3" s="34"/>
      <c r="B3" s="32"/>
      <c r="C3" s="32"/>
      <c r="D3" s="32"/>
      <c r="E3" s="32"/>
      <c r="F3" s="62" t="s">
        <v>109</v>
      </c>
      <c r="G3" s="66" t="s">
        <v>109</v>
      </c>
      <c r="H3" s="65" t="s">
        <v>109</v>
      </c>
      <c r="I3" s="64" t="s">
        <v>109</v>
      </c>
      <c r="J3" s="63" t="s">
        <v>109</v>
      </c>
      <c r="K3" s="67" t="s">
        <v>109</v>
      </c>
    </row>
    <row r="4" spans="1:11" x14ac:dyDescent="0.3">
      <c r="A4" s="43">
        <v>128</v>
      </c>
      <c r="B4" s="44">
        <v>27</v>
      </c>
      <c r="C4" s="44">
        <v>9</v>
      </c>
      <c r="D4" s="554" t="s">
        <v>102</v>
      </c>
      <c r="E4" s="32"/>
      <c r="F4" s="62">
        <v>168</v>
      </c>
      <c r="G4" s="66">
        <v>185</v>
      </c>
      <c r="H4" s="65">
        <v>11</v>
      </c>
      <c r="I4" s="64">
        <v>3</v>
      </c>
      <c r="J4" s="63">
        <v>2</v>
      </c>
      <c r="K4" s="67">
        <v>10</v>
      </c>
    </row>
    <row r="5" spans="1:11" x14ac:dyDescent="0.3">
      <c r="A5" s="43" t="s">
        <v>89</v>
      </c>
      <c r="B5" s="44" t="s">
        <v>88</v>
      </c>
      <c r="C5" s="44" t="s">
        <v>87</v>
      </c>
      <c r="D5" s="555"/>
      <c r="E5" s="32"/>
      <c r="F5" s="32"/>
      <c r="G5" s="32"/>
    </row>
    <row r="6" spans="1:11" x14ac:dyDescent="0.3">
      <c r="A6" s="34"/>
      <c r="B6" s="32"/>
      <c r="C6" s="32"/>
      <c r="D6" s="32"/>
      <c r="E6" s="32"/>
      <c r="F6" s="32"/>
      <c r="G6" s="32"/>
    </row>
    <row r="7" spans="1:11" x14ac:dyDescent="0.3">
      <c r="A7" s="45">
        <v>14</v>
      </c>
      <c r="B7" s="46">
        <v>2</v>
      </c>
      <c r="C7" s="46">
        <v>9</v>
      </c>
      <c r="D7" s="556" t="s">
        <v>52</v>
      </c>
      <c r="E7" s="32"/>
      <c r="F7" s="32"/>
      <c r="G7" s="32"/>
    </row>
    <row r="8" spans="1:11" x14ac:dyDescent="0.3">
      <c r="A8" s="45" t="s">
        <v>90</v>
      </c>
      <c r="B8" s="46" t="s">
        <v>91</v>
      </c>
      <c r="C8" s="46" t="s">
        <v>92</v>
      </c>
      <c r="D8" s="557"/>
      <c r="E8" s="32"/>
      <c r="F8" s="32"/>
      <c r="G8" s="32"/>
    </row>
    <row r="9" spans="1:11" x14ac:dyDescent="0.3">
      <c r="A9" s="34"/>
      <c r="B9" s="32"/>
      <c r="C9" s="32"/>
      <c r="D9" s="32"/>
      <c r="E9" s="32"/>
      <c r="F9" s="32"/>
      <c r="G9" s="32"/>
    </row>
    <row r="10" spans="1:11" x14ac:dyDescent="0.3">
      <c r="A10" s="41">
        <v>13</v>
      </c>
      <c r="B10" s="42">
        <v>1</v>
      </c>
      <c r="C10" s="42">
        <v>9</v>
      </c>
      <c r="D10" s="558" t="s">
        <v>31</v>
      </c>
      <c r="E10" s="32"/>
      <c r="F10" s="32"/>
      <c r="G10" s="32"/>
    </row>
    <row r="11" spans="1:11" x14ac:dyDescent="0.3">
      <c r="A11" s="41" t="s">
        <v>93</v>
      </c>
      <c r="B11" s="42" t="s">
        <v>94</v>
      </c>
      <c r="C11" s="42" t="s">
        <v>95</v>
      </c>
      <c r="D11" s="559"/>
      <c r="E11" s="32"/>
      <c r="F11" s="32"/>
      <c r="G11" s="32"/>
    </row>
    <row r="12" spans="1:11" x14ac:dyDescent="0.3">
      <c r="A12" s="34"/>
      <c r="B12" s="32"/>
      <c r="C12" s="32"/>
      <c r="D12" s="32"/>
      <c r="E12" s="32"/>
      <c r="F12" s="32"/>
      <c r="G12" s="32"/>
    </row>
    <row r="13" spans="1:11" x14ac:dyDescent="0.3">
      <c r="A13" s="39">
        <v>41</v>
      </c>
      <c r="B13" s="40">
        <v>1</v>
      </c>
      <c r="C13" s="40">
        <v>9</v>
      </c>
      <c r="D13" s="560" t="s">
        <v>49</v>
      </c>
      <c r="E13" s="32"/>
      <c r="F13" s="32"/>
      <c r="G13" s="32"/>
    </row>
    <row r="14" spans="1:11" x14ac:dyDescent="0.3">
      <c r="A14" s="39" t="s">
        <v>96</v>
      </c>
      <c r="B14" s="40" t="s">
        <v>97</v>
      </c>
      <c r="C14" s="40" t="s">
        <v>98</v>
      </c>
      <c r="D14" s="561"/>
      <c r="E14" s="32"/>
      <c r="F14" s="32"/>
      <c r="G14" s="32"/>
    </row>
    <row r="15" spans="1:11" x14ac:dyDescent="0.3">
      <c r="A15" s="34"/>
      <c r="B15" s="32"/>
      <c r="C15" s="32"/>
      <c r="D15" s="32"/>
      <c r="E15" s="32"/>
      <c r="F15" s="32"/>
      <c r="G15" s="32"/>
    </row>
    <row r="16" spans="1:11" x14ac:dyDescent="0.3">
      <c r="A16" s="37">
        <v>8</v>
      </c>
      <c r="B16" s="38">
        <v>0</v>
      </c>
      <c r="C16" s="38">
        <v>9</v>
      </c>
      <c r="D16" s="550" t="s">
        <v>83</v>
      </c>
      <c r="E16" s="32"/>
      <c r="F16" s="32"/>
      <c r="G16" s="32"/>
    </row>
    <row r="17" spans="1:4" x14ac:dyDescent="0.3">
      <c r="A17" s="37" t="s">
        <v>99</v>
      </c>
      <c r="B17" s="38" t="s">
        <v>100</v>
      </c>
      <c r="C17" s="38" t="s">
        <v>101</v>
      </c>
      <c r="D17" s="551"/>
    </row>
    <row r="18" spans="1:4" x14ac:dyDescent="0.3">
      <c r="A18" s="34"/>
    </row>
    <row r="19" spans="1:4" x14ac:dyDescent="0.3">
      <c r="A19" s="34"/>
    </row>
    <row r="20" spans="1:4" x14ac:dyDescent="0.3">
      <c r="A20" s="34"/>
    </row>
    <row r="21" spans="1:4" x14ac:dyDescent="0.3">
      <c r="A21" s="34"/>
    </row>
    <row r="22" spans="1:4" x14ac:dyDescent="0.3">
      <c r="A22" s="34"/>
    </row>
    <row r="23" spans="1:4" x14ac:dyDescent="0.3">
      <c r="A23" s="34"/>
    </row>
    <row r="24" spans="1:4" x14ac:dyDescent="0.3">
      <c r="A24" s="34"/>
    </row>
    <row r="25" spans="1:4" x14ac:dyDescent="0.3">
      <c r="A25" s="34"/>
    </row>
    <row r="26" spans="1:4" x14ac:dyDescent="0.3">
      <c r="A26" s="34"/>
    </row>
    <row r="27" spans="1:4" x14ac:dyDescent="0.3">
      <c r="A27" s="34"/>
    </row>
    <row r="28" spans="1:4" x14ac:dyDescent="0.3">
      <c r="A28" s="34"/>
    </row>
    <row r="29" spans="1:4" x14ac:dyDescent="0.3">
      <c r="A29" s="34"/>
    </row>
    <row r="30" spans="1:4" x14ac:dyDescent="0.3">
      <c r="A30" s="34"/>
    </row>
    <row r="31" spans="1:4" x14ac:dyDescent="0.3">
      <c r="A31" s="34"/>
    </row>
    <row r="32" spans="1:4" x14ac:dyDescent="0.3">
      <c r="A32" s="34"/>
    </row>
    <row r="33" spans="1:1" x14ac:dyDescent="0.3">
      <c r="A33" s="34"/>
    </row>
    <row r="34" spans="1:1" x14ac:dyDescent="0.3">
      <c r="A34" s="34"/>
    </row>
    <row r="35" spans="1:1" x14ac:dyDescent="0.3">
      <c r="A35" s="34"/>
    </row>
    <row r="36" spans="1:1" x14ac:dyDescent="0.3">
      <c r="A36" s="34"/>
    </row>
    <row r="37" spans="1:1" x14ac:dyDescent="0.3">
      <c r="A37" s="34"/>
    </row>
    <row r="38" spans="1:1" x14ac:dyDescent="0.3">
      <c r="A38" s="34"/>
    </row>
    <row r="39" spans="1:1" x14ac:dyDescent="0.3">
      <c r="A39" s="34"/>
    </row>
    <row r="40" spans="1:1" x14ac:dyDescent="0.3">
      <c r="A40" s="34"/>
    </row>
    <row r="41" spans="1:1" x14ac:dyDescent="0.3">
      <c r="A41" s="34"/>
    </row>
    <row r="42" spans="1:1" x14ac:dyDescent="0.3">
      <c r="A42" s="34"/>
    </row>
    <row r="43" spans="1:1" x14ac:dyDescent="0.3">
      <c r="A43" s="34"/>
    </row>
    <row r="44" spans="1:1" x14ac:dyDescent="0.3">
      <c r="A44" s="34"/>
    </row>
    <row r="45" spans="1:1" x14ac:dyDescent="0.3">
      <c r="A45" s="34"/>
    </row>
    <row r="81" spans="1:1" x14ac:dyDescent="0.3">
      <c r="A81" s="35"/>
    </row>
    <row r="82" spans="1:1" x14ac:dyDescent="0.3">
      <c r="A82" s="35"/>
    </row>
    <row r="83" spans="1:1" x14ac:dyDescent="0.3">
      <c r="A83" s="36"/>
    </row>
  </sheetData>
  <mergeCells count="6">
    <mergeCell ref="D16:D17"/>
    <mergeCell ref="D1:D2"/>
    <mergeCell ref="D4:D5"/>
    <mergeCell ref="D7:D8"/>
    <mergeCell ref="D10:D11"/>
    <mergeCell ref="D13:D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Общая информация</vt:lpstr>
      <vt:lpstr>Ед. поставщик п.4 ч.1</vt:lpstr>
      <vt:lpstr>Ед. поставщик п.5 ч.1</vt:lpstr>
      <vt:lpstr>Ед.поставщик за искл. п.4,5 ч.1</vt:lpstr>
      <vt:lpstr>Состоявшиеся аукционы</vt:lpstr>
      <vt:lpstr>Несостоявшиеся аукционы</vt:lpstr>
      <vt:lpstr>Иные конкурентные закупки</vt:lpstr>
      <vt:lpstr>Настройки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Компьютер № 3</dc:creator>
  <cp:lastModifiedBy>User</cp:lastModifiedBy>
  <cp:lastPrinted>2024-08-07T11:29:18Z</cp:lastPrinted>
  <dcterms:created xsi:type="dcterms:W3CDTF">2017-01-25T04:28:39Z</dcterms:created>
  <dcterms:modified xsi:type="dcterms:W3CDTF">2025-07-18T10:09:59Z</dcterms:modified>
</cp:coreProperties>
</file>