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55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 iterate="1"/>
</workbook>
</file>

<file path=xl/calcChain.xml><?xml version="1.0" encoding="utf-8"?>
<calcChain xmlns="http://schemas.openxmlformats.org/spreadsheetml/2006/main">
  <c r="G2" i="20" l="1"/>
  <c r="Q2" i="20"/>
  <c r="V2" i="20"/>
  <c r="AB2" i="20"/>
  <c r="H2" i="27"/>
  <c r="P2" i="27"/>
  <c r="V2" i="27"/>
  <c r="I212" i="31"/>
  <c r="I222" i="31"/>
  <c r="H2" i="31"/>
  <c r="P2" i="31"/>
  <c r="V2" i="31"/>
  <c r="I95" i="27"/>
  <c r="G2" i="19"/>
  <c r="N2" i="19"/>
  <c r="T2" i="19"/>
  <c r="G2" i="22"/>
  <c r="Q2" i="22"/>
  <c r="V2" i="22"/>
  <c r="AB2" i="22"/>
  <c r="G2" i="17"/>
  <c r="Q2" i="17"/>
  <c r="V2" i="17"/>
  <c r="AB2" i="17"/>
  <c r="I98" i="27"/>
  <c r="I191" i="31"/>
  <c r="H40" i="20"/>
  <c r="R40" i="20"/>
  <c r="I189" i="31"/>
  <c r="H9" i="19"/>
  <c r="I9" i="31"/>
  <c r="I59" i="27"/>
  <c r="I42" i="31"/>
  <c r="I214" i="31"/>
  <c r="I184" i="31"/>
  <c r="I9" i="27"/>
  <c r="I216" i="31"/>
  <c r="I22" i="27"/>
  <c r="I32" i="27"/>
  <c r="I108" i="31"/>
  <c r="I93" i="27"/>
  <c r="I92" i="27" l="1"/>
  <c r="I221" i="31"/>
  <c r="I218" i="31"/>
  <c r="H36" i="20" l="1"/>
  <c r="R36" i="20"/>
  <c r="H52" i="20"/>
  <c r="R52" i="20"/>
  <c r="I54" i="31"/>
  <c r="I36" i="31"/>
  <c r="I42" i="27"/>
  <c r="I86" i="27" l="1"/>
  <c r="I93" i="31"/>
  <c r="I45" i="27"/>
  <c r="I188" i="31"/>
  <c r="H30" i="20"/>
  <c r="R30" i="20"/>
  <c r="H10" i="17"/>
  <c r="R10" i="17"/>
  <c r="H9" i="17"/>
  <c r="R9" i="17"/>
  <c r="H16" i="19"/>
  <c r="H14" i="19"/>
  <c r="I126" i="31"/>
  <c r="I91" i="27"/>
  <c r="I90" i="27"/>
  <c r="I89" i="27"/>
  <c r="I165" i="31"/>
  <c r="I149" i="31"/>
  <c r="I173" i="31"/>
  <c r="I143" i="31"/>
  <c r="I131" i="31"/>
  <c r="I153" i="31"/>
  <c r="I88" i="27"/>
  <c r="I187" i="31"/>
  <c r="I85" i="27"/>
  <c r="I84" i="27"/>
  <c r="I183" i="31"/>
  <c r="I83" i="27"/>
  <c r="I79" i="27"/>
  <c r="I82" i="27"/>
  <c r="I182" i="31"/>
  <c r="I181" i="31"/>
  <c r="I180" i="31"/>
  <c r="I179" i="31"/>
  <c r="I81" i="27"/>
  <c r="H9" i="20"/>
  <c r="R9" i="20"/>
  <c r="I57" i="31"/>
  <c r="I87" i="31"/>
  <c r="I75" i="31"/>
  <c r="I118" i="31"/>
  <c r="I70" i="27" l="1"/>
  <c r="I78" i="27"/>
  <c r="I178" i="31"/>
  <c r="I77" i="27"/>
  <c r="I76" i="27"/>
  <c r="I75" i="27"/>
  <c r="I74" i="27"/>
  <c r="I73" i="27"/>
  <c r="I177" i="31"/>
  <c r="I72" i="27"/>
  <c r="I69" i="27"/>
  <c r="I68" i="27" l="1"/>
  <c r="H17" i="19"/>
  <c r="I52" i="31"/>
  <c r="I67" i="27"/>
  <c r="I130" i="31"/>
  <c r="I58" i="27"/>
  <c r="I57" i="27"/>
  <c r="I125" i="31"/>
  <c r="I124" i="31"/>
  <c r="I56" i="27" l="1"/>
  <c r="I55" i="27"/>
  <c r="I54" i="27" l="1"/>
  <c r="I53" i="27"/>
  <c r="I56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<sst xmlns="http://schemas.openxmlformats.org/spreadsheetml/2006/main" count="1517" uniqueCount="603">
  <si>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</si>
  <si>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</si>
  <si>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</si>
  <si>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</si>
  <si>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</si>
  <si>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</si>
  <si>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</si>
  <si>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</si>
  <si>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</si>
  <si>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</si>
  <si>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</si>
  <si>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</si>
  <si>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</si>
  <si>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</si>
  <si>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</si>
  <si>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</si>
  <si>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</si>
  <si>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</si>
  <si>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</si>
  <si>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</si>
  <si>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</si>
  <si>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</si>
  <si>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</si>
  <si>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</si>
  <si>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</si>
  <si>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</si>
  <si>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</si>
  <si>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</si>
  <si>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</si>
  <si>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</si>
  <si>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</si>
  <si>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</si>
  <si>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</si>
  <si>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</si>
  <si>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</si>
  <si>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</si>
  <si>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</si>
  <si>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</si>
  <si>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</si>
  <si>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</si>
  <si>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</si>
  <si>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</si>
  <si>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</si>
  <si>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</si>
  <si>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</si>
  <si>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</si>
  <si>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</si>
  <si>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</si>
  <si>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</si>
  <si>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</si>
  <si>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</si>
  <si>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</si>
  <si>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</si>
  <si>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</si>
  <si>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</si>
  <si>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</si>
  <si>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</si>
  <si>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</si>
  <si>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</si>
  <si>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</si>
  <si>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</si>
  <si>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</si>
  <si>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</si>
  <si>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</si>
  <si>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</si>
  <si>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</si>
  <si>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</si>
  <si>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</si>
  <si>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</si>
  <si>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</si>
  <si>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</si>
  <si>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</si>
  <si>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</si>
  <si>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</si>
  <si>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</si>
  <si>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</si>
  <si>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</si>
  <si>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</si>
  <si>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</si>
  <si>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</si>
  <si>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</si>
  <si>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</si>
  <si>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</si>
  <si>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</si>
  <si>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</si>
  <si>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</si>
  <si>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</si>
  <si>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</si>
  <si>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</si>
  <si>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</si>
  <si>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</si>
  <si>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</si>
  <si>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</si>
  <si>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</si>
  <si>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</si>
  <si>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</si>
  <si>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</si>
  <si>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</si>
  <si>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</si>
  <si>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</si>
  <si>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</si>
  <si>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</si>
  <si>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</si>
  <si>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</si>
  <si>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</si>
  <si>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</si>
  <si>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</si>
  <si>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</si>
  <si>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</si>
  <si>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</si>
  <si>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</si>
  <si>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</si>
  <si>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</si>
  <si>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</si>
  <si>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</si>
  <si>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</si>
  <si>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</si>
  <si>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</si>
  <si>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</si>
  <si>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</si>
  <si>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</si>
  <si>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</si>
  <si>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</si>
  <si>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</si>
  <si>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</si>
  <si>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</si>
  <si>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</si>
  <si>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</si>
  <si>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</si>
  <si>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</si>
  <si>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</si>
  <si>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</si>
  <si>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</si>
  <si>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</si>
  <si>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</si>
  <si>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</si>
  <si>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</si>
  <si>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</si>
  <si>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</si>
  <si>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</si>
  <si>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</si>
  <si>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</si>
  <si>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</si>
  <si>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</si>
  <si>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</si>
  <si>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</si>
  <si>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</si>
  <si>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</si>
  <si>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</si>
  <si>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ФГКУ "УВО ВНГ России по Краснодарскому краю"</t>
  </si>
  <si>
    <t>ООО "Сигнал"</t>
  </si>
  <si>
    <t>ПАО "Ростелеком"</t>
  </si>
  <si>
    <t>ООО "Дезинфекция"</t>
  </si>
  <si>
    <t>№ 1770</t>
  </si>
  <si>
    <t>Поставка тепловой энергии</t>
  </si>
  <si>
    <t>ООО ЧОО "ЛЕГИОН"</t>
  </si>
  <si>
    <t>В течение не более, чем 7 рабочих дней с даты подписания заказчиком документа о приемке</t>
  </si>
  <si>
    <t>Услуги связи</t>
  </si>
  <si>
    <t>7707049388</t>
  </si>
  <si>
    <t>№ 19576/ТМ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</si>
  <si>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</si>
  <si>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</si>
  <si>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</si>
  <si>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</si>
  <si>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</si>
  <si>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</si>
  <si>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30% до 10 числа месяца, 40% до 25 числа месяца, остальное-до 18 числа месяца</t>
  </si>
  <si>
    <t>№ 23070500354</t>
  </si>
  <si>
    <t>2353002302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</si>
  <si>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</si>
  <si>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</si>
  <si>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</si>
  <si>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</si>
  <si>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</si>
  <si>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</si>
  <si>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</si>
  <si>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</si>
  <si>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</si>
  <si>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</si>
  <si>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</si>
  <si>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</si>
  <si>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</si>
  <si>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</si>
  <si>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МБОУ СОШ № 14</t>
  </si>
  <si>
    <t xml:space="preserve">Оказание услуг по организации питания </t>
  </si>
  <si>
    <t>01.12.2023г.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</si>
  <si>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</si>
  <si>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</si>
  <si>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</si>
  <si>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</si>
  <si>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</si>
  <si>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</si>
  <si>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</si>
  <si>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</si>
  <si>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</si>
  <si>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</si>
  <si>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</si>
  <si>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</si>
  <si>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</si>
  <si>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</si>
  <si>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</si>
  <si>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</si>
  <si>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</si>
  <si>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</si>
  <si>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</si>
  <si>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</si>
  <si>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</si>
  <si>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</si>
  <si>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</si>
  <si>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</si>
  <si>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</si>
  <si>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</si>
  <si>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</si>
  <si>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</si>
  <si>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</si>
  <si>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</si>
  <si>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</si>
  <si>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</si>
  <si>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</si>
  <si>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</si>
  <si>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</si>
  <si>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</si>
  <si>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</si>
  <si>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</si>
  <si>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</si>
  <si>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</si>
  <si>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</si>
  <si>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</si>
  <si>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</si>
  <si>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</si>
  <si>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</si>
  <si>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</si>
  <si>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</si>
  <si>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</si>
  <si>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</si>
  <si>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</si>
  <si>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</si>
  <si>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</si>
  <si>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</si>
  <si>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</si>
  <si>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</si>
  <si>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</si>
  <si>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</si>
  <si>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</si>
  <si>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</si>
  <si>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</si>
  <si>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</si>
  <si>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</si>
  <si>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</si>
  <si>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</si>
  <si>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</si>
  <si>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</si>
  <si>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</si>
  <si>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</si>
  <si>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</si>
  <si>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</si>
  <si>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</si>
  <si>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</si>
  <si>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</si>
  <si>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</si>
  <si>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</si>
  <si>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</si>
  <si>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</si>
  <si>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</si>
  <si>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</si>
  <si>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</si>
  <si>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</si>
  <si>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</si>
  <si>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</si>
  <si>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</si>
  <si>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</si>
  <si>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</si>
  <si>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</si>
  <si>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</si>
  <si>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</si>
  <si>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</si>
  <si>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</si>
  <si>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</si>
  <si>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</si>
  <si>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</si>
  <si>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</si>
  <si>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</si>
  <si>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</si>
  <si>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</si>
  <si>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</si>
  <si>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</si>
  <si>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</si>
  <si>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</si>
  <si>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</si>
  <si>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</si>
  <si>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</si>
  <si>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</si>
  <si>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</si>
  <si>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</si>
  <si>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</si>
  <si>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</si>
  <si>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</si>
  <si>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</si>
  <si>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</si>
  <si>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</si>
  <si>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</si>
  <si>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</si>
  <si>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</si>
  <si>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</si>
  <si>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</si>
  <si>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</si>
  <si>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</si>
  <si>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</si>
  <si>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</si>
  <si>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</si>
  <si>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</si>
  <si>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</si>
  <si>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</si>
  <si>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</si>
  <si>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</si>
  <si>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</si>
  <si>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</si>
  <si>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</si>
  <si>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</si>
  <si>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</si>
  <si>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</si>
  <si>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</si>
  <si>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</si>
  <si>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</si>
  <si>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</si>
  <si>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</si>
  <si>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</si>
  <si>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</si>
  <si>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</si>
  <si>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</si>
  <si>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</si>
  <si>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</si>
  <si>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</si>
  <si>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</si>
  <si>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</si>
  <si>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</si>
  <si>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</si>
  <si>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</si>
  <si>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</si>
  <si>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</si>
  <si>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</si>
  <si>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</si>
  <si>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</si>
  <si>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</si>
  <si>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</si>
  <si>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</si>
  <si>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</si>
  <si>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</si>
  <si>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</si>
  <si>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</si>
  <si>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</si>
  <si>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</si>
  <si>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</si>
  <si>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</si>
  <si>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</si>
  <si>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</si>
  <si>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</si>
  <si>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</si>
  <si>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</si>
  <si>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</si>
  <si>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</si>
  <si>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</si>
  <si>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</si>
  <si>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</si>
  <si>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</si>
  <si>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</si>
  <si>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</si>
  <si>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</si>
  <si>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</si>
  <si>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</si>
  <si>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</si>
  <si>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</si>
  <si>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</si>
  <si>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</si>
  <si>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</si>
  <si>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</si>
  <si>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</si>
  <si>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</si>
  <si>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</si>
  <si>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</si>
  <si>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</si>
  <si>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</si>
  <si>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</si>
  <si>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</si>
  <si>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</si>
  <si>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</si>
  <si>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</si>
  <si>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</si>
  <si>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</si>
  <si>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</si>
  <si>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</si>
  <si>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</si>
  <si>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</si>
  <si>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</si>
  <si>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</si>
  <si>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</si>
  <si>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</si>
  <si>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</si>
  <si>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</si>
  <si>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</si>
  <si>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</si>
  <si>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</si>
  <si>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</si>
  <si>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</si>
  <si>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</si>
  <si>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</si>
  <si>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</si>
  <si>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</si>
  <si>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</si>
  <si>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</si>
  <si>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</si>
  <si>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</si>
  <si>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</si>
  <si>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</si>
  <si>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</si>
  <si>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</si>
  <si>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</si>
  <si>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</si>
  <si>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</si>
  <si>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</si>
  <si>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</si>
  <si>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</si>
  <si>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</si>
  <si>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</si>
  <si>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</si>
  <si>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</si>
  <si>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</si>
  <si>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</si>
  <si>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</si>
  <si>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</si>
  <si>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</si>
  <si>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</si>
  <si>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</si>
  <si>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</si>
  <si>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</si>
  <si>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</si>
  <si>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</si>
  <si>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</si>
  <si>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</si>
  <si>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</si>
  <si>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</si>
  <si>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</si>
  <si>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</si>
  <si>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</si>
  <si>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</si>
  <si>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</si>
  <si>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</si>
  <si>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</si>
  <si>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</si>
  <si>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</si>
  <si>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</si>
  <si>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</si>
  <si>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</si>
  <si>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</si>
  <si>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</si>
  <si>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</si>
  <si>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</si>
  <si>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</si>
  <si>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</si>
  <si>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</si>
  <si>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</si>
  <si>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</si>
  <si>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</si>
  <si>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</si>
  <si>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</si>
  <si>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</si>
  <si>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</si>
  <si>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</si>
  <si>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</si>
  <si>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</si>
  <si>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</si>
  <si>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</si>
  <si>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</si>
  <si>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</si>
  <si>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</si>
  <si>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</si>
  <si>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</si>
  <si>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</si>
  <si>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</si>
  <si>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</si>
  <si>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</si>
  <si>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</si>
  <si>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</si>
  <si>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</si>
  <si>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</si>
  <si>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</si>
  <si>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</si>
  <si>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</si>
  <si>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</si>
  <si>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</si>
  <si>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</si>
  <si>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</si>
  <si>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</si>
  <si>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</si>
  <si>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</si>
  <si>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</si>
  <si>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</si>
  <si>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</si>
  <si>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</si>
  <si>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</si>
  <si>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</si>
  <si>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</si>
  <si>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</si>
  <si>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</si>
  <si>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</si>
  <si>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</si>
  <si>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</si>
  <si>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</si>
  <si>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</si>
  <si>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</si>
  <si>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</si>
  <si>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</si>
  <si>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</si>
  <si>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</si>
  <si>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</si>
  <si>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</si>
  <si>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</si>
  <si>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</si>
  <si>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</si>
  <si>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</si>
  <si>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</si>
  <si>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</si>
  <si>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</si>
  <si>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</si>
  <si>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</si>
  <si>
    <t>№ 27</t>
  </si>
  <si>
    <t>01.07.2024г.</t>
  </si>
  <si>
    <t>235300578903</t>
  </si>
  <si>
    <t>с 01.07.2024г. по 30.11.2024г.</t>
  </si>
  <si>
    <t>в течение 10 рабочих дней с даты получения от Поставщика документов о поставке товара и счета на оплату</t>
  </si>
  <si>
    <t>№СП013784/24</t>
  </si>
  <si>
    <t>Сертификат-электронный документ</t>
  </si>
  <si>
    <t>6673240328</t>
  </si>
  <si>
    <t>ООО "Сертум -Про"</t>
  </si>
  <si>
    <t>10.072024г. по 31.12.2024г.</t>
  </si>
  <si>
    <t>в течение 10 рабочих дней после подписания акта сдачи или УПД и получения документов на оплату</t>
  </si>
  <si>
    <t>№К211985/24</t>
  </si>
  <si>
    <t>Неисключительное право использования системы и услуги технической поддержки</t>
  </si>
  <si>
    <t>"СКБ "Контур"</t>
  </si>
  <si>
    <t>18.07.2024г. по 31.12.2024г.</t>
  </si>
  <si>
    <t xml:space="preserve">в течение 10 рабочих дней после подписания акта сдачи </t>
  </si>
  <si>
    <t>01 июля 2024 г.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</si>
  <si>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</si>
  <si>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</si>
  <si>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</si>
  <si>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с 27.06.2024 г. по 25.09.2024 г.</t>
  </si>
  <si>
    <t>c 01.01.2024 г. по 26.06.2024 г.</t>
  </si>
  <si>
    <t>91.07.2024</t>
  </si>
  <si>
    <t>№24</t>
  </si>
  <si>
    <t>Ремонрт наружного водопровода</t>
  </si>
  <si>
    <t>ИП Каракай С.В.</t>
  </si>
  <si>
    <t>с 21.08.2024г. по 10.09.2024г.</t>
  </si>
  <si>
    <t>№14/1</t>
  </si>
  <si>
    <t>Услуги по организации питания</t>
  </si>
  <si>
    <t>ООО "Тимашевское предприятие розничной торговли РАЙПО"</t>
  </si>
  <si>
    <t>с 02.09.2024г. по 25.10.2024г.</t>
  </si>
  <si>
    <t xml:space="preserve">в течение 10 (десяти) рабочих дней после подписания документов на оплату </t>
  </si>
  <si>
    <t>№14</t>
  </si>
  <si>
    <t>Услуги по организации питания учащихся с ОВЗ, инвалидов без статуса ОВЗ, учащихся из многодетных семей, из семей участников СВО</t>
  </si>
  <si>
    <t>Дополнительное соглашение № 4 от 01.10.2024г.</t>
  </si>
  <si>
    <t>08183000199240002620001</t>
  </si>
  <si>
    <t>243235301532623530100100170018010244</t>
  </si>
  <si>
    <t>08</t>
  </si>
  <si>
    <t>8300019924000262</t>
  </si>
  <si>
    <t>с 05.10.2024г. по 28.11.24г.</t>
  </si>
  <si>
    <t>№98</t>
  </si>
  <si>
    <t>23.09.2024г.</t>
  </si>
  <si>
    <t>охранные услуги</t>
  </si>
  <si>
    <t>№31</t>
  </si>
  <si>
    <t>предрейсовый и послерейсовый технический осмотр транспортных средств</t>
  </si>
  <si>
    <t>РО КРО ОО "ВОА"</t>
  </si>
  <si>
    <t>№1/2024</t>
  </si>
  <si>
    <t>ТО кнопки тревожной сигнализации</t>
  </si>
  <si>
    <t>ИП Доценко И.Н.</t>
  </si>
  <si>
    <t>с 01.09.2024г. по 31.12.2024г.</t>
  </si>
  <si>
    <t>№28</t>
  </si>
  <si>
    <t>бензин</t>
  </si>
  <si>
    <t xml:space="preserve">с 01.08.2024г. по 30.10.2024г. </t>
  </si>
  <si>
    <t>№48/т</t>
  </si>
  <si>
    <t>услуга по промывке и опресовки системы ЦО</t>
  </si>
  <si>
    <t>ООО "Теплосервис"</t>
  </si>
  <si>
    <t xml:space="preserve">с 29.08.2024г. по 31.12.2024г. </t>
  </si>
  <si>
    <t>б/н</t>
  </si>
  <si>
    <t>страхование автобуса</t>
  </si>
  <si>
    <t>7710026574</t>
  </si>
  <si>
    <t>САО ВСК</t>
  </si>
  <si>
    <t>11.10.2024г. по 31.12.2024г.</t>
  </si>
  <si>
    <t>141/24</t>
  </si>
  <si>
    <t>29.08.20254</t>
  </si>
  <si>
    <t>услуги по проведению предрейсовых и послерейсовых мед осмготров</t>
  </si>
  <si>
    <t>Тимашевская ЦРБ</t>
  </si>
  <si>
    <t>29.08.2024г. по 31.12.2024г.</t>
  </si>
  <si>
    <t xml:space="preserve">в течение 7 рабочих дней после подписания акта сдачи </t>
  </si>
  <si>
    <t>06/ПДУ/СМЭВ/6815</t>
  </si>
  <si>
    <t>програмное обеспечение</t>
  </si>
  <si>
    <t>2308065195</t>
  </si>
  <si>
    <t>06/СМЭВ/6816</t>
  </si>
  <si>
    <t>предоставление сертификата</t>
  </si>
  <si>
    <t>ГУП Краснодарского края "Центр информационных технологий"</t>
  </si>
  <si>
    <t>11.09.2024г. по 31.12.2024г.</t>
  </si>
  <si>
    <t>30% предоплаты в течение 10 рабочих дней со дня получения счета на оплату.Окончательный расчет в течение 10 рабочих дней с момента подписания Заказчиком акта приема передачи.</t>
  </si>
  <si>
    <t>№40</t>
  </si>
  <si>
    <t>28.10.2024г. по 31.12.2024г.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</si>
</sst>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Border="1" applyAlignment="1" applyProtection="1">
      <alignment horizontal="center" vertical="center" wrapText="1"/>
      <protection locked="0"/>
    </xf>
    <xf numFmtId="4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M4" sqref="M4:N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63" t="s">
        <v>141</v>
      </c>
      <c r="B1" s="364"/>
      <c r="C1" s="364"/>
      <c r="D1" s="364"/>
      <c r="E1" s="363" t="s">
        <v>183</v>
      </c>
      <c r="F1" s="364"/>
      <c r="G1" s="364"/>
      <c r="H1" s="364"/>
      <c r="I1" s="364"/>
      <c r="J1" s="364"/>
      <c r="K1" s="364"/>
      <c r="L1" s="364"/>
      <c r="M1" s="364"/>
      <c r="N1" s="365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399" t="s">
        <v>25</v>
      </c>
      <c r="B4" s="400"/>
      <c r="C4" s="4">
        <v>11564658.630000001</v>
      </c>
      <c r="D4" s="5"/>
      <c r="E4" s="401" t="s">
        <v>140</v>
      </c>
      <c r="F4" s="402"/>
      <c r="G4" s="403"/>
      <c r="H4" s="404">
        <v>2000000</v>
      </c>
      <c r="I4" s="405"/>
      <c r="J4" s="406"/>
      <c r="K4" s="17"/>
      <c r="L4" s="81" t="s">
        <v>55</v>
      </c>
      <c r="M4" s="401">
        <v>4962082.2699999996</v>
      </c>
      <c r="N4" s="403"/>
    </row>
    <row r="5" spans="1:14" ht="30.75" customHeight="1" thickBot="1" x14ac:dyDescent="0.3">
      <c r="A5" s="399" t="s">
        <v>26</v>
      </c>
      <c r="B5" s="400"/>
      <c r="C5" s="6">
        <f>C4-G15+J15</f>
        <v>1600637.0200000005</v>
      </c>
      <c r="D5" s="5"/>
      <c r="E5" s="401" t="s">
        <v>53</v>
      </c>
      <c r="F5" s="402"/>
      <c r="G5" s="403"/>
      <c r="H5" s="394">
        <f>H4-G12</f>
        <v>762971.83999999985</v>
      </c>
      <c r="I5" s="395"/>
      <c r="J5" s="396"/>
      <c r="K5" s="17"/>
      <c r="L5" s="81" t="s">
        <v>54</v>
      </c>
      <c r="M5" s="397">
        <f>M4-G13</f>
        <v>867397.44999999972</v>
      </c>
      <c r="N5" s="398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407" t="s">
        <v>27</v>
      </c>
      <c r="B8" s="408"/>
      <c r="C8" s="409"/>
      <c r="D8" s="407" t="s">
        <v>28</v>
      </c>
      <c r="E8" s="408"/>
      <c r="F8" s="409"/>
      <c r="G8" s="410" t="s">
        <v>29</v>
      </c>
      <c r="H8" s="411"/>
      <c r="I8" s="412"/>
      <c r="J8" s="410" t="s">
        <v>142</v>
      </c>
      <c r="K8" s="411"/>
      <c r="L8" s="412"/>
      <c r="M8" s="407" t="s">
        <v>30</v>
      </c>
      <c r="N8" s="409"/>
    </row>
    <row r="9" spans="1:14" ht="41.25" customHeight="1" thickBot="1" x14ac:dyDescent="0.3">
      <c r="A9" s="385" t="s">
        <v>31</v>
      </c>
      <c r="B9" s="386"/>
      <c r="C9" s="387"/>
      <c r="D9" s="384">
        <f>'Состоявшиеся аукционы'!G2</f>
        <v>0</v>
      </c>
      <c r="E9" s="384"/>
      <c r="F9" s="384"/>
      <c r="G9" s="384">
        <f>'Состоявшиеся аукционы'!Q2</f>
        <v>0</v>
      </c>
      <c r="H9" s="384"/>
      <c r="I9" s="384"/>
      <c r="J9" s="381">
        <f>'Состоявшиеся аукционы'!AB2</f>
        <v>0</v>
      </c>
      <c r="K9" s="382"/>
      <c r="L9" s="383"/>
      <c r="M9" s="384">
        <f t="shared" ref="M9:M15" si="0">D9-G9</f>
        <v>0</v>
      </c>
      <c r="N9" s="384"/>
    </row>
    <row r="10" spans="1:14" ht="78.75" customHeight="1" thickBot="1" x14ac:dyDescent="0.3">
      <c r="A10" s="385" t="s">
        <v>49</v>
      </c>
      <c r="B10" s="386"/>
      <c r="C10" s="387"/>
      <c r="D10" s="384">
        <f>'Несостоявшиеся аукционы'!G2</f>
        <v>0</v>
      </c>
      <c r="E10" s="384"/>
      <c r="F10" s="384"/>
      <c r="G10" s="384">
        <f>'Несостоявшиеся аукционы'!Q2</f>
        <v>0</v>
      </c>
      <c r="H10" s="384"/>
      <c r="I10" s="384"/>
      <c r="J10" s="381">
        <f>'Несостоявшиеся аукционы'!AB2</f>
        <v>0</v>
      </c>
      <c r="K10" s="382"/>
      <c r="L10" s="383"/>
      <c r="M10" s="384">
        <f t="shared" si="0"/>
        <v>0</v>
      </c>
      <c r="N10" s="384"/>
    </row>
    <row r="11" spans="1:14" ht="40.5" customHeight="1" thickBot="1" x14ac:dyDescent="0.3">
      <c r="A11" s="385" t="s">
        <v>83</v>
      </c>
      <c r="B11" s="386"/>
      <c r="C11" s="387"/>
      <c r="D11" s="381">
        <f>'Иные конкурентные закупки'!G2</f>
        <v>3972027</v>
      </c>
      <c r="E11" s="382"/>
      <c r="F11" s="383"/>
      <c r="G11" s="381">
        <f>'Иные конкурентные закупки'!Q2</f>
        <v>2590274.91</v>
      </c>
      <c r="H11" s="382"/>
      <c r="I11" s="383"/>
      <c r="J11" s="381">
        <f>'Иные конкурентные закупки'!AB2</f>
        <v>73610.350000000006</v>
      </c>
      <c r="K11" s="382"/>
      <c r="L11" s="383"/>
      <c r="M11" s="381">
        <f t="shared" si="0"/>
        <v>1381752.0899999999</v>
      </c>
      <c r="N11" s="383"/>
    </row>
    <row r="12" spans="1:14" ht="54.75" customHeight="1" thickBot="1" x14ac:dyDescent="0.3">
      <c r="A12" s="388" t="s">
        <v>50</v>
      </c>
      <c r="B12" s="389"/>
      <c r="C12" s="390"/>
      <c r="D12" s="384">
        <f>'Ед. поставщик п.4 ч.1'!H2</f>
        <v>1237028.1600000001</v>
      </c>
      <c r="E12" s="384"/>
      <c r="F12" s="384"/>
      <c r="G12" s="384">
        <f>D12</f>
        <v>1237028.1600000001</v>
      </c>
      <c r="H12" s="384"/>
      <c r="I12" s="384"/>
      <c r="J12" s="381">
        <f>'Ед. поставщик п.4 ч.1'!V2</f>
        <v>0</v>
      </c>
      <c r="K12" s="382"/>
      <c r="L12" s="383"/>
      <c r="M12" s="384">
        <f t="shared" si="0"/>
        <v>0</v>
      </c>
      <c r="N12" s="384"/>
    </row>
    <row r="13" spans="1:14" ht="45.75" customHeight="1" thickBot="1" x14ac:dyDescent="0.3">
      <c r="A13" s="388" t="s">
        <v>51</v>
      </c>
      <c r="B13" s="389"/>
      <c r="C13" s="390"/>
      <c r="D13" s="384">
        <f>'Ед. поставщик п.5 ч.1'!H2</f>
        <v>4094684.82</v>
      </c>
      <c r="E13" s="384"/>
      <c r="F13" s="384"/>
      <c r="G13" s="384">
        <f>D13</f>
        <v>4094684.82</v>
      </c>
      <c r="H13" s="384"/>
      <c r="I13" s="384"/>
      <c r="J13" s="381">
        <f>'Ед. поставщик п.5 ч.1'!V2</f>
        <v>260267.68999999997</v>
      </c>
      <c r="K13" s="382"/>
      <c r="L13" s="383"/>
      <c r="M13" s="384">
        <f t="shared" si="0"/>
        <v>0</v>
      </c>
      <c r="N13" s="384"/>
    </row>
    <row r="14" spans="1:14" ht="45.75" customHeight="1" thickBot="1" x14ac:dyDescent="0.3">
      <c r="A14" s="378" t="s">
        <v>52</v>
      </c>
      <c r="B14" s="379"/>
      <c r="C14" s="380"/>
      <c r="D14" s="381">
        <f>'Ед.поставщик за искл. п.4,5 ч.1'!G2</f>
        <v>2375911.7600000002</v>
      </c>
      <c r="E14" s="382"/>
      <c r="F14" s="383"/>
      <c r="G14" s="381">
        <f>D14</f>
        <v>2375911.7600000002</v>
      </c>
      <c r="H14" s="382"/>
      <c r="I14" s="383"/>
      <c r="J14" s="381">
        <f>'Ед.поставщик за искл. п.4,5 ч.1'!T2</f>
        <v>0</v>
      </c>
      <c r="K14" s="382"/>
      <c r="L14" s="383"/>
      <c r="M14" s="384">
        <f t="shared" si="0"/>
        <v>0</v>
      </c>
      <c r="N14" s="384"/>
    </row>
    <row r="15" spans="1:14" ht="21" thickBot="1" x14ac:dyDescent="0.3">
      <c r="A15" s="391" t="s">
        <v>143</v>
      </c>
      <c r="B15" s="392"/>
      <c r="C15" s="393"/>
      <c r="D15" s="384">
        <f>SUM(D9:D14)</f>
        <v>11679651.74</v>
      </c>
      <c r="E15" s="384"/>
      <c r="F15" s="384"/>
      <c r="G15" s="381">
        <f>SUM(G9:G14)</f>
        <v>10297899.65</v>
      </c>
      <c r="H15" s="382"/>
      <c r="I15" s="383"/>
      <c r="J15" s="381">
        <f>SUM(J9:J14)</f>
        <v>333878.03999999998</v>
      </c>
      <c r="K15" s="382"/>
      <c r="L15" s="383"/>
      <c r="M15" s="384">
        <f t="shared" si="0"/>
        <v>1381752.0899999999</v>
      </c>
      <c r="N15" s="384"/>
    </row>
    <row r="18" spans="1:12" ht="15.75" thickBot="1" x14ac:dyDescent="0.3"/>
    <row r="19" spans="1:12" ht="23.25" customHeight="1" x14ac:dyDescent="0.25">
      <c r="A19" s="366" t="s">
        <v>35</v>
      </c>
      <c r="B19" s="367"/>
      <c r="C19" s="368"/>
      <c r="D19" s="37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7879114.6099999994</v>
      </c>
      <c r="E19" s="373"/>
      <c r="F19" s="373"/>
      <c r="G19" s="374"/>
      <c r="I19" s="15"/>
      <c r="J19" s="15"/>
      <c r="K19" s="15"/>
      <c r="L19" s="15"/>
    </row>
    <row r="20" spans="1:12" ht="24" customHeight="1" thickBot="1" x14ac:dyDescent="0.3">
      <c r="A20" s="369"/>
      <c r="B20" s="370"/>
      <c r="C20" s="371"/>
      <c r="D20" s="375"/>
      <c r="E20" s="376"/>
      <c r="F20" s="376"/>
      <c r="G20" s="377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99"/>
  <sheetViews>
    <sheetView showGridLines="0" topLeftCell="H1" zoomScale="60" zoomScaleNormal="60" workbookViewId="0">
      <pane ySplit="8" topLeftCell="A97" activePane="bottomLeft" state="frozen"/>
      <selection activeCell="I1" sqref="I1"/>
      <selection pane="bottomLeft" activeCell="K99" sqref="K99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1237028.1600000001</v>
      </c>
      <c r="K2" s="470"/>
      <c r="L2" s="470"/>
      <c r="M2" s="470"/>
      <c r="N2" s="471" t="s">
        <v>137</v>
      </c>
      <c r="O2" s="473"/>
      <c r="P2" s="69">
        <f>SUM(P9:P9999)</f>
        <v>591090.03</v>
      </c>
      <c r="R2" s="68"/>
      <c r="S2" s="471" t="s">
        <v>45</v>
      </c>
      <c r="T2" s="472"/>
      <c r="U2" s="473"/>
      <c r="V2" s="70">
        <f>SUM(V9:V9999)</f>
        <v>0</v>
      </c>
    </row>
    <row r="3" spans="1:24" x14ac:dyDescent="0.25">
      <c r="A3" s="470"/>
      <c r="B3" s="470"/>
      <c r="C3" s="470"/>
      <c r="D3" s="470"/>
      <c r="E3" s="470"/>
      <c r="N3" s="68"/>
    </row>
    <row r="4" spans="1:24" ht="39.950000000000003" customHeight="1" x14ac:dyDescent="0.25">
      <c r="J4" s="474"/>
      <c r="K4" s="474"/>
      <c r="M4" s="474"/>
      <c r="N4" s="474"/>
      <c r="O4" s="474"/>
      <c r="P4" s="474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0" customHeight="1" x14ac:dyDescent="0.25">
      <c r="A9" s="463">
        <v>1</v>
      </c>
      <c r="B9" s="416" t="s">
        <v>56</v>
      </c>
      <c r="C9" s="416"/>
      <c r="D9" s="416"/>
      <c r="E9" s="533" t="s">
        <v>186</v>
      </c>
      <c r="F9" s="413" t="s">
        <v>187</v>
      </c>
      <c r="G9" s="416" t="s">
        <v>157</v>
      </c>
      <c r="H9" s="419">
        <v>11865.51</v>
      </c>
      <c r="I9" s="422">
        <f>IF(X9 = 101, H9 + SUM(S9:S21) - SUM(T9:T21) - SUM(P9:P21) - V9,0)</f>
        <v>2849.260000000002</v>
      </c>
      <c r="J9" s="416" t="s">
        <v>158</v>
      </c>
      <c r="K9" s="416" t="s">
        <v>151</v>
      </c>
      <c r="L9" s="416"/>
      <c r="M9" s="416" t="s">
        <v>188</v>
      </c>
      <c r="N9" s="356" t="s">
        <v>257</v>
      </c>
      <c r="O9" s="413" t="s">
        <v>189</v>
      </c>
      <c r="P9" s="344">
        <v>792.59</v>
      </c>
      <c r="Q9" s="345" t="s">
        <v>270</v>
      </c>
      <c r="R9" s="346"/>
      <c r="S9" s="344"/>
      <c r="T9" s="344"/>
      <c r="U9" s="419"/>
      <c r="V9" s="527"/>
      <c r="W9" s="530"/>
      <c r="X9" s="85">
        <v>101</v>
      </c>
    </row>
    <row r="10" spans="1:24" x14ac:dyDescent="0.25">
      <c r="A10" s="464"/>
      <c r="B10" s="417"/>
      <c r="C10" s="417"/>
      <c r="D10" s="417"/>
      <c r="E10" s="534"/>
      <c r="F10" s="414"/>
      <c r="G10" s="417"/>
      <c r="H10" s="420"/>
      <c r="I10" s="423"/>
      <c r="J10" s="417"/>
      <c r="K10" s="417"/>
      <c r="L10" s="417"/>
      <c r="M10" s="417"/>
      <c r="N10" s="357" t="s">
        <v>312</v>
      </c>
      <c r="O10" s="414"/>
      <c r="P10" s="347">
        <v>828.84</v>
      </c>
      <c r="Q10" s="348" t="s">
        <v>316</v>
      </c>
      <c r="R10" s="349"/>
      <c r="S10" s="347"/>
      <c r="T10" s="347"/>
      <c r="U10" s="420"/>
      <c r="V10" s="528"/>
      <c r="W10" s="531"/>
      <c r="X10" s="2">
        <v>101</v>
      </c>
    </row>
    <row r="11" spans="1:24" x14ac:dyDescent="0.25">
      <c r="A11" s="464"/>
      <c r="B11" s="417"/>
      <c r="C11" s="417"/>
      <c r="D11" s="417"/>
      <c r="E11" s="534"/>
      <c r="F11" s="414"/>
      <c r="G11" s="417"/>
      <c r="H11" s="420"/>
      <c r="I11" s="423"/>
      <c r="J11" s="417"/>
      <c r="K11" s="417"/>
      <c r="L11" s="417"/>
      <c r="M11" s="417"/>
      <c r="N11" s="357" t="s">
        <v>402</v>
      </c>
      <c r="O11" s="414"/>
      <c r="P11" s="347">
        <v>933.02</v>
      </c>
      <c r="Q11" s="348" t="s">
        <v>404</v>
      </c>
      <c r="R11" s="349"/>
      <c r="S11" s="347"/>
      <c r="T11" s="347"/>
      <c r="U11" s="420"/>
      <c r="V11" s="528"/>
      <c r="W11" s="531"/>
      <c r="X11" s="2">
        <v>101</v>
      </c>
    </row>
    <row r="12" spans="1:24" x14ac:dyDescent="0.25">
      <c r="A12" s="464"/>
      <c r="B12" s="417"/>
      <c r="C12" s="417"/>
      <c r="D12" s="417"/>
      <c r="E12" s="534"/>
      <c r="F12" s="414"/>
      <c r="G12" s="417"/>
      <c r="H12" s="420"/>
      <c r="I12" s="423"/>
      <c r="J12" s="417"/>
      <c r="K12" s="417"/>
      <c r="L12" s="417"/>
      <c r="M12" s="417"/>
      <c r="N12" s="357" t="s">
        <v>454</v>
      </c>
      <c r="O12" s="414"/>
      <c r="P12" s="347">
        <v>829.27</v>
      </c>
      <c r="Q12" s="348" t="s">
        <v>460</v>
      </c>
      <c r="R12" s="349"/>
      <c r="S12" s="347"/>
      <c r="T12" s="347"/>
      <c r="U12" s="420"/>
      <c r="V12" s="528"/>
      <c r="W12" s="531"/>
      <c r="X12" s="2">
        <v>101</v>
      </c>
    </row>
    <row r="13" spans="1:24" x14ac:dyDescent="0.25">
      <c r="A13" s="464"/>
      <c r="B13" s="417"/>
      <c r="C13" s="417"/>
      <c r="D13" s="417"/>
      <c r="E13" s="534"/>
      <c r="F13" s="414"/>
      <c r="G13" s="417"/>
      <c r="H13" s="420"/>
      <c r="I13" s="423"/>
      <c r="J13" s="417"/>
      <c r="K13" s="417"/>
      <c r="L13" s="417"/>
      <c r="M13" s="417"/>
      <c r="N13" s="357">
        <v>45473</v>
      </c>
      <c r="O13" s="414"/>
      <c r="P13" s="347">
        <v>761.56</v>
      </c>
      <c r="Q13" s="348">
        <v>45489</v>
      </c>
      <c r="R13" s="349"/>
      <c r="S13" s="347"/>
      <c r="T13" s="347"/>
      <c r="U13" s="420"/>
      <c r="V13" s="528"/>
      <c r="W13" s="531"/>
      <c r="X13" s="2">
        <v>101</v>
      </c>
    </row>
    <row r="14" spans="1:24" x14ac:dyDescent="0.25">
      <c r="A14" s="464"/>
      <c r="B14" s="417"/>
      <c r="C14" s="417"/>
      <c r="D14" s="417"/>
      <c r="E14" s="534"/>
      <c r="F14" s="414"/>
      <c r="G14" s="417"/>
      <c r="H14" s="420"/>
      <c r="I14" s="423"/>
      <c r="J14" s="417"/>
      <c r="K14" s="417"/>
      <c r="L14" s="417"/>
      <c r="M14" s="417"/>
      <c r="N14" s="357">
        <v>45473</v>
      </c>
      <c r="O14" s="414"/>
      <c r="P14" s="347">
        <v>72.069999999999993</v>
      </c>
      <c r="Q14" s="348">
        <v>45489</v>
      </c>
      <c r="R14" s="349"/>
      <c r="S14" s="347"/>
      <c r="T14" s="347"/>
      <c r="U14" s="420"/>
      <c r="V14" s="528"/>
      <c r="W14" s="531"/>
      <c r="X14" s="2">
        <v>101</v>
      </c>
    </row>
    <row r="15" spans="1:24" x14ac:dyDescent="0.25">
      <c r="A15" s="464"/>
      <c r="B15" s="417"/>
      <c r="C15" s="417"/>
      <c r="D15" s="417"/>
      <c r="E15" s="534"/>
      <c r="F15" s="414"/>
      <c r="G15" s="417"/>
      <c r="H15" s="420"/>
      <c r="I15" s="423"/>
      <c r="J15" s="417"/>
      <c r="K15" s="417"/>
      <c r="L15" s="417"/>
      <c r="M15" s="417"/>
      <c r="N15" s="357">
        <v>45443</v>
      </c>
      <c r="O15" s="414"/>
      <c r="P15" s="347">
        <v>789.2</v>
      </c>
      <c r="Q15" s="348">
        <v>45471</v>
      </c>
      <c r="R15" s="349"/>
      <c r="S15" s="347"/>
      <c r="T15" s="347"/>
      <c r="U15" s="420"/>
      <c r="V15" s="528"/>
      <c r="W15" s="531"/>
      <c r="X15" s="2">
        <v>101</v>
      </c>
    </row>
    <row r="16" spans="1:24" x14ac:dyDescent="0.25">
      <c r="A16" s="464"/>
      <c r="B16" s="417"/>
      <c r="C16" s="417"/>
      <c r="D16" s="417"/>
      <c r="E16" s="534"/>
      <c r="F16" s="414"/>
      <c r="G16" s="417"/>
      <c r="H16" s="420"/>
      <c r="I16" s="423"/>
      <c r="J16" s="417"/>
      <c r="K16" s="417"/>
      <c r="L16" s="417"/>
      <c r="M16" s="417"/>
      <c r="N16" s="357">
        <v>45504</v>
      </c>
      <c r="O16" s="414"/>
      <c r="P16" s="347">
        <v>774.3</v>
      </c>
      <c r="Q16" s="348">
        <v>45510</v>
      </c>
      <c r="R16" s="349"/>
      <c r="S16" s="347"/>
      <c r="T16" s="347"/>
      <c r="U16" s="420"/>
      <c r="V16" s="528"/>
      <c r="W16" s="531"/>
      <c r="X16" s="2">
        <v>101</v>
      </c>
    </row>
    <row r="17" spans="1:24" x14ac:dyDescent="0.25">
      <c r="A17" s="464"/>
      <c r="B17" s="417"/>
      <c r="C17" s="417"/>
      <c r="D17" s="417"/>
      <c r="E17" s="534"/>
      <c r="F17" s="414"/>
      <c r="G17" s="417"/>
      <c r="H17" s="420"/>
      <c r="I17" s="423"/>
      <c r="J17" s="417"/>
      <c r="K17" s="417"/>
      <c r="L17" s="417"/>
      <c r="M17" s="417"/>
      <c r="N17" s="357">
        <v>45504</v>
      </c>
      <c r="O17" s="414"/>
      <c r="P17" s="347">
        <v>774.3</v>
      </c>
      <c r="Q17" s="348">
        <v>45510</v>
      </c>
      <c r="R17" s="349"/>
      <c r="S17" s="347"/>
      <c r="T17" s="347"/>
      <c r="U17" s="420"/>
      <c r="V17" s="528"/>
      <c r="W17" s="531"/>
      <c r="X17" s="2">
        <v>101</v>
      </c>
    </row>
    <row r="18" spans="1:24" s="254" customFormat="1" x14ac:dyDescent="0.25">
      <c r="A18" s="464"/>
      <c r="B18" s="417"/>
      <c r="C18" s="417"/>
      <c r="D18" s="417"/>
      <c r="E18" s="534"/>
      <c r="F18" s="414"/>
      <c r="G18" s="417"/>
      <c r="H18" s="420"/>
      <c r="I18" s="423"/>
      <c r="J18" s="417"/>
      <c r="K18" s="417"/>
      <c r="L18" s="417"/>
      <c r="M18" s="417"/>
      <c r="N18" s="358">
        <v>45535</v>
      </c>
      <c r="O18" s="414"/>
      <c r="P18" s="350">
        <v>774.41</v>
      </c>
      <c r="Q18" s="351">
        <v>45544</v>
      </c>
      <c r="R18" s="352"/>
      <c r="S18" s="350"/>
      <c r="T18" s="350"/>
      <c r="U18" s="420"/>
      <c r="V18" s="528"/>
      <c r="W18" s="531"/>
      <c r="X18" s="254">
        <v>101</v>
      </c>
    </row>
    <row r="19" spans="1:24" s="254" customFormat="1" x14ac:dyDescent="0.25">
      <c r="A19" s="464"/>
      <c r="B19" s="417"/>
      <c r="C19" s="417"/>
      <c r="D19" s="417"/>
      <c r="E19" s="534"/>
      <c r="F19" s="414"/>
      <c r="G19" s="417"/>
      <c r="H19" s="420"/>
      <c r="I19" s="423"/>
      <c r="J19" s="417"/>
      <c r="K19" s="417"/>
      <c r="L19" s="417"/>
      <c r="M19" s="417"/>
      <c r="N19" s="358">
        <v>45535</v>
      </c>
      <c r="O19" s="414"/>
      <c r="P19" s="350">
        <v>53.78</v>
      </c>
      <c r="Q19" s="351">
        <v>45544</v>
      </c>
      <c r="R19" s="352"/>
      <c r="S19" s="350"/>
      <c r="T19" s="350"/>
      <c r="U19" s="420"/>
      <c r="V19" s="528"/>
      <c r="W19" s="531"/>
      <c r="X19" s="254">
        <v>101</v>
      </c>
    </row>
    <row r="20" spans="1:24" s="254" customFormat="1" x14ac:dyDescent="0.25">
      <c r="A20" s="464"/>
      <c r="B20" s="417"/>
      <c r="C20" s="417"/>
      <c r="D20" s="417"/>
      <c r="E20" s="534"/>
      <c r="F20" s="414"/>
      <c r="G20" s="417"/>
      <c r="H20" s="420"/>
      <c r="I20" s="423"/>
      <c r="J20" s="417"/>
      <c r="K20" s="417"/>
      <c r="L20" s="417"/>
      <c r="M20" s="417"/>
      <c r="N20" s="358">
        <v>45565</v>
      </c>
      <c r="O20" s="414"/>
      <c r="P20" s="350">
        <v>764.15</v>
      </c>
      <c r="Q20" s="351">
        <v>45574</v>
      </c>
      <c r="R20" s="352"/>
      <c r="S20" s="350"/>
      <c r="T20" s="350"/>
      <c r="U20" s="420"/>
      <c r="V20" s="528"/>
      <c r="W20" s="531"/>
      <c r="X20" s="254">
        <v>101</v>
      </c>
    </row>
    <row r="21" spans="1:24" s="254" customFormat="1" x14ac:dyDescent="0.25">
      <c r="A21" s="465"/>
      <c r="B21" s="418"/>
      <c r="C21" s="418"/>
      <c r="D21" s="418"/>
      <c r="E21" s="535"/>
      <c r="F21" s="415"/>
      <c r="G21" s="418"/>
      <c r="H21" s="421"/>
      <c r="I21" s="424"/>
      <c r="J21" s="418"/>
      <c r="K21" s="418"/>
      <c r="L21" s="418"/>
      <c r="M21" s="418"/>
      <c r="N21" s="359">
        <v>45596</v>
      </c>
      <c r="O21" s="415"/>
      <c r="P21" s="353">
        <v>868.76</v>
      </c>
      <c r="Q21" s="354">
        <v>45604</v>
      </c>
      <c r="R21" s="355"/>
      <c r="S21" s="353"/>
      <c r="T21" s="353"/>
      <c r="U21" s="421"/>
      <c r="V21" s="529"/>
      <c r="W21" s="532"/>
      <c r="X21" s="254">
        <v>101</v>
      </c>
    </row>
    <row r="22" spans="1:24" s="85" customFormat="1" ht="104.45" customHeight="1" x14ac:dyDescent="0.25">
      <c r="A22" s="463">
        <v>2</v>
      </c>
      <c r="B22" s="416" t="s">
        <v>56</v>
      </c>
      <c r="C22" s="416"/>
      <c r="D22" s="416"/>
      <c r="E22" s="533" t="s">
        <v>192</v>
      </c>
      <c r="F22" s="413" t="s">
        <v>190</v>
      </c>
      <c r="G22" s="416" t="s">
        <v>193</v>
      </c>
      <c r="H22" s="419">
        <v>36000</v>
      </c>
      <c r="I22" s="422">
        <f>IF(X22 = 102, H22 + SUM(S22:S31) - SUM(T22:T31) - SUM(P22:P31) - V22,0)</f>
        <v>6000</v>
      </c>
      <c r="J22" s="416" t="s">
        <v>168</v>
      </c>
      <c r="K22" s="416" t="s">
        <v>150</v>
      </c>
      <c r="L22" s="416"/>
      <c r="M22" s="416" t="s">
        <v>188</v>
      </c>
      <c r="N22" s="356" t="s">
        <v>257</v>
      </c>
      <c r="O22" s="413" t="s">
        <v>194</v>
      </c>
      <c r="P22" s="344">
        <v>3000</v>
      </c>
      <c r="Q22" s="345" t="s">
        <v>262</v>
      </c>
      <c r="R22" s="346"/>
      <c r="S22" s="344"/>
      <c r="T22" s="344"/>
      <c r="U22" s="419"/>
      <c r="V22" s="527"/>
      <c r="W22" s="530"/>
      <c r="X22" s="85">
        <v>102</v>
      </c>
    </row>
    <row r="23" spans="1:24" x14ac:dyDescent="0.25">
      <c r="A23" s="464"/>
      <c r="B23" s="417"/>
      <c r="C23" s="417"/>
      <c r="D23" s="417"/>
      <c r="E23" s="534"/>
      <c r="F23" s="414"/>
      <c r="G23" s="417"/>
      <c r="H23" s="420"/>
      <c r="I23" s="423"/>
      <c r="J23" s="417"/>
      <c r="K23" s="417"/>
      <c r="L23" s="417"/>
      <c r="M23" s="417"/>
      <c r="N23" s="357" t="s">
        <v>312</v>
      </c>
      <c r="O23" s="414"/>
      <c r="P23" s="347">
        <v>3000</v>
      </c>
      <c r="Q23" s="348" t="s">
        <v>316</v>
      </c>
      <c r="R23" s="349"/>
      <c r="S23" s="347"/>
      <c r="T23" s="347"/>
      <c r="U23" s="420"/>
      <c r="V23" s="528"/>
      <c r="W23" s="531"/>
      <c r="X23" s="2">
        <v>102</v>
      </c>
    </row>
    <row r="24" spans="1:24" x14ac:dyDescent="0.25">
      <c r="A24" s="464"/>
      <c r="B24" s="417"/>
      <c r="C24" s="417"/>
      <c r="D24" s="417"/>
      <c r="E24" s="534"/>
      <c r="F24" s="414"/>
      <c r="G24" s="417"/>
      <c r="H24" s="420"/>
      <c r="I24" s="423"/>
      <c r="J24" s="417"/>
      <c r="K24" s="417"/>
      <c r="L24" s="417"/>
      <c r="M24" s="417"/>
      <c r="N24" s="357" t="s">
        <v>402</v>
      </c>
      <c r="O24" s="414"/>
      <c r="P24" s="347">
        <v>3000</v>
      </c>
      <c r="Q24" s="348" t="s">
        <v>404</v>
      </c>
      <c r="R24" s="349"/>
      <c r="S24" s="347"/>
      <c r="T24" s="347"/>
      <c r="U24" s="420"/>
      <c r="V24" s="528"/>
      <c r="W24" s="531"/>
      <c r="X24" s="2">
        <v>102</v>
      </c>
    </row>
    <row r="25" spans="1:24" x14ac:dyDescent="0.25">
      <c r="A25" s="464"/>
      <c r="B25" s="417"/>
      <c r="C25" s="417"/>
      <c r="D25" s="417"/>
      <c r="E25" s="534"/>
      <c r="F25" s="414"/>
      <c r="G25" s="417"/>
      <c r="H25" s="420"/>
      <c r="I25" s="423"/>
      <c r="J25" s="417"/>
      <c r="K25" s="417"/>
      <c r="L25" s="417"/>
      <c r="M25" s="417"/>
      <c r="N25" s="357" t="s">
        <v>454</v>
      </c>
      <c r="O25" s="414"/>
      <c r="P25" s="347">
        <v>3000</v>
      </c>
      <c r="Q25" s="348" t="s">
        <v>455</v>
      </c>
      <c r="R25" s="349"/>
      <c r="S25" s="347"/>
      <c r="T25" s="347"/>
      <c r="U25" s="420"/>
      <c r="V25" s="528"/>
      <c r="W25" s="531"/>
      <c r="X25" s="2">
        <v>102</v>
      </c>
    </row>
    <row r="26" spans="1:24" x14ac:dyDescent="0.25">
      <c r="A26" s="464"/>
      <c r="B26" s="417"/>
      <c r="C26" s="417"/>
      <c r="D26" s="417"/>
      <c r="E26" s="534"/>
      <c r="F26" s="414"/>
      <c r="G26" s="417"/>
      <c r="H26" s="420"/>
      <c r="I26" s="423"/>
      <c r="J26" s="417"/>
      <c r="K26" s="417"/>
      <c r="L26" s="417"/>
      <c r="M26" s="417"/>
      <c r="N26" s="357" t="s">
        <v>468</v>
      </c>
      <c r="O26" s="414"/>
      <c r="P26" s="347">
        <v>3000</v>
      </c>
      <c r="Q26" s="348" t="s">
        <v>506</v>
      </c>
      <c r="R26" s="349"/>
      <c r="S26" s="347"/>
      <c r="T26" s="347"/>
      <c r="U26" s="420"/>
      <c r="V26" s="528"/>
      <c r="W26" s="531"/>
      <c r="X26" s="2">
        <v>102</v>
      </c>
    </row>
    <row r="27" spans="1:24" x14ac:dyDescent="0.25">
      <c r="A27" s="464"/>
      <c r="B27" s="417"/>
      <c r="C27" s="417"/>
      <c r="D27" s="417"/>
      <c r="E27" s="534"/>
      <c r="F27" s="414"/>
      <c r="G27" s="417"/>
      <c r="H27" s="420"/>
      <c r="I27" s="423"/>
      <c r="J27" s="417"/>
      <c r="K27" s="417"/>
      <c r="L27" s="417"/>
      <c r="M27" s="417"/>
      <c r="N27" s="357">
        <v>45473</v>
      </c>
      <c r="O27" s="414"/>
      <c r="P27" s="347">
        <v>3000</v>
      </c>
      <c r="Q27" s="348">
        <v>45476</v>
      </c>
      <c r="R27" s="349"/>
      <c r="S27" s="347"/>
      <c r="T27" s="347"/>
      <c r="U27" s="420"/>
      <c r="V27" s="528"/>
      <c r="W27" s="531"/>
      <c r="X27" s="2">
        <v>102</v>
      </c>
    </row>
    <row r="28" spans="1:24" x14ac:dyDescent="0.25">
      <c r="A28" s="464"/>
      <c r="B28" s="417"/>
      <c r="C28" s="417"/>
      <c r="D28" s="417"/>
      <c r="E28" s="534"/>
      <c r="F28" s="414"/>
      <c r="G28" s="417"/>
      <c r="H28" s="420"/>
      <c r="I28" s="423"/>
      <c r="J28" s="417"/>
      <c r="K28" s="417"/>
      <c r="L28" s="417"/>
      <c r="M28" s="417"/>
      <c r="N28" s="357">
        <v>45504</v>
      </c>
      <c r="O28" s="414"/>
      <c r="P28" s="347">
        <v>3000</v>
      </c>
      <c r="Q28" s="348">
        <v>45509</v>
      </c>
      <c r="R28" s="349"/>
      <c r="S28" s="347"/>
      <c r="T28" s="347"/>
      <c r="U28" s="420"/>
      <c r="V28" s="528"/>
      <c r="W28" s="531"/>
      <c r="X28" s="2">
        <v>102</v>
      </c>
    </row>
    <row r="29" spans="1:24" s="254" customFormat="1" x14ac:dyDescent="0.25">
      <c r="A29" s="464"/>
      <c r="B29" s="417"/>
      <c r="C29" s="417"/>
      <c r="D29" s="417"/>
      <c r="E29" s="534"/>
      <c r="F29" s="414"/>
      <c r="G29" s="417"/>
      <c r="H29" s="420"/>
      <c r="I29" s="423"/>
      <c r="J29" s="417"/>
      <c r="K29" s="417"/>
      <c r="L29" s="417"/>
      <c r="M29" s="417"/>
      <c r="N29" s="358">
        <v>45535</v>
      </c>
      <c r="O29" s="414"/>
      <c r="P29" s="350">
        <v>3000</v>
      </c>
      <c r="Q29" s="351">
        <v>45544</v>
      </c>
      <c r="R29" s="352"/>
      <c r="S29" s="350"/>
      <c r="T29" s="350"/>
      <c r="U29" s="420"/>
      <c r="V29" s="528"/>
      <c r="W29" s="531"/>
      <c r="X29" s="254">
        <v>102</v>
      </c>
    </row>
    <row r="30" spans="1:24" s="254" customFormat="1" x14ac:dyDescent="0.25">
      <c r="A30" s="464"/>
      <c r="B30" s="417"/>
      <c r="C30" s="417"/>
      <c r="D30" s="417"/>
      <c r="E30" s="534"/>
      <c r="F30" s="414"/>
      <c r="G30" s="417"/>
      <c r="H30" s="420"/>
      <c r="I30" s="423"/>
      <c r="J30" s="417"/>
      <c r="K30" s="417"/>
      <c r="L30" s="417"/>
      <c r="M30" s="417"/>
      <c r="N30" s="358">
        <v>45565</v>
      </c>
      <c r="O30" s="414"/>
      <c r="P30" s="350">
        <v>3000</v>
      </c>
      <c r="Q30" s="351">
        <v>45574</v>
      </c>
      <c r="R30" s="352"/>
      <c r="S30" s="350"/>
      <c r="T30" s="350"/>
      <c r="U30" s="420"/>
      <c r="V30" s="528"/>
      <c r="W30" s="531"/>
      <c r="X30" s="254">
        <v>102</v>
      </c>
    </row>
    <row r="31" spans="1:24" s="254" customFormat="1" x14ac:dyDescent="0.25">
      <c r="A31" s="465"/>
      <c r="B31" s="418"/>
      <c r="C31" s="418"/>
      <c r="D31" s="418"/>
      <c r="E31" s="535"/>
      <c r="F31" s="415"/>
      <c r="G31" s="418"/>
      <c r="H31" s="421"/>
      <c r="I31" s="424"/>
      <c r="J31" s="418"/>
      <c r="K31" s="418"/>
      <c r="L31" s="418"/>
      <c r="M31" s="418"/>
      <c r="N31" s="359">
        <v>45596</v>
      </c>
      <c r="O31" s="415"/>
      <c r="P31" s="353">
        <v>3000</v>
      </c>
      <c r="Q31" s="354">
        <v>45604</v>
      </c>
      <c r="R31" s="355"/>
      <c r="S31" s="353"/>
      <c r="T31" s="353"/>
      <c r="U31" s="421"/>
      <c r="V31" s="529"/>
      <c r="W31" s="532"/>
      <c r="X31" s="254">
        <v>102</v>
      </c>
    </row>
    <row r="32" spans="1:24" s="85" customFormat="1" ht="108" customHeight="1" x14ac:dyDescent="0.25">
      <c r="A32" s="463">
        <v>3</v>
      </c>
      <c r="B32" s="416" t="s">
        <v>56</v>
      </c>
      <c r="C32" s="416"/>
      <c r="D32" s="416"/>
      <c r="E32" s="533" t="s">
        <v>195</v>
      </c>
      <c r="F32" s="413" t="s">
        <v>190</v>
      </c>
      <c r="G32" s="416" t="s">
        <v>196</v>
      </c>
      <c r="H32" s="419">
        <v>24000</v>
      </c>
      <c r="I32" s="422">
        <f>IF(X32 = 103, H32 + SUM(S32:S41) - SUM(T32:T41) - SUM(P32:P41) - V32,0)</f>
        <v>4000</v>
      </c>
      <c r="J32" s="416" t="s">
        <v>168</v>
      </c>
      <c r="K32" s="416" t="s">
        <v>150</v>
      </c>
      <c r="L32" s="416"/>
      <c r="M32" s="416" t="s">
        <v>188</v>
      </c>
      <c r="N32" s="356" t="s">
        <v>257</v>
      </c>
      <c r="O32" s="413" t="s">
        <v>194</v>
      </c>
      <c r="P32" s="344">
        <v>2000</v>
      </c>
      <c r="Q32" s="345" t="s">
        <v>262</v>
      </c>
      <c r="R32" s="346"/>
      <c r="S32" s="344"/>
      <c r="T32" s="344"/>
      <c r="U32" s="419"/>
      <c r="V32" s="527"/>
      <c r="W32" s="530"/>
      <c r="X32" s="85">
        <v>103</v>
      </c>
    </row>
    <row r="33" spans="1:24" x14ac:dyDescent="0.25">
      <c r="A33" s="464"/>
      <c r="B33" s="417"/>
      <c r="C33" s="417"/>
      <c r="D33" s="417"/>
      <c r="E33" s="534"/>
      <c r="F33" s="414"/>
      <c r="G33" s="417"/>
      <c r="H33" s="420"/>
      <c r="I33" s="423"/>
      <c r="J33" s="417"/>
      <c r="K33" s="417"/>
      <c r="L33" s="417"/>
      <c r="M33" s="417"/>
      <c r="N33" s="357" t="s">
        <v>312</v>
      </c>
      <c r="O33" s="414"/>
      <c r="P33" s="347">
        <v>2000</v>
      </c>
      <c r="Q33" s="348" t="s">
        <v>316</v>
      </c>
      <c r="R33" s="349"/>
      <c r="S33" s="347"/>
      <c r="T33" s="347"/>
      <c r="U33" s="420"/>
      <c r="V33" s="528"/>
      <c r="W33" s="531"/>
      <c r="X33" s="2">
        <v>103</v>
      </c>
    </row>
    <row r="34" spans="1:24" x14ac:dyDescent="0.25">
      <c r="A34" s="464"/>
      <c r="B34" s="417"/>
      <c r="C34" s="417"/>
      <c r="D34" s="417"/>
      <c r="E34" s="534"/>
      <c r="F34" s="414"/>
      <c r="G34" s="417"/>
      <c r="H34" s="420"/>
      <c r="I34" s="423"/>
      <c r="J34" s="417"/>
      <c r="K34" s="417"/>
      <c r="L34" s="417"/>
      <c r="M34" s="417"/>
      <c r="N34" s="357" t="s">
        <v>402</v>
      </c>
      <c r="O34" s="414"/>
      <c r="P34" s="347">
        <v>2000</v>
      </c>
      <c r="Q34" s="348" t="s">
        <v>404</v>
      </c>
      <c r="R34" s="349"/>
      <c r="S34" s="347"/>
      <c r="T34" s="347"/>
      <c r="U34" s="420"/>
      <c r="V34" s="528"/>
      <c r="W34" s="531"/>
      <c r="X34" s="2">
        <v>103</v>
      </c>
    </row>
    <row r="35" spans="1:24" x14ac:dyDescent="0.25">
      <c r="A35" s="464"/>
      <c r="B35" s="417"/>
      <c r="C35" s="417"/>
      <c r="D35" s="417"/>
      <c r="E35" s="534"/>
      <c r="F35" s="414"/>
      <c r="G35" s="417"/>
      <c r="H35" s="420"/>
      <c r="I35" s="423"/>
      <c r="J35" s="417"/>
      <c r="K35" s="417"/>
      <c r="L35" s="417"/>
      <c r="M35" s="417"/>
      <c r="N35" s="357" t="s">
        <v>454</v>
      </c>
      <c r="O35" s="414"/>
      <c r="P35" s="347">
        <v>2000</v>
      </c>
      <c r="Q35" s="348" t="s">
        <v>455</v>
      </c>
      <c r="R35" s="349"/>
      <c r="S35" s="347"/>
      <c r="T35" s="347"/>
      <c r="U35" s="420"/>
      <c r="V35" s="528"/>
      <c r="W35" s="531"/>
      <c r="X35" s="2">
        <v>103</v>
      </c>
    </row>
    <row r="36" spans="1:24" x14ac:dyDescent="0.25">
      <c r="A36" s="464"/>
      <c r="B36" s="417"/>
      <c r="C36" s="417"/>
      <c r="D36" s="417"/>
      <c r="E36" s="534"/>
      <c r="F36" s="414"/>
      <c r="G36" s="417"/>
      <c r="H36" s="420"/>
      <c r="I36" s="423"/>
      <c r="J36" s="417"/>
      <c r="K36" s="417"/>
      <c r="L36" s="417"/>
      <c r="M36" s="417"/>
      <c r="N36" s="357" t="s">
        <v>468</v>
      </c>
      <c r="O36" s="414"/>
      <c r="P36" s="347">
        <v>2000</v>
      </c>
      <c r="Q36" s="348" t="s">
        <v>506</v>
      </c>
      <c r="R36" s="349"/>
      <c r="S36" s="347"/>
      <c r="T36" s="347"/>
      <c r="U36" s="420"/>
      <c r="V36" s="528"/>
      <c r="W36" s="531"/>
      <c r="X36" s="2">
        <v>103</v>
      </c>
    </row>
    <row r="37" spans="1:24" x14ac:dyDescent="0.25">
      <c r="A37" s="464"/>
      <c r="B37" s="417"/>
      <c r="C37" s="417"/>
      <c r="D37" s="417"/>
      <c r="E37" s="534"/>
      <c r="F37" s="414"/>
      <c r="G37" s="417"/>
      <c r="H37" s="420"/>
      <c r="I37" s="423"/>
      <c r="J37" s="417"/>
      <c r="K37" s="417"/>
      <c r="L37" s="417"/>
      <c r="M37" s="417"/>
      <c r="N37" s="357">
        <v>45473</v>
      </c>
      <c r="O37" s="414"/>
      <c r="P37" s="347">
        <v>2000</v>
      </c>
      <c r="Q37" s="348">
        <v>45476</v>
      </c>
      <c r="R37" s="349"/>
      <c r="S37" s="347"/>
      <c r="T37" s="347"/>
      <c r="U37" s="420"/>
      <c r="V37" s="528"/>
      <c r="W37" s="531"/>
      <c r="X37" s="2">
        <v>103</v>
      </c>
    </row>
    <row r="38" spans="1:24" x14ac:dyDescent="0.25">
      <c r="A38" s="464"/>
      <c r="B38" s="417"/>
      <c r="C38" s="417"/>
      <c r="D38" s="417"/>
      <c r="E38" s="534"/>
      <c r="F38" s="414"/>
      <c r="G38" s="417"/>
      <c r="H38" s="420"/>
      <c r="I38" s="423"/>
      <c r="J38" s="417"/>
      <c r="K38" s="417"/>
      <c r="L38" s="417"/>
      <c r="M38" s="417"/>
      <c r="N38" s="357" t="s">
        <v>547</v>
      </c>
      <c r="O38" s="414"/>
      <c r="P38" s="347">
        <v>2000</v>
      </c>
      <c r="Q38" s="348">
        <v>45509</v>
      </c>
      <c r="R38" s="349"/>
      <c r="S38" s="347"/>
      <c r="T38" s="347"/>
      <c r="U38" s="420"/>
      <c r="V38" s="528"/>
      <c r="W38" s="531"/>
      <c r="X38" s="2">
        <v>103</v>
      </c>
    </row>
    <row r="39" spans="1:24" s="254" customFormat="1" x14ac:dyDescent="0.25">
      <c r="A39" s="464"/>
      <c r="B39" s="417"/>
      <c r="C39" s="417"/>
      <c r="D39" s="417"/>
      <c r="E39" s="534"/>
      <c r="F39" s="414"/>
      <c r="G39" s="417"/>
      <c r="H39" s="420"/>
      <c r="I39" s="423"/>
      <c r="J39" s="417"/>
      <c r="K39" s="417"/>
      <c r="L39" s="417"/>
      <c r="M39" s="417"/>
      <c r="N39" s="358">
        <v>45535</v>
      </c>
      <c r="O39" s="414"/>
      <c r="P39" s="350">
        <v>2000</v>
      </c>
      <c r="Q39" s="351">
        <v>45544</v>
      </c>
      <c r="R39" s="352"/>
      <c r="S39" s="350"/>
      <c r="T39" s="350"/>
      <c r="U39" s="420"/>
      <c r="V39" s="528"/>
      <c r="W39" s="531"/>
      <c r="X39" s="254">
        <v>103</v>
      </c>
    </row>
    <row r="40" spans="1:24" s="254" customFormat="1" x14ac:dyDescent="0.25">
      <c r="A40" s="464"/>
      <c r="B40" s="417"/>
      <c r="C40" s="417"/>
      <c r="D40" s="417"/>
      <c r="E40" s="534"/>
      <c r="F40" s="414"/>
      <c r="G40" s="417"/>
      <c r="H40" s="420"/>
      <c r="I40" s="423"/>
      <c r="J40" s="417"/>
      <c r="K40" s="417"/>
      <c r="L40" s="417"/>
      <c r="M40" s="417"/>
      <c r="N40" s="358">
        <v>45565</v>
      </c>
      <c r="O40" s="414"/>
      <c r="P40" s="350">
        <v>2000</v>
      </c>
      <c r="Q40" s="351">
        <v>45574</v>
      </c>
      <c r="R40" s="352"/>
      <c r="S40" s="350"/>
      <c r="T40" s="350"/>
      <c r="U40" s="420"/>
      <c r="V40" s="528"/>
      <c r="W40" s="531"/>
      <c r="X40" s="254">
        <v>103</v>
      </c>
    </row>
    <row r="41" spans="1:24" s="254" customFormat="1" x14ac:dyDescent="0.25">
      <c r="A41" s="465"/>
      <c r="B41" s="418"/>
      <c r="C41" s="418"/>
      <c r="D41" s="418"/>
      <c r="E41" s="535"/>
      <c r="F41" s="415"/>
      <c r="G41" s="418"/>
      <c r="H41" s="421"/>
      <c r="I41" s="424"/>
      <c r="J41" s="418"/>
      <c r="K41" s="418"/>
      <c r="L41" s="418"/>
      <c r="M41" s="418"/>
      <c r="N41" s="359">
        <v>45596</v>
      </c>
      <c r="O41" s="415"/>
      <c r="P41" s="353">
        <v>2000</v>
      </c>
      <c r="Q41" s="354">
        <v>45604</v>
      </c>
      <c r="R41" s="355"/>
      <c r="S41" s="353"/>
      <c r="T41" s="353"/>
      <c r="U41" s="421"/>
      <c r="V41" s="529"/>
      <c r="W41" s="532"/>
      <c r="X41" s="254">
        <v>103</v>
      </c>
    </row>
    <row r="42" spans="1:24" s="85" customFormat="1" ht="94.9" customHeight="1" x14ac:dyDescent="0.25">
      <c r="A42" s="481">
        <v>4</v>
      </c>
      <c r="B42" s="428" t="s">
        <v>56</v>
      </c>
      <c r="C42" s="428"/>
      <c r="D42" s="428"/>
      <c r="E42" s="431" t="s">
        <v>217</v>
      </c>
      <c r="F42" s="434" t="s">
        <v>212</v>
      </c>
      <c r="G42" s="428" t="s">
        <v>216</v>
      </c>
      <c r="H42" s="437">
        <v>7200</v>
      </c>
      <c r="I42" s="440">
        <f>IF(X42 = 104, H42 + SUM(S42:S44) - SUM(T42:T44) - SUM(P42:P44) - V42,0)</f>
        <v>1800</v>
      </c>
      <c r="J42" s="428" t="s">
        <v>169</v>
      </c>
      <c r="K42" s="428" t="s">
        <v>170</v>
      </c>
      <c r="L42" s="428"/>
      <c r="M42" s="428" t="s">
        <v>188</v>
      </c>
      <c r="N42" s="303" t="s">
        <v>402</v>
      </c>
      <c r="O42" s="434" t="s">
        <v>218</v>
      </c>
      <c r="P42" s="287">
        <v>1800</v>
      </c>
      <c r="Q42" s="288" t="s">
        <v>404</v>
      </c>
      <c r="R42" s="289"/>
      <c r="S42" s="287"/>
      <c r="T42" s="287"/>
      <c r="U42" s="437"/>
      <c r="V42" s="443"/>
      <c r="W42" s="425"/>
      <c r="X42" s="85">
        <v>104</v>
      </c>
    </row>
    <row r="43" spans="1:24" x14ac:dyDescent="0.25">
      <c r="A43" s="482"/>
      <c r="B43" s="429"/>
      <c r="C43" s="429"/>
      <c r="D43" s="429"/>
      <c r="E43" s="432"/>
      <c r="F43" s="435"/>
      <c r="G43" s="429"/>
      <c r="H43" s="438"/>
      <c r="I43" s="441"/>
      <c r="J43" s="429"/>
      <c r="K43" s="429"/>
      <c r="L43" s="429"/>
      <c r="M43" s="429"/>
      <c r="N43" s="304">
        <v>45473</v>
      </c>
      <c r="O43" s="435"/>
      <c r="P43" s="291">
        <v>1800</v>
      </c>
      <c r="Q43" s="290">
        <v>45475</v>
      </c>
      <c r="R43" s="292"/>
      <c r="S43" s="291"/>
      <c r="T43" s="291"/>
      <c r="U43" s="438"/>
      <c r="V43" s="444"/>
      <c r="W43" s="426"/>
      <c r="X43" s="2">
        <v>104</v>
      </c>
    </row>
    <row r="44" spans="1:24" s="254" customFormat="1" x14ac:dyDescent="0.25">
      <c r="A44" s="483"/>
      <c r="B44" s="430"/>
      <c r="C44" s="430"/>
      <c r="D44" s="430"/>
      <c r="E44" s="433"/>
      <c r="F44" s="436"/>
      <c r="G44" s="430"/>
      <c r="H44" s="439"/>
      <c r="I44" s="442"/>
      <c r="J44" s="430"/>
      <c r="K44" s="430"/>
      <c r="L44" s="430"/>
      <c r="M44" s="430"/>
      <c r="N44" s="305">
        <v>45565</v>
      </c>
      <c r="O44" s="436"/>
      <c r="P44" s="299">
        <v>1800</v>
      </c>
      <c r="Q44" s="298">
        <v>45568</v>
      </c>
      <c r="R44" s="300"/>
      <c r="S44" s="299"/>
      <c r="T44" s="299"/>
      <c r="U44" s="439"/>
      <c r="V44" s="445"/>
      <c r="W44" s="427"/>
      <c r="X44" s="254">
        <v>104</v>
      </c>
    </row>
    <row r="45" spans="1:24" s="85" customFormat="1" ht="76.900000000000006" customHeight="1" x14ac:dyDescent="0.25">
      <c r="A45" s="484">
        <v>5</v>
      </c>
      <c r="B45" s="460" t="s">
        <v>56</v>
      </c>
      <c r="C45" s="460"/>
      <c r="D45" s="460"/>
      <c r="E45" s="504" t="s">
        <v>219</v>
      </c>
      <c r="F45" s="487" t="s">
        <v>220</v>
      </c>
      <c r="G45" s="460" t="s">
        <v>221</v>
      </c>
      <c r="H45" s="498">
        <v>72000</v>
      </c>
      <c r="I45" s="506">
        <f>IF(X45 = 105, H45 + SUM(S45:S52) - SUM(T45:T52) - SUM(P45:P52) - V45,0)</f>
        <v>24000</v>
      </c>
      <c r="J45" s="460" t="s">
        <v>222</v>
      </c>
      <c r="K45" s="460" t="s">
        <v>223</v>
      </c>
      <c r="L45" s="460"/>
      <c r="M45" s="460" t="s">
        <v>188</v>
      </c>
      <c r="N45" s="264" t="s">
        <v>257</v>
      </c>
      <c r="O45" s="487" t="s">
        <v>172</v>
      </c>
      <c r="P45" s="255">
        <v>6000</v>
      </c>
      <c r="Q45" s="256" t="s">
        <v>270</v>
      </c>
      <c r="R45" s="257"/>
      <c r="S45" s="255"/>
      <c r="T45" s="255"/>
      <c r="U45" s="498"/>
      <c r="V45" s="500"/>
      <c r="W45" s="502"/>
      <c r="X45" s="85">
        <v>105</v>
      </c>
    </row>
    <row r="46" spans="1:24" x14ac:dyDescent="0.25">
      <c r="A46" s="485"/>
      <c r="B46" s="461"/>
      <c r="C46" s="461"/>
      <c r="D46" s="461"/>
      <c r="E46" s="509"/>
      <c r="F46" s="488"/>
      <c r="G46" s="461"/>
      <c r="H46" s="510"/>
      <c r="I46" s="511"/>
      <c r="J46" s="461"/>
      <c r="K46" s="461"/>
      <c r="L46" s="461"/>
      <c r="M46" s="461"/>
      <c r="N46" s="265" t="s">
        <v>312</v>
      </c>
      <c r="O46" s="488"/>
      <c r="P46" s="258">
        <v>6000</v>
      </c>
      <c r="Q46" s="259" t="s">
        <v>313</v>
      </c>
      <c r="R46" s="260"/>
      <c r="S46" s="258"/>
      <c r="T46" s="258"/>
      <c r="U46" s="510"/>
      <c r="V46" s="512"/>
      <c r="W46" s="508"/>
      <c r="X46" s="2">
        <v>105</v>
      </c>
    </row>
    <row r="47" spans="1:24" x14ac:dyDescent="0.25">
      <c r="A47" s="485"/>
      <c r="B47" s="461"/>
      <c r="C47" s="461"/>
      <c r="D47" s="461"/>
      <c r="E47" s="509"/>
      <c r="F47" s="488"/>
      <c r="G47" s="461"/>
      <c r="H47" s="510"/>
      <c r="I47" s="511"/>
      <c r="J47" s="461"/>
      <c r="K47" s="461"/>
      <c r="L47" s="461"/>
      <c r="M47" s="461"/>
      <c r="N47" s="265" t="s">
        <v>402</v>
      </c>
      <c r="O47" s="488"/>
      <c r="P47" s="258">
        <v>6000</v>
      </c>
      <c r="Q47" s="259" t="s">
        <v>405</v>
      </c>
      <c r="R47" s="260"/>
      <c r="S47" s="258"/>
      <c r="T47" s="258"/>
      <c r="U47" s="510"/>
      <c r="V47" s="512"/>
      <c r="W47" s="508"/>
      <c r="X47" s="2">
        <v>105</v>
      </c>
    </row>
    <row r="48" spans="1:24" x14ac:dyDescent="0.25">
      <c r="A48" s="485"/>
      <c r="B48" s="461"/>
      <c r="C48" s="461"/>
      <c r="D48" s="461"/>
      <c r="E48" s="509"/>
      <c r="F48" s="488"/>
      <c r="G48" s="461"/>
      <c r="H48" s="510"/>
      <c r="I48" s="511"/>
      <c r="J48" s="461"/>
      <c r="K48" s="461"/>
      <c r="L48" s="461"/>
      <c r="M48" s="461"/>
      <c r="N48" s="265" t="s">
        <v>454</v>
      </c>
      <c r="O48" s="488"/>
      <c r="P48" s="258">
        <v>6000</v>
      </c>
      <c r="Q48" s="259" t="s">
        <v>461</v>
      </c>
      <c r="R48" s="260"/>
      <c r="S48" s="258"/>
      <c r="T48" s="258"/>
      <c r="U48" s="510"/>
      <c r="V48" s="512"/>
      <c r="W48" s="508"/>
      <c r="X48" s="2">
        <v>105</v>
      </c>
    </row>
    <row r="49" spans="1:24" x14ac:dyDescent="0.25">
      <c r="A49" s="485"/>
      <c r="B49" s="461"/>
      <c r="C49" s="461"/>
      <c r="D49" s="461"/>
      <c r="E49" s="509"/>
      <c r="F49" s="488"/>
      <c r="G49" s="461"/>
      <c r="H49" s="510"/>
      <c r="I49" s="511"/>
      <c r="J49" s="461"/>
      <c r="K49" s="461"/>
      <c r="L49" s="461"/>
      <c r="M49" s="461"/>
      <c r="N49" s="265" t="s">
        <v>468</v>
      </c>
      <c r="O49" s="488"/>
      <c r="P49" s="258">
        <v>6000</v>
      </c>
      <c r="Q49" s="259" t="s">
        <v>507</v>
      </c>
      <c r="R49" s="260"/>
      <c r="S49" s="258"/>
      <c r="T49" s="258"/>
      <c r="U49" s="510"/>
      <c r="V49" s="512"/>
      <c r="W49" s="508"/>
      <c r="X49" s="2">
        <v>105</v>
      </c>
    </row>
    <row r="50" spans="1:24" x14ac:dyDescent="0.25">
      <c r="A50" s="485"/>
      <c r="B50" s="461"/>
      <c r="C50" s="461"/>
      <c r="D50" s="461"/>
      <c r="E50" s="509"/>
      <c r="F50" s="488"/>
      <c r="G50" s="461"/>
      <c r="H50" s="510"/>
      <c r="I50" s="511"/>
      <c r="J50" s="461"/>
      <c r="K50" s="461"/>
      <c r="L50" s="461"/>
      <c r="M50" s="461"/>
      <c r="N50" s="265">
        <v>45473</v>
      </c>
      <c r="O50" s="488"/>
      <c r="P50" s="258">
        <v>6000</v>
      </c>
      <c r="Q50" s="259">
        <v>45484</v>
      </c>
      <c r="R50" s="260"/>
      <c r="S50" s="258"/>
      <c r="T50" s="258"/>
      <c r="U50" s="510"/>
      <c r="V50" s="512"/>
      <c r="W50" s="508"/>
      <c r="X50" s="2">
        <v>105</v>
      </c>
    </row>
    <row r="51" spans="1:24" x14ac:dyDescent="0.25">
      <c r="A51" s="485"/>
      <c r="B51" s="461"/>
      <c r="C51" s="461"/>
      <c r="D51" s="461"/>
      <c r="E51" s="509"/>
      <c r="F51" s="488"/>
      <c r="G51" s="461"/>
      <c r="H51" s="510"/>
      <c r="I51" s="511"/>
      <c r="J51" s="461"/>
      <c r="K51" s="461"/>
      <c r="L51" s="461"/>
      <c r="M51" s="461"/>
      <c r="N51" s="265">
        <v>45504</v>
      </c>
      <c r="O51" s="488"/>
      <c r="P51" s="258">
        <v>6000</v>
      </c>
      <c r="Q51" s="259">
        <v>45526</v>
      </c>
      <c r="R51" s="260"/>
      <c r="S51" s="258"/>
      <c r="T51" s="258"/>
      <c r="U51" s="510"/>
      <c r="V51" s="512"/>
      <c r="W51" s="508"/>
      <c r="X51" s="2">
        <v>105</v>
      </c>
    </row>
    <row r="52" spans="1:24" s="254" customFormat="1" x14ac:dyDescent="0.25">
      <c r="A52" s="486"/>
      <c r="B52" s="462"/>
      <c r="C52" s="462"/>
      <c r="D52" s="462"/>
      <c r="E52" s="505"/>
      <c r="F52" s="489"/>
      <c r="G52" s="462"/>
      <c r="H52" s="499"/>
      <c r="I52" s="507"/>
      <c r="J52" s="462"/>
      <c r="K52" s="462"/>
      <c r="L52" s="462"/>
      <c r="M52" s="462"/>
      <c r="N52" s="266">
        <v>45535</v>
      </c>
      <c r="O52" s="489"/>
      <c r="P52" s="261">
        <v>6000</v>
      </c>
      <c r="Q52" s="262">
        <v>45561</v>
      </c>
      <c r="R52" s="263"/>
      <c r="S52" s="261"/>
      <c r="T52" s="261"/>
      <c r="U52" s="499"/>
      <c r="V52" s="501"/>
      <c r="W52" s="503"/>
      <c r="X52" s="254">
        <v>105</v>
      </c>
    </row>
    <row r="53" spans="1:24" s="85" customFormat="1" ht="76.900000000000006" customHeight="1" x14ac:dyDescent="0.25">
      <c r="A53" s="96">
        <v>6</v>
      </c>
      <c r="B53" s="97" t="s">
        <v>56</v>
      </c>
      <c r="C53" s="97"/>
      <c r="D53" s="97"/>
      <c r="E53" s="98" t="s">
        <v>234</v>
      </c>
      <c r="F53" s="103" t="s">
        <v>220</v>
      </c>
      <c r="G53" s="97" t="s">
        <v>235</v>
      </c>
      <c r="H53" s="99">
        <v>8000</v>
      </c>
      <c r="I53" s="100">
        <f>IF(X53 = 107, H53 + SUM(S53:S53) - SUM(T53:T53) - SUM(P53:P53) - V53,0)</f>
        <v>0</v>
      </c>
      <c r="J53" s="97" t="s">
        <v>174</v>
      </c>
      <c r="K53" s="97" t="s">
        <v>175</v>
      </c>
      <c r="L53" s="97"/>
      <c r="M53" s="97" t="s">
        <v>236</v>
      </c>
      <c r="N53" s="103" t="s">
        <v>266</v>
      </c>
      <c r="O53" s="103" t="s">
        <v>305</v>
      </c>
      <c r="P53" s="99">
        <v>8000</v>
      </c>
      <c r="Q53" s="98" t="s">
        <v>268</v>
      </c>
      <c r="R53" s="97"/>
      <c r="S53" s="99"/>
      <c r="T53" s="99"/>
      <c r="U53" s="99"/>
      <c r="V53" s="102"/>
      <c r="W53" s="101"/>
      <c r="X53" s="85">
        <v>107</v>
      </c>
    </row>
    <row r="54" spans="1:24" s="85" customFormat="1" ht="168.75" x14ac:dyDescent="0.25">
      <c r="A54" s="96">
        <v>7</v>
      </c>
      <c r="B54" s="97" t="s">
        <v>56</v>
      </c>
      <c r="C54" s="97"/>
      <c r="D54" s="97"/>
      <c r="E54" s="98" t="s">
        <v>237</v>
      </c>
      <c r="F54" s="103" t="s">
        <v>238</v>
      </c>
      <c r="G54" s="97" t="s">
        <v>239</v>
      </c>
      <c r="H54" s="99">
        <v>14450</v>
      </c>
      <c r="I54" s="100">
        <f>IF(X54 = 108, H54 + SUM(S54:S54) - SUM(T54:T54) - SUM(P54:P54) - V54,0)</f>
        <v>0</v>
      </c>
      <c r="J54" s="97" t="s">
        <v>240</v>
      </c>
      <c r="K54" s="97" t="s">
        <v>241</v>
      </c>
      <c r="L54" s="97"/>
      <c r="M54" s="97" t="s">
        <v>242</v>
      </c>
      <c r="N54" s="103" t="s">
        <v>267</v>
      </c>
      <c r="O54" s="103" t="s">
        <v>243</v>
      </c>
      <c r="P54" s="99">
        <v>14450</v>
      </c>
      <c r="Q54" s="98" t="s">
        <v>266</v>
      </c>
      <c r="R54" s="97"/>
      <c r="S54" s="99"/>
      <c r="T54" s="99"/>
      <c r="U54" s="99"/>
      <c r="V54" s="102"/>
      <c r="W54" s="101"/>
      <c r="X54" s="85">
        <v>108</v>
      </c>
    </row>
    <row r="55" spans="1:24" s="85" customFormat="1" ht="93.75" x14ac:dyDescent="0.25">
      <c r="A55" s="96">
        <v>8</v>
      </c>
      <c r="B55" s="97" t="s">
        <v>56</v>
      </c>
      <c r="C55" s="97"/>
      <c r="D55" s="97"/>
      <c r="E55" s="98" t="s">
        <v>244</v>
      </c>
      <c r="F55" s="103" t="s">
        <v>245</v>
      </c>
      <c r="G55" s="97" t="s">
        <v>246</v>
      </c>
      <c r="H55" s="99">
        <v>3230</v>
      </c>
      <c r="I55" s="100">
        <f>IF(X55 = 109, H55 + SUM(S55:S55) - SUM(T55:T55) - SUM(P55:P55) - V55,0)</f>
        <v>0</v>
      </c>
      <c r="J55" s="97" t="s">
        <v>168</v>
      </c>
      <c r="K55" s="97" t="s">
        <v>150</v>
      </c>
      <c r="L55" s="97"/>
      <c r="M55" s="97" t="s">
        <v>247</v>
      </c>
      <c r="N55" s="103" t="s">
        <v>261</v>
      </c>
      <c r="O55" s="103" t="s">
        <v>218</v>
      </c>
      <c r="P55" s="99">
        <v>3230</v>
      </c>
      <c r="Q55" s="98" t="s">
        <v>269</v>
      </c>
      <c r="R55" s="97"/>
      <c r="S55" s="99"/>
      <c r="T55" s="99"/>
      <c r="U55" s="99"/>
      <c r="V55" s="102"/>
      <c r="W55" s="101"/>
      <c r="X55" s="85">
        <v>109</v>
      </c>
    </row>
    <row r="56" spans="1:24" s="85" customFormat="1" ht="168.75" x14ac:dyDescent="0.25">
      <c r="A56" s="104">
        <v>9</v>
      </c>
      <c r="B56" s="105" t="s">
        <v>56</v>
      </c>
      <c r="C56" s="105"/>
      <c r="D56" s="105"/>
      <c r="E56" s="109" t="s">
        <v>254</v>
      </c>
      <c r="F56" s="110" t="s">
        <v>253</v>
      </c>
      <c r="G56" s="105" t="s">
        <v>239</v>
      </c>
      <c r="H56" s="106">
        <v>17300</v>
      </c>
      <c r="I56" s="107">
        <f>IF(X56 = 111, H56 + SUM(S56:S56) - SUM(T56:T56) - SUM(P56:P56) - V56,0)</f>
        <v>0</v>
      </c>
      <c r="J56" s="105" t="s">
        <v>240</v>
      </c>
      <c r="K56" s="105" t="s">
        <v>241</v>
      </c>
      <c r="L56" s="105"/>
      <c r="M56" s="105" t="s">
        <v>255</v>
      </c>
      <c r="N56" s="110" t="s">
        <v>262</v>
      </c>
      <c r="O56" s="110" t="s">
        <v>243</v>
      </c>
      <c r="P56" s="106">
        <v>17300</v>
      </c>
      <c r="Q56" s="109" t="s">
        <v>270</v>
      </c>
      <c r="R56" s="105"/>
      <c r="S56" s="106"/>
      <c r="T56" s="106"/>
      <c r="U56" s="106"/>
      <c r="V56" s="111"/>
      <c r="W56" s="108"/>
      <c r="X56" s="85">
        <v>111</v>
      </c>
    </row>
    <row r="57" spans="1:24" s="85" customFormat="1" ht="168.75" x14ac:dyDescent="0.25">
      <c r="A57" s="113">
        <v>10</v>
      </c>
      <c r="B57" s="114" t="s">
        <v>56</v>
      </c>
      <c r="C57" s="114"/>
      <c r="D57" s="114"/>
      <c r="E57" s="115" t="s">
        <v>275</v>
      </c>
      <c r="F57" s="121" t="s">
        <v>276</v>
      </c>
      <c r="G57" s="114" t="s">
        <v>239</v>
      </c>
      <c r="H57" s="116">
        <v>5800</v>
      </c>
      <c r="I57" s="117">
        <f>IF(X57 = 112, H57 + SUM(S57:S57) - SUM(T57:T57) - SUM(P57:P57) - V57,0)</f>
        <v>0</v>
      </c>
      <c r="J57" s="114" t="s">
        <v>240</v>
      </c>
      <c r="K57" s="114" t="s">
        <v>241</v>
      </c>
      <c r="L57" s="114"/>
      <c r="M57" s="114" t="s">
        <v>282</v>
      </c>
      <c r="N57" s="121" t="s">
        <v>272</v>
      </c>
      <c r="O57" s="121" t="s">
        <v>243</v>
      </c>
      <c r="P57" s="116">
        <v>5800</v>
      </c>
      <c r="Q57" s="115" t="s">
        <v>314</v>
      </c>
      <c r="R57" s="114"/>
      <c r="S57" s="116"/>
      <c r="T57" s="116"/>
      <c r="U57" s="116"/>
      <c r="V57" s="122"/>
      <c r="W57" s="112"/>
      <c r="X57" s="85">
        <v>112</v>
      </c>
    </row>
    <row r="58" spans="1:24" s="85" customFormat="1" ht="168.75" x14ac:dyDescent="0.25">
      <c r="A58" s="113">
        <v>11</v>
      </c>
      <c r="B58" s="114" t="s">
        <v>56</v>
      </c>
      <c r="C58" s="114"/>
      <c r="D58" s="114"/>
      <c r="E58" s="115" t="s">
        <v>283</v>
      </c>
      <c r="F58" s="121" t="s">
        <v>276</v>
      </c>
      <c r="G58" s="114" t="s">
        <v>284</v>
      </c>
      <c r="H58" s="116">
        <v>3500</v>
      </c>
      <c r="I58" s="117">
        <f>IF(X58 = 113, H58 + SUM(S58:S58) - SUM(T58:T58) - SUM(P58:P58) - V58,0)</f>
        <v>0</v>
      </c>
      <c r="J58" s="114" t="s">
        <v>285</v>
      </c>
      <c r="K58" s="114" t="s">
        <v>286</v>
      </c>
      <c r="L58" s="114"/>
      <c r="M58" s="114" t="s">
        <v>282</v>
      </c>
      <c r="N58" s="121" t="s">
        <v>319</v>
      </c>
      <c r="O58" s="121" t="s">
        <v>287</v>
      </c>
      <c r="P58" s="116">
        <v>3500</v>
      </c>
      <c r="Q58" s="115" t="s">
        <v>318</v>
      </c>
      <c r="R58" s="114"/>
      <c r="S58" s="116"/>
      <c r="T58" s="116"/>
      <c r="U58" s="116"/>
      <c r="V58" s="122"/>
      <c r="W58" s="112"/>
      <c r="X58" s="85">
        <v>113</v>
      </c>
    </row>
    <row r="59" spans="1:24" s="85" customFormat="1" ht="123.6" customHeight="1" x14ac:dyDescent="0.25">
      <c r="A59" s="463">
        <v>12</v>
      </c>
      <c r="B59" s="416" t="s">
        <v>56</v>
      </c>
      <c r="C59" s="416"/>
      <c r="D59" s="416"/>
      <c r="E59" s="533" t="s">
        <v>301</v>
      </c>
      <c r="F59" s="413" t="s">
        <v>296</v>
      </c>
      <c r="G59" s="416" t="s">
        <v>303</v>
      </c>
      <c r="H59" s="419">
        <v>6348</v>
      </c>
      <c r="I59" s="422">
        <f>IF(X59 = 114, H59 + SUM(S59:S66) - SUM(T59:T66) - SUM(P59:P66) - V59,0)</f>
        <v>3018</v>
      </c>
      <c r="J59" s="416" t="s">
        <v>304</v>
      </c>
      <c r="K59" s="416" t="s">
        <v>302</v>
      </c>
      <c r="L59" s="416"/>
      <c r="M59" s="416" t="s">
        <v>299</v>
      </c>
      <c r="N59" s="356" t="s">
        <v>402</v>
      </c>
      <c r="O59" s="413" t="s">
        <v>307</v>
      </c>
      <c r="P59" s="344">
        <v>1566</v>
      </c>
      <c r="Q59" s="345" t="s">
        <v>405</v>
      </c>
      <c r="R59" s="346"/>
      <c r="S59" s="344"/>
      <c r="T59" s="344"/>
      <c r="U59" s="419"/>
      <c r="V59" s="527"/>
      <c r="W59" s="530"/>
      <c r="X59" s="85">
        <v>114</v>
      </c>
    </row>
    <row r="60" spans="1:24" x14ac:dyDescent="0.25">
      <c r="A60" s="464"/>
      <c r="B60" s="417"/>
      <c r="C60" s="417"/>
      <c r="D60" s="417"/>
      <c r="E60" s="534"/>
      <c r="F60" s="414"/>
      <c r="G60" s="417"/>
      <c r="H60" s="420"/>
      <c r="I60" s="423"/>
      <c r="J60" s="417"/>
      <c r="K60" s="417"/>
      <c r="L60" s="417"/>
      <c r="M60" s="417"/>
      <c r="N60" s="357" t="s">
        <v>454</v>
      </c>
      <c r="O60" s="414"/>
      <c r="P60" s="347">
        <v>252</v>
      </c>
      <c r="Q60" s="348" t="s">
        <v>458</v>
      </c>
      <c r="R60" s="349"/>
      <c r="S60" s="347"/>
      <c r="T60" s="347"/>
      <c r="U60" s="420"/>
      <c r="V60" s="528"/>
      <c r="W60" s="531"/>
      <c r="X60" s="2">
        <v>114</v>
      </c>
    </row>
    <row r="61" spans="1:24" x14ac:dyDescent="0.25">
      <c r="A61" s="464"/>
      <c r="B61" s="417"/>
      <c r="C61" s="417"/>
      <c r="D61" s="417"/>
      <c r="E61" s="534"/>
      <c r="F61" s="414"/>
      <c r="G61" s="417"/>
      <c r="H61" s="420"/>
      <c r="I61" s="423"/>
      <c r="J61" s="417"/>
      <c r="K61" s="417"/>
      <c r="L61" s="417"/>
      <c r="M61" s="417"/>
      <c r="N61" s="357" t="s">
        <v>468</v>
      </c>
      <c r="O61" s="414"/>
      <c r="P61" s="347">
        <v>252</v>
      </c>
      <c r="Q61" s="348" t="s">
        <v>508</v>
      </c>
      <c r="R61" s="349"/>
      <c r="S61" s="347"/>
      <c r="T61" s="347"/>
      <c r="U61" s="420"/>
      <c r="V61" s="528"/>
      <c r="W61" s="531"/>
      <c r="X61" s="2">
        <v>114</v>
      </c>
    </row>
    <row r="62" spans="1:24" x14ac:dyDescent="0.25">
      <c r="A62" s="464"/>
      <c r="B62" s="417"/>
      <c r="C62" s="417"/>
      <c r="D62" s="417"/>
      <c r="E62" s="534"/>
      <c r="F62" s="414"/>
      <c r="G62" s="417"/>
      <c r="H62" s="420"/>
      <c r="I62" s="423"/>
      <c r="J62" s="417"/>
      <c r="K62" s="417"/>
      <c r="L62" s="417"/>
      <c r="M62" s="417"/>
      <c r="N62" s="357">
        <v>45473</v>
      </c>
      <c r="O62" s="414"/>
      <c r="P62" s="347">
        <v>252</v>
      </c>
      <c r="Q62" s="348">
        <v>45482</v>
      </c>
      <c r="R62" s="349"/>
      <c r="S62" s="347"/>
      <c r="T62" s="347"/>
      <c r="U62" s="420"/>
      <c r="V62" s="528"/>
      <c r="W62" s="531"/>
      <c r="X62" s="2">
        <v>114</v>
      </c>
    </row>
    <row r="63" spans="1:24" x14ac:dyDescent="0.25">
      <c r="A63" s="464"/>
      <c r="B63" s="417"/>
      <c r="C63" s="417"/>
      <c r="D63" s="417"/>
      <c r="E63" s="534"/>
      <c r="F63" s="414"/>
      <c r="G63" s="417"/>
      <c r="H63" s="420"/>
      <c r="I63" s="423"/>
      <c r="J63" s="417"/>
      <c r="K63" s="417"/>
      <c r="L63" s="417"/>
      <c r="M63" s="417"/>
      <c r="N63" s="357">
        <v>45504</v>
      </c>
      <c r="O63" s="414"/>
      <c r="P63" s="347">
        <v>252</v>
      </c>
      <c r="Q63" s="348">
        <v>45518</v>
      </c>
      <c r="R63" s="349"/>
      <c r="S63" s="347"/>
      <c r="T63" s="347"/>
      <c r="U63" s="420"/>
      <c r="V63" s="528"/>
      <c r="W63" s="531"/>
      <c r="X63" s="2">
        <v>114</v>
      </c>
    </row>
    <row r="64" spans="1:24" s="254" customFormat="1" x14ac:dyDescent="0.25">
      <c r="A64" s="464"/>
      <c r="B64" s="417"/>
      <c r="C64" s="417"/>
      <c r="D64" s="417"/>
      <c r="E64" s="534"/>
      <c r="F64" s="414"/>
      <c r="G64" s="417"/>
      <c r="H64" s="420"/>
      <c r="I64" s="423"/>
      <c r="J64" s="417"/>
      <c r="K64" s="417"/>
      <c r="L64" s="417"/>
      <c r="M64" s="417"/>
      <c r="N64" s="358">
        <v>45535</v>
      </c>
      <c r="O64" s="414"/>
      <c r="P64" s="350">
        <v>252</v>
      </c>
      <c r="Q64" s="351">
        <v>45551</v>
      </c>
      <c r="R64" s="352"/>
      <c r="S64" s="350"/>
      <c r="T64" s="350"/>
      <c r="U64" s="420"/>
      <c r="V64" s="528"/>
      <c r="W64" s="531"/>
      <c r="X64" s="254">
        <v>114</v>
      </c>
    </row>
    <row r="65" spans="1:24" s="254" customFormat="1" x14ac:dyDescent="0.25">
      <c r="A65" s="464"/>
      <c r="B65" s="417"/>
      <c r="C65" s="417"/>
      <c r="D65" s="417"/>
      <c r="E65" s="534"/>
      <c r="F65" s="414"/>
      <c r="G65" s="417"/>
      <c r="H65" s="420"/>
      <c r="I65" s="423"/>
      <c r="J65" s="417"/>
      <c r="K65" s="417"/>
      <c r="L65" s="417"/>
      <c r="M65" s="417"/>
      <c r="N65" s="358">
        <v>45565</v>
      </c>
      <c r="O65" s="414"/>
      <c r="P65" s="350">
        <v>252</v>
      </c>
      <c r="Q65" s="351">
        <v>45582</v>
      </c>
      <c r="R65" s="352"/>
      <c r="S65" s="350"/>
      <c r="T65" s="350"/>
      <c r="U65" s="420"/>
      <c r="V65" s="528"/>
      <c r="W65" s="531"/>
      <c r="X65" s="254">
        <v>114</v>
      </c>
    </row>
    <row r="66" spans="1:24" s="254" customFormat="1" x14ac:dyDescent="0.25">
      <c r="A66" s="465"/>
      <c r="B66" s="418"/>
      <c r="C66" s="418"/>
      <c r="D66" s="418"/>
      <c r="E66" s="535"/>
      <c r="F66" s="415"/>
      <c r="G66" s="418"/>
      <c r="H66" s="421"/>
      <c r="I66" s="424"/>
      <c r="J66" s="418"/>
      <c r="K66" s="418"/>
      <c r="L66" s="418"/>
      <c r="M66" s="418"/>
      <c r="N66" s="359">
        <v>45596</v>
      </c>
      <c r="O66" s="415"/>
      <c r="P66" s="353">
        <v>252</v>
      </c>
      <c r="Q66" s="354">
        <v>45611</v>
      </c>
      <c r="R66" s="355"/>
      <c r="S66" s="353"/>
      <c r="T66" s="353"/>
      <c r="U66" s="421"/>
      <c r="V66" s="529"/>
      <c r="W66" s="532"/>
      <c r="X66" s="254">
        <v>114</v>
      </c>
    </row>
    <row r="67" spans="1:24" s="85" customFormat="1" ht="147.6" customHeight="1" x14ac:dyDescent="0.25">
      <c r="A67" s="113">
        <v>13</v>
      </c>
      <c r="B67" s="114" t="s">
        <v>56</v>
      </c>
      <c r="C67" s="114"/>
      <c r="D67" s="114"/>
      <c r="E67" s="115" t="s">
        <v>306</v>
      </c>
      <c r="F67" s="121" t="s">
        <v>296</v>
      </c>
      <c r="G67" s="114" t="s">
        <v>239</v>
      </c>
      <c r="H67" s="116">
        <v>14280</v>
      </c>
      <c r="I67" s="117">
        <f>IF(X67 = 115, H67 + SUM(S67:S67) - SUM(T67:T67) - SUM(P67:P67) - V67,0)</f>
        <v>0</v>
      </c>
      <c r="J67" s="114" t="s">
        <v>240</v>
      </c>
      <c r="K67" s="114" t="s">
        <v>241</v>
      </c>
      <c r="L67" s="114"/>
      <c r="M67" s="114" t="s">
        <v>299</v>
      </c>
      <c r="N67" s="121" t="s">
        <v>315</v>
      </c>
      <c r="O67" s="121" t="s">
        <v>243</v>
      </c>
      <c r="P67" s="116">
        <v>14280</v>
      </c>
      <c r="Q67" s="115" t="s">
        <v>314</v>
      </c>
      <c r="R67" s="114"/>
      <c r="S67" s="116"/>
      <c r="T67" s="116"/>
      <c r="U67" s="116"/>
      <c r="V67" s="122"/>
      <c r="W67" s="112"/>
      <c r="X67" s="85">
        <v>115</v>
      </c>
    </row>
    <row r="68" spans="1:24" s="85" customFormat="1" ht="112.5" x14ac:dyDescent="0.25">
      <c r="A68" s="140">
        <v>14</v>
      </c>
      <c r="B68" s="141" t="s">
        <v>56</v>
      </c>
      <c r="C68" s="141"/>
      <c r="D68" s="141"/>
      <c r="E68" s="142" t="s">
        <v>332</v>
      </c>
      <c r="F68" s="146" t="s">
        <v>333</v>
      </c>
      <c r="G68" s="141" t="s">
        <v>334</v>
      </c>
      <c r="H68" s="143">
        <v>23544.3</v>
      </c>
      <c r="I68" s="144">
        <f>IF(X68 = 116, H68 + SUM(S68:S68) - SUM(T68:T68) - SUM(P68:P68) - V68,0)</f>
        <v>0</v>
      </c>
      <c r="J68" s="141" t="s">
        <v>335</v>
      </c>
      <c r="K68" s="141" t="s">
        <v>336</v>
      </c>
      <c r="L68" s="141"/>
      <c r="M68" s="141" t="s">
        <v>337</v>
      </c>
      <c r="N68" s="146" t="s">
        <v>424</v>
      </c>
      <c r="O68" s="146" t="s">
        <v>338</v>
      </c>
      <c r="P68" s="143">
        <v>23544.3</v>
      </c>
      <c r="Q68" s="142" t="s">
        <v>459</v>
      </c>
      <c r="R68" s="141"/>
      <c r="S68" s="143"/>
      <c r="T68" s="143"/>
      <c r="U68" s="143"/>
      <c r="V68" s="145"/>
      <c r="W68" s="139"/>
      <c r="X68" s="85">
        <v>116</v>
      </c>
    </row>
    <row r="69" spans="1:24" s="85" customFormat="1" ht="168.75" x14ac:dyDescent="0.25">
      <c r="A69" s="140">
        <v>15</v>
      </c>
      <c r="B69" s="141" t="s">
        <v>56</v>
      </c>
      <c r="C69" s="141"/>
      <c r="D69" s="141"/>
      <c r="E69" s="142" t="s">
        <v>339</v>
      </c>
      <c r="F69" s="146" t="s">
        <v>340</v>
      </c>
      <c r="G69" s="141" t="s">
        <v>239</v>
      </c>
      <c r="H69" s="143">
        <v>19500</v>
      </c>
      <c r="I69" s="144">
        <f>IF(X69 = 117, H69 + SUM(S69:S69) - SUM(T69:T69) - SUM(P69:P69) - V69,0)</f>
        <v>0</v>
      </c>
      <c r="J69" s="141" t="s">
        <v>240</v>
      </c>
      <c r="K69" s="141" t="s">
        <v>241</v>
      </c>
      <c r="L69" s="141"/>
      <c r="M69" s="141" t="s">
        <v>341</v>
      </c>
      <c r="N69" s="146" t="s">
        <v>399</v>
      </c>
      <c r="O69" s="146" t="s">
        <v>243</v>
      </c>
      <c r="P69" s="143">
        <v>19500</v>
      </c>
      <c r="Q69" s="142" t="s">
        <v>407</v>
      </c>
      <c r="R69" s="141"/>
      <c r="S69" s="143"/>
      <c r="T69" s="143"/>
      <c r="U69" s="143"/>
      <c r="V69" s="145"/>
      <c r="W69" s="139"/>
      <c r="X69" s="85">
        <v>117</v>
      </c>
    </row>
    <row r="70" spans="1:24" s="85" customFormat="1" ht="198" customHeight="1" x14ac:dyDescent="0.25">
      <c r="A70" s="475">
        <v>16</v>
      </c>
      <c r="B70" s="468" t="s">
        <v>56</v>
      </c>
      <c r="C70" s="468"/>
      <c r="D70" s="468"/>
      <c r="E70" s="492" t="s">
        <v>342</v>
      </c>
      <c r="F70" s="477" t="s">
        <v>343</v>
      </c>
      <c r="G70" s="468" t="s">
        <v>344</v>
      </c>
      <c r="H70" s="479">
        <v>52000</v>
      </c>
      <c r="I70" s="494">
        <f>IF(X70 = 118, H70 + SUM(S70:S71) - SUM(T70:T71) - SUM(P70:P71) - V70,0)</f>
        <v>0</v>
      </c>
      <c r="J70" s="468" t="s">
        <v>169</v>
      </c>
      <c r="K70" s="468" t="s">
        <v>170</v>
      </c>
      <c r="L70" s="468"/>
      <c r="M70" s="468" t="s">
        <v>345</v>
      </c>
      <c r="N70" s="156" t="s">
        <v>406</v>
      </c>
      <c r="O70" s="477" t="s">
        <v>346</v>
      </c>
      <c r="P70" s="152">
        <v>4000</v>
      </c>
      <c r="Q70" s="151" t="s">
        <v>405</v>
      </c>
      <c r="R70" s="150"/>
      <c r="S70" s="152"/>
      <c r="T70" s="152"/>
      <c r="U70" s="479"/>
      <c r="V70" s="496"/>
      <c r="W70" s="490"/>
      <c r="X70" s="85">
        <v>118</v>
      </c>
    </row>
    <row r="71" spans="1:24" x14ac:dyDescent="0.25">
      <c r="A71" s="476"/>
      <c r="B71" s="469"/>
      <c r="C71" s="469"/>
      <c r="D71" s="469"/>
      <c r="E71" s="493"/>
      <c r="F71" s="478"/>
      <c r="G71" s="469"/>
      <c r="H71" s="480"/>
      <c r="I71" s="495"/>
      <c r="J71" s="469"/>
      <c r="K71" s="469"/>
      <c r="L71" s="469"/>
      <c r="M71" s="469"/>
      <c r="N71" s="157" t="s">
        <v>406</v>
      </c>
      <c r="O71" s="478"/>
      <c r="P71" s="153">
        <v>48000</v>
      </c>
      <c r="Q71" s="154" t="s">
        <v>405</v>
      </c>
      <c r="R71" s="155"/>
      <c r="S71" s="153"/>
      <c r="T71" s="153"/>
      <c r="U71" s="480"/>
      <c r="V71" s="497"/>
      <c r="W71" s="491"/>
      <c r="X71" s="2">
        <v>118</v>
      </c>
    </row>
    <row r="72" spans="1:24" s="85" customFormat="1" ht="168.75" x14ac:dyDescent="0.25">
      <c r="A72" s="140">
        <v>17</v>
      </c>
      <c r="B72" s="141" t="s">
        <v>56</v>
      </c>
      <c r="C72" s="141"/>
      <c r="D72" s="141"/>
      <c r="E72" s="142" t="s">
        <v>347</v>
      </c>
      <c r="F72" s="146" t="s">
        <v>348</v>
      </c>
      <c r="G72" s="141" t="s">
        <v>349</v>
      </c>
      <c r="H72" s="143">
        <v>1900</v>
      </c>
      <c r="I72" s="144">
        <f>IF(X72 = 119, H72 + SUM(S72:S72) - SUM(T72:T72) - SUM(P72:P72) - V72,0)</f>
        <v>0</v>
      </c>
      <c r="J72" s="141" t="s">
        <v>350</v>
      </c>
      <c r="K72" s="141" t="s">
        <v>351</v>
      </c>
      <c r="L72" s="141"/>
      <c r="M72" s="141" t="s">
        <v>352</v>
      </c>
      <c r="N72" s="146" t="s">
        <v>405</v>
      </c>
      <c r="O72" s="146" t="s">
        <v>353</v>
      </c>
      <c r="P72" s="143">
        <v>1900</v>
      </c>
      <c r="Q72" s="142" t="s">
        <v>400</v>
      </c>
      <c r="R72" s="141"/>
      <c r="S72" s="143"/>
      <c r="T72" s="143"/>
      <c r="U72" s="143"/>
      <c r="V72" s="145"/>
      <c r="W72" s="139"/>
      <c r="X72" s="85">
        <v>119</v>
      </c>
    </row>
    <row r="73" spans="1:24" s="85" customFormat="1" ht="112.5" x14ac:dyDescent="0.25">
      <c r="A73" s="140">
        <v>18</v>
      </c>
      <c r="B73" s="141" t="s">
        <v>56</v>
      </c>
      <c r="C73" s="141"/>
      <c r="D73" s="141"/>
      <c r="E73" s="142" t="s">
        <v>364</v>
      </c>
      <c r="F73" s="146" t="s">
        <v>365</v>
      </c>
      <c r="G73" s="141" t="s">
        <v>366</v>
      </c>
      <c r="H73" s="143">
        <v>4500</v>
      </c>
      <c r="I73" s="144">
        <f>IF(X73 = 120, H73 + SUM(S73:S73) - SUM(T73:T73) - SUM(P73:P73) - V73,0)</f>
        <v>0</v>
      </c>
      <c r="J73" s="141" t="s">
        <v>168</v>
      </c>
      <c r="K73" s="141" t="s">
        <v>150</v>
      </c>
      <c r="L73" s="141"/>
      <c r="M73" s="141" t="s">
        <v>367</v>
      </c>
      <c r="N73" s="146" t="s">
        <v>400</v>
      </c>
      <c r="O73" s="146" t="s">
        <v>368</v>
      </c>
      <c r="P73" s="143">
        <v>4500</v>
      </c>
      <c r="Q73" s="142" t="s">
        <v>409</v>
      </c>
      <c r="R73" s="141"/>
      <c r="S73" s="143"/>
      <c r="T73" s="143"/>
      <c r="U73" s="143"/>
      <c r="V73" s="145"/>
      <c r="W73" s="139"/>
      <c r="X73" s="85">
        <v>120</v>
      </c>
    </row>
    <row r="74" spans="1:24" s="85" customFormat="1" ht="168.75" x14ac:dyDescent="0.25">
      <c r="A74" s="140">
        <v>19</v>
      </c>
      <c r="B74" s="141" t="s">
        <v>56</v>
      </c>
      <c r="C74" s="141"/>
      <c r="D74" s="141"/>
      <c r="E74" s="142" t="s">
        <v>374</v>
      </c>
      <c r="F74" s="146" t="s">
        <v>375</v>
      </c>
      <c r="G74" s="141" t="s">
        <v>239</v>
      </c>
      <c r="H74" s="143">
        <v>7920</v>
      </c>
      <c r="I74" s="144">
        <f>IF(X74 = 121, H74 + SUM(S74:S74) - SUM(T74:T74) - SUM(P74:P74) - V74,0)</f>
        <v>0</v>
      </c>
      <c r="J74" s="141" t="s">
        <v>240</v>
      </c>
      <c r="K74" s="141" t="s">
        <v>241</v>
      </c>
      <c r="L74" s="141"/>
      <c r="M74" s="141" t="s">
        <v>378</v>
      </c>
      <c r="N74" s="146" t="s">
        <v>411</v>
      </c>
      <c r="O74" s="146" t="s">
        <v>243</v>
      </c>
      <c r="P74" s="143">
        <v>7920</v>
      </c>
      <c r="Q74" s="142" t="s">
        <v>410</v>
      </c>
      <c r="R74" s="141"/>
      <c r="S74" s="143"/>
      <c r="T74" s="143"/>
      <c r="U74" s="143"/>
      <c r="V74" s="145"/>
      <c r="W74" s="139"/>
      <c r="X74" s="85">
        <v>121</v>
      </c>
    </row>
    <row r="75" spans="1:24" s="85" customFormat="1" ht="93.75" x14ac:dyDescent="0.25">
      <c r="A75" s="140">
        <v>20</v>
      </c>
      <c r="B75" s="141" t="s">
        <v>56</v>
      </c>
      <c r="C75" s="141"/>
      <c r="D75" s="141"/>
      <c r="E75" s="142" t="s">
        <v>376</v>
      </c>
      <c r="F75" s="146" t="s">
        <v>377</v>
      </c>
      <c r="G75" s="141" t="s">
        <v>379</v>
      </c>
      <c r="H75" s="143">
        <v>3000</v>
      </c>
      <c r="I75" s="144">
        <f>IF(X75 = 122, H75 + SUM(S75:S75) - SUM(T75:T75) - SUM(P75:P75) - V75,0)</f>
        <v>0</v>
      </c>
      <c r="J75" s="141" t="s">
        <v>380</v>
      </c>
      <c r="K75" s="141" t="s">
        <v>381</v>
      </c>
      <c r="L75" s="141"/>
      <c r="M75" s="141" t="s">
        <v>382</v>
      </c>
      <c r="N75" s="146" t="s">
        <v>409</v>
      </c>
      <c r="O75" s="146" t="s">
        <v>383</v>
      </c>
      <c r="P75" s="143">
        <v>3000</v>
      </c>
      <c r="Q75" s="142" t="s">
        <v>410</v>
      </c>
      <c r="R75" s="141"/>
      <c r="S75" s="143"/>
      <c r="T75" s="143"/>
      <c r="U75" s="143"/>
      <c r="V75" s="145"/>
      <c r="W75" s="139"/>
      <c r="X75" s="85">
        <v>122</v>
      </c>
    </row>
    <row r="76" spans="1:24" s="85" customFormat="1" ht="93.75" x14ac:dyDescent="0.25">
      <c r="A76" s="140">
        <v>21</v>
      </c>
      <c r="B76" s="141" t="s">
        <v>56</v>
      </c>
      <c r="C76" s="141"/>
      <c r="D76" s="141"/>
      <c r="E76" s="142" t="s">
        <v>392</v>
      </c>
      <c r="F76" s="146" t="s">
        <v>355</v>
      </c>
      <c r="G76" s="141" t="s">
        <v>394</v>
      </c>
      <c r="H76" s="143">
        <v>65311</v>
      </c>
      <c r="I76" s="144">
        <f>IF(X76 = 123, H76 + SUM(S76:S76) - SUM(T76:T76) - SUM(P76:P76) - V76,0)</f>
        <v>0</v>
      </c>
      <c r="J76" s="141" t="s">
        <v>395</v>
      </c>
      <c r="K76" s="141" t="s">
        <v>396</v>
      </c>
      <c r="L76" s="141"/>
      <c r="M76" s="141" t="s">
        <v>397</v>
      </c>
      <c r="N76" s="146" t="s">
        <v>465</v>
      </c>
      <c r="O76" s="146" t="s">
        <v>398</v>
      </c>
      <c r="P76" s="143">
        <v>68346</v>
      </c>
      <c r="Q76" s="142" t="s">
        <v>468</v>
      </c>
      <c r="R76" s="141" t="s">
        <v>449</v>
      </c>
      <c r="S76" s="143">
        <v>3035</v>
      </c>
      <c r="T76" s="143"/>
      <c r="U76" s="143"/>
      <c r="V76" s="145"/>
      <c r="W76" s="139"/>
      <c r="X76" s="85">
        <v>123</v>
      </c>
    </row>
    <row r="77" spans="1:24" s="85" customFormat="1" ht="93.75" x14ac:dyDescent="0.25">
      <c r="A77" s="140">
        <v>22</v>
      </c>
      <c r="B77" s="141" t="s">
        <v>56</v>
      </c>
      <c r="C77" s="141"/>
      <c r="D77" s="141"/>
      <c r="E77" s="142" t="s">
        <v>393</v>
      </c>
      <c r="F77" s="146" t="s">
        <v>355</v>
      </c>
      <c r="G77" s="141" t="s">
        <v>394</v>
      </c>
      <c r="H77" s="143">
        <v>4243</v>
      </c>
      <c r="I77" s="144">
        <f>IF(X77 = 124, H77 + SUM(S77:S77) - SUM(T77:T77) - SUM(P77:P77) - V77,0)</f>
        <v>0</v>
      </c>
      <c r="J77" s="141" t="s">
        <v>395</v>
      </c>
      <c r="K77" s="141" t="s">
        <v>396</v>
      </c>
      <c r="L77" s="141"/>
      <c r="M77" s="141" t="s">
        <v>397</v>
      </c>
      <c r="N77" s="146" t="s">
        <v>465</v>
      </c>
      <c r="O77" s="146" t="s">
        <v>398</v>
      </c>
      <c r="P77" s="143">
        <v>4243</v>
      </c>
      <c r="Q77" s="142" t="s">
        <v>468</v>
      </c>
      <c r="R77" s="141"/>
      <c r="S77" s="143"/>
      <c r="T77" s="143"/>
      <c r="U77" s="143"/>
      <c r="V77" s="145"/>
      <c r="W77" s="139"/>
      <c r="X77" s="85">
        <v>124</v>
      </c>
    </row>
    <row r="78" spans="1:24" s="85" customFormat="1" ht="150" customHeight="1" x14ac:dyDescent="0.25">
      <c r="A78" s="140">
        <v>23</v>
      </c>
      <c r="B78" s="141" t="s">
        <v>56</v>
      </c>
      <c r="C78" s="141"/>
      <c r="D78" s="141"/>
      <c r="E78" s="142" t="s">
        <v>390</v>
      </c>
      <c r="F78" s="146" t="s">
        <v>389</v>
      </c>
      <c r="G78" s="141" t="s">
        <v>239</v>
      </c>
      <c r="H78" s="143">
        <v>2500</v>
      </c>
      <c r="I78" s="144">
        <f>IF(X78 = 126, H78 + SUM(S78:S78) - SUM(T78:T78) - SUM(P78:P78) - V78,0)</f>
        <v>0</v>
      </c>
      <c r="J78" s="141" t="s">
        <v>240</v>
      </c>
      <c r="K78" s="141" t="s">
        <v>241</v>
      </c>
      <c r="L78" s="141"/>
      <c r="M78" s="141" t="s">
        <v>391</v>
      </c>
      <c r="N78" s="146" t="s">
        <v>413</v>
      </c>
      <c r="O78" s="146" t="s">
        <v>243</v>
      </c>
      <c r="P78" s="143">
        <v>2500</v>
      </c>
      <c r="Q78" s="142" t="s">
        <v>412</v>
      </c>
      <c r="R78" s="141"/>
      <c r="S78" s="143"/>
      <c r="T78" s="143"/>
      <c r="U78" s="143"/>
      <c r="V78" s="145"/>
      <c r="W78" s="139"/>
      <c r="X78" s="85">
        <v>126</v>
      </c>
    </row>
    <row r="79" spans="1:24" s="85" customFormat="1" ht="72" customHeight="1" x14ac:dyDescent="0.25">
      <c r="A79" s="466">
        <v>24</v>
      </c>
      <c r="B79" s="448" t="s">
        <v>56</v>
      </c>
      <c r="C79" s="448"/>
      <c r="D79" s="448"/>
      <c r="E79" s="452" t="s">
        <v>415</v>
      </c>
      <c r="F79" s="454" t="s">
        <v>389</v>
      </c>
      <c r="G79" s="448" t="s">
        <v>416</v>
      </c>
      <c r="H79" s="456">
        <v>12904</v>
      </c>
      <c r="I79" s="458">
        <f>IF(X79 = 127, H79 + SUM(S79:S80) - SUM(T79:T80) - SUM(P79:P80) - V79,0)</f>
        <v>0</v>
      </c>
      <c r="J79" s="448" t="s">
        <v>417</v>
      </c>
      <c r="K79" s="448" t="s">
        <v>418</v>
      </c>
      <c r="L79" s="448"/>
      <c r="M79" s="448" t="s">
        <v>419</v>
      </c>
      <c r="N79" s="187" t="s">
        <v>425</v>
      </c>
      <c r="O79" s="454" t="s">
        <v>420</v>
      </c>
      <c r="P79" s="183">
        <v>3784</v>
      </c>
      <c r="Q79" s="182" t="s">
        <v>463</v>
      </c>
      <c r="R79" s="181"/>
      <c r="S79" s="183"/>
      <c r="T79" s="183"/>
      <c r="U79" s="456"/>
      <c r="V79" s="446"/>
      <c r="W79" s="450"/>
      <c r="X79" s="85">
        <v>127</v>
      </c>
    </row>
    <row r="80" spans="1:24" x14ac:dyDescent="0.25">
      <c r="A80" s="467"/>
      <c r="B80" s="449"/>
      <c r="C80" s="449"/>
      <c r="D80" s="449"/>
      <c r="E80" s="453"/>
      <c r="F80" s="455"/>
      <c r="G80" s="449"/>
      <c r="H80" s="457"/>
      <c r="I80" s="459"/>
      <c r="J80" s="449"/>
      <c r="K80" s="449"/>
      <c r="L80" s="449"/>
      <c r="M80" s="449"/>
      <c r="N80" s="188" t="s">
        <v>425</v>
      </c>
      <c r="O80" s="455"/>
      <c r="P80" s="184">
        <v>9120</v>
      </c>
      <c r="Q80" s="185" t="s">
        <v>463</v>
      </c>
      <c r="R80" s="186"/>
      <c r="S80" s="184"/>
      <c r="T80" s="184"/>
      <c r="U80" s="457"/>
      <c r="V80" s="447"/>
      <c r="W80" s="451"/>
      <c r="X80" s="2">
        <v>127</v>
      </c>
    </row>
    <row r="81" spans="1:24" s="85" customFormat="1" ht="75" x14ac:dyDescent="0.25">
      <c r="A81" s="170">
        <v>25</v>
      </c>
      <c r="B81" s="171" t="s">
        <v>56</v>
      </c>
      <c r="C81" s="171"/>
      <c r="D81" s="171"/>
      <c r="E81" s="173" t="s">
        <v>426</v>
      </c>
      <c r="F81" s="179" t="s">
        <v>427</v>
      </c>
      <c r="G81" s="171" t="s">
        <v>284</v>
      </c>
      <c r="H81" s="174">
        <v>6750</v>
      </c>
      <c r="I81" s="175">
        <f>IF(X81 = 128, H81 + SUM(S81:S81) - SUM(T81:T81) - SUM(P81:P81) - V81,0)</f>
        <v>0</v>
      </c>
      <c r="J81" s="171" t="s">
        <v>428</v>
      </c>
      <c r="K81" s="171" t="s">
        <v>429</v>
      </c>
      <c r="L81" s="171"/>
      <c r="M81" s="171" t="s">
        <v>430</v>
      </c>
      <c r="N81" s="179" t="s">
        <v>463</v>
      </c>
      <c r="O81" s="179" t="s">
        <v>431</v>
      </c>
      <c r="P81" s="174">
        <v>6750</v>
      </c>
      <c r="Q81" s="173" t="s">
        <v>464</v>
      </c>
      <c r="R81" s="171"/>
      <c r="S81" s="174"/>
      <c r="T81" s="174"/>
      <c r="U81" s="174"/>
      <c r="V81" s="180"/>
      <c r="W81" s="172"/>
      <c r="X81" s="85">
        <v>128</v>
      </c>
    </row>
    <row r="82" spans="1:24" s="85" customFormat="1" ht="168.75" x14ac:dyDescent="0.25">
      <c r="A82" s="170">
        <v>26</v>
      </c>
      <c r="B82" s="171" t="s">
        <v>56</v>
      </c>
      <c r="C82" s="171"/>
      <c r="D82" s="171"/>
      <c r="E82" s="173" t="s">
        <v>450</v>
      </c>
      <c r="F82" s="179" t="s">
        <v>451</v>
      </c>
      <c r="G82" s="171" t="s">
        <v>239</v>
      </c>
      <c r="H82" s="174">
        <v>4100</v>
      </c>
      <c r="I82" s="175">
        <f>IF(X82 = 129, H82 + SUM(S82:S82) - SUM(T82:T82) - SUM(P82:P82) - V82,0)</f>
        <v>0</v>
      </c>
      <c r="J82" s="171" t="s">
        <v>240</v>
      </c>
      <c r="K82" s="171" t="s">
        <v>241</v>
      </c>
      <c r="L82" s="171"/>
      <c r="M82" s="171" t="s">
        <v>452</v>
      </c>
      <c r="N82" s="179" t="s">
        <v>466</v>
      </c>
      <c r="O82" s="179" t="s">
        <v>243</v>
      </c>
      <c r="P82" s="174">
        <v>4100</v>
      </c>
      <c r="Q82" s="173" t="s">
        <v>505</v>
      </c>
      <c r="R82" s="171"/>
      <c r="S82" s="174"/>
      <c r="T82" s="174"/>
      <c r="U82" s="174"/>
      <c r="V82" s="180"/>
      <c r="W82" s="172"/>
      <c r="X82" s="85">
        <v>129</v>
      </c>
    </row>
    <row r="83" spans="1:24" s="85" customFormat="1" ht="150" x14ac:dyDescent="0.25">
      <c r="A83" s="190">
        <v>27</v>
      </c>
      <c r="B83" s="191" t="s">
        <v>56</v>
      </c>
      <c r="C83" s="191"/>
      <c r="D83" s="191"/>
      <c r="E83" s="192" t="s">
        <v>470</v>
      </c>
      <c r="F83" s="196" t="s">
        <v>471</v>
      </c>
      <c r="G83" s="191" t="s">
        <v>472</v>
      </c>
      <c r="H83" s="193">
        <v>14921.5</v>
      </c>
      <c r="I83" s="194">
        <f>IF(X83 = 130, H83 + SUM(S83:S83) - SUM(T83:T83) - SUM(P83:P83) - V83,0)</f>
        <v>0</v>
      </c>
      <c r="J83" s="191" t="s">
        <v>473</v>
      </c>
      <c r="K83" s="191" t="s">
        <v>474</v>
      </c>
      <c r="L83" s="191"/>
      <c r="M83" s="191" t="s">
        <v>475</v>
      </c>
      <c r="N83" s="196" t="s">
        <v>505</v>
      </c>
      <c r="O83" s="196" t="s">
        <v>476</v>
      </c>
      <c r="P83" s="193">
        <v>14921.5</v>
      </c>
      <c r="Q83" s="192" t="s">
        <v>503</v>
      </c>
      <c r="R83" s="191"/>
      <c r="S83" s="193"/>
      <c r="T83" s="193"/>
      <c r="U83" s="193"/>
      <c r="V83" s="195"/>
      <c r="W83" s="189"/>
      <c r="X83" s="85">
        <v>130</v>
      </c>
    </row>
    <row r="84" spans="1:24" s="85" customFormat="1" ht="93.75" x14ac:dyDescent="0.25">
      <c r="A84" s="190">
        <v>28</v>
      </c>
      <c r="B84" s="191" t="s">
        <v>56</v>
      </c>
      <c r="C84" s="191"/>
      <c r="D84" s="191"/>
      <c r="E84" s="192" t="s">
        <v>484</v>
      </c>
      <c r="F84" s="196" t="s">
        <v>471</v>
      </c>
      <c r="G84" s="191" t="s">
        <v>394</v>
      </c>
      <c r="H84" s="193">
        <v>78905</v>
      </c>
      <c r="I84" s="194">
        <f>IF(X84 = 131, H84 + SUM(S84:S84) - SUM(T84:T84) - SUM(P84:P84) - V84,0)</f>
        <v>4426</v>
      </c>
      <c r="J84" s="191" t="s">
        <v>395</v>
      </c>
      <c r="K84" s="191" t="s">
        <v>396</v>
      </c>
      <c r="L84" s="191"/>
      <c r="M84" s="191" t="s">
        <v>486</v>
      </c>
      <c r="N84" s="196">
        <v>45497</v>
      </c>
      <c r="O84" s="196" t="s">
        <v>398</v>
      </c>
      <c r="P84" s="193">
        <v>74479</v>
      </c>
      <c r="Q84" s="192">
        <v>45509</v>
      </c>
      <c r="R84" s="191"/>
      <c r="S84" s="193"/>
      <c r="T84" s="193"/>
      <c r="U84" s="193"/>
      <c r="V84" s="195"/>
      <c r="W84" s="189"/>
      <c r="X84" s="85">
        <v>131</v>
      </c>
    </row>
    <row r="85" spans="1:24" s="85" customFormat="1" ht="93.75" x14ac:dyDescent="0.25">
      <c r="A85" s="190">
        <v>29</v>
      </c>
      <c r="B85" s="191" t="s">
        <v>56</v>
      </c>
      <c r="C85" s="191"/>
      <c r="D85" s="191"/>
      <c r="E85" s="192" t="s">
        <v>485</v>
      </c>
      <c r="F85" s="196" t="s">
        <v>471</v>
      </c>
      <c r="G85" s="191" t="s">
        <v>394</v>
      </c>
      <c r="H85" s="193">
        <v>10258</v>
      </c>
      <c r="I85" s="194">
        <f>IF(X85 = 132, H85 + SUM(S85:S85) - SUM(T85:T85) - SUM(P85:P85) - V85,0)</f>
        <v>0</v>
      </c>
      <c r="J85" s="191" t="s">
        <v>395</v>
      </c>
      <c r="K85" s="191" t="s">
        <v>396</v>
      </c>
      <c r="L85" s="191"/>
      <c r="M85" s="191" t="s">
        <v>486</v>
      </c>
      <c r="N85" s="196">
        <v>45497</v>
      </c>
      <c r="O85" s="196" t="s">
        <v>398</v>
      </c>
      <c r="P85" s="193">
        <v>10258</v>
      </c>
      <c r="Q85" s="192">
        <v>45509</v>
      </c>
      <c r="R85" s="191"/>
      <c r="S85" s="193"/>
      <c r="T85" s="193"/>
      <c r="U85" s="193"/>
      <c r="V85" s="195"/>
      <c r="W85" s="189"/>
      <c r="X85" s="85">
        <v>132</v>
      </c>
    </row>
    <row r="86" spans="1:24" s="85" customFormat="1" ht="162" customHeight="1" x14ac:dyDescent="0.25">
      <c r="A86" s="484">
        <v>30</v>
      </c>
      <c r="B86" s="460" t="s">
        <v>56</v>
      </c>
      <c r="C86" s="460"/>
      <c r="D86" s="460"/>
      <c r="E86" s="504" t="s">
        <v>496</v>
      </c>
      <c r="F86" s="487" t="s">
        <v>497</v>
      </c>
      <c r="G86" s="460" t="s">
        <v>498</v>
      </c>
      <c r="H86" s="498">
        <v>6600</v>
      </c>
      <c r="I86" s="506">
        <f>IF(X86 = 133, H86 + SUM(S86:S87) - SUM(T86:T87) - SUM(P86:P87) - V86,0)</f>
        <v>0</v>
      </c>
      <c r="J86" s="460" t="s">
        <v>499</v>
      </c>
      <c r="K86" s="460" t="s">
        <v>500</v>
      </c>
      <c r="L86" s="460"/>
      <c r="M86" s="460" t="s">
        <v>501</v>
      </c>
      <c r="N86" s="264">
        <v>45527</v>
      </c>
      <c r="O86" s="487" t="s">
        <v>502</v>
      </c>
      <c r="P86" s="255">
        <v>4620</v>
      </c>
      <c r="Q86" s="256">
        <v>45538</v>
      </c>
      <c r="R86" s="257"/>
      <c r="S86" s="255"/>
      <c r="T86" s="255"/>
      <c r="U86" s="498"/>
      <c r="V86" s="500"/>
      <c r="W86" s="502"/>
      <c r="X86" s="85">
        <v>133</v>
      </c>
    </row>
    <row r="87" spans="1:24" s="254" customFormat="1" x14ac:dyDescent="0.25">
      <c r="A87" s="486"/>
      <c r="B87" s="462"/>
      <c r="C87" s="462"/>
      <c r="D87" s="462"/>
      <c r="E87" s="505"/>
      <c r="F87" s="489"/>
      <c r="G87" s="462"/>
      <c r="H87" s="499"/>
      <c r="I87" s="507"/>
      <c r="J87" s="462"/>
      <c r="K87" s="462"/>
      <c r="L87" s="462"/>
      <c r="M87" s="462"/>
      <c r="N87" s="266"/>
      <c r="O87" s="489"/>
      <c r="P87" s="261">
        <v>1980</v>
      </c>
      <c r="Q87" s="262"/>
      <c r="R87" s="263"/>
      <c r="S87" s="261"/>
      <c r="T87" s="261"/>
      <c r="U87" s="499"/>
      <c r="V87" s="501"/>
      <c r="W87" s="503"/>
      <c r="X87" s="254">
        <v>133</v>
      </c>
    </row>
    <row r="88" spans="1:24" s="85" customFormat="1" ht="168.75" x14ac:dyDescent="0.25">
      <c r="A88" s="190">
        <v>31</v>
      </c>
      <c r="B88" s="191" t="s">
        <v>56</v>
      </c>
      <c r="C88" s="191"/>
      <c r="D88" s="191"/>
      <c r="E88" s="192" t="s">
        <v>57</v>
      </c>
      <c r="F88" s="196" t="s">
        <v>490</v>
      </c>
      <c r="G88" s="191" t="s">
        <v>491</v>
      </c>
      <c r="H88" s="193">
        <v>25000</v>
      </c>
      <c r="I88" s="194">
        <f>IF(X88 = 134, H88 + SUM(S88:S88) - SUM(T88:T88) - SUM(P88:P88) - V88,0)</f>
        <v>0</v>
      </c>
      <c r="J88" s="191" t="s">
        <v>492</v>
      </c>
      <c r="K88" s="191" t="s">
        <v>493</v>
      </c>
      <c r="L88" s="191"/>
      <c r="M88" s="191" t="s">
        <v>494</v>
      </c>
      <c r="N88" s="196">
        <v>45468</v>
      </c>
      <c r="O88" s="196" t="s">
        <v>495</v>
      </c>
      <c r="P88" s="193">
        <v>25000</v>
      </c>
      <c r="Q88" s="192">
        <v>45475</v>
      </c>
      <c r="R88" s="191"/>
      <c r="S88" s="193"/>
      <c r="T88" s="193"/>
      <c r="U88" s="193"/>
      <c r="V88" s="195"/>
      <c r="W88" s="189"/>
      <c r="X88" s="85">
        <v>134</v>
      </c>
    </row>
    <row r="89" spans="1:24" s="85" customFormat="1" ht="112.5" x14ac:dyDescent="0.25">
      <c r="A89" s="212">
        <v>32</v>
      </c>
      <c r="B89" s="214" t="s">
        <v>56</v>
      </c>
      <c r="C89" s="214"/>
      <c r="D89" s="214"/>
      <c r="E89" s="217" t="s">
        <v>525</v>
      </c>
      <c r="F89" s="219" t="s">
        <v>526</v>
      </c>
      <c r="G89" s="214" t="s">
        <v>213</v>
      </c>
      <c r="H89" s="213">
        <v>599960</v>
      </c>
      <c r="I89" s="218">
        <f>IF(X89 = 135, H89 + SUM(S89:S89) - SUM(T89:T89) - SUM(P89:P89) - V89,0)</f>
        <v>588035</v>
      </c>
      <c r="J89" s="214" t="s">
        <v>527</v>
      </c>
      <c r="K89" s="214" t="s">
        <v>147</v>
      </c>
      <c r="L89" s="214"/>
      <c r="M89" s="214" t="s">
        <v>528</v>
      </c>
      <c r="N89" s="219"/>
      <c r="O89" s="219" t="s">
        <v>529</v>
      </c>
      <c r="P89" s="213">
        <v>11925</v>
      </c>
      <c r="Q89" s="217">
        <v>45509</v>
      </c>
      <c r="R89" s="214"/>
      <c r="S89" s="213"/>
      <c r="T89" s="213"/>
      <c r="U89" s="213"/>
      <c r="V89" s="215"/>
      <c r="W89" s="216"/>
      <c r="X89" s="85">
        <v>135</v>
      </c>
    </row>
    <row r="90" spans="1:24" s="85" customFormat="1" ht="91.9" customHeight="1" x14ac:dyDescent="0.25">
      <c r="A90" s="212">
        <v>33</v>
      </c>
      <c r="B90" s="214" t="s">
        <v>56</v>
      </c>
      <c r="C90" s="214"/>
      <c r="D90" s="214"/>
      <c r="E90" s="217" t="s">
        <v>530</v>
      </c>
      <c r="F90" s="219">
        <v>45483</v>
      </c>
      <c r="G90" s="214" t="s">
        <v>531</v>
      </c>
      <c r="H90" s="213">
        <v>4000</v>
      </c>
      <c r="I90" s="218">
        <f>IF(X90 = 136, H90 + SUM(S90:S90) - SUM(T90:T90) - SUM(P90:P90) - V90,0)</f>
        <v>0</v>
      </c>
      <c r="J90" s="214" t="s">
        <v>532</v>
      </c>
      <c r="K90" s="214" t="s">
        <v>533</v>
      </c>
      <c r="L90" s="214"/>
      <c r="M90" s="214" t="s">
        <v>534</v>
      </c>
      <c r="N90" s="217">
        <v>45483</v>
      </c>
      <c r="O90" s="219" t="s">
        <v>535</v>
      </c>
      <c r="P90" s="213">
        <v>4000</v>
      </c>
      <c r="Q90" s="217">
        <v>45498</v>
      </c>
      <c r="R90" s="214"/>
      <c r="S90" s="213"/>
      <c r="T90" s="213"/>
      <c r="U90" s="213"/>
      <c r="V90" s="215"/>
      <c r="W90" s="216"/>
      <c r="X90" s="85">
        <v>136</v>
      </c>
    </row>
    <row r="91" spans="1:24" s="85" customFormat="1" ht="56.25" x14ac:dyDescent="0.25">
      <c r="A91" s="212">
        <v>34</v>
      </c>
      <c r="B91" s="214" t="s">
        <v>56</v>
      </c>
      <c r="C91" s="214"/>
      <c r="D91" s="214"/>
      <c r="E91" s="217" t="s">
        <v>536</v>
      </c>
      <c r="F91" s="219">
        <v>45491</v>
      </c>
      <c r="G91" s="214" t="s">
        <v>537</v>
      </c>
      <c r="H91" s="213">
        <v>7200</v>
      </c>
      <c r="I91" s="218">
        <f>IF(X91 = 137, H91 + SUM(S91:S91) - SUM(T91:T91) - SUM(P91:P91) - V91,0)</f>
        <v>0</v>
      </c>
      <c r="J91" s="214" t="s">
        <v>350</v>
      </c>
      <c r="K91" s="214" t="s">
        <v>538</v>
      </c>
      <c r="L91" s="214"/>
      <c r="M91" s="214" t="s">
        <v>539</v>
      </c>
      <c r="N91" s="217">
        <v>45495</v>
      </c>
      <c r="O91" s="219" t="s">
        <v>540</v>
      </c>
      <c r="P91" s="213">
        <v>7200</v>
      </c>
      <c r="Q91" s="217">
        <v>45498</v>
      </c>
      <c r="R91" s="214"/>
      <c r="S91" s="213"/>
      <c r="T91" s="213"/>
      <c r="U91" s="213"/>
      <c r="V91" s="215"/>
      <c r="W91" s="216"/>
      <c r="X91" s="85">
        <v>137</v>
      </c>
    </row>
    <row r="92" spans="1:24" s="85" customFormat="1" ht="37.5" x14ac:dyDescent="0.25">
      <c r="A92" s="293">
        <v>35</v>
      </c>
      <c r="B92" s="294" t="s">
        <v>56</v>
      </c>
      <c r="C92" s="294"/>
      <c r="D92" s="294"/>
      <c r="E92" s="295" t="s">
        <v>582</v>
      </c>
      <c r="F92" s="312">
        <v>45576</v>
      </c>
      <c r="G92" s="294" t="s">
        <v>583</v>
      </c>
      <c r="H92" s="296">
        <v>18190.98</v>
      </c>
      <c r="I92" s="297">
        <f>IF(X92 = 138, H92 + SUM(S92:S92) - SUM(T92:T92) - SUM(P92:P92) - V92,0)</f>
        <v>0</v>
      </c>
      <c r="J92" s="294" t="s">
        <v>584</v>
      </c>
      <c r="K92" s="294" t="s">
        <v>585</v>
      </c>
      <c r="L92" s="294"/>
      <c r="M92" s="294" t="s">
        <v>586</v>
      </c>
      <c r="N92" s="312">
        <v>45576</v>
      </c>
      <c r="O92" s="312"/>
      <c r="P92" s="296">
        <v>18190.98</v>
      </c>
      <c r="Q92" s="295">
        <v>45579</v>
      </c>
      <c r="R92" s="294"/>
      <c r="S92" s="296"/>
      <c r="T92" s="296"/>
      <c r="U92" s="296"/>
      <c r="V92" s="301"/>
      <c r="W92" s="302"/>
      <c r="X92" s="85">
        <v>138</v>
      </c>
    </row>
    <row r="93" spans="1:24" s="85" customFormat="1" ht="36" customHeight="1" x14ac:dyDescent="0.25">
      <c r="A93" s="536">
        <v>36</v>
      </c>
      <c r="B93" s="515" t="s">
        <v>56</v>
      </c>
      <c r="C93" s="515"/>
      <c r="D93" s="515"/>
      <c r="E93" s="519" t="s">
        <v>587</v>
      </c>
      <c r="F93" s="521" t="s">
        <v>588</v>
      </c>
      <c r="G93" s="515" t="s">
        <v>589</v>
      </c>
      <c r="H93" s="523">
        <v>26048</v>
      </c>
      <c r="I93" s="525">
        <f>IF(X93 = 139, H93 + SUM(S93:S94) - SUM(T93:T94) - SUM(P93:P94) - V93,0)</f>
        <v>13986</v>
      </c>
      <c r="J93" s="515" t="s">
        <v>395</v>
      </c>
      <c r="K93" s="515" t="s">
        <v>590</v>
      </c>
      <c r="L93" s="515"/>
      <c r="M93" s="515" t="s">
        <v>591</v>
      </c>
      <c r="N93" s="333">
        <v>45565</v>
      </c>
      <c r="O93" s="521" t="s">
        <v>592</v>
      </c>
      <c r="P93" s="334">
        <v>6142</v>
      </c>
      <c r="Q93" s="335">
        <v>45574</v>
      </c>
      <c r="R93" s="336"/>
      <c r="S93" s="334"/>
      <c r="T93" s="334"/>
      <c r="U93" s="523"/>
      <c r="V93" s="513"/>
      <c r="W93" s="517"/>
      <c r="X93" s="85">
        <v>139</v>
      </c>
    </row>
    <row r="94" spans="1:24" s="254" customFormat="1" x14ac:dyDescent="0.25">
      <c r="A94" s="537"/>
      <c r="B94" s="516"/>
      <c r="C94" s="516"/>
      <c r="D94" s="516"/>
      <c r="E94" s="520"/>
      <c r="F94" s="522"/>
      <c r="G94" s="516"/>
      <c r="H94" s="524"/>
      <c r="I94" s="526"/>
      <c r="J94" s="516"/>
      <c r="K94" s="516"/>
      <c r="L94" s="516"/>
      <c r="M94" s="516"/>
      <c r="N94" s="337">
        <v>45603</v>
      </c>
      <c r="O94" s="522"/>
      <c r="P94" s="338">
        <v>5920</v>
      </c>
      <c r="Q94" s="339">
        <v>45596</v>
      </c>
      <c r="R94" s="340"/>
      <c r="S94" s="338"/>
      <c r="T94" s="338"/>
      <c r="U94" s="524"/>
      <c r="V94" s="514"/>
      <c r="W94" s="518"/>
      <c r="X94" s="254">
        <v>139</v>
      </c>
    </row>
    <row r="95" spans="1:24" s="85" customFormat="1" ht="36" customHeight="1" x14ac:dyDescent="0.25">
      <c r="A95" s="463">
        <v>37</v>
      </c>
      <c r="B95" s="416" t="s">
        <v>56</v>
      </c>
      <c r="C95" s="416"/>
      <c r="D95" s="416"/>
      <c r="E95" s="533" t="s">
        <v>593</v>
      </c>
      <c r="F95" s="413">
        <v>45546</v>
      </c>
      <c r="G95" s="416" t="s">
        <v>594</v>
      </c>
      <c r="H95" s="419">
        <v>12940</v>
      </c>
      <c r="I95" s="422">
        <f>IF(X95 = 140, H95 + SUM(S95:S97) - SUM(T95:T97) - SUM(P95:P97) - V95,0)</f>
        <v>257.67000000000007</v>
      </c>
      <c r="J95" s="416" t="s">
        <v>595</v>
      </c>
      <c r="K95" s="416" t="s">
        <v>598</v>
      </c>
      <c r="L95" s="416"/>
      <c r="M95" s="416" t="s">
        <v>599</v>
      </c>
      <c r="N95" s="356">
        <v>45566</v>
      </c>
      <c r="O95" s="413" t="s">
        <v>600</v>
      </c>
      <c r="P95" s="344">
        <v>1480</v>
      </c>
      <c r="Q95" s="345">
        <v>45576</v>
      </c>
      <c r="R95" s="346"/>
      <c r="S95" s="344"/>
      <c r="T95" s="344"/>
      <c r="U95" s="419"/>
      <c r="V95" s="527"/>
      <c r="W95" s="530"/>
      <c r="X95" s="85">
        <v>140</v>
      </c>
    </row>
    <row r="96" spans="1:24" s="254" customFormat="1" ht="109.15" customHeight="1" x14ac:dyDescent="0.25">
      <c r="A96" s="464"/>
      <c r="B96" s="417"/>
      <c r="C96" s="417"/>
      <c r="D96" s="417"/>
      <c r="E96" s="534"/>
      <c r="F96" s="414"/>
      <c r="G96" s="417"/>
      <c r="H96" s="420"/>
      <c r="I96" s="423"/>
      <c r="J96" s="417"/>
      <c r="K96" s="417"/>
      <c r="L96" s="417"/>
      <c r="M96" s="417"/>
      <c r="N96" s="358">
        <v>45546</v>
      </c>
      <c r="O96" s="414"/>
      <c r="P96" s="350">
        <v>3882</v>
      </c>
      <c r="Q96" s="351">
        <v>45548</v>
      </c>
      <c r="R96" s="352"/>
      <c r="S96" s="350"/>
      <c r="T96" s="350"/>
      <c r="U96" s="420"/>
      <c r="V96" s="528"/>
      <c r="W96" s="531"/>
      <c r="X96" s="254">
        <v>140</v>
      </c>
    </row>
    <row r="97" spans="1:24" s="254" customFormat="1" x14ac:dyDescent="0.25">
      <c r="A97" s="465"/>
      <c r="B97" s="418"/>
      <c r="C97" s="418"/>
      <c r="D97" s="418"/>
      <c r="E97" s="535"/>
      <c r="F97" s="415"/>
      <c r="G97" s="418"/>
      <c r="H97" s="421"/>
      <c r="I97" s="424"/>
      <c r="J97" s="418"/>
      <c r="K97" s="418"/>
      <c r="L97" s="418"/>
      <c r="M97" s="418"/>
      <c r="N97" s="359">
        <v>45566</v>
      </c>
      <c r="O97" s="415"/>
      <c r="P97" s="353">
        <v>7320.33</v>
      </c>
      <c r="Q97" s="354">
        <v>45574</v>
      </c>
      <c r="R97" s="355"/>
      <c r="S97" s="353"/>
      <c r="T97" s="353"/>
      <c r="U97" s="421"/>
      <c r="V97" s="529"/>
      <c r="W97" s="532"/>
      <c r="X97" s="254">
        <v>140</v>
      </c>
    </row>
    <row r="98" spans="1:24" s="85" customFormat="1" ht="187.5" x14ac:dyDescent="0.25">
      <c r="A98" s="326">
        <v>38</v>
      </c>
      <c r="B98" s="327" t="s">
        <v>56</v>
      </c>
      <c r="C98" s="327"/>
      <c r="D98" s="327"/>
      <c r="E98" s="328" t="s">
        <v>596</v>
      </c>
      <c r="F98" s="332">
        <v>45546</v>
      </c>
      <c r="G98" s="327" t="s">
        <v>597</v>
      </c>
      <c r="H98" s="329">
        <v>858.87</v>
      </c>
      <c r="I98" s="330">
        <f>IF(X98 = 141, H98 + SUM(S98:S98) - SUM(T98:T98) - SUM(P98:P98) - V98,0)</f>
        <v>601.20000000000005</v>
      </c>
      <c r="J98" s="327" t="s">
        <v>595</v>
      </c>
      <c r="K98" s="327" t="s">
        <v>598</v>
      </c>
      <c r="L98" s="327"/>
      <c r="M98" s="327" t="s">
        <v>599</v>
      </c>
      <c r="N98" s="332">
        <v>45546</v>
      </c>
      <c r="O98" s="332" t="s">
        <v>600</v>
      </c>
      <c r="P98" s="329">
        <v>257.67</v>
      </c>
      <c r="Q98" s="328">
        <v>45548</v>
      </c>
      <c r="R98" s="327"/>
      <c r="S98" s="329"/>
      <c r="T98" s="329"/>
      <c r="U98" s="329"/>
      <c r="V98" s="331"/>
      <c r="W98" s="325"/>
      <c r="X98" s="85">
        <v>141</v>
      </c>
    </row>
    <row r="99" spans="1:24" x14ac:dyDescent="0.25">
      <c r="X99" s="2">
        <v>142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194">
    <mergeCell ref="M95:M97"/>
    <mergeCell ref="D95:D97"/>
    <mergeCell ref="E95:E97"/>
    <mergeCell ref="F95:F97"/>
    <mergeCell ref="G95:G97"/>
    <mergeCell ref="H95:H97"/>
    <mergeCell ref="I95:I97"/>
    <mergeCell ref="J95:J97"/>
    <mergeCell ref="K95:K97"/>
    <mergeCell ref="L95:L97"/>
    <mergeCell ref="A95:A97"/>
    <mergeCell ref="O95:O97"/>
    <mergeCell ref="U95:U97"/>
    <mergeCell ref="B95:B97"/>
    <mergeCell ref="V95:V97"/>
    <mergeCell ref="C95:C97"/>
    <mergeCell ref="W95:W97"/>
    <mergeCell ref="V59:V66"/>
    <mergeCell ref="C59:C66"/>
    <mergeCell ref="W59:W66"/>
    <mergeCell ref="D59:D66"/>
    <mergeCell ref="E59:E66"/>
    <mergeCell ref="F59:F66"/>
    <mergeCell ref="G59:G66"/>
    <mergeCell ref="H59:H66"/>
    <mergeCell ref="I59:I66"/>
    <mergeCell ref="J59:J66"/>
    <mergeCell ref="K59:K66"/>
    <mergeCell ref="L59:L66"/>
    <mergeCell ref="M59:M66"/>
    <mergeCell ref="A93:A94"/>
    <mergeCell ref="O93:O94"/>
    <mergeCell ref="U93:U94"/>
    <mergeCell ref="B93:B94"/>
    <mergeCell ref="V9:V21"/>
    <mergeCell ref="C9:C21"/>
    <mergeCell ref="W9:W21"/>
    <mergeCell ref="D9:D21"/>
    <mergeCell ref="E9:E21"/>
    <mergeCell ref="F9:F21"/>
    <mergeCell ref="G9:G21"/>
    <mergeCell ref="H9:H21"/>
    <mergeCell ref="I9:I21"/>
    <mergeCell ref="J9:J21"/>
    <mergeCell ref="K9:K21"/>
    <mergeCell ref="L9:L21"/>
    <mergeCell ref="M9:M21"/>
    <mergeCell ref="V22:V31"/>
    <mergeCell ref="C22:C31"/>
    <mergeCell ref="W22:W31"/>
    <mergeCell ref="D22:D31"/>
    <mergeCell ref="E22:E31"/>
    <mergeCell ref="F22:F31"/>
    <mergeCell ref="G22:G31"/>
    <mergeCell ref="H22:H31"/>
    <mergeCell ref="I22:I31"/>
    <mergeCell ref="J22:J31"/>
    <mergeCell ref="K22:K31"/>
    <mergeCell ref="L22:L31"/>
    <mergeCell ref="M22:M31"/>
    <mergeCell ref="V45:V52"/>
    <mergeCell ref="U45:U52"/>
    <mergeCell ref="V93:V94"/>
    <mergeCell ref="C93:C94"/>
    <mergeCell ref="W93:W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A86:A87"/>
    <mergeCell ref="O86:O87"/>
    <mergeCell ref="U86:U87"/>
    <mergeCell ref="B86:B87"/>
    <mergeCell ref="V86:V87"/>
    <mergeCell ref="C86:C87"/>
    <mergeCell ref="W86:W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A42:A44"/>
    <mergeCell ref="O42:O44"/>
    <mergeCell ref="U42:U44"/>
    <mergeCell ref="B42:B44"/>
    <mergeCell ref="C42:C44"/>
    <mergeCell ref="A45:A52"/>
    <mergeCell ref="O45:O52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V70:V71"/>
    <mergeCell ref="L45:L52"/>
    <mergeCell ref="M45:M52"/>
    <mergeCell ref="W45:W52"/>
    <mergeCell ref="D45:D52"/>
    <mergeCell ref="E45:E52"/>
    <mergeCell ref="A32:A41"/>
    <mergeCell ref="O32:O41"/>
    <mergeCell ref="U32:U41"/>
    <mergeCell ref="B32:B41"/>
    <mergeCell ref="A3:E3"/>
    <mergeCell ref="S2:U2"/>
    <mergeCell ref="N2:O2"/>
    <mergeCell ref="J4:K4"/>
    <mergeCell ref="M4:N4"/>
    <mergeCell ref="O4:P4"/>
    <mergeCell ref="K2:M2"/>
    <mergeCell ref="L32:L41"/>
    <mergeCell ref="M32:M41"/>
    <mergeCell ref="A22:A31"/>
    <mergeCell ref="O22:O31"/>
    <mergeCell ref="U22:U31"/>
    <mergeCell ref="B22:B31"/>
    <mergeCell ref="C32:C41"/>
    <mergeCell ref="D32:D41"/>
    <mergeCell ref="E32:E41"/>
    <mergeCell ref="A9:A21"/>
    <mergeCell ref="O9:O21"/>
    <mergeCell ref="U9:U21"/>
    <mergeCell ref="B9:B21"/>
    <mergeCell ref="B45:B52"/>
    <mergeCell ref="J45:J52"/>
    <mergeCell ref="K45:K52"/>
    <mergeCell ref="A59:A66"/>
    <mergeCell ref="O59:O66"/>
    <mergeCell ref="U59:U66"/>
    <mergeCell ref="B59:B66"/>
    <mergeCell ref="A79:A80"/>
    <mergeCell ref="O79:O80"/>
    <mergeCell ref="U79:U80"/>
    <mergeCell ref="B79:B80"/>
    <mergeCell ref="C70:C71"/>
    <mergeCell ref="C45:C52"/>
    <mergeCell ref="A70:A71"/>
    <mergeCell ref="O70:O71"/>
    <mergeCell ref="U70:U71"/>
    <mergeCell ref="B70:B71"/>
    <mergeCell ref="F45:F52"/>
    <mergeCell ref="G45:G52"/>
    <mergeCell ref="H45:H52"/>
    <mergeCell ref="I45:I52"/>
    <mergeCell ref="V79:V80"/>
    <mergeCell ref="C79:C80"/>
    <mergeCell ref="W79:W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F32:F41"/>
    <mergeCell ref="G32:G41"/>
    <mergeCell ref="H32:H41"/>
    <mergeCell ref="I32:I41"/>
    <mergeCell ref="J32:J41"/>
    <mergeCell ref="K32:K41"/>
    <mergeCell ref="W42:W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V42:V44"/>
    <mergeCell ref="V32:V41"/>
    <mergeCell ref="W32:W4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23"/>
  <sheetViews>
    <sheetView showGridLines="0" topLeftCell="H1" zoomScale="60" zoomScaleNormal="60" workbookViewId="0">
      <pane ySplit="8" topLeftCell="A189" activePane="bottomLeft" state="frozen"/>
      <selection pane="bottomLeft" activeCell="P211" sqref="P191:P211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644" t="s">
        <v>24</v>
      </c>
      <c r="G2" s="645"/>
      <c r="H2" s="80">
        <f>SUM(H9:H10001)</f>
        <v>4094684.82</v>
      </c>
      <c r="I2" s="68"/>
      <c r="N2" s="471" t="s">
        <v>137</v>
      </c>
      <c r="O2" s="473"/>
      <c r="P2" s="69">
        <f>SUM(P9:P10001)</f>
        <v>3468712.86</v>
      </c>
      <c r="R2" s="68"/>
      <c r="S2" s="471" t="s">
        <v>45</v>
      </c>
      <c r="T2" s="472"/>
      <c r="U2" s="473"/>
      <c r="V2" s="70">
        <f>SUM(V9:V10001)</f>
        <v>260267.68999999997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72.599999999999994" customHeight="1" x14ac:dyDescent="0.25">
      <c r="A9" s="463">
        <v>1</v>
      </c>
      <c r="B9" s="416" t="s">
        <v>56</v>
      </c>
      <c r="C9" s="416"/>
      <c r="D9" s="416"/>
      <c r="E9" s="416" t="s">
        <v>167</v>
      </c>
      <c r="F9" s="413" t="s">
        <v>190</v>
      </c>
      <c r="G9" s="533" t="s">
        <v>191</v>
      </c>
      <c r="H9" s="419">
        <v>464158.73</v>
      </c>
      <c r="I9" s="422">
        <f>IF(X9 = 101, H9 + SUM(S9:S35) - SUM(T9:T35) - SUM(P9:P35) - V9,0)</f>
        <v>-73908.349999999977</v>
      </c>
      <c r="J9" s="546">
        <v>2308119595</v>
      </c>
      <c r="K9" s="549" t="s">
        <v>146</v>
      </c>
      <c r="L9" s="416"/>
      <c r="M9" s="416" t="s">
        <v>188</v>
      </c>
      <c r="N9" s="356" t="s">
        <v>251</v>
      </c>
      <c r="O9" s="413" t="s">
        <v>166</v>
      </c>
      <c r="P9" s="344">
        <v>25380.19</v>
      </c>
      <c r="Q9" s="345" t="s">
        <v>250</v>
      </c>
      <c r="R9" s="346"/>
      <c r="S9" s="344"/>
      <c r="T9" s="344"/>
      <c r="U9" s="419"/>
      <c r="V9" s="703"/>
      <c r="W9" s="530"/>
      <c r="X9" s="85">
        <v>101</v>
      </c>
    </row>
    <row r="10" spans="1:24" x14ac:dyDescent="0.25">
      <c r="A10" s="464"/>
      <c r="B10" s="417"/>
      <c r="C10" s="417"/>
      <c r="D10" s="417"/>
      <c r="E10" s="417"/>
      <c r="F10" s="414"/>
      <c r="G10" s="534"/>
      <c r="H10" s="420"/>
      <c r="I10" s="423"/>
      <c r="J10" s="547"/>
      <c r="K10" s="550"/>
      <c r="L10" s="417"/>
      <c r="M10" s="417"/>
      <c r="N10" s="357" t="s">
        <v>251</v>
      </c>
      <c r="O10" s="414"/>
      <c r="P10" s="347">
        <v>21770.06</v>
      </c>
      <c r="Q10" s="348" t="s">
        <v>250</v>
      </c>
      <c r="R10" s="349"/>
      <c r="S10" s="347"/>
      <c r="T10" s="347"/>
      <c r="U10" s="420"/>
      <c r="V10" s="704"/>
      <c r="W10" s="531"/>
      <c r="X10" s="2">
        <v>101</v>
      </c>
    </row>
    <row r="11" spans="1:24" x14ac:dyDescent="0.25">
      <c r="A11" s="464"/>
      <c r="B11" s="417"/>
      <c r="C11" s="417"/>
      <c r="D11" s="417"/>
      <c r="E11" s="417"/>
      <c r="F11" s="414"/>
      <c r="G11" s="534"/>
      <c r="H11" s="420"/>
      <c r="I11" s="423"/>
      <c r="J11" s="547"/>
      <c r="K11" s="550"/>
      <c r="L11" s="417"/>
      <c r="M11" s="417"/>
      <c r="N11" s="357" t="s">
        <v>266</v>
      </c>
      <c r="O11" s="414"/>
      <c r="P11" s="347">
        <v>19035.14</v>
      </c>
      <c r="Q11" s="348" t="s">
        <v>262</v>
      </c>
      <c r="R11" s="349"/>
      <c r="S11" s="347"/>
      <c r="T11" s="347"/>
      <c r="U11" s="420"/>
      <c r="V11" s="704"/>
      <c r="W11" s="531"/>
      <c r="X11" s="2">
        <v>101</v>
      </c>
    </row>
    <row r="12" spans="1:24" x14ac:dyDescent="0.25">
      <c r="A12" s="464"/>
      <c r="B12" s="417"/>
      <c r="C12" s="417"/>
      <c r="D12" s="417"/>
      <c r="E12" s="417"/>
      <c r="F12" s="414"/>
      <c r="G12" s="534"/>
      <c r="H12" s="420"/>
      <c r="I12" s="423"/>
      <c r="J12" s="547"/>
      <c r="K12" s="550"/>
      <c r="L12" s="417"/>
      <c r="M12" s="417"/>
      <c r="N12" s="357" t="s">
        <v>257</v>
      </c>
      <c r="O12" s="414"/>
      <c r="P12" s="347">
        <v>22441.72</v>
      </c>
      <c r="Q12" s="348" t="s">
        <v>272</v>
      </c>
      <c r="R12" s="349"/>
      <c r="S12" s="347"/>
      <c r="T12" s="347"/>
      <c r="U12" s="420"/>
      <c r="V12" s="704"/>
      <c r="W12" s="531"/>
      <c r="X12" s="2">
        <v>101</v>
      </c>
    </row>
    <row r="13" spans="1:24" x14ac:dyDescent="0.25">
      <c r="A13" s="464"/>
      <c r="B13" s="417"/>
      <c r="C13" s="417"/>
      <c r="D13" s="417"/>
      <c r="E13" s="417"/>
      <c r="F13" s="414"/>
      <c r="G13" s="534"/>
      <c r="H13" s="420"/>
      <c r="I13" s="423"/>
      <c r="J13" s="547"/>
      <c r="K13" s="550"/>
      <c r="L13" s="417"/>
      <c r="M13" s="417"/>
      <c r="N13" s="357" t="s">
        <v>266</v>
      </c>
      <c r="O13" s="414"/>
      <c r="P13" s="347">
        <v>30637.63</v>
      </c>
      <c r="Q13" s="348" t="s">
        <v>272</v>
      </c>
      <c r="R13" s="349"/>
      <c r="S13" s="347"/>
      <c r="T13" s="347"/>
      <c r="U13" s="420"/>
      <c r="V13" s="704"/>
      <c r="W13" s="531"/>
      <c r="X13" s="2">
        <v>101</v>
      </c>
    </row>
    <row r="14" spans="1:24" x14ac:dyDescent="0.25">
      <c r="A14" s="464"/>
      <c r="B14" s="417"/>
      <c r="C14" s="417"/>
      <c r="D14" s="417"/>
      <c r="E14" s="417"/>
      <c r="F14" s="414"/>
      <c r="G14" s="534"/>
      <c r="H14" s="420"/>
      <c r="I14" s="423"/>
      <c r="J14" s="547"/>
      <c r="K14" s="550"/>
      <c r="L14" s="417"/>
      <c r="M14" s="417"/>
      <c r="N14" s="357" t="s">
        <v>310</v>
      </c>
      <c r="O14" s="414"/>
      <c r="P14" s="347">
        <v>22984.78</v>
      </c>
      <c r="Q14" s="348" t="s">
        <v>309</v>
      </c>
      <c r="R14" s="349"/>
      <c r="S14" s="347"/>
      <c r="T14" s="347"/>
      <c r="U14" s="420"/>
      <c r="V14" s="704"/>
      <c r="W14" s="531"/>
      <c r="X14" s="2">
        <v>101</v>
      </c>
    </row>
    <row r="15" spans="1:24" x14ac:dyDescent="0.25">
      <c r="A15" s="464"/>
      <c r="B15" s="417"/>
      <c r="C15" s="417"/>
      <c r="D15" s="417"/>
      <c r="E15" s="417"/>
      <c r="F15" s="414"/>
      <c r="G15" s="534"/>
      <c r="H15" s="420"/>
      <c r="I15" s="423"/>
      <c r="J15" s="547"/>
      <c r="K15" s="550"/>
      <c r="L15" s="417"/>
      <c r="M15" s="417"/>
      <c r="N15" s="357" t="s">
        <v>312</v>
      </c>
      <c r="O15" s="414"/>
      <c r="P15" s="347">
        <v>19352.66</v>
      </c>
      <c r="Q15" s="348" t="s">
        <v>311</v>
      </c>
      <c r="R15" s="349"/>
      <c r="S15" s="347"/>
      <c r="T15" s="347"/>
      <c r="U15" s="420"/>
      <c r="V15" s="704"/>
      <c r="W15" s="531"/>
      <c r="X15" s="2">
        <v>101</v>
      </c>
    </row>
    <row r="16" spans="1:24" x14ac:dyDescent="0.25">
      <c r="A16" s="464"/>
      <c r="B16" s="417"/>
      <c r="C16" s="417"/>
      <c r="D16" s="417"/>
      <c r="E16" s="417"/>
      <c r="F16" s="414"/>
      <c r="G16" s="534"/>
      <c r="H16" s="420"/>
      <c r="I16" s="423"/>
      <c r="J16" s="547"/>
      <c r="K16" s="550"/>
      <c r="L16" s="417"/>
      <c r="M16" s="417"/>
      <c r="N16" s="357" t="s">
        <v>310</v>
      </c>
      <c r="O16" s="414"/>
      <c r="P16" s="347">
        <v>30318.62</v>
      </c>
      <c r="Q16" s="348" t="s">
        <v>311</v>
      </c>
      <c r="R16" s="349"/>
      <c r="S16" s="347"/>
      <c r="T16" s="347"/>
      <c r="U16" s="420"/>
      <c r="V16" s="704"/>
      <c r="W16" s="531"/>
      <c r="X16" s="2">
        <v>101</v>
      </c>
    </row>
    <row r="17" spans="1:24" x14ac:dyDescent="0.25">
      <c r="A17" s="464"/>
      <c r="B17" s="417"/>
      <c r="C17" s="417"/>
      <c r="D17" s="417"/>
      <c r="E17" s="417"/>
      <c r="F17" s="414"/>
      <c r="G17" s="534"/>
      <c r="H17" s="420"/>
      <c r="I17" s="423"/>
      <c r="J17" s="547"/>
      <c r="K17" s="550"/>
      <c r="L17" s="417"/>
      <c r="M17" s="417"/>
      <c r="N17" s="357" t="s">
        <v>399</v>
      </c>
      <c r="O17" s="414"/>
      <c r="P17" s="347">
        <v>22735.61</v>
      </c>
      <c r="Q17" s="348" t="s">
        <v>399</v>
      </c>
      <c r="R17" s="349"/>
      <c r="S17" s="347"/>
      <c r="T17" s="347"/>
      <c r="U17" s="420"/>
      <c r="V17" s="704"/>
      <c r="W17" s="531"/>
      <c r="X17" s="2">
        <v>101</v>
      </c>
    </row>
    <row r="18" spans="1:24" x14ac:dyDescent="0.25">
      <c r="A18" s="464"/>
      <c r="B18" s="417"/>
      <c r="C18" s="417"/>
      <c r="D18" s="417"/>
      <c r="E18" s="417"/>
      <c r="F18" s="414"/>
      <c r="G18" s="534"/>
      <c r="H18" s="420"/>
      <c r="I18" s="423"/>
      <c r="J18" s="547"/>
      <c r="K18" s="550"/>
      <c r="L18" s="417"/>
      <c r="M18" s="417"/>
      <c r="N18" s="357" t="s">
        <v>399</v>
      </c>
      <c r="O18" s="414"/>
      <c r="P18" s="347">
        <v>23350.45</v>
      </c>
      <c r="Q18" s="348" t="s">
        <v>400</v>
      </c>
      <c r="R18" s="349"/>
      <c r="S18" s="347"/>
      <c r="T18" s="347"/>
      <c r="U18" s="420"/>
      <c r="V18" s="704"/>
      <c r="W18" s="531"/>
      <c r="X18" s="2">
        <v>101</v>
      </c>
    </row>
    <row r="19" spans="1:24" x14ac:dyDescent="0.25">
      <c r="A19" s="464"/>
      <c r="B19" s="417"/>
      <c r="C19" s="417"/>
      <c r="D19" s="417"/>
      <c r="E19" s="417"/>
      <c r="F19" s="414"/>
      <c r="G19" s="534"/>
      <c r="H19" s="420"/>
      <c r="I19" s="423"/>
      <c r="J19" s="547"/>
      <c r="K19" s="550"/>
      <c r="L19" s="417"/>
      <c r="M19" s="417"/>
      <c r="N19" s="357" t="s">
        <v>457</v>
      </c>
      <c r="O19" s="414"/>
      <c r="P19" s="347">
        <v>17516.099999999999</v>
      </c>
      <c r="Q19" s="348" t="s">
        <v>455</v>
      </c>
      <c r="R19" s="349"/>
      <c r="S19" s="347"/>
      <c r="T19" s="347"/>
      <c r="U19" s="420"/>
      <c r="V19" s="704"/>
      <c r="W19" s="531"/>
      <c r="X19" s="2">
        <v>101</v>
      </c>
    </row>
    <row r="20" spans="1:24" x14ac:dyDescent="0.25">
      <c r="A20" s="464"/>
      <c r="B20" s="417"/>
      <c r="C20" s="417"/>
      <c r="D20" s="417"/>
      <c r="E20" s="417"/>
      <c r="F20" s="414"/>
      <c r="G20" s="534"/>
      <c r="H20" s="420"/>
      <c r="I20" s="423"/>
      <c r="J20" s="547"/>
      <c r="K20" s="550"/>
      <c r="L20" s="417"/>
      <c r="M20" s="417"/>
      <c r="N20" s="357" t="s">
        <v>454</v>
      </c>
      <c r="O20" s="414"/>
      <c r="P20" s="347">
        <v>15970.94</v>
      </c>
      <c r="Q20" s="348" t="s">
        <v>458</v>
      </c>
      <c r="R20" s="349"/>
      <c r="S20" s="347"/>
      <c r="T20" s="347"/>
      <c r="U20" s="420"/>
      <c r="V20" s="704"/>
      <c r="W20" s="531"/>
      <c r="X20" s="2">
        <v>101</v>
      </c>
    </row>
    <row r="21" spans="1:24" x14ac:dyDescent="0.25">
      <c r="A21" s="464"/>
      <c r="B21" s="417"/>
      <c r="C21" s="417"/>
      <c r="D21" s="417"/>
      <c r="E21" s="417"/>
      <c r="F21" s="414"/>
      <c r="G21" s="534"/>
      <c r="H21" s="420"/>
      <c r="I21" s="423"/>
      <c r="J21" s="547"/>
      <c r="K21" s="550"/>
      <c r="L21" s="417"/>
      <c r="M21" s="417"/>
      <c r="N21" s="357" t="s">
        <v>457</v>
      </c>
      <c r="O21" s="414"/>
      <c r="P21" s="347">
        <v>27434.06</v>
      </c>
      <c r="Q21" s="348" t="s">
        <v>458</v>
      </c>
      <c r="R21" s="349"/>
      <c r="S21" s="347"/>
      <c r="T21" s="347"/>
      <c r="U21" s="420"/>
      <c r="V21" s="704"/>
      <c r="W21" s="531"/>
      <c r="X21" s="2">
        <v>101</v>
      </c>
    </row>
    <row r="22" spans="1:24" x14ac:dyDescent="0.25">
      <c r="A22" s="464"/>
      <c r="B22" s="417"/>
      <c r="C22" s="417"/>
      <c r="D22" s="417"/>
      <c r="E22" s="417"/>
      <c r="F22" s="414"/>
      <c r="G22" s="534"/>
      <c r="H22" s="420"/>
      <c r="I22" s="423"/>
      <c r="J22" s="547"/>
      <c r="K22" s="550"/>
      <c r="L22" s="417"/>
      <c r="M22" s="417"/>
      <c r="N22" s="357" t="s">
        <v>509</v>
      </c>
      <c r="O22" s="414"/>
      <c r="P22" s="347">
        <v>20575.55</v>
      </c>
      <c r="Q22" s="348" t="s">
        <v>506</v>
      </c>
      <c r="R22" s="349"/>
      <c r="S22" s="347"/>
      <c r="T22" s="347"/>
      <c r="U22" s="420"/>
      <c r="V22" s="704"/>
      <c r="W22" s="531"/>
      <c r="X22" s="2">
        <v>101</v>
      </c>
    </row>
    <row r="23" spans="1:24" x14ac:dyDescent="0.25">
      <c r="A23" s="464"/>
      <c r="B23" s="417"/>
      <c r="C23" s="417"/>
      <c r="D23" s="417"/>
      <c r="E23" s="417"/>
      <c r="F23" s="414"/>
      <c r="G23" s="534"/>
      <c r="H23" s="420"/>
      <c r="I23" s="423"/>
      <c r="J23" s="547"/>
      <c r="K23" s="550"/>
      <c r="L23" s="417"/>
      <c r="M23" s="417"/>
      <c r="N23" s="357" t="s">
        <v>468</v>
      </c>
      <c r="O23" s="414"/>
      <c r="P23" s="347">
        <v>1128.82</v>
      </c>
      <c r="Q23" s="348" t="s">
        <v>508</v>
      </c>
      <c r="R23" s="349"/>
      <c r="S23" s="347"/>
      <c r="T23" s="347"/>
      <c r="U23" s="420"/>
      <c r="V23" s="704"/>
      <c r="W23" s="531"/>
      <c r="X23" s="2">
        <v>101</v>
      </c>
    </row>
    <row r="24" spans="1:24" x14ac:dyDescent="0.25">
      <c r="A24" s="464"/>
      <c r="B24" s="417"/>
      <c r="C24" s="417"/>
      <c r="D24" s="417"/>
      <c r="E24" s="417"/>
      <c r="F24" s="414"/>
      <c r="G24" s="534"/>
      <c r="H24" s="420"/>
      <c r="I24" s="423"/>
      <c r="J24" s="547"/>
      <c r="K24" s="550"/>
      <c r="L24" s="417"/>
      <c r="M24" s="417"/>
      <c r="N24" s="357" t="s">
        <v>509</v>
      </c>
      <c r="O24" s="414"/>
      <c r="P24" s="347">
        <v>20362.28</v>
      </c>
      <c r="Q24" s="348" t="s">
        <v>508</v>
      </c>
      <c r="R24" s="349"/>
      <c r="S24" s="347"/>
      <c r="T24" s="347"/>
      <c r="U24" s="420"/>
      <c r="V24" s="704"/>
      <c r="W24" s="531"/>
      <c r="X24" s="2">
        <v>101</v>
      </c>
    </row>
    <row r="25" spans="1:24" x14ac:dyDescent="0.25">
      <c r="A25" s="464"/>
      <c r="B25" s="417"/>
      <c r="C25" s="417"/>
      <c r="D25" s="417"/>
      <c r="E25" s="417"/>
      <c r="F25" s="414"/>
      <c r="G25" s="534"/>
      <c r="H25" s="420"/>
      <c r="I25" s="423"/>
      <c r="J25" s="547"/>
      <c r="K25" s="550"/>
      <c r="L25" s="417"/>
      <c r="M25" s="417"/>
      <c r="N25" s="357" t="s">
        <v>541</v>
      </c>
      <c r="O25" s="414"/>
      <c r="P25" s="347">
        <v>16187.8</v>
      </c>
      <c r="Q25" s="348">
        <v>45474</v>
      </c>
      <c r="R25" s="349"/>
      <c r="S25" s="347"/>
      <c r="T25" s="347"/>
      <c r="U25" s="420"/>
      <c r="V25" s="704"/>
      <c r="W25" s="531"/>
      <c r="X25" s="2">
        <v>101</v>
      </c>
    </row>
    <row r="26" spans="1:24" x14ac:dyDescent="0.25">
      <c r="A26" s="464"/>
      <c r="B26" s="417"/>
      <c r="C26" s="417"/>
      <c r="D26" s="417"/>
      <c r="E26" s="417"/>
      <c r="F26" s="414"/>
      <c r="G26" s="534"/>
      <c r="H26" s="420"/>
      <c r="I26" s="423"/>
      <c r="J26" s="547"/>
      <c r="K26" s="550"/>
      <c r="L26" s="417"/>
      <c r="M26" s="417"/>
      <c r="N26" s="357">
        <v>45474</v>
      </c>
      <c r="O26" s="414"/>
      <c r="P26" s="347">
        <v>16069.98</v>
      </c>
      <c r="Q26" s="348">
        <v>45489</v>
      </c>
      <c r="R26" s="349"/>
      <c r="S26" s="347"/>
      <c r="T26" s="347"/>
      <c r="U26" s="420"/>
      <c r="V26" s="704"/>
      <c r="W26" s="531"/>
      <c r="X26" s="2">
        <v>101</v>
      </c>
    </row>
    <row r="27" spans="1:24" x14ac:dyDescent="0.25">
      <c r="A27" s="464"/>
      <c r="B27" s="417"/>
      <c r="C27" s="417"/>
      <c r="D27" s="417"/>
      <c r="E27" s="417"/>
      <c r="F27" s="414"/>
      <c r="G27" s="534"/>
      <c r="H27" s="420"/>
      <c r="I27" s="423"/>
      <c r="J27" s="547"/>
      <c r="K27" s="550"/>
      <c r="L27" s="417"/>
      <c r="M27" s="417"/>
      <c r="N27" s="357">
        <v>45505</v>
      </c>
      <c r="O27" s="414"/>
      <c r="P27" s="347">
        <v>12059.5</v>
      </c>
      <c r="Q27" s="348">
        <v>45509</v>
      </c>
      <c r="R27" s="349"/>
      <c r="S27" s="347"/>
      <c r="T27" s="347"/>
      <c r="U27" s="420"/>
      <c r="V27" s="704"/>
      <c r="W27" s="531"/>
      <c r="X27" s="2">
        <v>101</v>
      </c>
    </row>
    <row r="28" spans="1:24" x14ac:dyDescent="0.25">
      <c r="A28" s="464"/>
      <c r="B28" s="417"/>
      <c r="C28" s="417"/>
      <c r="D28" s="417"/>
      <c r="E28" s="417"/>
      <c r="F28" s="414"/>
      <c r="G28" s="534"/>
      <c r="H28" s="420"/>
      <c r="I28" s="423"/>
      <c r="J28" s="547"/>
      <c r="K28" s="550"/>
      <c r="L28" s="417"/>
      <c r="M28" s="417"/>
      <c r="N28" s="357">
        <v>45505</v>
      </c>
      <c r="O28" s="414"/>
      <c r="P28" s="347">
        <v>9481.18</v>
      </c>
      <c r="Q28" s="348">
        <v>45518</v>
      </c>
      <c r="R28" s="349"/>
      <c r="S28" s="347"/>
      <c r="T28" s="347"/>
      <c r="U28" s="420"/>
      <c r="V28" s="704"/>
      <c r="W28" s="531"/>
      <c r="X28" s="2">
        <v>101</v>
      </c>
    </row>
    <row r="29" spans="1:24" s="254" customFormat="1" x14ac:dyDescent="0.25">
      <c r="A29" s="464"/>
      <c r="B29" s="417"/>
      <c r="C29" s="417"/>
      <c r="D29" s="417"/>
      <c r="E29" s="417"/>
      <c r="F29" s="414"/>
      <c r="G29" s="534"/>
      <c r="H29" s="420"/>
      <c r="I29" s="423"/>
      <c r="J29" s="547"/>
      <c r="K29" s="550"/>
      <c r="L29" s="417"/>
      <c r="M29" s="417"/>
      <c r="N29" s="358">
        <v>45536</v>
      </c>
      <c r="O29" s="414"/>
      <c r="P29" s="350">
        <v>7118.27</v>
      </c>
      <c r="Q29" s="351">
        <v>45537</v>
      </c>
      <c r="R29" s="352"/>
      <c r="S29" s="350"/>
      <c r="T29" s="350"/>
      <c r="U29" s="420"/>
      <c r="V29" s="704"/>
      <c r="W29" s="531"/>
      <c r="X29" s="254">
        <v>101</v>
      </c>
    </row>
    <row r="30" spans="1:24" s="254" customFormat="1" x14ac:dyDescent="0.25">
      <c r="A30" s="464"/>
      <c r="B30" s="417"/>
      <c r="C30" s="417"/>
      <c r="D30" s="417"/>
      <c r="E30" s="417"/>
      <c r="F30" s="414"/>
      <c r="G30" s="534"/>
      <c r="H30" s="420"/>
      <c r="I30" s="423"/>
      <c r="J30" s="547"/>
      <c r="K30" s="550"/>
      <c r="L30" s="417"/>
      <c r="M30" s="417"/>
      <c r="N30" s="358">
        <v>45536</v>
      </c>
      <c r="O30" s="414"/>
      <c r="P30" s="350">
        <v>9284</v>
      </c>
      <c r="Q30" s="351">
        <v>45551</v>
      </c>
      <c r="R30" s="352"/>
      <c r="S30" s="350"/>
      <c r="T30" s="350"/>
      <c r="U30" s="420"/>
      <c r="V30" s="704"/>
      <c r="W30" s="531"/>
      <c r="X30" s="254">
        <v>101</v>
      </c>
    </row>
    <row r="31" spans="1:24" s="254" customFormat="1" x14ac:dyDescent="0.25">
      <c r="A31" s="464"/>
      <c r="B31" s="417"/>
      <c r="C31" s="417"/>
      <c r="D31" s="417"/>
      <c r="E31" s="417"/>
      <c r="F31" s="414"/>
      <c r="G31" s="534"/>
      <c r="H31" s="420"/>
      <c r="I31" s="423"/>
      <c r="J31" s="547"/>
      <c r="K31" s="550"/>
      <c r="L31" s="417"/>
      <c r="M31" s="417"/>
      <c r="N31" s="358">
        <v>45566</v>
      </c>
      <c r="O31" s="414"/>
      <c r="P31" s="350">
        <v>6966.6</v>
      </c>
      <c r="Q31" s="351">
        <v>45569</v>
      </c>
      <c r="R31" s="352"/>
      <c r="S31" s="350"/>
      <c r="T31" s="350"/>
      <c r="U31" s="420"/>
      <c r="V31" s="704"/>
      <c r="W31" s="531"/>
      <c r="X31" s="254">
        <v>101</v>
      </c>
    </row>
    <row r="32" spans="1:24" s="254" customFormat="1" x14ac:dyDescent="0.25">
      <c r="A32" s="464"/>
      <c r="B32" s="417"/>
      <c r="C32" s="417"/>
      <c r="D32" s="417"/>
      <c r="E32" s="417"/>
      <c r="F32" s="414"/>
      <c r="G32" s="534"/>
      <c r="H32" s="420"/>
      <c r="I32" s="423"/>
      <c r="J32" s="547"/>
      <c r="K32" s="550"/>
      <c r="L32" s="417"/>
      <c r="M32" s="417"/>
      <c r="N32" s="358">
        <v>45565</v>
      </c>
      <c r="O32" s="414"/>
      <c r="P32" s="350">
        <v>39195.019999999997</v>
      </c>
      <c r="Q32" s="351">
        <v>45582</v>
      </c>
      <c r="R32" s="352"/>
      <c r="S32" s="350"/>
      <c r="T32" s="350"/>
      <c r="U32" s="420"/>
      <c r="V32" s="704"/>
      <c r="W32" s="531"/>
      <c r="X32" s="254">
        <v>101</v>
      </c>
    </row>
    <row r="33" spans="1:24" s="254" customFormat="1" x14ac:dyDescent="0.25">
      <c r="A33" s="464"/>
      <c r="B33" s="417"/>
      <c r="C33" s="417"/>
      <c r="D33" s="417"/>
      <c r="E33" s="417"/>
      <c r="F33" s="414"/>
      <c r="G33" s="534"/>
      <c r="H33" s="420"/>
      <c r="I33" s="423"/>
      <c r="J33" s="547"/>
      <c r="K33" s="550"/>
      <c r="L33" s="417"/>
      <c r="M33" s="417"/>
      <c r="N33" s="358">
        <v>45566</v>
      </c>
      <c r="O33" s="414"/>
      <c r="P33" s="350">
        <v>29073.919999999998</v>
      </c>
      <c r="Q33" s="351">
        <v>45582</v>
      </c>
      <c r="R33" s="352"/>
      <c r="S33" s="350"/>
      <c r="T33" s="350"/>
      <c r="U33" s="420"/>
      <c r="V33" s="704"/>
      <c r="W33" s="531"/>
      <c r="X33" s="254">
        <v>101</v>
      </c>
    </row>
    <row r="34" spans="1:24" s="254" customFormat="1" x14ac:dyDescent="0.25">
      <c r="A34" s="464"/>
      <c r="B34" s="417"/>
      <c r="C34" s="417"/>
      <c r="D34" s="417"/>
      <c r="E34" s="417"/>
      <c r="F34" s="414"/>
      <c r="G34" s="534"/>
      <c r="H34" s="420"/>
      <c r="I34" s="423"/>
      <c r="J34" s="547"/>
      <c r="K34" s="550"/>
      <c r="L34" s="417"/>
      <c r="M34" s="417"/>
      <c r="N34" s="358">
        <v>45596</v>
      </c>
      <c r="O34" s="414"/>
      <c r="P34" s="350">
        <v>24975</v>
      </c>
      <c r="Q34" s="351">
        <v>45611</v>
      </c>
      <c r="R34" s="352"/>
      <c r="S34" s="350"/>
      <c r="T34" s="350"/>
      <c r="U34" s="420"/>
      <c r="V34" s="704"/>
      <c r="W34" s="531"/>
      <c r="X34" s="254">
        <v>101</v>
      </c>
    </row>
    <row r="35" spans="1:24" s="254" customFormat="1" x14ac:dyDescent="0.25">
      <c r="A35" s="465"/>
      <c r="B35" s="418"/>
      <c r="C35" s="418"/>
      <c r="D35" s="418"/>
      <c r="E35" s="418"/>
      <c r="F35" s="415"/>
      <c r="G35" s="535"/>
      <c r="H35" s="421"/>
      <c r="I35" s="424"/>
      <c r="J35" s="548"/>
      <c r="K35" s="551"/>
      <c r="L35" s="418"/>
      <c r="M35" s="418"/>
      <c r="N35" s="359">
        <v>45597</v>
      </c>
      <c r="O35" s="415"/>
      <c r="P35" s="353">
        <v>26661.200000000001</v>
      </c>
      <c r="Q35" s="354">
        <v>45611</v>
      </c>
      <c r="R35" s="355"/>
      <c r="S35" s="353"/>
      <c r="T35" s="353"/>
      <c r="U35" s="421"/>
      <c r="V35" s="705"/>
      <c r="W35" s="532"/>
      <c r="X35" s="254">
        <v>101</v>
      </c>
    </row>
    <row r="36" spans="1:24" s="85" customFormat="1" ht="63" customHeight="1" x14ac:dyDescent="0.25">
      <c r="A36" s="481">
        <v>2</v>
      </c>
      <c r="B36" s="428" t="s">
        <v>56</v>
      </c>
      <c r="C36" s="428"/>
      <c r="D36" s="428"/>
      <c r="E36" s="428" t="s">
        <v>159</v>
      </c>
      <c r="F36" s="434" t="s">
        <v>190</v>
      </c>
      <c r="G36" s="431" t="s">
        <v>160</v>
      </c>
      <c r="H36" s="437">
        <v>22628.22</v>
      </c>
      <c r="I36" s="440">
        <f>IF(X36 = 102, H36 + SUM(S36:S41) - SUM(T36:T41) - SUM(P36:P41) - V36,0)</f>
        <v>3.637978807091713E-12</v>
      </c>
      <c r="J36" s="569">
        <v>2308131994</v>
      </c>
      <c r="K36" s="571" t="s">
        <v>208</v>
      </c>
      <c r="L36" s="428"/>
      <c r="M36" s="428" t="s">
        <v>209</v>
      </c>
      <c r="N36" s="303" t="s">
        <v>257</v>
      </c>
      <c r="O36" s="434" t="s">
        <v>163</v>
      </c>
      <c r="P36" s="287">
        <v>3771.37</v>
      </c>
      <c r="Q36" s="288" t="s">
        <v>270</v>
      </c>
      <c r="R36" s="289"/>
      <c r="S36" s="287"/>
      <c r="T36" s="287"/>
      <c r="U36" s="437"/>
      <c r="V36" s="567"/>
      <c r="W36" s="425"/>
      <c r="X36" s="85">
        <v>102</v>
      </c>
    </row>
    <row r="37" spans="1:24" x14ac:dyDescent="0.25">
      <c r="A37" s="482"/>
      <c r="B37" s="429"/>
      <c r="C37" s="429"/>
      <c r="D37" s="429"/>
      <c r="E37" s="429"/>
      <c r="F37" s="435"/>
      <c r="G37" s="432"/>
      <c r="H37" s="438"/>
      <c r="I37" s="441"/>
      <c r="J37" s="627"/>
      <c r="K37" s="706"/>
      <c r="L37" s="429"/>
      <c r="M37" s="429"/>
      <c r="N37" s="304" t="s">
        <v>312</v>
      </c>
      <c r="O37" s="435"/>
      <c r="P37" s="291">
        <v>3771.37</v>
      </c>
      <c r="Q37" s="290" t="s">
        <v>316</v>
      </c>
      <c r="R37" s="292"/>
      <c r="S37" s="291"/>
      <c r="T37" s="291"/>
      <c r="U37" s="438"/>
      <c r="V37" s="626"/>
      <c r="W37" s="426"/>
      <c r="X37" s="2">
        <v>102</v>
      </c>
    </row>
    <row r="38" spans="1:24" x14ac:dyDescent="0.25">
      <c r="A38" s="482"/>
      <c r="B38" s="429"/>
      <c r="C38" s="429"/>
      <c r="D38" s="429"/>
      <c r="E38" s="429"/>
      <c r="F38" s="435"/>
      <c r="G38" s="432"/>
      <c r="H38" s="438"/>
      <c r="I38" s="441"/>
      <c r="J38" s="627"/>
      <c r="K38" s="706"/>
      <c r="L38" s="429"/>
      <c r="M38" s="429"/>
      <c r="N38" s="304" t="s">
        <v>402</v>
      </c>
      <c r="O38" s="435"/>
      <c r="P38" s="291">
        <v>3771.37</v>
      </c>
      <c r="Q38" s="290" t="s">
        <v>401</v>
      </c>
      <c r="R38" s="292"/>
      <c r="S38" s="291"/>
      <c r="T38" s="291"/>
      <c r="U38" s="438"/>
      <c r="V38" s="626"/>
      <c r="W38" s="426"/>
      <c r="X38" s="2">
        <v>102</v>
      </c>
    </row>
    <row r="39" spans="1:24" x14ac:dyDescent="0.25">
      <c r="A39" s="482"/>
      <c r="B39" s="429"/>
      <c r="C39" s="429"/>
      <c r="D39" s="429"/>
      <c r="E39" s="429"/>
      <c r="F39" s="435"/>
      <c r="G39" s="432"/>
      <c r="H39" s="438"/>
      <c r="I39" s="441"/>
      <c r="J39" s="627"/>
      <c r="K39" s="706"/>
      <c r="L39" s="429"/>
      <c r="M39" s="429"/>
      <c r="N39" s="304" t="s">
        <v>454</v>
      </c>
      <c r="O39" s="435"/>
      <c r="P39" s="291">
        <v>3771.37</v>
      </c>
      <c r="Q39" s="290" t="s">
        <v>459</v>
      </c>
      <c r="R39" s="292"/>
      <c r="S39" s="291"/>
      <c r="T39" s="291"/>
      <c r="U39" s="438"/>
      <c r="V39" s="626"/>
      <c r="W39" s="426"/>
      <c r="X39" s="2">
        <v>102</v>
      </c>
    </row>
    <row r="40" spans="1:24" x14ac:dyDescent="0.25">
      <c r="A40" s="482"/>
      <c r="B40" s="429"/>
      <c r="C40" s="429"/>
      <c r="D40" s="429"/>
      <c r="E40" s="429"/>
      <c r="F40" s="435"/>
      <c r="G40" s="432"/>
      <c r="H40" s="438"/>
      <c r="I40" s="441"/>
      <c r="J40" s="627"/>
      <c r="K40" s="706"/>
      <c r="L40" s="429"/>
      <c r="M40" s="429"/>
      <c r="N40" s="304" t="s">
        <v>468</v>
      </c>
      <c r="O40" s="435"/>
      <c r="P40" s="291">
        <v>3771.37</v>
      </c>
      <c r="Q40" s="290" t="s">
        <v>512</v>
      </c>
      <c r="R40" s="292"/>
      <c r="S40" s="291"/>
      <c r="T40" s="291"/>
      <c r="U40" s="438"/>
      <c r="V40" s="626"/>
      <c r="W40" s="426"/>
      <c r="X40" s="2">
        <v>102</v>
      </c>
    </row>
    <row r="41" spans="1:24" x14ac:dyDescent="0.25">
      <c r="A41" s="482"/>
      <c r="B41" s="429"/>
      <c r="C41" s="429"/>
      <c r="D41" s="429"/>
      <c r="E41" s="429"/>
      <c r="F41" s="435"/>
      <c r="G41" s="432"/>
      <c r="H41" s="438"/>
      <c r="I41" s="441"/>
      <c r="J41" s="627"/>
      <c r="K41" s="706"/>
      <c r="L41" s="429"/>
      <c r="M41" s="429"/>
      <c r="N41" s="304">
        <v>45473</v>
      </c>
      <c r="O41" s="435"/>
      <c r="P41" s="291">
        <v>3771.37</v>
      </c>
      <c r="Q41" s="290">
        <v>45490</v>
      </c>
      <c r="R41" s="292"/>
      <c r="S41" s="291"/>
      <c r="T41" s="291"/>
      <c r="U41" s="438"/>
      <c r="V41" s="626"/>
      <c r="W41" s="426"/>
      <c r="X41" s="2">
        <v>102</v>
      </c>
    </row>
    <row r="42" spans="1:24" s="85" customFormat="1" ht="60.6" customHeight="1" x14ac:dyDescent="0.25">
      <c r="A42" s="463">
        <v>3</v>
      </c>
      <c r="B42" s="416" t="s">
        <v>56</v>
      </c>
      <c r="C42" s="416"/>
      <c r="D42" s="416"/>
      <c r="E42" s="416" t="s">
        <v>173</v>
      </c>
      <c r="F42" s="413" t="s">
        <v>190</v>
      </c>
      <c r="G42" s="533" t="s">
        <v>161</v>
      </c>
      <c r="H42" s="419">
        <v>38404.160000000003</v>
      </c>
      <c r="I42" s="422">
        <f>IF(X42 = 103, H42 + SUM(S42:S51) - SUM(T42:T51) - SUM(P42:P51) - V42,0)</f>
        <v>12810.010000000038</v>
      </c>
      <c r="J42" s="546">
        <v>2369002347</v>
      </c>
      <c r="K42" s="549" t="s">
        <v>162</v>
      </c>
      <c r="L42" s="416"/>
      <c r="M42" s="416" t="s">
        <v>188</v>
      </c>
      <c r="N42" s="356" t="s">
        <v>257</v>
      </c>
      <c r="O42" s="413" t="s">
        <v>210</v>
      </c>
      <c r="P42" s="344">
        <v>16111.64</v>
      </c>
      <c r="Q42" s="345" t="s">
        <v>271</v>
      </c>
      <c r="R42" s="346" t="s">
        <v>360</v>
      </c>
      <c r="S42" s="344">
        <v>3210.62</v>
      </c>
      <c r="T42" s="344"/>
      <c r="U42" s="419"/>
      <c r="V42" s="703"/>
      <c r="W42" s="530"/>
      <c r="X42" s="85">
        <v>103</v>
      </c>
    </row>
    <row r="43" spans="1:24" ht="56.25" x14ac:dyDescent="0.25">
      <c r="A43" s="464"/>
      <c r="B43" s="417"/>
      <c r="C43" s="417"/>
      <c r="D43" s="417"/>
      <c r="E43" s="417"/>
      <c r="F43" s="414"/>
      <c r="G43" s="534"/>
      <c r="H43" s="420"/>
      <c r="I43" s="423"/>
      <c r="J43" s="547"/>
      <c r="K43" s="550"/>
      <c r="L43" s="417"/>
      <c r="M43" s="417"/>
      <c r="N43" s="357" t="s">
        <v>312</v>
      </c>
      <c r="O43" s="414"/>
      <c r="P43" s="347">
        <v>12313.3</v>
      </c>
      <c r="Q43" s="348" t="s">
        <v>316</v>
      </c>
      <c r="R43" s="349" t="s">
        <v>414</v>
      </c>
      <c r="S43" s="347">
        <v>15026.4</v>
      </c>
      <c r="T43" s="347"/>
      <c r="U43" s="420"/>
      <c r="V43" s="704"/>
      <c r="W43" s="531"/>
      <c r="X43" s="2">
        <v>103</v>
      </c>
    </row>
    <row r="44" spans="1:24" ht="56.25" x14ac:dyDescent="0.25">
      <c r="A44" s="464"/>
      <c r="B44" s="417"/>
      <c r="C44" s="417"/>
      <c r="D44" s="417"/>
      <c r="E44" s="417"/>
      <c r="F44" s="414"/>
      <c r="G44" s="534"/>
      <c r="H44" s="420"/>
      <c r="I44" s="423"/>
      <c r="J44" s="547"/>
      <c r="K44" s="550"/>
      <c r="L44" s="417"/>
      <c r="M44" s="417"/>
      <c r="N44" s="357" t="s">
        <v>402</v>
      </c>
      <c r="O44" s="414"/>
      <c r="P44" s="347">
        <v>13189.84</v>
      </c>
      <c r="Q44" s="348" t="s">
        <v>408</v>
      </c>
      <c r="R44" s="349" t="s">
        <v>483</v>
      </c>
      <c r="S44" s="347">
        <v>19283.88</v>
      </c>
      <c r="T44" s="347"/>
      <c r="U44" s="420"/>
      <c r="V44" s="704"/>
      <c r="W44" s="531"/>
      <c r="X44" s="2">
        <v>103</v>
      </c>
    </row>
    <row r="45" spans="1:24" ht="56.25" x14ac:dyDescent="0.25">
      <c r="A45" s="464"/>
      <c r="B45" s="417"/>
      <c r="C45" s="417"/>
      <c r="D45" s="417"/>
      <c r="E45" s="417"/>
      <c r="F45" s="414"/>
      <c r="G45" s="534"/>
      <c r="H45" s="420"/>
      <c r="I45" s="423"/>
      <c r="J45" s="547"/>
      <c r="K45" s="550"/>
      <c r="L45" s="417"/>
      <c r="M45" s="417"/>
      <c r="N45" s="357" t="s">
        <v>454</v>
      </c>
      <c r="O45" s="414"/>
      <c r="P45" s="347">
        <v>15026.4</v>
      </c>
      <c r="Q45" s="348" t="s">
        <v>458</v>
      </c>
      <c r="R45" s="349" t="s">
        <v>559</v>
      </c>
      <c r="S45" s="347">
        <v>85788.66</v>
      </c>
      <c r="T45" s="347"/>
      <c r="U45" s="420"/>
      <c r="V45" s="704"/>
      <c r="W45" s="531"/>
      <c r="X45" s="2">
        <v>103</v>
      </c>
    </row>
    <row r="46" spans="1:24" x14ac:dyDescent="0.25">
      <c r="A46" s="464"/>
      <c r="B46" s="417"/>
      <c r="C46" s="417"/>
      <c r="D46" s="417"/>
      <c r="E46" s="417"/>
      <c r="F46" s="414"/>
      <c r="G46" s="534"/>
      <c r="H46" s="420"/>
      <c r="I46" s="423"/>
      <c r="J46" s="547"/>
      <c r="K46" s="550"/>
      <c r="L46" s="417"/>
      <c r="M46" s="417"/>
      <c r="N46" s="357" t="s">
        <v>468</v>
      </c>
      <c r="O46" s="414"/>
      <c r="P46" s="347">
        <v>19283.88</v>
      </c>
      <c r="Q46" s="348" t="s">
        <v>513</v>
      </c>
      <c r="R46" s="349"/>
      <c r="S46" s="347"/>
      <c r="T46" s="347"/>
      <c r="U46" s="420"/>
      <c r="V46" s="704"/>
      <c r="W46" s="531"/>
      <c r="X46" s="2">
        <v>103</v>
      </c>
    </row>
    <row r="47" spans="1:24" x14ac:dyDescent="0.25">
      <c r="A47" s="464"/>
      <c r="B47" s="417"/>
      <c r="C47" s="417"/>
      <c r="D47" s="417"/>
      <c r="E47" s="417"/>
      <c r="F47" s="414"/>
      <c r="G47" s="534"/>
      <c r="H47" s="420"/>
      <c r="I47" s="423"/>
      <c r="J47" s="547"/>
      <c r="K47" s="550"/>
      <c r="L47" s="417"/>
      <c r="M47" s="417"/>
      <c r="N47" s="357">
        <v>45473</v>
      </c>
      <c r="O47" s="414"/>
      <c r="P47" s="347">
        <v>12146.34</v>
      </c>
      <c r="Q47" s="348">
        <v>45489</v>
      </c>
      <c r="R47" s="349"/>
      <c r="S47" s="347"/>
      <c r="T47" s="347"/>
      <c r="U47" s="420"/>
      <c r="V47" s="704"/>
      <c r="W47" s="531"/>
      <c r="X47" s="2">
        <v>103</v>
      </c>
    </row>
    <row r="48" spans="1:24" x14ac:dyDescent="0.25">
      <c r="A48" s="464"/>
      <c r="B48" s="417"/>
      <c r="C48" s="417"/>
      <c r="D48" s="417"/>
      <c r="E48" s="417"/>
      <c r="F48" s="414"/>
      <c r="G48" s="534"/>
      <c r="H48" s="420"/>
      <c r="I48" s="423"/>
      <c r="J48" s="547"/>
      <c r="K48" s="550"/>
      <c r="L48" s="417"/>
      <c r="M48" s="417"/>
      <c r="N48" s="357">
        <v>45504</v>
      </c>
      <c r="O48" s="414"/>
      <c r="P48" s="347">
        <v>20219.21</v>
      </c>
      <c r="Q48" s="348">
        <v>45518</v>
      </c>
      <c r="R48" s="349"/>
      <c r="S48" s="347"/>
      <c r="T48" s="347"/>
      <c r="U48" s="420"/>
      <c r="V48" s="704"/>
      <c r="W48" s="531"/>
      <c r="X48" s="2">
        <v>103</v>
      </c>
    </row>
    <row r="49" spans="1:24" s="254" customFormat="1" x14ac:dyDescent="0.25">
      <c r="A49" s="464"/>
      <c r="B49" s="417"/>
      <c r="C49" s="417"/>
      <c r="D49" s="417"/>
      <c r="E49" s="417"/>
      <c r="F49" s="414"/>
      <c r="G49" s="534"/>
      <c r="H49" s="420"/>
      <c r="I49" s="423"/>
      <c r="J49" s="547"/>
      <c r="K49" s="550"/>
      <c r="L49" s="417"/>
      <c r="M49" s="417"/>
      <c r="N49" s="358">
        <v>45534</v>
      </c>
      <c r="O49" s="414"/>
      <c r="P49" s="350">
        <v>26464.02</v>
      </c>
      <c r="Q49" s="351">
        <v>45546</v>
      </c>
      <c r="R49" s="352"/>
      <c r="S49" s="350"/>
      <c r="T49" s="350"/>
      <c r="U49" s="420"/>
      <c r="V49" s="704"/>
      <c r="W49" s="531"/>
      <c r="X49" s="254">
        <v>103</v>
      </c>
    </row>
    <row r="50" spans="1:24" s="254" customFormat="1" x14ac:dyDescent="0.25">
      <c r="A50" s="464"/>
      <c r="B50" s="417"/>
      <c r="C50" s="417"/>
      <c r="D50" s="417"/>
      <c r="E50" s="417"/>
      <c r="F50" s="414"/>
      <c r="G50" s="534"/>
      <c r="H50" s="420"/>
      <c r="I50" s="423"/>
      <c r="J50" s="547"/>
      <c r="K50" s="550"/>
      <c r="L50" s="417"/>
      <c r="M50" s="417"/>
      <c r="N50" s="358">
        <v>45565</v>
      </c>
      <c r="O50" s="414"/>
      <c r="P50" s="350">
        <v>7904.27</v>
      </c>
      <c r="Q50" s="351">
        <v>45574</v>
      </c>
      <c r="R50" s="352"/>
      <c r="S50" s="350"/>
      <c r="T50" s="350"/>
      <c r="U50" s="420"/>
      <c r="V50" s="704"/>
      <c r="W50" s="531"/>
      <c r="X50" s="254">
        <v>103</v>
      </c>
    </row>
    <row r="51" spans="1:24" s="254" customFormat="1" x14ac:dyDescent="0.25">
      <c r="A51" s="465"/>
      <c r="B51" s="418"/>
      <c r="C51" s="418"/>
      <c r="D51" s="418"/>
      <c r="E51" s="418"/>
      <c r="F51" s="415"/>
      <c r="G51" s="535"/>
      <c r="H51" s="421"/>
      <c r="I51" s="424"/>
      <c r="J51" s="548"/>
      <c r="K51" s="551"/>
      <c r="L51" s="418"/>
      <c r="M51" s="418"/>
      <c r="N51" s="359">
        <v>45596</v>
      </c>
      <c r="O51" s="415"/>
      <c r="P51" s="353">
        <v>6244.81</v>
      </c>
      <c r="Q51" s="354">
        <v>45609</v>
      </c>
      <c r="R51" s="355"/>
      <c r="S51" s="353"/>
      <c r="T51" s="353"/>
      <c r="U51" s="421"/>
      <c r="V51" s="705"/>
      <c r="W51" s="532"/>
      <c r="X51" s="254">
        <v>103</v>
      </c>
    </row>
    <row r="52" spans="1:24" s="85" customFormat="1" ht="81" customHeight="1" x14ac:dyDescent="0.25">
      <c r="A52" s="576">
        <v>4</v>
      </c>
      <c r="B52" s="540" t="s">
        <v>56</v>
      </c>
      <c r="C52" s="540"/>
      <c r="D52" s="540"/>
      <c r="E52" s="540" t="s">
        <v>211</v>
      </c>
      <c r="F52" s="542" t="s">
        <v>212</v>
      </c>
      <c r="G52" s="640" t="s">
        <v>213</v>
      </c>
      <c r="H52" s="544">
        <v>256000</v>
      </c>
      <c r="I52" s="660">
        <f>IF(X52 = 104, H52 + SUM(S52:S53) - SUM(T52:T53) - SUM(P52:P53) - V52,0)</f>
        <v>0</v>
      </c>
      <c r="J52" s="662">
        <v>235300578903</v>
      </c>
      <c r="K52" s="538" t="s">
        <v>147</v>
      </c>
      <c r="L52" s="540"/>
      <c r="M52" s="540" t="s">
        <v>214</v>
      </c>
      <c r="N52" s="137" t="s">
        <v>257</v>
      </c>
      <c r="O52" s="542" t="s">
        <v>180</v>
      </c>
      <c r="P52" s="133">
        <v>88832</v>
      </c>
      <c r="Q52" s="132" t="s">
        <v>270</v>
      </c>
      <c r="R52" s="131"/>
      <c r="S52" s="133"/>
      <c r="T52" s="133"/>
      <c r="U52" s="544" t="s">
        <v>331</v>
      </c>
      <c r="V52" s="642">
        <v>71168</v>
      </c>
      <c r="W52" s="658"/>
      <c r="X52" s="85">
        <v>104</v>
      </c>
    </row>
    <row r="53" spans="1:24" x14ac:dyDescent="0.25">
      <c r="A53" s="577"/>
      <c r="B53" s="541"/>
      <c r="C53" s="541"/>
      <c r="D53" s="541"/>
      <c r="E53" s="541"/>
      <c r="F53" s="543"/>
      <c r="G53" s="641"/>
      <c r="H53" s="545"/>
      <c r="I53" s="661"/>
      <c r="J53" s="663"/>
      <c r="K53" s="539"/>
      <c r="L53" s="541"/>
      <c r="M53" s="541"/>
      <c r="N53" s="138" t="s">
        <v>312</v>
      </c>
      <c r="O53" s="543"/>
      <c r="P53" s="134">
        <v>96000</v>
      </c>
      <c r="Q53" s="135" t="s">
        <v>313</v>
      </c>
      <c r="R53" s="136"/>
      <c r="S53" s="134"/>
      <c r="T53" s="134"/>
      <c r="U53" s="545"/>
      <c r="V53" s="643"/>
      <c r="W53" s="659"/>
      <c r="X53" s="2">
        <v>104</v>
      </c>
    </row>
    <row r="54" spans="1:24" s="85" customFormat="1" ht="58.15" customHeight="1" x14ac:dyDescent="0.25">
      <c r="A54" s="481">
        <v>5</v>
      </c>
      <c r="B54" s="428" t="s">
        <v>56</v>
      </c>
      <c r="C54" s="428"/>
      <c r="D54" s="428"/>
      <c r="E54" s="428" t="s">
        <v>215</v>
      </c>
      <c r="F54" s="434" t="s">
        <v>212</v>
      </c>
      <c r="G54" s="431" t="s">
        <v>165</v>
      </c>
      <c r="H54" s="437">
        <v>31676.400000000001</v>
      </c>
      <c r="I54" s="440">
        <f>IF(X54 = 105, H54 + SUM(S54:S55) - SUM(T54:T55) - SUM(P54:P55) - V54,0)</f>
        <v>15838.2</v>
      </c>
      <c r="J54" s="569">
        <v>2353018870</v>
      </c>
      <c r="K54" s="571" t="s">
        <v>152</v>
      </c>
      <c r="L54" s="428"/>
      <c r="M54" s="428" t="s">
        <v>188</v>
      </c>
      <c r="N54" s="303">
        <v>45471</v>
      </c>
      <c r="O54" s="434" t="s">
        <v>178</v>
      </c>
      <c r="P54" s="287">
        <v>7919.1</v>
      </c>
      <c r="Q54" s="288">
        <v>45476</v>
      </c>
      <c r="R54" s="289"/>
      <c r="S54" s="287"/>
      <c r="T54" s="287"/>
      <c r="U54" s="437"/>
      <c r="V54" s="567"/>
      <c r="W54" s="425"/>
      <c r="X54" s="85">
        <v>105</v>
      </c>
    </row>
    <row r="55" spans="1:24" s="254" customFormat="1" x14ac:dyDescent="0.25">
      <c r="A55" s="483"/>
      <c r="B55" s="430"/>
      <c r="C55" s="430"/>
      <c r="D55" s="430"/>
      <c r="E55" s="430"/>
      <c r="F55" s="436"/>
      <c r="G55" s="433"/>
      <c r="H55" s="439"/>
      <c r="I55" s="442"/>
      <c r="J55" s="570"/>
      <c r="K55" s="572"/>
      <c r="L55" s="430"/>
      <c r="M55" s="430"/>
      <c r="N55" s="305">
        <v>45565</v>
      </c>
      <c r="O55" s="436"/>
      <c r="P55" s="299">
        <v>7919.1</v>
      </c>
      <c r="Q55" s="298">
        <v>45569</v>
      </c>
      <c r="R55" s="300"/>
      <c r="S55" s="299"/>
      <c r="T55" s="299"/>
      <c r="U55" s="439"/>
      <c r="V55" s="568"/>
      <c r="W55" s="427"/>
      <c r="X55" s="254">
        <v>105</v>
      </c>
    </row>
    <row r="56" spans="1:24" s="85" customFormat="1" ht="69.599999999999994" customHeight="1" x14ac:dyDescent="0.25">
      <c r="A56" s="87">
        <v>6</v>
      </c>
      <c r="B56" s="88"/>
      <c r="C56" s="88"/>
      <c r="D56" s="88"/>
      <c r="E56" s="88"/>
      <c r="F56" s="95"/>
      <c r="G56" s="89"/>
      <c r="H56" s="90"/>
      <c r="I56" s="91">
        <f>IF(X56 = 106, H56 + SUM(S56:S56) - SUM(T56:T56) - SUM(P56:P56) - V56,0)</f>
        <v>0</v>
      </c>
      <c r="J56" s="92"/>
      <c r="K56" s="93"/>
      <c r="L56" s="88"/>
      <c r="M56" s="88"/>
      <c r="N56" s="95"/>
      <c r="O56" s="95"/>
      <c r="P56" s="90"/>
      <c r="Q56" s="89"/>
      <c r="R56" s="88"/>
      <c r="S56" s="90"/>
      <c r="T56" s="90"/>
      <c r="U56" s="90"/>
      <c r="V56" s="94"/>
      <c r="W56" s="86"/>
      <c r="X56" s="85">
        <v>106</v>
      </c>
    </row>
    <row r="57" spans="1:24" s="85" customFormat="1" ht="54" customHeight="1" x14ac:dyDescent="0.25">
      <c r="A57" s="581">
        <v>7</v>
      </c>
      <c r="B57" s="573" t="s">
        <v>225</v>
      </c>
      <c r="C57" s="573"/>
      <c r="D57" s="573"/>
      <c r="E57" s="573" t="s">
        <v>179</v>
      </c>
      <c r="F57" s="584" t="s">
        <v>212</v>
      </c>
      <c r="G57" s="611" t="s">
        <v>227</v>
      </c>
      <c r="H57" s="614">
        <v>166685.48000000001</v>
      </c>
      <c r="I57" s="631">
        <f>IF(X57 = 107, H57 + SUM(S57:S74) - SUM(T57:T74) - SUM(P57:P74) - V57,0)</f>
        <v>1.4551915228366852E-11</v>
      </c>
      <c r="J57" s="634">
        <v>2353020735</v>
      </c>
      <c r="K57" s="637" t="s">
        <v>177</v>
      </c>
      <c r="L57" s="573"/>
      <c r="M57" s="573" t="s">
        <v>201</v>
      </c>
      <c r="N57" s="167" t="s">
        <v>257</v>
      </c>
      <c r="O57" s="584" t="s">
        <v>178</v>
      </c>
      <c r="P57" s="160">
        <v>7111.8</v>
      </c>
      <c r="Q57" s="159" t="s">
        <v>256</v>
      </c>
      <c r="R57" s="158"/>
      <c r="S57" s="160"/>
      <c r="T57" s="160"/>
      <c r="U57" s="614" t="s">
        <v>453</v>
      </c>
      <c r="V57" s="628">
        <v>92328.28</v>
      </c>
      <c r="W57" s="655"/>
      <c r="X57" s="85">
        <v>107</v>
      </c>
    </row>
    <row r="58" spans="1:24" x14ac:dyDescent="0.25">
      <c r="A58" s="582"/>
      <c r="B58" s="574"/>
      <c r="C58" s="574"/>
      <c r="D58" s="574"/>
      <c r="E58" s="574"/>
      <c r="F58" s="585"/>
      <c r="G58" s="612"/>
      <c r="H58" s="615"/>
      <c r="I58" s="632"/>
      <c r="J58" s="635"/>
      <c r="K58" s="638"/>
      <c r="L58" s="574"/>
      <c r="M58" s="574"/>
      <c r="N58" s="168" t="s">
        <v>257</v>
      </c>
      <c r="O58" s="585"/>
      <c r="P58" s="161">
        <v>5818</v>
      </c>
      <c r="Q58" s="162" t="s">
        <v>256</v>
      </c>
      <c r="R58" s="163"/>
      <c r="S58" s="161"/>
      <c r="T58" s="161"/>
      <c r="U58" s="615"/>
      <c r="V58" s="629"/>
      <c r="W58" s="656"/>
      <c r="X58" s="2">
        <v>107</v>
      </c>
    </row>
    <row r="59" spans="1:24" x14ac:dyDescent="0.25">
      <c r="A59" s="582"/>
      <c r="B59" s="574"/>
      <c r="C59" s="574"/>
      <c r="D59" s="574"/>
      <c r="E59" s="574"/>
      <c r="F59" s="585"/>
      <c r="G59" s="612"/>
      <c r="H59" s="615"/>
      <c r="I59" s="632"/>
      <c r="J59" s="635"/>
      <c r="K59" s="638"/>
      <c r="L59" s="574"/>
      <c r="M59" s="574"/>
      <c r="N59" s="168" t="s">
        <v>257</v>
      </c>
      <c r="O59" s="585"/>
      <c r="P59" s="161">
        <v>4140</v>
      </c>
      <c r="Q59" s="162" t="s">
        <v>256</v>
      </c>
      <c r="R59" s="163"/>
      <c r="S59" s="161"/>
      <c r="T59" s="161"/>
      <c r="U59" s="615"/>
      <c r="V59" s="629"/>
      <c r="W59" s="656"/>
      <c r="X59" s="2">
        <v>107</v>
      </c>
    </row>
    <row r="60" spans="1:24" x14ac:dyDescent="0.25">
      <c r="A60" s="582"/>
      <c r="B60" s="574"/>
      <c r="C60" s="574"/>
      <c r="D60" s="574"/>
      <c r="E60" s="574"/>
      <c r="F60" s="585"/>
      <c r="G60" s="612"/>
      <c r="H60" s="615"/>
      <c r="I60" s="632"/>
      <c r="J60" s="635"/>
      <c r="K60" s="638"/>
      <c r="L60" s="574"/>
      <c r="M60" s="574"/>
      <c r="N60" s="168" t="s">
        <v>257</v>
      </c>
      <c r="O60" s="585"/>
      <c r="P60" s="161">
        <v>2670</v>
      </c>
      <c r="Q60" s="162" t="s">
        <v>259</v>
      </c>
      <c r="R60" s="163"/>
      <c r="S60" s="161"/>
      <c r="T60" s="161"/>
      <c r="U60" s="615"/>
      <c r="V60" s="629"/>
      <c r="W60" s="656"/>
      <c r="X60" s="2">
        <v>107</v>
      </c>
    </row>
    <row r="61" spans="1:24" x14ac:dyDescent="0.25">
      <c r="A61" s="582"/>
      <c r="B61" s="574"/>
      <c r="C61" s="574"/>
      <c r="D61" s="574"/>
      <c r="E61" s="574"/>
      <c r="F61" s="585"/>
      <c r="G61" s="612"/>
      <c r="H61" s="615"/>
      <c r="I61" s="632"/>
      <c r="J61" s="635"/>
      <c r="K61" s="638"/>
      <c r="L61" s="574"/>
      <c r="M61" s="574"/>
      <c r="N61" s="168" t="s">
        <v>257</v>
      </c>
      <c r="O61" s="585"/>
      <c r="P61" s="161">
        <v>4611.07</v>
      </c>
      <c r="Q61" s="162" t="s">
        <v>259</v>
      </c>
      <c r="R61" s="163"/>
      <c r="S61" s="161"/>
      <c r="T61" s="161"/>
      <c r="U61" s="615"/>
      <c r="V61" s="629"/>
      <c r="W61" s="656"/>
      <c r="X61" s="2">
        <v>107</v>
      </c>
    </row>
    <row r="62" spans="1:24" x14ac:dyDescent="0.25">
      <c r="A62" s="582"/>
      <c r="B62" s="574"/>
      <c r="C62" s="574"/>
      <c r="D62" s="574"/>
      <c r="E62" s="574"/>
      <c r="F62" s="585"/>
      <c r="G62" s="612"/>
      <c r="H62" s="615"/>
      <c r="I62" s="632"/>
      <c r="J62" s="635"/>
      <c r="K62" s="638"/>
      <c r="L62" s="574"/>
      <c r="M62" s="574"/>
      <c r="N62" s="168" t="s">
        <v>257</v>
      </c>
      <c r="O62" s="585"/>
      <c r="P62" s="161">
        <v>3772.73</v>
      </c>
      <c r="Q62" s="162" t="s">
        <v>259</v>
      </c>
      <c r="R62" s="163"/>
      <c r="S62" s="161"/>
      <c r="T62" s="161"/>
      <c r="U62" s="615"/>
      <c r="V62" s="629"/>
      <c r="W62" s="656"/>
      <c r="X62" s="2">
        <v>107</v>
      </c>
    </row>
    <row r="63" spans="1:24" x14ac:dyDescent="0.25">
      <c r="A63" s="582"/>
      <c r="B63" s="574"/>
      <c r="C63" s="574"/>
      <c r="D63" s="574"/>
      <c r="E63" s="574"/>
      <c r="F63" s="585"/>
      <c r="G63" s="612"/>
      <c r="H63" s="615"/>
      <c r="I63" s="632"/>
      <c r="J63" s="635"/>
      <c r="K63" s="638"/>
      <c r="L63" s="574"/>
      <c r="M63" s="574"/>
      <c r="N63" s="168" t="s">
        <v>312</v>
      </c>
      <c r="O63" s="585"/>
      <c r="P63" s="161">
        <v>5397.15</v>
      </c>
      <c r="Q63" s="162" t="s">
        <v>317</v>
      </c>
      <c r="R63" s="163"/>
      <c r="S63" s="161"/>
      <c r="T63" s="161"/>
      <c r="U63" s="615"/>
      <c r="V63" s="629"/>
      <c r="W63" s="656"/>
      <c r="X63" s="2">
        <v>107</v>
      </c>
    </row>
    <row r="64" spans="1:24" x14ac:dyDescent="0.25">
      <c r="A64" s="582"/>
      <c r="B64" s="574"/>
      <c r="C64" s="574"/>
      <c r="D64" s="574"/>
      <c r="E64" s="574"/>
      <c r="F64" s="585"/>
      <c r="G64" s="612"/>
      <c r="H64" s="615"/>
      <c r="I64" s="632"/>
      <c r="J64" s="635"/>
      <c r="K64" s="638"/>
      <c r="L64" s="574"/>
      <c r="M64" s="574"/>
      <c r="N64" s="168" t="s">
        <v>312</v>
      </c>
      <c r="O64" s="585"/>
      <c r="P64" s="161">
        <v>3840</v>
      </c>
      <c r="Q64" s="162" t="s">
        <v>317</v>
      </c>
      <c r="R64" s="163"/>
      <c r="S64" s="161"/>
      <c r="T64" s="161"/>
      <c r="U64" s="615"/>
      <c r="V64" s="629"/>
      <c r="W64" s="656"/>
      <c r="X64" s="2">
        <v>107</v>
      </c>
    </row>
    <row r="65" spans="1:24" x14ac:dyDescent="0.25">
      <c r="A65" s="582"/>
      <c r="B65" s="574"/>
      <c r="C65" s="574"/>
      <c r="D65" s="574"/>
      <c r="E65" s="574"/>
      <c r="F65" s="585"/>
      <c r="G65" s="612"/>
      <c r="H65" s="615"/>
      <c r="I65" s="632"/>
      <c r="J65" s="635"/>
      <c r="K65" s="638"/>
      <c r="L65" s="574"/>
      <c r="M65" s="574"/>
      <c r="N65" s="168" t="s">
        <v>312</v>
      </c>
      <c r="O65" s="585"/>
      <c r="P65" s="161">
        <v>5284.6</v>
      </c>
      <c r="Q65" s="162" t="s">
        <v>317</v>
      </c>
      <c r="R65" s="163"/>
      <c r="S65" s="161"/>
      <c r="T65" s="161"/>
      <c r="U65" s="615"/>
      <c r="V65" s="629"/>
      <c r="W65" s="656"/>
      <c r="X65" s="2">
        <v>107</v>
      </c>
    </row>
    <row r="66" spans="1:24" x14ac:dyDescent="0.25">
      <c r="A66" s="582"/>
      <c r="B66" s="574"/>
      <c r="C66" s="574"/>
      <c r="D66" s="574"/>
      <c r="E66" s="574"/>
      <c r="F66" s="585"/>
      <c r="G66" s="612"/>
      <c r="H66" s="615"/>
      <c r="I66" s="632"/>
      <c r="J66" s="635"/>
      <c r="K66" s="638"/>
      <c r="L66" s="574"/>
      <c r="M66" s="574"/>
      <c r="N66" s="168" t="s">
        <v>312</v>
      </c>
      <c r="O66" s="585"/>
      <c r="P66" s="161">
        <v>4323.8</v>
      </c>
      <c r="Q66" s="162" t="s">
        <v>317</v>
      </c>
      <c r="R66" s="163"/>
      <c r="S66" s="161"/>
      <c r="T66" s="161"/>
      <c r="U66" s="615"/>
      <c r="V66" s="629"/>
      <c r="W66" s="656"/>
      <c r="X66" s="2">
        <v>107</v>
      </c>
    </row>
    <row r="67" spans="1:24" x14ac:dyDescent="0.25">
      <c r="A67" s="582"/>
      <c r="B67" s="574"/>
      <c r="C67" s="574"/>
      <c r="D67" s="574"/>
      <c r="E67" s="574"/>
      <c r="F67" s="585"/>
      <c r="G67" s="612"/>
      <c r="H67" s="615"/>
      <c r="I67" s="632"/>
      <c r="J67" s="635"/>
      <c r="K67" s="638"/>
      <c r="L67" s="574"/>
      <c r="M67" s="574"/>
      <c r="N67" s="168" t="s">
        <v>312</v>
      </c>
      <c r="O67" s="585"/>
      <c r="P67" s="161">
        <v>3060</v>
      </c>
      <c r="Q67" s="162" t="s">
        <v>317</v>
      </c>
      <c r="R67" s="163"/>
      <c r="S67" s="161"/>
      <c r="T67" s="161"/>
      <c r="U67" s="615"/>
      <c r="V67" s="629"/>
      <c r="W67" s="656"/>
      <c r="X67" s="2">
        <v>107</v>
      </c>
    </row>
    <row r="68" spans="1:24" x14ac:dyDescent="0.25">
      <c r="A68" s="582"/>
      <c r="B68" s="574"/>
      <c r="C68" s="574"/>
      <c r="D68" s="574"/>
      <c r="E68" s="574"/>
      <c r="F68" s="585"/>
      <c r="G68" s="612"/>
      <c r="H68" s="615"/>
      <c r="I68" s="632"/>
      <c r="J68" s="635"/>
      <c r="K68" s="638"/>
      <c r="L68" s="574"/>
      <c r="M68" s="574"/>
      <c r="N68" s="168" t="s">
        <v>312</v>
      </c>
      <c r="O68" s="585"/>
      <c r="P68" s="161">
        <v>6596.45</v>
      </c>
      <c r="Q68" s="162" t="s">
        <v>328</v>
      </c>
      <c r="R68" s="163"/>
      <c r="S68" s="161"/>
      <c r="T68" s="161"/>
      <c r="U68" s="615"/>
      <c r="V68" s="629"/>
      <c r="W68" s="656"/>
      <c r="X68" s="2">
        <v>107</v>
      </c>
    </row>
    <row r="69" spans="1:24" x14ac:dyDescent="0.25">
      <c r="A69" s="582"/>
      <c r="B69" s="574"/>
      <c r="C69" s="574"/>
      <c r="D69" s="574"/>
      <c r="E69" s="574"/>
      <c r="F69" s="585"/>
      <c r="G69" s="612"/>
      <c r="H69" s="615"/>
      <c r="I69" s="632"/>
      <c r="J69" s="635"/>
      <c r="K69" s="638"/>
      <c r="L69" s="574"/>
      <c r="M69" s="574"/>
      <c r="N69" s="168" t="s">
        <v>421</v>
      </c>
      <c r="O69" s="585"/>
      <c r="P69" s="161">
        <v>1740</v>
      </c>
      <c r="Q69" s="162" t="s">
        <v>404</v>
      </c>
      <c r="R69" s="163"/>
      <c r="S69" s="161"/>
      <c r="T69" s="161"/>
      <c r="U69" s="615"/>
      <c r="V69" s="629"/>
      <c r="W69" s="656"/>
      <c r="X69" s="2">
        <v>107</v>
      </c>
    </row>
    <row r="70" spans="1:24" x14ac:dyDescent="0.25">
      <c r="A70" s="582"/>
      <c r="B70" s="574"/>
      <c r="C70" s="574"/>
      <c r="D70" s="574"/>
      <c r="E70" s="574"/>
      <c r="F70" s="585"/>
      <c r="G70" s="612"/>
      <c r="H70" s="615"/>
      <c r="I70" s="632"/>
      <c r="J70" s="635"/>
      <c r="K70" s="638"/>
      <c r="L70" s="574"/>
      <c r="M70" s="574"/>
      <c r="N70" s="168" t="s">
        <v>421</v>
      </c>
      <c r="O70" s="585"/>
      <c r="P70" s="161">
        <v>2550</v>
      </c>
      <c r="Q70" s="162" t="s">
        <v>404</v>
      </c>
      <c r="R70" s="163"/>
      <c r="S70" s="161"/>
      <c r="T70" s="161"/>
      <c r="U70" s="615"/>
      <c r="V70" s="629"/>
      <c r="W70" s="656"/>
      <c r="X70" s="2">
        <v>107</v>
      </c>
    </row>
    <row r="71" spans="1:24" x14ac:dyDescent="0.25">
      <c r="A71" s="582"/>
      <c r="B71" s="574"/>
      <c r="C71" s="574"/>
      <c r="D71" s="574"/>
      <c r="E71" s="574"/>
      <c r="F71" s="585"/>
      <c r="G71" s="612"/>
      <c r="H71" s="615"/>
      <c r="I71" s="632"/>
      <c r="J71" s="635"/>
      <c r="K71" s="638"/>
      <c r="L71" s="574"/>
      <c r="M71" s="574"/>
      <c r="N71" s="168" t="s">
        <v>421</v>
      </c>
      <c r="O71" s="585"/>
      <c r="P71" s="161">
        <v>2445.58</v>
      </c>
      <c r="Q71" s="162" t="s">
        <v>404</v>
      </c>
      <c r="R71" s="163"/>
      <c r="S71" s="161"/>
      <c r="T71" s="161"/>
      <c r="U71" s="615"/>
      <c r="V71" s="629"/>
      <c r="W71" s="656"/>
      <c r="X71" s="2">
        <v>107</v>
      </c>
    </row>
    <row r="72" spans="1:24" x14ac:dyDescent="0.25">
      <c r="A72" s="582"/>
      <c r="B72" s="574"/>
      <c r="C72" s="574"/>
      <c r="D72" s="574"/>
      <c r="E72" s="574"/>
      <c r="F72" s="585"/>
      <c r="G72" s="612"/>
      <c r="H72" s="615"/>
      <c r="I72" s="632"/>
      <c r="J72" s="635"/>
      <c r="K72" s="638"/>
      <c r="L72" s="574"/>
      <c r="M72" s="574"/>
      <c r="N72" s="168" t="s">
        <v>421</v>
      </c>
      <c r="O72" s="585"/>
      <c r="P72" s="161">
        <v>2989.02</v>
      </c>
      <c r="Q72" s="162" t="s">
        <v>404</v>
      </c>
      <c r="R72" s="163"/>
      <c r="S72" s="161"/>
      <c r="T72" s="161"/>
      <c r="U72" s="615"/>
      <c r="V72" s="629"/>
      <c r="W72" s="656"/>
      <c r="X72" s="2">
        <v>107</v>
      </c>
    </row>
    <row r="73" spans="1:24" x14ac:dyDescent="0.25">
      <c r="A73" s="582"/>
      <c r="B73" s="574"/>
      <c r="C73" s="574"/>
      <c r="D73" s="574"/>
      <c r="E73" s="574"/>
      <c r="F73" s="585"/>
      <c r="G73" s="612"/>
      <c r="H73" s="615"/>
      <c r="I73" s="632"/>
      <c r="J73" s="635"/>
      <c r="K73" s="638"/>
      <c r="L73" s="574"/>
      <c r="M73" s="574"/>
      <c r="N73" s="168" t="s">
        <v>421</v>
      </c>
      <c r="O73" s="585"/>
      <c r="P73" s="161">
        <v>4403.83</v>
      </c>
      <c r="Q73" s="162" t="s">
        <v>404</v>
      </c>
      <c r="R73" s="163"/>
      <c r="S73" s="161"/>
      <c r="T73" s="161"/>
      <c r="U73" s="615"/>
      <c r="V73" s="629"/>
      <c r="W73" s="656"/>
      <c r="X73" s="2">
        <v>107</v>
      </c>
    </row>
    <row r="74" spans="1:24" x14ac:dyDescent="0.25">
      <c r="A74" s="583"/>
      <c r="B74" s="575"/>
      <c r="C74" s="575"/>
      <c r="D74" s="575"/>
      <c r="E74" s="575"/>
      <c r="F74" s="586"/>
      <c r="G74" s="613"/>
      <c r="H74" s="616"/>
      <c r="I74" s="633"/>
      <c r="J74" s="636"/>
      <c r="K74" s="639"/>
      <c r="L74" s="575"/>
      <c r="M74" s="575"/>
      <c r="N74" s="169" t="s">
        <v>421</v>
      </c>
      <c r="O74" s="586"/>
      <c r="P74" s="164">
        <v>3603.17</v>
      </c>
      <c r="Q74" s="165" t="s">
        <v>404</v>
      </c>
      <c r="R74" s="166"/>
      <c r="S74" s="164"/>
      <c r="T74" s="164"/>
      <c r="U74" s="616"/>
      <c r="V74" s="630"/>
      <c r="W74" s="657"/>
      <c r="X74" s="2">
        <v>107</v>
      </c>
    </row>
    <row r="75" spans="1:24" s="85" customFormat="1" ht="54" customHeight="1" x14ac:dyDescent="0.25">
      <c r="A75" s="581">
        <v>8</v>
      </c>
      <c r="B75" s="573" t="s">
        <v>56</v>
      </c>
      <c r="C75" s="573"/>
      <c r="D75" s="573"/>
      <c r="E75" s="573" t="s">
        <v>176</v>
      </c>
      <c r="F75" s="584" t="s">
        <v>212</v>
      </c>
      <c r="G75" s="611" t="s">
        <v>228</v>
      </c>
      <c r="H75" s="614">
        <v>50150.29</v>
      </c>
      <c r="I75" s="631">
        <f>IF(X75 = 108, H75 + SUM(S75:S86) - SUM(T75:T86) - SUM(P75:P86) - V75,0)</f>
        <v>0</v>
      </c>
      <c r="J75" s="634">
        <v>2353020735</v>
      </c>
      <c r="K75" s="637" t="s">
        <v>177</v>
      </c>
      <c r="L75" s="573"/>
      <c r="M75" s="573" t="s">
        <v>201</v>
      </c>
      <c r="N75" s="167" t="s">
        <v>257</v>
      </c>
      <c r="O75" s="584" t="s">
        <v>178</v>
      </c>
      <c r="P75" s="160">
        <v>960</v>
      </c>
      <c r="Q75" s="159" t="s">
        <v>258</v>
      </c>
      <c r="R75" s="158"/>
      <c r="S75" s="160"/>
      <c r="T75" s="160"/>
      <c r="U75" s="614" t="s">
        <v>453</v>
      </c>
      <c r="V75" s="628">
        <v>36899.89</v>
      </c>
      <c r="W75" s="655"/>
      <c r="X75" s="85">
        <v>108</v>
      </c>
    </row>
    <row r="76" spans="1:24" x14ac:dyDescent="0.25">
      <c r="A76" s="582"/>
      <c r="B76" s="574"/>
      <c r="C76" s="574"/>
      <c r="D76" s="574"/>
      <c r="E76" s="574"/>
      <c r="F76" s="585"/>
      <c r="G76" s="612"/>
      <c r="H76" s="615"/>
      <c r="I76" s="632"/>
      <c r="J76" s="635"/>
      <c r="K76" s="638"/>
      <c r="L76" s="574"/>
      <c r="M76" s="574"/>
      <c r="N76" s="168" t="s">
        <v>257</v>
      </c>
      <c r="O76" s="585"/>
      <c r="P76" s="161">
        <v>2998.4</v>
      </c>
      <c r="Q76" s="162" t="s">
        <v>258</v>
      </c>
      <c r="R76" s="163"/>
      <c r="S76" s="161"/>
      <c r="T76" s="161"/>
      <c r="U76" s="615"/>
      <c r="V76" s="629"/>
      <c r="W76" s="656"/>
      <c r="X76" s="2">
        <v>108</v>
      </c>
    </row>
    <row r="77" spans="1:24" x14ac:dyDescent="0.25">
      <c r="A77" s="582"/>
      <c r="B77" s="574"/>
      <c r="C77" s="574"/>
      <c r="D77" s="574"/>
      <c r="E77" s="574"/>
      <c r="F77" s="585"/>
      <c r="G77" s="612"/>
      <c r="H77" s="615"/>
      <c r="I77" s="632"/>
      <c r="J77" s="635"/>
      <c r="K77" s="638"/>
      <c r="L77" s="574"/>
      <c r="M77" s="574"/>
      <c r="N77" s="168" t="s">
        <v>257</v>
      </c>
      <c r="O77" s="585"/>
      <c r="P77" s="161">
        <v>270</v>
      </c>
      <c r="Q77" s="162" t="s">
        <v>259</v>
      </c>
      <c r="R77" s="163"/>
      <c r="S77" s="161"/>
      <c r="T77" s="161"/>
      <c r="U77" s="615"/>
      <c r="V77" s="629"/>
      <c r="W77" s="656"/>
      <c r="X77" s="2">
        <v>108</v>
      </c>
    </row>
    <row r="78" spans="1:24" x14ac:dyDescent="0.25">
      <c r="A78" s="582"/>
      <c r="B78" s="574"/>
      <c r="C78" s="574"/>
      <c r="D78" s="574"/>
      <c r="E78" s="574"/>
      <c r="F78" s="585"/>
      <c r="G78" s="612"/>
      <c r="H78" s="615"/>
      <c r="I78" s="632"/>
      <c r="J78" s="635"/>
      <c r="K78" s="638"/>
      <c r="L78" s="574"/>
      <c r="M78" s="574"/>
      <c r="N78" s="168" t="s">
        <v>257</v>
      </c>
      <c r="O78" s="585"/>
      <c r="P78" s="161">
        <v>847.8</v>
      </c>
      <c r="Q78" s="162" t="s">
        <v>259</v>
      </c>
      <c r="R78" s="163"/>
      <c r="S78" s="161"/>
      <c r="T78" s="161"/>
      <c r="U78" s="615"/>
      <c r="V78" s="629"/>
      <c r="W78" s="656"/>
      <c r="X78" s="2">
        <v>108</v>
      </c>
    </row>
    <row r="79" spans="1:24" x14ac:dyDescent="0.25">
      <c r="A79" s="582"/>
      <c r="B79" s="574"/>
      <c r="C79" s="574"/>
      <c r="D79" s="574"/>
      <c r="E79" s="574"/>
      <c r="F79" s="585"/>
      <c r="G79" s="612"/>
      <c r="H79" s="615"/>
      <c r="I79" s="632"/>
      <c r="J79" s="635"/>
      <c r="K79" s="638"/>
      <c r="L79" s="574"/>
      <c r="M79" s="574"/>
      <c r="N79" s="168" t="s">
        <v>312</v>
      </c>
      <c r="O79" s="585"/>
      <c r="P79" s="161">
        <v>1080</v>
      </c>
      <c r="Q79" s="162" t="s">
        <v>317</v>
      </c>
      <c r="R79" s="163"/>
      <c r="S79" s="161"/>
      <c r="T79" s="161"/>
      <c r="U79" s="615"/>
      <c r="V79" s="629"/>
      <c r="W79" s="656"/>
      <c r="X79" s="2">
        <v>108</v>
      </c>
    </row>
    <row r="80" spans="1:24" x14ac:dyDescent="0.25">
      <c r="A80" s="582"/>
      <c r="B80" s="574"/>
      <c r="C80" s="574"/>
      <c r="D80" s="574"/>
      <c r="E80" s="574"/>
      <c r="F80" s="585"/>
      <c r="G80" s="612"/>
      <c r="H80" s="615"/>
      <c r="I80" s="632"/>
      <c r="J80" s="635"/>
      <c r="K80" s="638"/>
      <c r="L80" s="574"/>
      <c r="M80" s="574"/>
      <c r="N80" s="168" t="s">
        <v>312</v>
      </c>
      <c r="O80" s="585"/>
      <c r="P80" s="161">
        <v>3373.2</v>
      </c>
      <c r="Q80" s="162" t="s">
        <v>317</v>
      </c>
      <c r="R80" s="163"/>
      <c r="S80" s="161"/>
      <c r="T80" s="161"/>
      <c r="U80" s="615"/>
      <c r="V80" s="629"/>
      <c r="W80" s="656"/>
      <c r="X80" s="2">
        <v>108</v>
      </c>
    </row>
    <row r="81" spans="1:24" x14ac:dyDescent="0.25">
      <c r="A81" s="582"/>
      <c r="B81" s="574"/>
      <c r="C81" s="574"/>
      <c r="D81" s="574"/>
      <c r="E81" s="574"/>
      <c r="F81" s="585"/>
      <c r="G81" s="612"/>
      <c r="H81" s="615"/>
      <c r="I81" s="632"/>
      <c r="J81" s="635"/>
      <c r="K81" s="638"/>
      <c r="L81" s="574"/>
      <c r="M81" s="574"/>
      <c r="N81" s="168" t="s">
        <v>312</v>
      </c>
      <c r="O81" s="585"/>
      <c r="P81" s="161">
        <v>1036.2</v>
      </c>
      <c r="Q81" s="162" t="s">
        <v>317</v>
      </c>
      <c r="R81" s="163"/>
      <c r="S81" s="161"/>
      <c r="T81" s="161"/>
      <c r="U81" s="615"/>
      <c r="V81" s="629"/>
      <c r="W81" s="656"/>
      <c r="X81" s="2">
        <v>108</v>
      </c>
    </row>
    <row r="82" spans="1:24" x14ac:dyDescent="0.25">
      <c r="A82" s="582"/>
      <c r="B82" s="574"/>
      <c r="C82" s="574"/>
      <c r="D82" s="574"/>
      <c r="E82" s="574"/>
      <c r="F82" s="585"/>
      <c r="G82" s="612"/>
      <c r="H82" s="615"/>
      <c r="I82" s="632"/>
      <c r="J82" s="635"/>
      <c r="K82" s="638"/>
      <c r="L82" s="574"/>
      <c r="M82" s="574"/>
      <c r="N82" s="168" t="s">
        <v>312</v>
      </c>
      <c r="O82" s="585"/>
      <c r="P82" s="161">
        <v>330</v>
      </c>
      <c r="Q82" s="162" t="s">
        <v>317</v>
      </c>
      <c r="R82" s="163"/>
      <c r="S82" s="161"/>
      <c r="T82" s="161"/>
      <c r="U82" s="615"/>
      <c r="V82" s="629"/>
      <c r="W82" s="656"/>
      <c r="X82" s="2">
        <v>108</v>
      </c>
    </row>
    <row r="83" spans="1:24" x14ac:dyDescent="0.25">
      <c r="A83" s="582"/>
      <c r="B83" s="574"/>
      <c r="C83" s="574"/>
      <c r="D83" s="574"/>
      <c r="E83" s="574"/>
      <c r="F83" s="585"/>
      <c r="G83" s="612"/>
      <c r="H83" s="615"/>
      <c r="I83" s="632"/>
      <c r="J83" s="635"/>
      <c r="K83" s="638"/>
      <c r="L83" s="574"/>
      <c r="M83" s="574"/>
      <c r="N83" s="168" t="s">
        <v>421</v>
      </c>
      <c r="O83" s="585"/>
      <c r="P83" s="161">
        <v>937</v>
      </c>
      <c r="Q83" s="162" t="s">
        <v>404</v>
      </c>
      <c r="R83" s="163"/>
      <c r="S83" s="161"/>
      <c r="T83" s="161"/>
      <c r="U83" s="615"/>
      <c r="V83" s="629"/>
      <c r="W83" s="656"/>
      <c r="X83" s="2">
        <v>108</v>
      </c>
    </row>
    <row r="84" spans="1:24" x14ac:dyDescent="0.25">
      <c r="A84" s="582"/>
      <c r="B84" s="574"/>
      <c r="C84" s="574"/>
      <c r="D84" s="574"/>
      <c r="E84" s="574"/>
      <c r="F84" s="585"/>
      <c r="G84" s="612"/>
      <c r="H84" s="615"/>
      <c r="I84" s="632"/>
      <c r="J84" s="635"/>
      <c r="K84" s="638"/>
      <c r="L84" s="574"/>
      <c r="M84" s="574"/>
      <c r="N84" s="168" t="s">
        <v>421</v>
      </c>
      <c r="O84" s="585"/>
      <c r="P84" s="161">
        <v>847.8</v>
      </c>
      <c r="Q84" s="162" t="s">
        <v>404</v>
      </c>
      <c r="R84" s="163"/>
      <c r="S84" s="161"/>
      <c r="T84" s="161"/>
      <c r="U84" s="615"/>
      <c r="V84" s="629"/>
      <c r="W84" s="656"/>
      <c r="X84" s="2">
        <v>108</v>
      </c>
    </row>
    <row r="85" spans="1:24" x14ac:dyDescent="0.25">
      <c r="A85" s="582"/>
      <c r="B85" s="574"/>
      <c r="C85" s="574"/>
      <c r="D85" s="574"/>
      <c r="E85" s="574"/>
      <c r="F85" s="585"/>
      <c r="G85" s="612"/>
      <c r="H85" s="615"/>
      <c r="I85" s="632"/>
      <c r="J85" s="635"/>
      <c r="K85" s="638"/>
      <c r="L85" s="574"/>
      <c r="M85" s="574"/>
      <c r="N85" s="168" t="s">
        <v>421</v>
      </c>
      <c r="O85" s="585"/>
      <c r="P85" s="161">
        <v>300</v>
      </c>
      <c r="Q85" s="162" t="s">
        <v>404</v>
      </c>
      <c r="R85" s="163"/>
      <c r="S85" s="161"/>
      <c r="T85" s="161"/>
      <c r="U85" s="615"/>
      <c r="V85" s="629"/>
      <c r="W85" s="656"/>
      <c r="X85" s="2">
        <v>108</v>
      </c>
    </row>
    <row r="86" spans="1:24" x14ac:dyDescent="0.25">
      <c r="A86" s="583"/>
      <c r="B86" s="575"/>
      <c r="C86" s="575"/>
      <c r="D86" s="575"/>
      <c r="E86" s="575"/>
      <c r="F86" s="586"/>
      <c r="G86" s="613"/>
      <c r="H86" s="616"/>
      <c r="I86" s="633"/>
      <c r="J86" s="636"/>
      <c r="K86" s="639"/>
      <c r="L86" s="575"/>
      <c r="M86" s="575"/>
      <c r="N86" s="169" t="s">
        <v>421</v>
      </c>
      <c r="O86" s="586"/>
      <c r="P86" s="164">
        <v>270</v>
      </c>
      <c r="Q86" s="165" t="s">
        <v>404</v>
      </c>
      <c r="R86" s="166"/>
      <c r="S86" s="164"/>
      <c r="T86" s="164"/>
      <c r="U86" s="616"/>
      <c r="V86" s="630"/>
      <c r="W86" s="657"/>
      <c r="X86" s="2">
        <v>108</v>
      </c>
    </row>
    <row r="87" spans="1:24" s="85" customFormat="1" ht="63" customHeight="1" x14ac:dyDescent="0.25">
      <c r="A87" s="581">
        <v>9</v>
      </c>
      <c r="B87" s="573" t="s">
        <v>56</v>
      </c>
      <c r="C87" s="573"/>
      <c r="D87" s="573"/>
      <c r="E87" s="573" t="s">
        <v>229</v>
      </c>
      <c r="F87" s="584" t="s">
        <v>212</v>
      </c>
      <c r="G87" s="611" t="s">
        <v>230</v>
      </c>
      <c r="H87" s="614">
        <v>70148.52</v>
      </c>
      <c r="I87" s="631">
        <f>IF(X87 = 109, H87 + SUM(S87:S92) - SUM(T87:T92) - SUM(P87:P92) - V87,0)</f>
        <v>7.2759576141834259E-12</v>
      </c>
      <c r="J87" s="634">
        <v>2353020735</v>
      </c>
      <c r="K87" s="637" t="s">
        <v>177</v>
      </c>
      <c r="L87" s="573"/>
      <c r="M87" s="573" t="s">
        <v>201</v>
      </c>
      <c r="N87" s="167" t="s">
        <v>257</v>
      </c>
      <c r="O87" s="584" t="s">
        <v>178</v>
      </c>
      <c r="P87" s="160">
        <v>3180</v>
      </c>
      <c r="Q87" s="159" t="s">
        <v>258</v>
      </c>
      <c r="R87" s="158"/>
      <c r="S87" s="160"/>
      <c r="T87" s="160"/>
      <c r="U87" s="614" t="s">
        <v>453</v>
      </c>
      <c r="V87" s="628">
        <v>32879.519999999997</v>
      </c>
      <c r="W87" s="655"/>
      <c r="X87" s="85">
        <v>109</v>
      </c>
    </row>
    <row r="88" spans="1:24" x14ac:dyDescent="0.25">
      <c r="A88" s="582"/>
      <c r="B88" s="574"/>
      <c r="C88" s="574"/>
      <c r="D88" s="574"/>
      <c r="E88" s="574"/>
      <c r="F88" s="585"/>
      <c r="G88" s="612"/>
      <c r="H88" s="615"/>
      <c r="I88" s="632"/>
      <c r="J88" s="635"/>
      <c r="K88" s="638"/>
      <c r="L88" s="574"/>
      <c r="M88" s="574"/>
      <c r="N88" s="168" t="s">
        <v>257</v>
      </c>
      <c r="O88" s="585"/>
      <c r="P88" s="161">
        <v>9858</v>
      </c>
      <c r="Q88" s="162" t="s">
        <v>258</v>
      </c>
      <c r="R88" s="163"/>
      <c r="S88" s="161"/>
      <c r="T88" s="161"/>
      <c r="U88" s="615"/>
      <c r="V88" s="629"/>
      <c r="W88" s="656"/>
      <c r="X88" s="2">
        <v>109</v>
      </c>
    </row>
    <row r="89" spans="1:24" x14ac:dyDescent="0.25">
      <c r="A89" s="582"/>
      <c r="B89" s="574"/>
      <c r="C89" s="574"/>
      <c r="D89" s="574"/>
      <c r="E89" s="574"/>
      <c r="F89" s="585"/>
      <c r="G89" s="612"/>
      <c r="H89" s="615"/>
      <c r="I89" s="632"/>
      <c r="J89" s="635"/>
      <c r="K89" s="638"/>
      <c r="L89" s="574"/>
      <c r="M89" s="574"/>
      <c r="N89" s="168" t="s">
        <v>312</v>
      </c>
      <c r="O89" s="585"/>
      <c r="P89" s="161">
        <v>3240</v>
      </c>
      <c r="Q89" s="162" t="s">
        <v>327</v>
      </c>
      <c r="R89" s="163"/>
      <c r="S89" s="161"/>
      <c r="T89" s="161"/>
      <c r="U89" s="615"/>
      <c r="V89" s="629"/>
      <c r="W89" s="656"/>
      <c r="X89" s="2">
        <v>109</v>
      </c>
    </row>
    <row r="90" spans="1:24" x14ac:dyDescent="0.25">
      <c r="A90" s="582"/>
      <c r="B90" s="574"/>
      <c r="C90" s="574"/>
      <c r="D90" s="574"/>
      <c r="E90" s="574"/>
      <c r="F90" s="585"/>
      <c r="G90" s="612"/>
      <c r="H90" s="615"/>
      <c r="I90" s="632"/>
      <c r="J90" s="635"/>
      <c r="K90" s="638"/>
      <c r="L90" s="574"/>
      <c r="M90" s="574"/>
      <c r="N90" s="168" t="s">
        <v>312</v>
      </c>
      <c r="O90" s="585"/>
      <c r="P90" s="161">
        <v>10044</v>
      </c>
      <c r="Q90" s="162" t="s">
        <v>327</v>
      </c>
      <c r="R90" s="163"/>
      <c r="S90" s="161"/>
      <c r="T90" s="161"/>
      <c r="U90" s="615"/>
      <c r="V90" s="629"/>
      <c r="W90" s="656"/>
      <c r="X90" s="2">
        <v>109</v>
      </c>
    </row>
    <row r="91" spans="1:24" x14ac:dyDescent="0.25">
      <c r="A91" s="582"/>
      <c r="B91" s="574"/>
      <c r="C91" s="574"/>
      <c r="D91" s="574"/>
      <c r="E91" s="574"/>
      <c r="F91" s="585"/>
      <c r="G91" s="612"/>
      <c r="H91" s="615"/>
      <c r="I91" s="632"/>
      <c r="J91" s="635"/>
      <c r="K91" s="638"/>
      <c r="L91" s="574"/>
      <c r="M91" s="574"/>
      <c r="N91" s="168" t="s">
        <v>421</v>
      </c>
      <c r="O91" s="585"/>
      <c r="P91" s="161">
        <v>2670</v>
      </c>
      <c r="Q91" s="162" t="s">
        <v>404</v>
      </c>
      <c r="R91" s="163"/>
      <c r="S91" s="161"/>
      <c r="T91" s="161"/>
      <c r="U91" s="615"/>
      <c r="V91" s="629"/>
      <c r="W91" s="656"/>
      <c r="X91" s="2">
        <v>109</v>
      </c>
    </row>
    <row r="92" spans="1:24" x14ac:dyDescent="0.25">
      <c r="A92" s="583"/>
      <c r="B92" s="575"/>
      <c r="C92" s="575"/>
      <c r="D92" s="575"/>
      <c r="E92" s="575"/>
      <c r="F92" s="586"/>
      <c r="G92" s="613"/>
      <c r="H92" s="616"/>
      <c r="I92" s="633"/>
      <c r="J92" s="636"/>
      <c r="K92" s="639"/>
      <c r="L92" s="575"/>
      <c r="M92" s="575"/>
      <c r="N92" s="169" t="s">
        <v>421</v>
      </c>
      <c r="O92" s="586"/>
      <c r="P92" s="164">
        <v>8277</v>
      </c>
      <c r="Q92" s="165" t="s">
        <v>404</v>
      </c>
      <c r="R92" s="166"/>
      <c r="S92" s="164"/>
      <c r="T92" s="164"/>
      <c r="U92" s="616"/>
      <c r="V92" s="630"/>
      <c r="W92" s="657"/>
      <c r="X92" s="2">
        <v>109</v>
      </c>
    </row>
    <row r="93" spans="1:24" s="85" customFormat="1" ht="78.599999999999994" customHeight="1" x14ac:dyDescent="0.25">
      <c r="A93" s="484">
        <v>10</v>
      </c>
      <c r="B93" s="460" t="s">
        <v>56</v>
      </c>
      <c r="C93" s="460"/>
      <c r="D93" s="460"/>
      <c r="E93" s="460" t="s">
        <v>224</v>
      </c>
      <c r="F93" s="487" t="s">
        <v>220</v>
      </c>
      <c r="G93" s="504" t="s">
        <v>171</v>
      </c>
      <c r="H93" s="498">
        <v>81000</v>
      </c>
      <c r="I93" s="506">
        <f>IF(X93 = 110, H93 + SUM(S93:S107) - SUM(T93:T107) - SUM(P93:P107) - V93,0)</f>
        <v>18080</v>
      </c>
      <c r="J93" s="670">
        <v>2353016552</v>
      </c>
      <c r="K93" s="673" t="s">
        <v>223</v>
      </c>
      <c r="L93" s="460"/>
      <c r="M93" s="460" t="s">
        <v>188</v>
      </c>
      <c r="N93" s="264" t="s">
        <v>257</v>
      </c>
      <c r="O93" s="487" t="s">
        <v>172</v>
      </c>
      <c r="P93" s="255">
        <v>3960</v>
      </c>
      <c r="Q93" s="256" t="s">
        <v>270</v>
      </c>
      <c r="R93" s="257"/>
      <c r="S93" s="255"/>
      <c r="T93" s="255"/>
      <c r="U93" s="498"/>
      <c r="V93" s="667"/>
      <c r="W93" s="502"/>
      <c r="X93" s="85">
        <v>110</v>
      </c>
    </row>
    <row r="94" spans="1:24" x14ac:dyDescent="0.25">
      <c r="A94" s="485"/>
      <c r="B94" s="461"/>
      <c r="C94" s="461"/>
      <c r="D94" s="461"/>
      <c r="E94" s="461"/>
      <c r="F94" s="488"/>
      <c r="G94" s="509"/>
      <c r="H94" s="510"/>
      <c r="I94" s="511"/>
      <c r="J94" s="671"/>
      <c r="K94" s="674"/>
      <c r="L94" s="461"/>
      <c r="M94" s="461"/>
      <c r="N94" s="265" t="s">
        <v>257</v>
      </c>
      <c r="O94" s="488"/>
      <c r="P94" s="258">
        <v>4620</v>
      </c>
      <c r="Q94" s="259" t="s">
        <v>270</v>
      </c>
      <c r="R94" s="260"/>
      <c r="S94" s="258"/>
      <c r="T94" s="258"/>
      <c r="U94" s="510"/>
      <c r="V94" s="668"/>
      <c r="W94" s="508"/>
      <c r="X94" s="2">
        <v>110</v>
      </c>
    </row>
    <row r="95" spans="1:24" x14ac:dyDescent="0.25">
      <c r="A95" s="485"/>
      <c r="B95" s="461"/>
      <c r="C95" s="461"/>
      <c r="D95" s="461"/>
      <c r="E95" s="461"/>
      <c r="F95" s="488"/>
      <c r="G95" s="509"/>
      <c r="H95" s="510"/>
      <c r="I95" s="511"/>
      <c r="J95" s="671"/>
      <c r="K95" s="674"/>
      <c r="L95" s="461"/>
      <c r="M95" s="461"/>
      <c r="N95" s="265" t="s">
        <v>312</v>
      </c>
      <c r="O95" s="488"/>
      <c r="P95" s="258">
        <v>5280</v>
      </c>
      <c r="Q95" s="259" t="s">
        <v>313</v>
      </c>
      <c r="R95" s="260"/>
      <c r="S95" s="258"/>
      <c r="T95" s="258"/>
      <c r="U95" s="510"/>
      <c r="V95" s="668"/>
      <c r="W95" s="508"/>
      <c r="X95" s="2">
        <v>110</v>
      </c>
    </row>
    <row r="96" spans="1:24" x14ac:dyDescent="0.25">
      <c r="A96" s="485"/>
      <c r="B96" s="461"/>
      <c r="C96" s="461"/>
      <c r="D96" s="461"/>
      <c r="E96" s="461"/>
      <c r="F96" s="488"/>
      <c r="G96" s="509"/>
      <c r="H96" s="510"/>
      <c r="I96" s="511"/>
      <c r="J96" s="671"/>
      <c r="K96" s="674"/>
      <c r="L96" s="461"/>
      <c r="M96" s="461"/>
      <c r="N96" s="265" t="s">
        <v>312</v>
      </c>
      <c r="O96" s="488"/>
      <c r="P96" s="258">
        <v>6160</v>
      </c>
      <c r="Q96" s="259" t="s">
        <v>313</v>
      </c>
      <c r="R96" s="260"/>
      <c r="S96" s="258"/>
      <c r="T96" s="258"/>
      <c r="U96" s="510"/>
      <c r="V96" s="668"/>
      <c r="W96" s="508"/>
      <c r="X96" s="2">
        <v>110</v>
      </c>
    </row>
    <row r="97" spans="1:24" x14ac:dyDescent="0.25">
      <c r="A97" s="485"/>
      <c r="B97" s="461"/>
      <c r="C97" s="461"/>
      <c r="D97" s="461"/>
      <c r="E97" s="461"/>
      <c r="F97" s="488"/>
      <c r="G97" s="509"/>
      <c r="H97" s="510"/>
      <c r="I97" s="511"/>
      <c r="J97" s="671"/>
      <c r="K97" s="674"/>
      <c r="L97" s="461"/>
      <c r="M97" s="461"/>
      <c r="N97" s="265" t="s">
        <v>402</v>
      </c>
      <c r="O97" s="488"/>
      <c r="P97" s="258">
        <v>4680</v>
      </c>
      <c r="Q97" s="259" t="s">
        <v>405</v>
      </c>
      <c r="R97" s="260"/>
      <c r="S97" s="258"/>
      <c r="T97" s="258"/>
      <c r="U97" s="510"/>
      <c r="V97" s="668"/>
      <c r="W97" s="508"/>
      <c r="X97" s="2">
        <v>110</v>
      </c>
    </row>
    <row r="98" spans="1:24" x14ac:dyDescent="0.25">
      <c r="A98" s="485"/>
      <c r="B98" s="461"/>
      <c r="C98" s="461"/>
      <c r="D98" s="461"/>
      <c r="E98" s="461"/>
      <c r="F98" s="488"/>
      <c r="G98" s="509"/>
      <c r="H98" s="510"/>
      <c r="I98" s="511"/>
      <c r="J98" s="671"/>
      <c r="K98" s="674"/>
      <c r="L98" s="461"/>
      <c r="M98" s="461"/>
      <c r="N98" s="265" t="s">
        <v>402</v>
      </c>
      <c r="O98" s="488"/>
      <c r="P98" s="258">
        <v>5460</v>
      </c>
      <c r="Q98" s="259" t="s">
        <v>405</v>
      </c>
      <c r="R98" s="260"/>
      <c r="S98" s="258"/>
      <c r="T98" s="258"/>
      <c r="U98" s="510"/>
      <c r="V98" s="668"/>
      <c r="W98" s="508"/>
      <c r="X98" s="2">
        <v>110</v>
      </c>
    </row>
    <row r="99" spans="1:24" x14ac:dyDescent="0.25">
      <c r="A99" s="485"/>
      <c r="B99" s="461"/>
      <c r="C99" s="461"/>
      <c r="D99" s="461"/>
      <c r="E99" s="461"/>
      <c r="F99" s="488"/>
      <c r="G99" s="509"/>
      <c r="H99" s="510"/>
      <c r="I99" s="511"/>
      <c r="J99" s="671"/>
      <c r="K99" s="674"/>
      <c r="L99" s="461"/>
      <c r="M99" s="461"/>
      <c r="N99" s="265" t="s">
        <v>454</v>
      </c>
      <c r="O99" s="488"/>
      <c r="P99" s="258">
        <v>5520</v>
      </c>
      <c r="Q99" s="259" t="s">
        <v>461</v>
      </c>
      <c r="R99" s="260"/>
      <c r="S99" s="258"/>
      <c r="T99" s="258"/>
      <c r="U99" s="510"/>
      <c r="V99" s="668"/>
      <c r="W99" s="508"/>
      <c r="X99" s="2">
        <v>110</v>
      </c>
    </row>
    <row r="100" spans="1:24" x14ac:dyDescent="0.25">
      <c r="A100" s="485"/>
      <c r="B100" s="461"/>
      <c r="C100" s="461"/>
      <c r="D100" s="461"/>
      <c r="E100" s="461"/>
      <c r="F100" s="488"/>
      <c r="G100" s="509"/>
      <c r="H100" s="510"/>
      <c r="I100" s="511"/>
      <c r="J100" s="671"/>
      <c r="K100" s="674"/>
      <c r="L100" s="461"/>
      <c r="M100" s="461"/>
      <c r="N100" s="265" t="s">
        <v>454</v>
      </c>
      <c r="O100" s="488"/>
      <c r="P100" s="258">
        <v>6440</v>
      </c>
      <c r="Q100" s="259" t="s">
        <v>461</v>
      </c>
      <c r="R100" s="260"/>
      <c r="S100" s="258"/>
      <c r="T100" s="258"/>
      <c r="U100" s="510"/>
      <c r="V100" s="668"/>
      <c r="W100" s="508"/>
      <c r="X100" s="2">
        <v>110</v>
      </c>
    </row>
    <row r="101" spans="1:24" x14ac:dyDescent="0.25">
      <c r="A101" s="485"/>
      <c r="B101" s="461"/>
      <c r="C101" s="461"/>
      <c r="D101" s="461"/>
      <c r="E101" s="461"/>
      <c r="F101" s="488"/>
      <c r="G101" s="509"/>
      <c r="H101" s="510"/>
      <c r="I101" s="511"/>
      <c r="J101" s="671"/>
      <c r="K101" s="674"/>
      <c r="L101" s="461"/>
      <c r="M101" s="461"/>
      <c r="N101" s="265" t="s">
        <v>468</v>
      </c>
      <c r="O101" s="488"/>
      <c r="P101" s="258">
        <v>4320</v>
      </c>
      <c r="Q101" s="259" t="s">
        <v>507</v>
      </c>
      <c r="R101" s="260"/>
      <c r="S101" s="258"/>
      <c r="T101" s="258"/>
      <c r="U101" s="510"/>
      <c r="V101" s="668"/>
      <c r="W101" s="508"/>
      <c r="X101" s="2">
        <v>110</v>
      </c>
    </row>
    <row r="102" spans="1:24" x14ac:dyDescent="0.25">
      <c r="A102" s="485"/>
      <c r="B102" s="461"/>
      <c r="C102" s="461"/>
      <c r="D102" s="461"/>
      <c r="E102" s="461"/>
      <c r="F102" s="488"/>
      <c r="G102" s="509"/>
      <c r="H102" s="510"/>
      <c r="I102" s="511"/>
      <c r="J102" s="671"/>
      <c r="K102" s="674"/>
      <c r="L102" s="461"/>
      <c r="M102" s="461"/>
      <c r="N102" s="265" t="s">
        <v>468</v>
      </c>
      <c r="O102" s="488"/>
      <c r="P102" s="258">
        <v>5040</v>
      </c>
      <c r="Q102" s="259" t="s">
        <v>507</v>
      </c>
      <c r="R102" s="260"/>
      <c r="S102" s="258"/>
      <c r="T102" s="258"/>
      <c r="U102" s="510"/>
      <c r="V102" s="668"/>
      <c r="W102" s="508"/>
      <c r="X102" s="2">
        <v>110</v>
      </c>
    </row>
    <row r="103" spans="1:24" x14ac:dyDescent="0.25">
      <c r="A103" s="485"/>
      <c r="B103" s="461"/>
      <c r="C103" s="461"/>
      <c r="D103" s="461"/>
      <c r="E103" s="461"/>
      <c r="F103" s="488"/>
      <c r="G103" s="509"/>
      <c r="H103" s="510"/>
      <c r="I103" s="511"/>
      <c r="J103" s="671"/>
      <c r="K103" s="674"/>
      <c r="L103" s="461"/>
      <c r="M103" s="461"/>
      <c r="N103" s="265">
        <v>45473</v>
      </c>
      <c r="O103" s="488"/>
      <c r="P103" s="258">
        <v>3480</v>
      </c>
      <c r="Q103" s="259">
        <v>45484</v>
      </c>
      <c r="R103" s="260"/>
      <c r="S103" s="258"/>
      <c r="T103" s="258"/>
      <c r="U103" s="510"/>
      <c r="V103" s="668"/>
      <c r="W103" s="508"/>
      <c r="X103" s="2">
        <v>110</v>
      </c>
    </row>
    <row r="104" spans="1:24" x14ac:dyDescent="0.25">
      <c r="A104" s="485"/>
      <c r="B104" s="461"/>
      <c r="C104" s="461"/>
      <c r="D104" s="461"/>
      <c r="E104" s="461"/>
      <c r="F104" s="488"/>
      <c r="G104" s="509"/>
      <c r="H104" s="510"/>
      <c r="I104" s="511"/>
      <c r="J104" s="671"/>
      <c r="K104" s="674"/>
      <c r="L104" s="461"/>
      <c r="M104" s="461"/>
      <c r="N104" s="265">
        <v>45473</v>
      </c>
      <c r="O104" s="488"/>
      <c r="P104" s="258">
        <v>4060</v>
      </c>
      <c r="Q104" s="259">
        <v>45484</v>
      </c>
      <c r="R104" s="260"/>
      <c r="S104" s="258"/>
      <c r="T104" s="258"/>
      <c r="U104" s="510"/>
      <c r="V104" s="668"/>
      <c r="W104" s="508"/>
      <c r="X104" s="2">
        <v>110</v>
      </c>
    </row>
    <row r="105" spans="1:24" x14ac:dyDescent="0.25">
      <c r="A105" s="485"/>
      <c r="B105" s="461"/>
      <c r="C105" s="461"/>
      <c r="D105" s="461"/>
      <c r="E105" s="461"/>
      <c r="F105" s="488"/>
      <c r="G105" s="509"/>
      <c r="H105" s="510"/>
      <c r="I105" s="511"/>
      <c r="J105" s="671"/>
      <c r="K105" s="674"/>
      <c r="L105" s="461"/>
      <c r="M105" s="461"/>
      <c r="N105" s="265">
        <v>45504</v>
      </c>
      <c r="O105" s="488"/>
      <c r="P105" s="258">
        <v>1820</v>
      </c>
      <c r="Q105" s="259">
        <v>45526</v>
      </c>
      <c r="R105" s="260"/>
      <c r="S105" s="258"/>
      <c r="T105" s="258"/>
      <c r="U105" s="510"/>
      <c r="V105" s="668"/>
      <c r="W105" s="508"/>
      <c r="X105" s="2">
        <v>110</v>
      </c>
    </row>
    <row r="106" spans="1:24" s="254" customFormat="1" x14ac:dyDescent="0.25">
      <c r="A106" s="485"/>
      <c r="B106" s="461"/>
      <c r="C106" s="461"/>
      <c r="D106" s="461"/>
      <c r="E106" s="461"/>
      <c r="F106" s="488"/>
      <c r="G106" s="509"/>
      <c r="H106" s="510"/>
      <c r="I106" s="511"/>
      <c r="J106" s="671"/>
      <c r="K106" s="674"/>
      <c r="L106" s="461"/>
      <c r="M106" s="461"/>
      <c r="N106" s="267">
        <v>45535</v>
      </c>
      <c r="O106" s="488"/>
      <c r="P106" s="268">
        <v>1120</v>
      </c>
      <c r="Q106" s="269">
        <v>45561</v>
      </c>
      <c r="R106" s="270"/>
      <c r="S106" s="268"/>
      <c r="T106" s="268"/>
      <c r="U106" s="510"/>
      <c r="V106" s="668"/>
      <c r="W106" s="508"/>
      <c r="X106" s="254">
        <v>110</v>
      </c>
    </row>
    <row r="107" spans="1:24" s="254" customFormat="1" x14ac:dyDescent="0.25">
      <c r="A107" s="486"/>
      <c r="B107" s="462"/>
      <c r="C107" s="462"/>
      <c r="D107" s="462"/>
      <c r="E107" s="462"/>
      <c r="F107" s="489"/>
      <c r="G107" s="505"/>
      <c r="H107" s="499"/>
      <c r="I107" s="507"/>
      <c r="J107" s="672"/>
      <c r="K107" s="675"/>
      <c r="L107" s="462"/>
      <c r="M107" s="462"/>
      <c r="N107" s="266">
        <v>45535</v>
      </c>
      <c r="O107" s="489"/>
      <c r="P107" s="261">
        <v>960</v>
      </c>
      <c r="Q107" s="262">
        <v>45561</v>
      </c>
      <c r="R107" s="263"/>
      <c r="S107" s="261"/>
      <c r="T107" s="261"/>
      <c r="U107" s="499"/>
      <c r="V107" s="669"/>
      <c r="W107" s="503"/>
      <c r="X107" s="254">
        <v>110</v>
      </c>
    </row>
    <row r="108" spans="1:24" s="85" customFormat="1" ht="77.45" customHeight="1" x14ac:dyDescent="0.25">
      <c r="A108" s="463">
        <v>11</v>
      </c>
      <c r="B108" s="416" t="s">
        <v>56</v>
      </c>
      <c r="C108" s="416"/>
      <c r="D108" s="416"/>
      <c r="E108" s="416" t="s">
        <v>231</v>
      </c>
      <c r="F108" s="413" t="s">
        <v>220</v>
      </c>
      <c r="G108" s="533" t="s">
        <v>232</v>
      </c>
      <c r="H108" s="419">
        <v>27406.080000000002</v>
      </c>
      <c r="I108" s="422">
        <f>IF(X108 = 111, H108 + SUM(S108:S117) - SUM(T108:T117) - SUM(P108:P117) - V108,0)</f>
        <v>4567.68</v>
      </c>
      <c r="J108" s="546">
        <v>2310163739</v>
      </c>
      <c r="K108" s="549" t="s">
        <v>149</v>
      </c>
      <c r="L108" s="416"/>
      <c r="M108" s="416" t="s">
        <v>188</v>
      </c>
      <c r="N108" s="356" t="s">
        <v>257</v>
      </c>
      <c r="O108" s="413" t="s">
        <v>233</v>
      </c>
      <c r="P108" s="344">
        <v>2283.84</v>
      </c>
      <c r="Q108" s="345" t="s">
        <v>316</v>
      </c>
      <c r="R108" s="346"/>
      <c r="S108" s="344"/>
      <c r="T108" s="344"/>
      <c r="U108" s="419"/>
      <c r="V108" s="703"/>
      <c r="W108" s="530"/>
      <c r="X108" s="85">
        <v>111</v>
      </c>
    </row>
    <row r="109" spans="1:24" x14ac:dyDescent="0.25">
      <c r="A109" s="464"/>
      <c r="B109" s="417"/>
      <c r="C109" s="417"/>
      <c r="D109" s="417"/>
      <c r="E109" s="417"/>
      <c r="F109" s="414"/>
      <c r="G109" s="534"/>
      <c r="H109" s="420"/>
      <c r="I109" s="423"/>
      <c r="J109" s="547"/>
      <c r="K109" s="550"/>
      <c r="L109" s="417"/>
      <c r="M109" s="417"/>
      <c r="N109" s="357" t="s">
        <v>312</v>
      </c>
      <c r="O109" s="414"/>
      <c r="P109" s="347">
        <v>2283.84</v>
      </c>
      <c r="Q109" s="348" t="s">
        <v>316</v>
      </c>
      <c r="R109" s="349"/>
      <c r="S109" s="347"/>
      <c r="T109" s="347"/>
      <c r="U109" s="420"/>
      <c r="V109" s="704"/>
      <c r="W109" s="531"/>
      <c r="X109" s="2">
        <v>111</v>
      </c>
    </row>
    <row r="110" spans="1:24" x14ac:dyDescent="0.25">
      <c r="A110" s="464"/>
      <c r="B110" s="417"/>
      <c r="C110" s="417"/>
      <c r="D110" s="417"/>
      <c r="E110" s="417"/>
      <c r="F110" s="414"/>
      <c r="G110" s="534"/>
      <c r="H110" s="420"/>
      <c r="I110" s="423"/>
      <c r="J110" s="547"/>
      <c r="K110" s="550"/>
      <c r="L110" s="417"/>
      <c r="M110" s="417"/>
      <c r="N110" s="357" t="s">
        <v>403</v>
      </c>
      <c r="O110" s="414"/>
      <c r="P110" s="347">
        <v>2283.84</v>
      </c>
      <c r="Q110" s="348" t="s">
        <v>401</v>
      </c>
      <c r="R110" s="349"/>
      <c r="S110" s="347"/>
      <c r="T110" s="347"/>
      <c r="U110" s="420"/>
      <c r="V110" s="704"/>
      <c r="W110" s="531"/>
      <c r="X110" s="2">
        <v>111</v>
      </c>
    </row>
    <row r="111" spans="1:24" x14ac:dyDescent="0.25">
      <c r="A111" s="464"/>
      <c r="B111" s="417"/>
      <c r="C111" s="417"/>
      <c r="D111" s="417"/>
      <c r="E111" s="417"/>
      <c r="F111" s="414"/>
      <c r="G111" s="534"/>
      <c r="H111" s="420"/>
      <c r="I111" s="423"/>
      <c r="J111" s="547"/>
      <c r="K111" s="550"/>
      <c r="L111" s="417"/>
      <c r="M111" s="417"/>
      <c r="N111" s="357" t="s">
        <v>412</v>
      </c>
      <c r="O111" s="414"/>
      <c r="P111" s="347">
        <v>2283.84</v>
      </c>
      <c r="Q111" s="348" t="s">
        <v>456</v>
      </c>
      <c r="R111" s="349"/>
      <c r="S111" s="347"/>
      <c r="T111" s="347"/>
      <c r="U111" s="420"/>
      <c r="V111" s="704"/>
      <c r="W111" s="531"/>
      <c r="X111" s="2">
        <v>111</v>
      </c>
    </row>
    <row r="112" spans="1:24" x14ac:dyDescent="0.25">
      <c r="A112" s="464"/>
      <c r="B112" s="417"/>
      <c r="C112" s="417"/>
      <c r="D112" s="417"/>
      <c r="E112" s="417"/>
      <c r="F112" s="414"/>
      <c r="G112" s="534"/>
      <c r="H112" s="420"/>
      <c r="I112" s="423"/>
      <c r="J112" s="547"/>
      <c r="K112" s="550"/>
      <c r="L112" s="417"/>
      <c r="M112" s="417"/>
      <c r="N112" s="357" t="s">
        <v>468</v>
      </c>
      <c r="O112" s="414"/>
      <c r="P112" s="347">
        <v>2283.84</v>
      </c>
      <c r="Q112" s="348" t="s">
        <v>507</v>
      </c>
      <c r="R112" s="349"/>
      <c r="S112" s="347"/>
      <c r="T112" s="347"/>
      <c r="U112" s="420"/>
      <c r="V112" s="704"/>
      <c r="W112" s="531"/>
      <c r="X112" s="2">
        <v>111</v>
      </c>
    </row>
    <row r="113" spans="1:24" x14ac:dyDescent="0.25">
      <c r="A113" s="464"/>
      <c r="B113" s="417"/>
      <c r="C113" s="417"/>
      <c r="D113" s="417"/>
      <c r="E113" s="417"/>
      <c r="F113" s="414"/>
      <c r="G113" s="534"/>
      <c r="H113" s="420"/>
      <c r="I113" s="423"/>
      <c r="J113" s="547"/>
      <c r="K113" s="550"/>
      <c r="L113" s="417"/>
      <c r="M113" s="417"/>
      <c r="N113" s="357">
        <v>45471</v>
      </c>
      <c r="O113" s="414"/>
      <c r="P113" s="347">
        <v>2283.84</v>
      </c>
      <c r="Q113" s="348">
        <v>45476</v>
      </c>
      <c r="R113" s="349"/>
      <c r="S113" s="347"/>
      <c r="T113" s="347"/>
      <c r="U113" s="420"/>
      <c r="V113" s="704"/>
      <c r="W113" s="531"/>
      <c r="X113" s="2">
        <v>111</v>
      </c>
    </row>
    <row r="114" spans="1:24" x14ac:dyDescent="0.25">
      <c r="A114" s="464"/>
      <c r="B114" s="417"/>
      <c r="C114" s="417"/>
      <c r="D114" s="417"/>
      <c r="E114" s="417"/>
      <c r="F114" s="414"/>
      <c r="G114" s="534"/>
      <c r="H114" s="420"/>
      <c r="I114" s="423"/>
      <c r="J114" s="547"/>
      <c r="K114" s="550"/>
      <c r="L114" s="417"/>
      <c r="M114" s="417"/>
      <c r="N114" s="357">
        <v>45504</v>
      </c>
      <c r="O114" s="414"/>
      <c r="P114" s="347">
        <v>2283.84</v>
      </c>
      <c r="Q114" s="348">
        <v>45511</v>
      </c>
      <c r="R114" s="349"/>
      <c r="S114" s="347"/>
      <c r="T114" s="347"/>
      <c r="U114" s="420"/>
      <c r="V114" s="704"/>
      <c r="W114" s="531"/>
      <c r="X114" s="2">
        <v>111</v>
      </c>
    </row>
    <row r="115" spans="1:24" s="254" customFormat="1" x14ac:dyDescent="0.25">
      <c r="A115" s="464"/>
      <c r="B115" s="417"/>
      <c r="C115" s="417"/>
      <c r="D115" s="417"/>
      <c r="E115" s="417"/>
      <c r="F115" s="414"/>
      <c r="G115" s="534"/>
      <c r="H115" s="420"/>
      <c r="I115" s="423"/>
      <c r="J115" s="547"/>
      <c r="K115" s="550"/>
      <c r="L115" s="417"/>
      <c r="M115" s="417"/>
      <c r="N115" s="358">
        <v>45534</v>
      </c>
      <c r="O115" s="414"/>
      <c r="P115" s="350">
        <v>2283.84</v>
      </c>
      <c r="Q115" s="351">
        <v>45544</v>
      </c>
      <c r="R115" s="352"/>
      <c r="S115" s="350"/>
      <c r="T115" s="350"/>
      <c r="U115" s="420"/>
      <c r="V115" s="704"/>
      <c r="W115" s="531"/>
      <c r="X115" s="254">
        <v>111</v>
      </c>
    </row>
    <row r="116" spans="1:24" s="254" customFormat="1" x14ac:dyDescent="0.25">
      <c r="A116" s="464"/>
      <c r="B116" s="417"/>
      <c r="C116" s="417"/>
      <c r="D116" s="417"/>
      <c r="E116" s="417"/>
      <c r="F116" s="414"/>
      <c r="G116" s="534"/>
      <c r="H116" s="420"/>
      <c r="I116" s="423"/>
      <c r="J116" s="547"/>
      <c r="K116" s="550"/>
      <c r="L116" s="417"/>
      <c r="M116" s="417"/>
      <c r="N116" s="358">
        <v>45565</v>
      </c>
      <c r="O116" s="414"/>
      <c r="P116" s="350">
        <v>2283.84</v>
      </c>
      <c r="Q116" s="351">
        <v>45569</v>
      </c>
      <c r="R116" s="352"/>
      <c r="S116" s="350"/>
      <c r="T116" s="350"/>
      <c r="U116" s="420"/>
      <c r="V116" s="704"/>
      <c r="W116" s="531"/>
      <c r="X116" s="254">
        <v>111</v>
      </c>
    </row>
    <row r="117" spans="1:24" s="254" customFormat="1" x14ac:dyDescent="0.25">
      <c r="A117" s="465"/>
      <c r="B117" s="418"/>
      <c r="C117" s="418"/>
      <c r="D117" s="418"/>
      <c r="E117" s="418"/>
      <c r="F117" s="415"/>
      <c r="G117" s="535"/>
      <c r="H117" s="421"/>
      <c r="I117" s="424"/>
      <c r="J117" s="548"/>
      <c r="K117" s="551"/>
      <c r="L117" s="418"/>
      <c r="M117" s="418"/>
      <c r="N117" s="359">
        <v>45596</v>
      </c>
      <c r="O117" s="415"/>
      <c r="P117" s="353">
        <v>2283.84</v>
      </c>
      <c r="Q117" s="354">
        <v>45604</v>
      </c>
      <c r="R117" s="355"/>
      <c r="S117" s="353"/>
      <c r="T117" s="353"/>
      <c r="U117" s="421"/>
      <c r="V117" s="705"/>
      <c r="W117" s="532"/>
      <c r="X117" s="254">
        <v>111</v>
      </c>
    </row>
    <row r="118" spans="1:24" s="85" customFormat="1" ht="54" customHeight="1" x14ac:dyDescent="0.25">
      <c r="A118" s="581">
        <v>12</v>
      </c>
      <c r="B118" s="573" t="s">
        <v>56</v>
      </c>
      <c r="C118" s="573"/>
      <c r="D118" s="573"/>
      <c r="E118" s="573" t="s">
        <v>182</v>
      </c>
      <c r="F118" s="584" t="s">
        <v>252</v>
      </c>
      <c r="G118" s="611" t="s">
        <v>226</v>
      </c>
      <c r="H118" s="614">
        <v>48651.199999999997</v>
      </c>
      <c r="I118" s="631">
        <f>IF(X118 = 112, H118 + SUM(S118:S123) - SUM(T118:T123) - SUM(P118:P123) - V118,0)</f>
        <v>0</v>
      </c>
      <c r="J118" s="634">
        <v>2353020735</v>
      </c>
      <c r="K118" s="637" t="s">
        <v>177</v>
      </c>
      <c r="L118" s="573"/>
      <c r="M118" s="573" t="s">
        <v>201</v>
      </c>
      <c r="N118" s="167" t="s">
        <v>257</v>
      </c>
      <c r="O118" s="584" t="s">
        <v>178</v>
      </c>
      <c r="P118" s="160">
        <v>5517</v>
      </c>
      <c r="Q118" s="159" t="s">
        <v>259</v>
      </c>
      <c r="R118" s="158"/>
      <c r="S118" s="160"/>
      <c r="T118" s="160"/>
      <c r="U118" s="614" t="s">
        <v>453</v>
      </c>
      <c r="V118" s="628">
        <v>26992</v>
      </c>
      <c r="W118" s="655"/>
      <c r="X118" s="85">
        <v>112</v>
      </c>
    </row>
    <row r="119" spans="1:24" x14ac:dyDescent="0.25">
      <c r="A119" s="582"/>
      <c r="B119" s="574"/>
      <c r="C119" s="574"/>
      <c r="D119" s="574"/>
      <c r="E119" s="574"/>
      <c r="F119" s="585"/>
      <c r="G119" s="612"/>
      <c r="H119" s="615"/>
      <c r="I119" s="632"/>
      <c r="J119" s="635"/>
      <c r="K119" s="638"/>
      <c r="L119" s="574"/>
      <c r="M119" s="574"/>
      <c r="N119" s="168" t="s">
        <v>257</v>
      </c>
      <c r="O119" s="585"/>
      <c r="P119" s="161">
        <v>2204.8000000000002</v>
      </c>
      <c r="Q119" s="162" t="s">
        <v>259</v>
      </c>
      <c r="R119" s="163"/>
      <c r="S119" s="161"/>
      <c r="T119" s="161"/>
      <c r="U119" s="615"/>
      <c r="V119" s="629"/>
      <c r="W119" s="656"/>
      <c r="X119" s="2">
        <v>112</v>
      </c>
    </row>
    <row r="120" spans="1:24" x14ac:dyDescent="0.25">
      <c r="A120" s="582"/>
      <c r="B120" s="574"/>
      <c r="C120" s="574"/>
      <c r="D120" s="574"/>
      <c r="E120" s="574"/>
      <c r="F120" s="585"/>
      <c r="G120" s="612"/>
      <c r="H120" s="615"/>
      <c r="I120" s="632"/>
      <c r="J120" s="635"/>
      <c r="K120" s="638"/>
      <c r="L120" s="574"/>
      <c r="M120" s="574"/>
      <c r="N120" s="168" t="s">
        <v>312</v>
      </c>
      <c r="O120" s="585"/>
      <c r="P120" s="161">
        <v>6201</v>
      </c>
      <c r="Q120" s="162" t="s">
        <v>327</v>
      </c>
      <c r="R120" s="163"/>
      <c r="S120" s="161"/>
      <c r="T120" s="161"/>
      <c r="U120" s="615"/>
      <c r="V120" s="629"/>
      <c r="W120" s="656"/>
      <c r="X120" s="2">
        <v>112</v>
      </c>
    </row>
    <row r="121" spans="1:24" x14ac:dyDescent="0.25">
      <c r="A121" s="582"/>
      <c r="B121" s="574"/>
      <c r="C121" s="574"/>
      <c r="D121" s="574"/>
      <c r="E121" s="574"/>
      <c r="F121" s="585"/>
      <c r="G121" s="612"/>
      <c r="H121" s="615"/>
      <c r="I121" s="632"/>
      <c r="J121" s="635"/>
      <c r="K121" s="638"/>
      <c r="L121" s="574"/>
      <c r="M121" s="574"/>
      <c r="N121" s="168" t="s">
        <v>312</v>
      </c>
      <c r="O121" s="585"/>
      <c r="P121" s="161">
        <v>2246.4</v>
      </c>
      <c r="Q121" s="162" t="s">
        <v>327</v>
      </c>
      <c r="R121" s="163"/>
      <c r="S121" s="161"/>
      <c r="T121" s="161"/>
      <c r="U121" s="615"/>
      <c r="V121" s="629"/>
      <c r="W121" s="656"/>
      <c r="X121" s="2">
        <v>112</v>
      </c>
    </row>
    <row r="122" spans="1:24" x14ac:dyDescent="0.25">
      <c r="A122" s="582"/>
      <c r="B122" s="574"/>
      <c r="C122" s="574"/>
      <c r="D122" s="574"/>
      <c r="E122" s="574"/>
      <c r="F122" s="585"/>
      <c r="G122" s="612"/>
      <c r="H122" s="615"/>
      <c r="I122" s="632"/>
      <c r="J122" s="635"/>
      <c r="K122" s="638"/>
      <c r="L122" s="574"/>
      <c r="M122" s="574"/>
      <c r="N122" s="168" t="s">
        <v>421</v>
      </c>
      <c r="O122" s="585"/>
      <c r="P122" s="161">
        <v>4086</v>
      </c>
      <c r="Q122" s="162" t="s">
        <v>404</v>
      </c>
      <c r="R122" s="163"/>
      <c r="S122" s="161"/>
      <c r="T122" s="161"/>
      <c r="U122" s="615"/>
      <c r="V122" s="629"/>
      <c r="W122" s="656"/>
      <c r="X122" s="2">
        <v>112</v>
      </c>
    </row>
    <row r="123" spans="1:24" x14ac:dyDescent="0.25">
      <c r="A123" s="583"/>
      <c r="B123" s="575"/>
      <c r="C123" s="575"/>
      <c r="D123" s="575"/>
      <c r="E123" s="575"/>
      <c r="F123" s="586"/>
      <c r="G123" s="613"/>
      <c r="H123" s="616"/>
      <c r="I123" s="633"/>
      <c r="J123" s="636"/>
      <c r="K123" s="639"/>
      <c r="L123" s="575"/>
      <c r="M123" s="575"/>
      <c r="N123" s="169" t="s">
        <v>421</v>
      </c>
      <c r="O123" s="586"/>
      <c r="P123" s="164">
        <v>1404</v>
      </c>
      <c r="Q123" s="165" t="s">
        <v>404</v>
      </c>
      <c r="R123" s="166"/>
      <c r="S123" s="164"/>
      <c r="T123" s="164"/>
      <c r="U123" s="616"/>
      <c r="V123" s="630"/>
      <c r="W123" s="657"/>
      <c r="X123" s="2">
        <v>112</v>
      </c>
    </row>
    <row r="124" spans="1:24" s="85" customFormat="1" ht="77.45" customHeight="1" x14ac:dyDescent="0.25">
      <c r="A124" s="113">
        <v>13</v>
      </c>
      <c r="B124" s="114" t="s">
        <v>56</v>
      </c>
      <c r="C124" s="114"/>
      <c r="D124" s="114"/>
      <c r="E124" s="114" t="s">
        <v>211</v>
      </c>
      <c r="F124" s="121" t="s">
        <v>185</v>
      </c>
      <c r="G124" s="115" t="s">
        <v>213</v>
      </c>
      <c r="H124" s="116">
        <v>56371.199999999997</v>
      </c>
      <c r="I124" s="117">
        <f>IF(X124 = 113, H124 + SUM(S124:S124) - SUM(T124:T124) - SUM(P124:P124) - V124,0)</f>
        <v>0</v>
      </c>
      <c r="J124" s="118">
        <v>235300578903</v>
      </c>
      <c r="K124" s="119" t="s">
        <v>147</v>
      </c>
      <c r="L124" s="114"/>
      <c r="M124" s="114" t="s">
        <v>273</v>
      </c>
      <c r="N124" s="121" t="s">
        <v>274</v>
      </c>
      <c r="O124" s="121" t="s">
        <v>180</v>
      </c>
      <c r="P124" s="116">
        <v>56371.199999999997</v>
      </c>
      <c r="Q124" s="115" t="s">
        <v>249</v>
      </c>
      <c r="R124" s="114"/>
      <c r="S124" s="116"/>
      <c r="T124" s="116"/>
      <c r="U124" s="116"/>
      <c r="V124" s="120"/>
      <c r="W124" s="112"/>
      <c r="X124" s="85">
        <v>113</v>
      </c>
    </row>
    <row r="125" spans="1:24" s="85" customFormat="1" ht="93.6" customHeight="1" x14ac:dyDescent="0.25">
      <c r="A125" s="113">
        <v>14</v>
      </c>
      <c r="B125" s="114" t="s">
        <v>56</v>
      </c>
      <c r="C125" s="114"/>
      <c r="D125" s="114"/>
      <c r="E125" s="114" t="s">
        <v>277</v>
      </c>
      <c r="F125" s="121" t="s">
        <v>278</v>
      </c>
      <c r="G125" s="115" t="s">
        <v>279</v>
      </c>
      <c r="H125" s="116">
        <v>9500</v>
      </c>
      <c r="I125" s="117">
        <f>IF(X125 = 114, H125 + SUM(S125:S125) - SUM(T125:T125) - SUM(P125:P125) - V125,0)</f>
        <v>0</v>
      </c>
      <c r="J125" s="118">
        <v>2353015365</v>
      </c>
      <c r="K125" s="119" t="s">
        <v>280</v>
      </c>
      <c r="L125" s="114"/>
      <c r="M125" s="114" t="s">
        <v>281</v>
      </c>
      <c r="N125" s="121" t="s">
        <v>320</v>
      </c>
      <c r="O125" s="121" t="s">
        <v>308</v>
      </c>
      <c r="P125" s="116">
        <v>9500</v>
      </c>
      <c r="Q125" s="115" t="s">
        <v>318</v>
      </c>
      <c r="R125" s="114"/>
      <c r="S125" s="116"/>
      <c r="T125" s="116"/>
      <c r="U125" s="116"/>
      <c r="V125" s="120"/>
      <c r="W125" s="112"/>
      <c r="X125" s="85">
        <v>114</v>
      </c>
    </row>
    <row r="126" spans="1:24" s="85" customFormat="1" ht="76.150000000000006" customHeight="1" x14ac:dyDescent="0.25">
      <c r="A126" s="587">
        <v>15</v>
      </c>
      <c r="B126" s="555" t="s">
        <v>56</v>
      </c>
      <c r="C126" s="555"/>
      <c r="D126" s="555"/>
      <c r="E126" s="555" t="s">
        <v>292</v>
      </c>
      <c r="F126" s="558" t="s">
        <v>293</v>
      </c>
      <c r="G126" s="561" t="s">
        <v>213</v>
      </c>
      <c r="H126" s="564">
        <v>532480</v>
      </c>
      <c r="I126" s="617">
        <f>IF(X126 = 117, H126 + SUM(S126:S129) - SUM(T126:T129) - SUM(P126:P129) - V126,0)</f>
        <v>164072</v>
      </c>
      <c r="J126" s="620">
        <v>235300578903</v>
      </c>
      <c r="K126" s="623" t="s">
        <v>147</v>
      </c>
      <c r="L126" s="555"/>
      <c r="M126" s="555" t="s">
        <v>294</v>
      </c>
      <c r="N126" s="232" t="s">
        <v>402</v>
      </c>
      <c r="O126" s="558" t="s">
        <v>180</v>
      </c>
      <c r="P126" s="223">
        <v>79872</v>
      </c>
      <c r="Q126" s="222" t="s">
        <v>404</v>
      </c>
      <c r="R126" s="221"/>
      <c r="S126" s="223"/>
      <c r="T126" s="223"/>
      <c r="U126" s="564"/>
      <c r="V126" s="578"/>
      <c r="W126" s="552"/>
      <c r="X126" s="85">
        <v>117</v>
      </c>
    </row>
    <row r="127" spans="1:24" x14ac:dyDescent="0.25">
      <c r="A127" s="588"/>
      <c r="B127" s="556"/>
      <c r="C127" s="556"/>
      <c r="D127" s="556"/>
      <c r="E127" s="556"/>
      <c r="F127" s="559"/>
      <c r="G127" s="562"/>
      <c r="H127" s="565"/>
      <c r="I127" s="618"/>
      <c r="J127" s="621"/>
      <c r="K127" s="624"/>
      <c r="L127" s="556"/>
      <c r="M127" s="556"/>
      <c r="N127" s="233" t="s">
        <v>454</v>
      </c>
      <c r="O127" s="559"/>
      <c r="P127" s="226">
        <v>109824</v>
      </c>
      <c r="Q127" s="227" t="s">
        <v>459</v>
      </c>
      <c r="R127" s="228"/>
      <c r="S127" s="226"/>
      <c r="T127" s="226"/>
      <c r="U127" s="565"/>
      <c r="V127" s="579"/>
      <c r="W127" s="553"/>
      <c r="X127" s="2">
        <v>117</v>
      </c>
    </row>
    <row r="128" spans="1:24" x14ac:dyDescent="0.25">
      <c r="A128" s="588"/>
      <c r="B128" s="556"/>
      <c r="C128" s="556"/>
      <c r="D128" s="556"/>
      <c r="E128" s="556"/>
      <c r="F128" s="559"/>
      <c r="G128" s="562"/>
      <c r="H128" s="565"/>
      <c r="I128" s="618"/>
      <c r="J128" s="621"/>
      <c r="K128" s="624"/>
      <c r="L128" s="556"/>
      <c r="M128" s="556"/>
      <c r="N128" s="233" t="s">
        <v>468</v>
      </c>
      <c r="O128" s="559"/>
      <c r="P128" s="226">
        <v>110336</v>
      </c>
      <c r="Q128" s="227" t="s">
        <v>507</v>
      </c>
      <c r="R128" s="228"/>
      <c r="S128" s="226"/>
      <c r="T128" s="226"/>
      <c r="U128" s="565"/>
      <c r="V128" s="579"/>
      <c r="W128" s="553"/>
      <c r="X128" s="2">
        <v>117</v>
      </c>
    </row>
    <row r="129" spans="1:24" x14ac:dyDescent="0.25">
      <c r="A129" s="589"/>
      <c r="B129" s="557"/>
      <c r="C129" s="557"/>
      <c r="D129" s="557"/>
      <c r="E129" s="557"/>
      <c r="F129" s="560"/>
      <c r="G129" s="563"/>
      <c r="H129" s="566"/>
      <c r="I129" s="619"/>
      <c r="J129" s="622"/>
      <c r="K129" s="625"/>
      <c r="L129" s="557"/>
      <c r="M129" s="557"/>
      <c r="N129" s="230">
        <v>45472</v>
      </c>
      <c r="O129" s="560"/>
      <c r="P129" s="229">
        <v>68376</v>
      </c>
      <c r="Q129" s="230">
        <v>45477</v>
      </c>
      <c r="R129" s="231"/>
      <c r="S129" s="229"/>
      <c r="T129" s="229"/>
      <c r="U129" s="566"/>
      <c r="V129" s="580"/>
      <c r="W129" s="554"/>
      <c r="X129" s="2">
        <v>117</v>
      </c>
    </row>
    <row r="130" spans="1:24" s="85" customFormat="1" ht="112.5" x14ac:dyDescent="0.25">
      <c r="A130" s="113">
        <v>16</v>
      </c>
      <c r="B130" s="114" t="s">
        <v>56</v>
      </c>
      <c r="C130" s="114"/>
      <c r="D130" s="114" t="s">
        <v>295</v>
      </c>
      <c r="E130" s="114" t="s">
        <v>57</v>
      </c>
      <c r="F130" s="121" t="s">
        <v>296</v>
      </c>
      <c r="G130" s="115" t="s">
        <v>297</v>
      </c>
      <c r="H130" s="116">
        <v>72125</v>
      </c>
      <c r="I130" s="117">
        <f>IF(X130 = 118, H130 + SUM(S130:S130) - SUM(T130:T130) - SUM(P130:P130) - V130,0)</f>
        <v>0</v>
      </c>
      <c r="J130" s="118">
        <v>2636040789</v>
      </c>
      <c r="K130" s="119" t="s">
        <v>298</v>
      </c>
      <c r="L130" s="114"/>
      <c r="M130" s="114" t="s">
        <v>299</v>
      </c>
      <c r="N130" s="121" t="s">
        <v>315</v>
      </c>
      <c r="O130" s="121" t="s">
        <v>300</v>
      </c>
      <c r="P130" s="116">
        <v>72125</v>
      </c>
      <c r="Q130" s="115" t="s">
        <v>317</v>
      </c>
      <c r="R130" s="114"/>
      <c r="S130" s="116"/>
      <c r="T130" s="116"/>
      <c r="U130" s="116"/>
      <c r="V130" s="120"/>
      <c r="W130" s="112"/>
      <c r="X130" s="85">
        <v>118</v>
      </c>
    </row>
    <row r="131" spans="1:24" s="85" customFormat="1" ht="54" customHeight="1" x14ac:dyDescent="0.25">
      <c r="A131" s="646">
        <v>17</v>
      </c>
      <c r="B131" s="590" t="s">
        <v>56</v>
      </c>
      <c r="C131" s="590"/>
      <c r="D131" s="590"/>
      <c r="E131" s="590" t="s">
        <v>354</v>
      </c>
      <c r="F131" s="593" t="s">
        <v>340</v>
      </c>
      <c r="G131" s="596" t="s">
        <v>372</v>
      </c>
      <c r="H131" s="599">
        <v>429932.3</v>
      </c>
      <c r="I131" s="602">
        <f>IF(X131 = 119, H131 + SUM(S131:S142) - SUM(T131:T142) - SUM(P131:P142) - V131,0)</f>
        <v>71135.919999999984</v>
      </c>
      <c r="J131" s="605">
        <v>2353020735</v>
      </c>
      <c r="K131" s="608" t="s">
        <v>177</v>
      </c>
      <c r="L131" s="590"/>
      <c r="M131" s="590" t="s">
        <v>362</v>
      </c>
      <c r="N131" s="209" t="s">
        <v>404</v>
      </c>
      <c r="O131" s="593" t="s">
        <v>178</v>
      </c>
      <c r="P131" s="202">
        <v>47651.85</v>
      </c>
      <c r="Q131" s="201" t="s">
        <v>423</v>
      </c>
      <c r="R131" s="200"/>
      <c r="S131" s="202"/>
      <c r="T131" s="202"/>
      <c r="U131" s="599"/>
      <c r="V131" s="652"/>
      <c r="W131" s="649"/>
      <c r="X131" s="85">
        <v>119</v>
      </c>
    </row>
    <row r="132" spans="1:24" x14ac:dyDescent="0.25">
      <c r="A132" s="647"/>
      <c r="B132" s="591"/>
      <c r="C132" s="591"/>
      <c r="D132" s="591"/>
      <c r="E132" s="591"/>
      <c r="F132" s="594"/>
      <c r="G132" s="597"/>
      <c r="H132" s="600"/>
      <c r="I132" s="603"/>
      <c r="J132" s="606"/>
      <c r="K132" s="609"/>
      <c r="L132" s="591"/>
      <c r="M132" s="591"/>
      <c r="N132" s="210" t="s">
        <v>404</v>
      </c>
      <c r="O132" s="594"/>
      <c r="P132" s="203">
        <v>3041.66</v>
      </c>
      <c r="Q132" s="204" t="s">
        <v>423</v>
      </c>
      <c r="R132" s="205"/>
      <c r="S132" s="203"/>
      <c r="T132" s="203"/>
      <c r="U132" s="600"/>
      <c r="V132" s="653"/>
      <c r="W132" s="650"/>
      <c r="X132" s="2">
        <v>119</v>
      </c>
    </row>
    <row r="133" spans="1:24" x14ac:dyDescent="0.25">
      <c r="A133" s="647"/>
      <c r="B133" s="591"/>
      <c r="C133" s="591"/>
      <c r="D133" s="591"/>
      <c r="E133" s="591"/>
      <c r="F133" s="594"/>
      <c r="G133" s="597"/>
      <c r="H133" s="600"/>
      <c r="I133" s="603"/>
      <c r="J133" s="606"/>
      <c r="K133" s="609"/>
      <c r="L133" s="591"/>
      <c r="M133" s="591"/>
      <c r="N133" s="210" t="s">
        <v>424</v>
      </c>
      <c r="O133" s="594"/>
      <c r="P133" s="203">
        <v>99267.520000000004</v>
      </c>
      <c r="Q133" s="204" t="s">
        <v>425</v>
      </c>
      <c r="R133" s="205"/>
      <c r="S133" s="203"/>
      <c r="T133" s="203"/>
      <c r="U133" s="600"/>
      <c r="V133" s="653"/>
      <c r="W133" s="650"/>
      <c r="X133" s="2">
        <v>119</v>
      </c>
    </row>
    <row r="134" spans="1:24" x14ac:dyDescent="0.25">
      <c r="A134" s="647"/>
      <c r="B134" s="591"/>
      <c r="C134" s="591"/>
      <c r="D134" s="591"/>
      <c r="E134" s="591"/>
      <c r="F134" s="594"/>
      <c r="G134" s="597"/>
      <c r="H134" s="600"/>
      <c r="I134" s="603"/>
      <c r="J134" s="606"/>
      <c r="K134" s="609"/>
      <c r="L134" s="591"/>
      <c r="M134" s="591"/>
      <c r="N134" s="210" t="s">
        <v>424</v>
      </c>
      <c r="O134" s="594"/>
      <c r="P134" s="203">
        <v>6336.32</v>
      </c>
      <c r="Q134" s="204" t="s">
        <v>425</v>
      </c>
      <c r="R134" s="205"/>
      <c r="S134" s="203"/>
      <c r="T134" s="203"/>
      <c r="U134" s="600"/>
      <c r="V134" s="653"/>
      <c r="W134" s="650"/>
      <c r="X134" s="2">
        <v>119</v>
      </c>
    </row>
    <row r="135" spans="1:24" x14ac:dyDescent="0.25">
      <c r="A135" s="647"/>
      <c r="B135" s="591"/>
      <c r="C135" s="591"/>
      <c r="D135" s="591"/>
      <c r="E135" s="591"/>
      <c r="F135" s="594"/>
      <c r="G135" s="597"/>
      <c r="H135" s="600"/>
      <c r="I135" s="603"/>
      <c r="J135" s="606"/>
      <c r="K135" s="609"/>
      <c r="L135" s="591"/>
      <c r="M135" s="591"/>
      <c r="N135" s="210" t="s">
        <v>412</v>
      </c>
      <c r="O135" s="594"/>
      <c r="P135" s="203">
        <v>55751.81</v>
      </c>
      <c r="Q135" s="204" t="s">
        <v>463</v>
      </c>
      <c r="R135" s="205"/>
      <c r="S135" s="203"/>
      <c r="T135" s="203"/>
      <c r="U135" s="600"/>
      <c r="V135" s="653"/>
      <c r="W135" s="650"/>
      <c r="X135" s="2">
        <v>119</v>
      </c>
    </row>
    <row r="136" spans="1:24" x14ac:dyDescent="0.25">
      <c r="A136" s="647"/>
      <c r="B136" s="591"/>
      <c r="C136" s="591"/>
      <c r="D136" s="591"/>
      <c r="E136" s="591"/>
      <c r="F136" s="594"/>
      <c r="G136" s="597"/>
      <c r="H136" s="600"/>
      <c r="I136" s="603"/>
      <c r="J136" s="606"/>
      <c r="K136" s="609"/>
      <c r="L136" s="591"/>
      <c r="M136" s="591"/>
      <c r="N136" s="210" t="s">
        <v>412</v>
      </c>
      <c r="O136" s="594"/>
      <c r="P136" s="203">
        <v>3558.68</v>
      </c>
      <c r="Q136" s="204" t="s">
        <v>463</v>
      </c>
      <c r="R136" s="205"/>
      <c r="S136" s="203"/>
      <c r="T136" s="203"/>
      <c r="U136" s="600"/>
      <c r="V136" s="653"/>
      <c r="W136" s="650"/>
      <c r="X136" s="2">
        <v>119</v>
      </c>
    </row>
    <row r="137" spans="1:24" x14ac:dyDescent="0.25">
      <c r="A137" s="647"/>
      <c r="B137" s="591"/>
      <c r="C137" s="591"/>
      <c r="D137" s="591"/>
      <c r="E137" s="591"/>
      <c r="F137" s="594"/>
      <c r="G137" s="597"/>
      <c r="H137" s="600"/>
      <c r="I137" s="603"/>
      <c r="J137" s="606"/>
      <c r="K137" s="609"/>
      <c r="L137" s="591"/>
      <c r="M137" s="591"/>
      <c r="N137" s="210" t="s">
        <v>455</v>
      </c>
      <c r="O137" s="594"/>
      <c r="P137" s="203">
        <v>18785</v>
      </c>
      <c r="Q137" s="204" t="s">
        <v>469</v>
      </c>
      <c r="R137" s="205"/>
      <c r="S137" s="203"/>
      <c r="T137" s="203"/>
      <c r="U137" s="600"/>
      <c r="V137" s="653"/>
      <c r="W137" s="650"/>
      <c r="X137" s="2">
        <v>119</v>
      </c>
    </row>
    <row r="138" spans="1:24" x14ac:dyDescent="0.25">
      <c r="A138" s="647"/>
      <c r="B138" s="591"/>
      <c r="C138" s="591"/>
      <c r="D138" s="591"/>
      <c r="E138" s="591"/>
      <c r="F138" s="594"/>
      <c r="G138" s="597"/>
      <c r="H138" s="600"/>
      <c r="I138" s="603"/>
      <c r="J138" s="606"/>
      <c r="K138" s="609"/>
      <c r="L138" s="591"/>
      <c r="M138" s="591"/>
      <c r="N138" s="210" t="s">
        <v>455</v>
      </c>
      <c r="O138" s="594"/>
      <c r="P138" s="203">
        <v>1199.06</v>
      </c>
      <c r="Q138" s="204" t="s">
        <v>469</v>
      </c>
      <c r="R138" s="205"/>
      <c r="S138" s="203"/>
      <c r="T138" s="203"/>
      <c r="U138" s="600"/>
      <c r="V138" s="653"/>
      <c r="W138" s="650"/>
      <c r="X138" s="2">
        <v>119</v>
      </c>
    </row>
    <row r="139" spans="1:24" x14ac:dyDescent="0.25">
      <c r="A139" s="647"/>
      <c r="B139" s="591"/>
      <c r="C139" s="591"/>
      <c r="D139" s="591"/>
      <c r="E139" s="591"/>
      <c r="F139" s="594"/>
      <c r="G139" s="597"/>
      <c r="H139" s="600"/>
      <c r="I139" s="603"/>
      <c r="J139" s="606"/>
      <c r="K139" s="609"/>
      <c r="L139" s="591"/>
      <c r="M139" s="591"/>
      <c r="N139" s="210" t="s">
        <v>463</v>
      </c>
      <c r="O139" s="594"/>
      <c r="P139" s="203">
        <v>65230.48</v>
      </c>
      <c r="Q139" s="204" t="s">
        <v>466</v>
      </c>
      <c r="R139" s="205"/>
      <c r="S139" s="203"/>
      <c r="T139" s="203"/>
      <c r="U139" s="600"/>
      <c r="V139" s="653"/>
      <c r="W139" s="650"/>
      <c r="X139" s="2">
        <v>119</v>
      </c>
    </row>
    <row r="140" spans="1:24" x14ac:dyDescent="0.25">
      <c r="A140" s="647"/>
      <c r="B140" s="591"/>
      <c r="C140" s="591"/>
      <c r="D140" s="591"/>
      <c r="E140" s="591"/>
      <c r="F140" s="594"/>
      <c r="G140" s="597"/>
      <c r="H140" s="600"/>
      <c r="I140" s="603"/>
      <c r="J140" s="606"/>
      <c r="K140" s="609"/>
      <c r="L140" s="591"/>
      <c r="M140" s="591"/>
      <c r="N140" s="210" t="s">
        <v>463</v>
      </c>
      <c r="O140" s="594"/>
      <c r="P140" s="203">
        <v>4163.71</v>
      </c>
      <c r="Q140" s="204" t="s">
        <v>466</v>
      </c>
      <c r="R140" s="205"/>
      <c r="S140" s="203"/>
      <c r="T140" s="203"/>
      <c r="U140" s="600"/>
      <c r="V140" s="653"/>
      <c r="W140" s="650"/>
      <c r="X140" s="2">
        <v>119</v>
      </c>
    </row>
    <row r="141" spans="1:24" x14ac:dyDescent="0.25">
      <c r="A141" s="647"/>
      <c r="B141" s="591"/>
      <c r="C141" s="591"/>
      <c r="D141" s="591"/>
      <c r="E141" s="591"/>
      <c r="F141" s="594"/>
      <c r="G141" s="597"/>
      <c r="H141" s="600"/>
      <c r="I141" s="603"/>
      <c r="J141" s="606"/>
      <c r="K141" s="609"/>
      <c r="L141" s="591"/>
      <c r="M141" s="591"/>
      <c r="N141" s="210" t="s">
        <v>465</v>
      </c>
      <c r="O141" s="594"/>
      <c r="P141" s="203">
        <v>50581.63</v>
      </c>
      <c r="Q141" s="204" t="s">
        <v>503</v>
      </c>
      <c r="R141" s="205"/>
      <c r="S141" s="203"/>
      <c r="T141" s="203"/>
      <c r="U141" s="600"/>
      <c r="V141" s="653"/>
      <c r="W141" s="650"/>
      <c r="X141" s="2">
        <v>119</v>
      </c>
    </row>
    <row r="142" spans="1:24" x14ac:dyDescent="0.25">
      <c r="A142" s="648"/>
      <c r="B142" s="592"/>
      <c r="C142" s="592"/>
      <c r="D142" s="592"/>
      <c r="E142" s="592"/>
      <c r="F142" s="595"/>
      <c r="G142" s="598"/>
      <c r="H142" s="601"/>
      <c r="I142" s="604"/>
      <c r="J142" s="607"/>
      <c r="K142" s="610"/>
      <c r="L142" s="592"/>
      <c r="M142" s="592"/>
      <c r="N142" s="211" t="s">
        <v>465</v>
      </c>
      <c r="O142" s="595"/>
      <c r="P142" s="206">
        <v>3228.66</v>
      </c>
      <c r="Q142" s="207" t="s">
        <v>503</v>
      </c>
      <c r="R142" s="208"/>
      <c r="S142" s="206"/>
      <c r="T142" s="206"/>
      <c r="U142" s="601"/>
      <c r="V142" s="654"/>
      <c r="W142" s="651"/>
      <c r="X142" s="2">
        <v>119</v>
      </c>
    </row>
    <row r="143" spans="1:24" s="85" customFormat="1" ht="54" customHeight="1" x14ac:dyDescent="0.25">
      <c r="A143" s="646">
        <v>18</v>
      </c>
      <c r="B143" s="590" t="s">
        <v>56</v>
      </c>
      <c r="C143" s="590"/>
      <c r="D143" s="590"/>
      <c r="E143" s="590" t="s">
        <v>181</v>
      </c>
      <c r="F143" s="593" t="s">
        <v>340</v>
      </c>
      <c r="G143" s="596" t="s">
        <v>373</v>
      </c>
      <c r="H143" s="599">
        <v>140700</v>
      </c>
      <c r="I143" s="602">
        <f>IF(X143 = 120, H143 + SUM(S143:S148) - SUM(T143:T148) - SUM(P143:P148) - V143,0)</f>
        <v>23280</v>
      </c>
      <c r="J143" s="605">
        <v>2353020735</v>
      </c>
      <c r="K143" s="608" t="s">
        <v>177</v>
      </c>
      <c r="L143" s="590"/>
      <c r="M143" s="590" t="s">
        <v>362</v>
      </c>
      <c r="N143" s="209" t="s">
        <v>404</v>
      </c>
      <c r="O143" s="593" t="s">
        <v>178</v>
      </c>
      <c r="P143" s="202">
        <v>16590</v>
      </c>
      <c r="Q143" s="201" t="s">
        <v>423</v>
      </c>
      <c r="R143" s="200"/>
      <c r="S143" s="202"/>
      <c r="T143" s="202"/>
      <c r="U143" s="599"/>
      <c r="V143" s="652"/>
      <c r="W143" s="649"/>
      <c r="X143" s="85">
        <v>120</v>
      </c>
    </row>
    <row r="144" spans="1:24" x14ac:dyDescent="0.25">
      <c r="A144" s="647"/>
      <c r="B144" s="591"/>
      <c r="C144" s="591"/>
      <c r="D144" s="591"/>
      <c r="E144" s="591"/>
      <c r="F144" s="594"/>
      <c r="G144" s="597"/>
      <c r="H144" s="600"/>
      <c r="I144" s="603"/>
      <c r="J144" s="606"/>
      <c r="K144" s="609"/>
      <c r="L144" s="591"/>
      <c r="M144" s="591"/>
      <c r="N144" s="210" t="s">
        <v>424</v>
      </c>
      <c r="O144" s="594"/>
      <c r="P144" s="203">
        <v>34560</v>
      </c>
      <c r="Q144" s="204" t="s">
        <v>425</v>
      </c>
      <c r="R144" s="205"/>
      <c r="S144" s="203"/>
      <c r="T144" s="203"/>
      <c r="U144" s="600"/>
      <c r="V144" s="653"/>
      <c r="W144" s="650"/>
      <c r="X144" s="2">
        <v>120</v>
      </c>
    </row>
    <row r="145" spans="1:24" x14ac:dyDescent="0.25">
      <c r="A145" s="647"/>
      <c r="B145" s="591"/>
      <c r="C145" s="591"/>
      <c r="D145" s="591"/>
      <c r="E145" s="591"/>
      <c r="F145" s="594"/>
      <c r="G145" s="597"/>
      <c r="H145" s="600"/>
      <c r="I145" s="603"/>
      <c r="J145" s="606"/>
      <c r="K145" s="609"/>
      <c r="L145" s="591"/>
      <c r="M145" s="591"/>
      <c r="N145" s="210" t="s">
        <v>412</v>
      </c>
      <c r="O145" s="594"/>
      <c r="P145" s="203">
        <v>19410</v>
      </c>
      <c r="Q145" s="204" t="s">
        <v>458</v>
      </c>
      <c r="R145" s="205"/>
      <c r="S145" s="203"/>
      <c r="T145" s="203"/>
      <c r="U145" s="600"/>
      <c r="V145" s="653"/>
      <c r="W145" s="650"/>
      <c r="X145" s="2">
        <v>120</v>
      </c>
    </row>
    <row r="146" spans="1:24" x14ac:dyDescent="0.25">
      <c r="A146" s="647"/>
      <c r="B146" s="591"/>
      <c r="C146" s="591"/>
      <c r="D146" s="591"/>
      <c r="E146" s="591"/>
      <c r="F146" s="594"/>
      <c r="G146" s="597"/>
      <c r="H146" s="600"/>
      <c r="I146" s="603"/>
      <c r="J146" s="606"/>
      <c r="K146" s="609"/>
      <c r="L146" s="591"/>
      <c r="M146" s="591"/>
      <c r="N146" s="210" t="s">
        <v>455</v>
      </c>
      <c r="O146" s="594"/>
      <c r="P146" s="203">
        <v>6540</v>
      </c>
      <c r="Q146" s="204" t="s">
        <v>469</v>
      </c>
      <c r="R146" s="205"/>
      <c r="S146" s="203"/>
      <c r="T146" s="203"/>
      <c r="U146" s="600"/>
      <c r="V146" s="653"/>
      <c r="W146" s="650"/>
      <c r="X146" s="2">
        <v>120</v>
      </c>
    </row>
    <row r="147" spans="1:24" x14ac:dyDescent="0.25">
      <c r="A147" s="647"/>
      <c r="B147" s="591"/>
      <c r="C147" s="591"/>
      <c r="D147" s="591"/>
      <c r="E147" s="591"/>
      <c r="F147" s="594"/>
      <c r="G147" s="597"/>
      <c r="H147" s="600"/>
      <c r="I147" s="603"/>
      <c r="J147" s="606"/>
      <c r="K147" s="609"/>
      <c r="L147" s="591"/>
      <c r="M147" s="591"/>
      <c r="N147" s="210" t="s">
        <v>463</v>
      </c>
      <c r="O147" s="594"/>
      <c r="P147" s="203">
        <v>22710</v>
      </c>
      <c r="Q147" s="204" t="s">
        <v>466</v>
      </c>
      <c r="R147" s="205"/>
      <c r="S147" s="203"/>
      <c r="T147" s="203"/>
      <c r="U147" s="600"/>
      <c r="V147" s="653"/>
      <c r="W147" s="650"/>
      <c r="X147" s="2">
        <v>120</v>
      </c>
    </row>
    <row r="148" spans="1:24" x14ac:dyDescent="0.25">
      <c r="A148" s="648"/>
      <c r="B148" s="592"/>
      <c r="C148" s="592"/>
      <c r="D148" s="592"/>
      <c r="E148" s="592"/>
      <c r="F148" s="595"/>
      <c r="G148" s="598"/>
      <c r="H148" s="601"/>
      <c r="I148" s="604"/>
      <c r="J148" s="607"/>
      <c r="K148" s="610"/>
      <c r="L148" s="592"/>
      <c r="M148" s="592"/>
      <c r="N148" s="211" t="s">
        <v>465</v>
      </c>
      <c r="O148" s="595"/>
      <c r="P148" s="206">
        <v>17610</v>
      </c>
      <c r="Q148" s="207" t="s">
        <v>503</v>
      </c>
      <c r="R148" s="208"/>
      <c r="S148" s="206"/>
      <c r="T148" s="206"/>
      <c r="U148" s="601"/>
      <c r="V148" s="654"/>
      <c r="W148" s="651"/>
      <c r="X148" s="2">
        <v>120</v>
      </c>
    </row>
    <row r="149" spans="1:24" s="85" customFormat="1" ht="54" customHeight="1" x14ac:dyDescent="0.25">
      <c r="A149" s="646">
        <v>19</v>
      </c>
      <c r="B149" s="590" t="s">
        <v>56</v>
      </c>
      <c r="C149" s="590"/>
      <c r="D149" s="590"/>
      <c r="E149" s="590" t="s">
        <v>182</v>
      </c>
      <c r="F149" s="593" t="s">
        <v>340</v>
      </c>
      <c r="G149" s="596" t="s">
        <v>363</v>
      </c>
      <c r="H149" s="599">
        <v>31486</v>
      </c>
      <c r="I149" s="602">
        <f>IF(X149 = 121, H149 + SUM(S149:S152) - SUM(T149:T152) - SUM(P149:P152) - V149,0)</f>
        <v>18838.599999999999</v>
      </c>
      <c r="J149" s="605">
        <v>2353020735</v>
      </c>
      <c r="K149" s="608" t="s">
        <v>177</v>
      </c>
      <c r="L149" s="590"/>
      <c r="M149" s="590" t="s">
        <v>362</v>
      </c>
      <c r="N149" s="209" t="s">
        <v>412</v>
      </c>
      <c r="O149" s="593" t="s">
        <v>178</v>
      </c>
      <c r="P149" s="202">
        <v>5670</v>
      </c>
      <c r="Q149" s="201" t="s">
        <v>458</v>
      </c>
      <c r="R149" s="200"/>
      <c r="S149" s="202"/>
      <c r="T149" s="202"/>
      <c r="U149" s="599"/>
      <c r="V149" s="652"/>
      <c r="W149" s="649"/>
      <c r="X149" s="85">
        <v>121</v>
      </c>
    </row>
    <row r="150" spans="1:24" x14ac:dyDescent="0.25">
      <c r="A150" s="647"/>
      <c r="B150" s="591"/>
      <c r="C150" s="591"/>
      <c r="D150" s="591"/>
      <c r="E150" s="591"/>
      <c r="F150" s="594"/>
      <c r="G150" s="597"/>
      <c r="H150" s="600"/>
      <c r="I150" s="603"/>
      <c r="J150" s="606"/>
      <c r="K150" s="609"/>
      <c r="L150" s="591"/>
      <c r="M150" s="591"/>
      <c r="N150" s="210" t="s">
        <v>412</v>
      </c>
      <c r="O150" s="594"/>
      <c r="P150" s="203">
        <v>2028</v>
      </c>
      <c r="Q150" s="204" t="s">
        <v>458</v>
      </c>
      <c r="R150" s="205"/>
      <c r="S150" s="203"/>
      <c r="T150" s="203"/>
      <c r="U150" s="600"/>
      <c r="V150" s="653"/>
      <c r="W150" s="650"/>
      <c r="X150" s="2">
        <v>121</v>
      </c>
    </row>
    <row r="151" spans="1:24" x14ac:dyDescent="0.25">
      <c r="A151" s="647"/>
      <c r="B151" s="591"/>
      <c r="C151" s="591"/>
      <c r="D151" s="591"/>
      <c r="E151" s="591"/>
      <c r="F151" s="594"/>
      <c r="G151" s="597"/>
      <c r="H151" s="600"/>
      <c r="I151" s="603"/>
      <c r="J151" s="606"/>
      <c r="K151" s="609"/>
      <c r="L151" s="591"/>
      <c r="M151" s="591"/>
      <c r="N151" s="210" t="s">
        <v>465</v>
      </c>
      <c r="O151" s="594"/>
      <c r="P151" s="203">
        <v>3483</v>
      </c>
      <c r="Q151" s="204" t="s">
        <v>503</v>
      </c>
      <c r="R151" s="205"/>
      <c r="S151" s="203"/>
      <c r="T151" s="203"/>
      <c r="U151" s="600"/>
      <c r="V151" s="653"/>
      <c r="W151" s="650"/>
      <c r="X151" s="2">
        <v>121</v>
      </c>
    </row>
    <row r="152" spans="1:24" x14ac:dyDescent="0.25">
      <c r="A152" s="648"/>
      <c r="B152" s="592"/>
      <c r="C152" s="592"/>
      <c r="D152" s="592"/>
      <c r="E152" s="592"/>
      <c r="F152" s="595"/>
      <c r="G152" s="598"/>
      <c r="H152" s="601"/>
      <c r="I152" s="604"/>
      <c r="J152" s="607"/>
      <c r="K152" s="610"/>
      <c r="L152" s="592"/>
      <c r="M152" s="592"/>
      <c r="N152" s="211" t="s">
        <v>465</v>
      </c>
      <c r="O152" s="595"/>
      <c r="P152" s="206">
        <v>1466.4</v>
      </c>
      <c r="Q152" s="207" t="s">
        <v>503</v>
      </c>
      <c r="R152" s="208"/>
      <c r="S152" s="206"/>
      <c r="T152" s="206"/>
      <c r="U152" s="601"/>
      <c r="V152" s="654"/>
      <c r="W152" s="651"/>
      <c r="X152" s="2">
        <v>121</v>
      </c>
    </row>
    <row r="153" spans="1:24" s="85" customFormat="1" ht="54" customHeight="1" x14ac:dyDescent="0.25">
      <c r="A153" s="646">
        <v>20</v>
      </c>
      <c r="B153" s="590" t="s">
        <v>56</v>
      </c>
      <c r="C153" s="590"/>
      <c r="D153" s="590"/>
      <c r="E153" s="590" t="s">
        <v>179</v>
      </c>
      <c r="F153" s="593" t="s">
        <v>340</v>
      </c>
      <c r="G153" s="596" t="s">
        <v>227</v>
      </c>
      <c r="H153" s="599">
        <v>82383</v>
      </c>
      <c r="I153" s="602">
        <f>IF(X153 = 122, H153 + SUM(S153:S164) - SUM(T153:T164) - SUM(P153:P164) - V153,0)</f>
        <v>33544.200000000004</v>
      </c>
      <c r="J153" s="605">
        <v>2353020735</v>
      </c>
      <c r="K153" s="608" t="s">
        <v>177</v>
      </c>
      <c r="L153" s="590"/>
      <c r="M153" s="590" t="s">
        <v>362</v>
      </c>
      <c r="N153" s="209" t="s">
        <v>412</v>
      </c>
      <c r="O153" s="593" t="s">
        <v>178</v>
      </c>
      <c r="P153" s="202">
        <v>6579.84</v>
      </c>
      <c r="Q153" s="201" t="s">
        <v>458</v>
      </c>
      <c r="R153" s="200"/>
      <c r="S153" s="202"/>
      <c r="T153" s="202"/>
      <c r="U153" s="599"/>
      <c r="V153" s="652"/>
      <c r="W153" s="649"/>
      <c r="X153" s="85">
        <v>122</v>
      </c>
    </row>
    <row r="154" spans="1:24" x14ac:dyDescent="0.25">
      <c r="A154" s="647"/>
      <c r="B154" s="591"/>
      <c r="C154" s="591"/>
      <c r="D154" s="591"/>
      <c r="E154" s="591"/>
      <c r="F154" s="594"/>
      <c r="G154" s="597"/>
      <c r="H154" s="600"/>
      <c r="I154" s="603"/>
      <c r="J154" s="606"/>
      <c r="K154" s="609"/>
      <c r="L154" s="591"/>
      <c r="M154" s="591"/>
      <c r="N154" s="210" t="s">
        <v>412</v>
      </c>
      <c r="O154" s="594"/>
      <c r="P154" s="203">
        <v>5383.56</v>
      </c>
      <c r="Q154" s="204" t="s">
        <v>458</v>
      </c>
      <c r="R154" s="205"/>
      <c r="S154" s="203"/>
      <c r="T154" s="203"/>
      <c r="U154" s="600"/>
      <c r="V154" s="653"/>
      <c r="W154" s="650"/>
      <c r="X154" s="2">
        <v>122</v>
      </c>
    </row>
    <row r="155" spans="1:24" x14ac:dyDescent="0.25">
      <c r="A155" s="647"/>
      <c r="B155" s="591"/>
      <c r="C155" s="591"/>
      <c r="D155" s="591"/>
      <c r="E155" s="591"/>
      <c r="F155" s="594"/>
      <c r="G155" s="597"/>
      <c r="H155" s="600"/>
      <c r="I155" s="603"/>
      <c r="J155" s="606"/>
      <c r="K155" s="609"/>
      <c r="L155" s="591"/>
      <c r="M155" s="591"/>
      <c r="N155" s="210" t="s">
        <v>412</v>
      </c>
      <c r="O155" s="594"/>
      <c r="P155" s="203">
        <v>3810</v>
      </c>
      <c r="Q155" s="204" t="s">
        <v>458</v>
      </c>
      <c r="R155" s="205"/>
      <c r="S155" s="203"/>
      <c r="T155" s="203"/>
      <c r="U155" s="600"/>
      <c r="V155" s="653"/>
      <c r="W155" s="650"/>
      <c r="X155" s="2">
        <v>122</v>
      </c>
    </row>
    <row r="156" spans="1:24" x14ac:dyDescent="0.25">
      <c r="A156" s="647"/>
      <c r="B156" s="591"/>
      <c r="C156" s="591"/>
      <c r="D156" s="591"/>
      <c r="E156" s="591"/>
      <c r="F156" s="594"/>
      <c r="G156" s="597"/>
      <c r="H156" s="600"/>
      <c r="I156" s="603"/>
      <c r="J156" s="606"/>
      <c r="K156" s="609"/>
      <c r="L156" s="591"/>
      <c r="M156" s="591"/>
      <c r="N156" s="210" t="s">
        <v>412</v>
      </c>
      <c r="O156" s="594"/>
      <c r="P156" s="203">
        <v>3480</v>
      </c>
      <c r="Q156" s="204" t="s">
        <v>458</v>
      </c>
      <c r="R156" s="205"/>
      <c r="S156" s="203"/>
      <c r="T156" s="203"/>
      <c r="U156" s="600"/>
      <c r="V156" s="653"/>
      <c r="W156" s="650"/>
      <c r="X156" s="2">
        <v>122</v>
      </c>
    </row>
    <row r="157" spans="1:24" x14ac:dyDescent="0.25">
      <c r="A157" s="647"/>
      <c r="B157" s="591"/>
      <c r="C157" s="591"/>
      <c r="D157" s="591"/>
      <c r="E157" s="591"/>
      <c r="F157" s="594"/>
      <c r="G157" s="597"/>
      <c r="H157" s="600"/>
      <c r="I157" s="603"/>
      <c r="J157" s="606"/>
      <c r="K157" s="609"/>
      <c r="L157" s="591"/>
      <c r="M157" s="591"/>
      <c r="N157" s="210" t="s">
        <v>412</v>
      </c>
      <c r="O157" s="594"/>
      <c r="P157" s="203">
        <v>5978.03</v>
      </c>
      <c r="Q157" s="204" t="s">
        <v>458</v>
      </c>
      <c r="R157" s="205"/>
      <c r="S157" s="203"/>
      <c r="T157" s="203"/>
      <c r="U157" s="600"/>
      <c r="V157" s="653"/>
      <c r="W157" s="650"/>
      <c r="X157" s="2">
        <v>122</v>
      </c>
    </row>
    <row r="158" spans="1:24" x14ac:dyDescent="0.25">
      <c r="A158" s="647"/>
      <c r="B158" s="591"/>
      <c r="C158" s="591"/>
      <c r="D158" s="591"/>
      <c r="E158" s="591"/>
      <c r="F158" s="594"/>
      <c r="G158" s="597"/>
      <c r="H158" s="600"/>
      <c r="I158" s="603"/>
      <c r="J158" s="606"/>
      <c r="K158" s="609"/>
      <c r="L158" s="591"/>
      <c r="M158" s="591"/>
      <c r="N158" s="210" t="s">
        <v>412</v>
      </c>
      <c r="O158" s="594"/>
      <c r="P158" s="203">
        <v>4891.17</v>
      </c>
      <c r="Q158" s="204" t="s">
        <v>458</v>
      </c>
      <c r="R158" s="205"/>
      <c r="S158" s="203"/>
      <c r="T158" s="203"/>
      <c r="U158" s="600"/>
      <c r="V158" s="653"/>
      <c r="W158" s="650"/>
      <c r="X158" s="2">
        <v>122</v>
      </c>
    </row>
    <row r="159" spans="1:24" x14ac:dyDescent="0.25">
      <c r="A159" s="647"/>
      <c r="B159" s="591"/>
      <c r="C159" s="591"/>
      <c r="D159" s="591"/>
      <c r="E159" s="591"/>
      <c r="F159" s="594"/>
      <c r="G159" s="597"/>
      <c r="H159" s="600"/>
      <c r="I159" s="603"/>
      <c r="J159" s="606"/>
      <c r="K159" s="609"/>
      <c r="L159" s="591"/>
      <c r="M159" s="591"/>
      <c r="N159" s="210" t="s">
        <v>465</v>
      </c>
      <c r="O159" s="594"/>
      <c r="P159" s="203">
        <v>2250</v>
      </c>
      <c r="Q159" s="204" t="s">
        <v>503</v>
      </c>
      <c r="R159" s="205"/>
      <c r="S159" s="203"/>
      <c r="T159" s="203"/>
      <c r="U159" s="600"/>
      <c r="V159" s="653"/>
      <c r="W159" s="650"/>
      <c r="X159" s="2">
        <v>122</v>
      </c>
    </row>
    <row r="160" spans="1:24" x14ac:dyDescent="0.25">
      <c r="A160" s="647"/>
      <c r="B160" s="591"/>
      <c r="C160" s="591"/>
      <c r="D160" s="591"/>
      <c r="E160" s="591"/>
      <c r="F160" s="594"/>
      <c r="G160" s="597"/>
      <c r="H160" s="600"/>
      <c r="I160" s="603"/>
      <c r="J160" s="606"/>
      <c r="K160" s="609"/>
      <c r="L160" s="591"/>
      <c r="M160" s="591"/>
      <c r="N160" s="210" t="s">
        <v>465</v>
      </c>
      <c r="O160" s="594"/>
      <c r="P160" s="203">
        <v>2280</v>
      </c>
      <c r="Q160" s="204" t="s">
        <v>503</v>
      </c>
      <c r="R160" s="205"/>
      <c r="S160" s="203"/>
      <c r="T160" s="203"/>
      <c r="U160" s="600"/>
      <c r="V160" s="653"/>
      <c r="W160" s="650"/>
      <c r="X160" s="2">
        <v>122</v>
      </c>
    </row>
    <row r="161" spans="1:24" x14ac:dyDescent="0.25">
      <c r="A161" s="647"/>
      <c r="B161" s="591"/>
      <c r="C161" s="591"/>
      <c r="D161" s="591"/>
      <c r="E161" s="591"/>
      <c r="F161" s="594"/>
      <c r="G161" s="597"/>
      <c r="H161" s="600"/>
      <c r="I161" s="603"/>
      <c r="J161" s="606"/>
      <c r="K161" s="609"/>
      <c r="L161" s="591"/>
      <c r="M161" s="591"/>
      <c r="N161" s="210" t="s">
        <v>465</v>
      </c>
      <c r="O161" s="594"/>
      <c r="P161" s="203">
        <v>3885.73</v>
      </c>
      <c r="Q161" s="204" t="s">
        <v>503</v>
      </c>
      <c r="R161" s="205"/>
      <c r="S161" s="203"/>
      <c r="T161" s="203"/>
      <c r="U161" s="600"/>
      <c r="V161" s="653"/>
      <c r="W161" s="650"/>
      <c r="X161" s="2">
        <v>122</v>
      </c>
    </row>
    <row r="162" spans="1:24" x14ac:dyDescent="0.25">
      <c r="A162" s="647"/>
      <c r="B162" s="591"/>
      <c r="C162" s="591"/>
      <c r="D162" s="591"/>
      <c r="E162" s="591"/>
      <c r="F162" s="594"/>
      <c r="G162" s="597"/>
      <c r="H162" s="600"/>
      <c r="I162" s="603"/>
      <c r="J162" s="606"/>
      <c r="K162" s="609"/>
      <c r="L162" s="591"/>
      <c r="M162" s="591"/>
      <c r="N162" s="210" t="s">
        <v>465</v>
      </c>
      <c r="O162" s="594"/>
      <c r="P162" s="203">
        <v>3179.27</v>
      </c>
      <c r="Q162" s="204" t="s">
        <v>503</v>
      </c>
      <c r="R162" s="205"/>
      <c r="S162" s="203"/>
      <c r="T162" s="203"/>
      <c r="U162" s="600"/>
      <c r="V162" s="653"/>
      <c r="W162" s="650"/>
      <c r="X162" s="2">
        <v>122</v>
      </c>
    </row>
    <row r="163" spans="1:24" x14ac:dyDescent="0.25">
      <c r="A163" s="647"/>
      <c r="B163" s="591"/>
      <c r="C163" s="591"/>
      <c r="D163" s="591"/>
      <c r="E163" s="591"/>
      <c r="F163" s="594"/>
      <c r="G163" s="597"/>
      <c r="H163" s="600"/>
      <c r="I163" s="603"/>
      <c r="J163" s="606"/>
      <c r="K163" s="609"/>
      <c r="L163" s="591"/>
      <c r="M163" s="591"/>
      <c r="N163" s="210" t="s">
        <v>465</v>
      </c>
      <c r="O163" s="594"/>
      <c r="P163" s="203">
        <v>3916.64</v>
      </c>
      <c r="Q163" s="204" t="s">
        <v>503</v>
      </c>
      <c r="R163" s="205"/>
      <c r="S163" s="203"/>
      <c r="T163" s="203"/>
      <c r="U163" s="600"/>
      <c r="V163" s="653"/>
      <c r="W163" s="650"/>
      <c r="X163" s="2">
        <v>122</v>
      </c>
    </row>
    <row r="164" spans="1:24" x14ac:dyDescent="0.25">
      <c r="A164" s="648"/>
      <c r="B164" s="592"/>
      <c r="C164" s="592"/>
      <c r="D164" s="592"/>
      <c r="E164" s="592"/>
      <c r="F164" s="595"/>
      <c r="G164" s="598"/>
      <c r="H164" s="601"/>
      <c r="I164" s="604"/>
      <c r="J164" s="607"/>
      <c r="K164" s="610"/>
      <c r="L164" s="592"/>
      <c r="M164" s="592"/>
      <c r="N164" s="211" t="s">
        <v>465</v>
      </c>
      <c r="O164" s="595"/>
      <c r="P164" s="206">
        <v>3204.56</v>
      </c>
      <c r="Q164" s="207" t="s">
        <v>503</v>
      </c>
      <c r="R164" s="208"/>
      <c r="S164" s="206"/>
      <c r="T164" s="206"/>
      <c r="U164" s="601"/>
      <c r="V164" s="654"/>
      <c r="W164" s="651"/>
      <c r="X164" s="2">
        <v>122</v>
      </c>
    </row>
    <row r="165" spans="1:24" s="85" customFormat="1" ht="54" customHeight="1" x14ac:dyDescent="0.25">
      <c r="A165" s="646">
        <v>21</v>
      </c>
      <c r="B165" s="590" t="s">
        <v>56</v>
      </c>
      <c r="C165" s="590"/>
      <c r="D165" s="590"/>
      <c r="E165" s="590" t="s">
        <v>361</v>
      </c>
      <c r="F165" s="593" t="s">
        <v>340</v>
      </c>
      <c r="G165" s="596" t="s">
        <v>228</v>
      </c>
      <c r="H165" s="599">
        <v>26012</v>
      </c>
      <c r="I165" s="602">
        <f>IF(X165 = 123, H165 + SUM(S165:S172) - SUM(T165:T172) - SUM(P165:P172) - V165,0)</f>
        <v>6821.0000000000036</v>
      </c>
      <c r="J165" s="605">
        <v>2353020735</v>
      </c>
      <c r="K165" s="608" t="s">
        <v>177</v>
      </c>
      <c r="L165" s="590"/>
      <c r="M165" s="590" t="s">
        <v>362</v>
      </c>
      <c r="N165" s="209" t="s">
        <v>412</v>
      </c>
      <c r="O165" s="593" t="s">
        <v>178</v>
      </c>
      <c r="P165" s="202">
        <v>1978.2</v>
      </c>
      <c r="Q165" s="201" t="s">
        <v>458</v>
      </c>
      <c r="R165" s="200"/>
      <c r="S165" s="202"/>
      <c r="T165" s="202"/>
      <c r="U165" s="599"/>
      <c r="V165" s="652"/>
      <c r="W165" s="649"/>
      <c r="X165" s="85">
        <v>123</v>
      </c>
    </row>
    <row r="166" spans="1:24" x14ac:dyDescent="0.25">
      <c r="A166" s="647"/>
      <c r="B166" s="591"/>
      <c r="C166" s="591"/>
      <c r="D166" s="591"/>
      <c r="E166" s="591"/>
      <c r="F166" s="594"/>
      <c r="G166" s="597"/>
      <c r="H166" s="600"/>
      <c r="I166" s="603"/>
      <c r="J166" s="606"/>
      <c r="K166" s="609"/>
      <c r="L166" s="591"/>
      <c r="M166" s="591"/>
      <c r="N166" s="210" t="s">
        <v>412</v>
      </c>
      <c r="O166" s="594"/>
      <c r="P166" s="203">
        <v>630</v>
      </c>
      <c r="Q166" s="204" t="s">
        <v>458</v>
      </c>
      <c r="R166" s="205"/>
      <c r="S166" s="203"/>
      <c r="T166" s="203"/>
      <c r="U166" s="600"/>
      <c r="V166" s="653"/>
      <c r="W166" s="650"/>
      <c r="X166" s="2">
        <v>123</v>
      </c>
    </row>
    <row r="167" spans="1:24" x14ac:dyDescent="0.25">
      <c r="A167" s="647"/>
      <c r="B167" s="591"/>
      <c r="C167" s="591"/>
      <c r="D167" s="591"/>
      <c r="E167" s="591"/>
      <c r="F167" s="594"/>
      <c r="G167" s="597"/>
      <c r="H167" s="600"/>
      <c r="I167" s="603"/>
      <c r="J167" s="606"/>
      <c r="K167" s="609"/>
      <c r="L167" s="591"/>
      <c r="M167" s="591"/>
      <c r="N167" s="210" t="s">
        <v>412</v>
      </c>
      <c r="O167" s="594"/>
      <c r="P167" s="203">
        <v>2160</v>
      </c>
      <c r="Q167" s="204" t="s">
        <v>458</v>
      </c>
      <c r="R167" s="205"/>
      <c r="S167" s="203"/>
      <c r="T167" s="203"/>
      <c r="U167" s="600"/>
      <c r="V167" s="653"/>
      <c r="W167" s="650"/>
      <c r="X167" s="2">
        <v>123</v>
      </c>
    </row>
    <row r="168" spans="1:24" x14ac:dyDescent="0.25">
      <c r="A168" s="647"/>
      <c r="B168" s="591"/>
      <c r="C168" s="591"/>
      <c r="D168" s="591"/>
      <c r="E168" s="591"/>
      <c r="F168" s="594"/>
      <c r="G168" s="597"/>
      <c r="H168" s="600"/>
      <c r="I168" s="603"/>
      <c r="J168" s="606"/>
      <c r="K168" s="609"/>
      <c r="L168" s="591"/>
      <c r="M168" s="591"/>
      <c r="N168" s="210" t="s">
        <v>412</v>
      </c>
      <c r="O168" s="594"/>
      <c r="P168" s="203">
        <v>6746.4</v>
      </c>
      <c r="Q168" s="204" t="s">
        <v>458</v>
      </c>
      <c r="R168" s="205"/>
      <c r="S168" s="203"/>
      <c r="T168" s="203"/>
      <c r="U168" s="600"/>
      <c r="V168" s="653"/>
      <c r="W168" s="650"/>
      <c r="X168" s="2">
        <v>123</v>
      </c>
    </row>
    <row r="169" spans="1:24" x14ac:dyDescent="0.25">
      <c r="A169" s="647"/>
      <c r="B169" s="591"/>
      <c r="C169" s="591"/>
      <c r="D169" s="591"/>
      <c r="E169" s="591"/>
      <c r="F169" s="594"/>
      <c r="G169" s="597"/>
      <c r="H169" s="600"/>
      <c r="I169" s="603"/>
      <c r="J169" s="606"/>
      <c r="K169" s="609"/>
      <c r="L169" s="591"/>
      <c r="M169" s="591"/>
      <c r="N169" s="210" t="s">
        <v>465</v>
      </c>
      <c r="O169" s="594"/>
      <c r="P169" s="203">
        <v>420</v>
      </c>
      <c r="Q169" s="204" t="s">
        <v>503</v>
      </c>
      <c r="R169" s="205"/>
      <c r="S169" s="203"/>
      <c r="T169" s="203"/>
      <c r="U169" s="600"/>
      <c r="V169" s="653"/>
      <c r="W169" s="650"/>
      <c r="X169" s="2">
        <v>123</v>
      </c>
    </row>
    <row r="170" spans="1:24" x14ac:dyDescent="0.25">
      <c r="A170" s="647"/>
      <c r="B170" s="591"/>
      <c r="C170" s="591"/>
      <c r="D170" s="591"/>
      <c r="E170" s="591"/>
      <c r="F170" s="594"/>
      <c r="G170" s="597"/>
      <c r="H170" s="600"/>
      <c r="I170" s="603"/>
      <c r="J170" s="606"/>
      <c r="K170" s="609"/>
      <c r="L170" s="591"/>
      <c r="M170" s="591"/>
      <c r="N170" s="210" t="s">
        <v>465</v>
      </c>
      <c r="O170" s="594"/>
      <c r="P170" s="203">
        <v>1440</v>
      </c>
      <c r="Q170" s="204" t="s">
        <v>503</v>
      </c>
      <c r="R170" s="205"/>
      <c r="S170" s="203"/>
      <c r="T170" s="203"/>
      <c r="U170" s="600"/>
      <c r="V170" s="653"/>
      <c r="W170" s="650"/>
      <c r="X170" s="2">
        <v>123</v>
      </c>
    </row>
    <row r="171" spans="1:24" x14ac:dyDescent="0.25">
      <c r="A171" s="647"/>
      <c r="B171" s="591"/>
      <c r="C171" s="591"/>
      <c r="D171" s="591"/>
      <c r="E171" s="591"/>
      <c r="F171" s="594"/>
      <c r="G171" s="597"/>
      <c r="H171" s="600"/>
      <c r="I171" s="603"/>
      <c r="J171" s="606"/>
      <c r="K171" s="609"/>
      <c r="L171" s="591"/>
      <c r="M171" s="591"/>
      <c r="N171" s="210" t="s">
        <v>465</v>
      </c>
      <c r="O171" s="594"/>
      <c r="P171" s="203">
        <v>4497.6000000000004</v>
      </c>
      <c r="Q171" s="204" t="s">
        <v>503</v>
      </c>
      <c r="R171" s="205"/>
      <c r="S171" s="203"/>
      <c r="T171" s="203"/>
      <c r="U171" s="600"/>
      <c r="V171" s="653"/>
      <c r="W171" s="650"/>
      <c r="X171" s="2">
        <v>123</v>
      </c>
    </row>
    <row r="172" spans="1:24" x14ac:dyDescent="0.25">
      <c r="A172" s="648"/>
      <c r="B172" s="592"/>
      <c r="C172" s="592"/>
      <c r="D172" s="592"/>
      <c r="E172" s="592"/>
      <c r="F172" s="595"/>
      <c r="G172" s="598"/>
      <c r="H172" s="601"/>
      <c r="I172" s="604"/>
      <c r="J172" s="607"/>
      <c r="K172" s="610"/>
      <c r="L172" s="592"/>
      <c r="M172" s="592"/>
      <c r="N172" s="211" t="s">
        <v>465</v>
      </c>
      <c r="O172" s="595"/>
      <c r="P172" s="206">
        <v>1318.8</v>
      </c>
      <c r="Q172" s="207" t="s">
        <v>503</v>
      </c>
      <c r="R172" s="208"/>
      <c r="S172" s="206"/>
      <c r="T172" s="206"/>
      <c r="U172" s="601"/>
      <c r="V172" s="654"/>
      <c r="W172" s="651"/>
      <c r="X172" s="2">
        <v>123</v>
      </c>
    </row>
    <row r="173" spans="1:24" s="85" customFormat="1" ht="61.9" customHeight="1" x14ac:dyDescent="0.25">
      <c r="A173" s="646">
        <v>22</v>
      </c>
      <c r="B173" s="590" t="s">
        <v>56</v>
      </c>
      <c r="C173" s="590"/>
      <c r="D173" s="590"/>
      <c r="E173" s="590" t="s">
        <v>229</v>
      </c>
      <c r="F173" s="593" t="s">
        <v>340</v>
      </c>
      <c r="G173" s="596" t="s">
        <v>230</v>
      </c>
      <c r="H173" s="599">
        <v>34440</v>
      </c>
      <c r="I173" s="602">
        <f>IF(X173 = 124, H173 + SUM(S173:S176) - SUM(T173:T176) - SUM(P173:P176) - V173,0)</f>
        <v>11931</v>
      </c>
      <c r="J173" s="605">
        <v>2353020735</v>
      </c>
      <c r="K173" s="608" t="s">
        <v>177</v>
      </c>
      <c r="L173" s="590"/>
      <c r="M173" s="590" t="s">
        <v>362</v>
      </c>
      <c r="N173" s="209" t="s">
        <v>412</v>
      </c>
      <c r="O173" s="593" t="s">
        <v>178</v>
      </c>
      <c r="P173" s="202">
        <v>3300</v>
      </c>
      <c r="Q173" s="201" t="s">
        <v>458</v>
      </c>
      <c r="R173" s="200"/>
      <c r="S173" s="202"/>
      <c r="T173" s="202"/>
      <c r="U173" s="599"/>
      <c r="V173" s="652"/>
      <c r="W173" s="649"/>
      <c r="X173" s="85">
        <v>124</v>
      </c>
    </row>
    <row r="174" spans="1:24" x14ac:dyDescent="0.25">
      <c r="A174" s="647"/>
      <c r="B174" s="591"/>
      <c r="C174" s="591"/>
      <c r="D174" s="591"/>
      <c r="E174" s="591"/>
      <c r="F174" s="594"/>
      <c r="G174" s="597"/>
      <c r="H174" s="600"/>
      <c r="I174" s="603"/>
      <c r="J174" s="606"/>
      <c r="K174" s="609"/>
      <c r="L174" s="591"/>
      <c r="M174" s="591"/>
      <c r="N174" s="210" t="s">
        <v>412</v>
      </c>
      <c r="O174" s="594"/>
      <c r="P174" s="203">
        <v>10230</v>
      </c>
      <c r="Q174" s="204" t="s">
        <v>458</v>
      </c>
      <c r="R174" s="205"/>
      <c r="S174" s="203"/>
      <c r="T174" s="203"/>
      <c r="U174" s="600"/>
      <c r="V174" s="653"/>
      <c r="W174" s="650"/>
      <c r="X174" s="2">
        <v>124</v>
      </c>
    </row>
    <row r="175" spans="1:24" x14ac:dyDescent="0.25">
      <c r="A175" s="647"/>
      <c r="B175" s="591"/>
      <c r="C175" s="591"/>
      <c r="D175" s="591"/>
      <c r="E175" s="591"/>
      <c r="F175" s="594"/>
      <c r="G175" s="597"/>
      <c r="H175" s="600"/>
      <c r="I175" s="603"/>
      <c r="J175" s="606"/>
      <c r="K175" s="609"/>
      <c r="L175" s="591"/>
      <c r="M175" s="591"/>
      <c r="N175" s="210" t="s">
        <v>465</v>
      </c>
      <c r="O175" s="594"/>
      <c r="P175" s="203">
        <v>6789</v>
      </c>
      <c r="Q175" s="204" t="s">
        <v>503</v>
      </c>
      <c r="R175" s="205"/>
      <c r="S175" s="203"/>
      <c r="T175" s="203"/>
      <c r="U175" s="600"/>
      <c r="V175" s="653"/>
      <c r="W175" s="650"/>
      <c r="X175" s="2">
        <v>124</v>
      </c>
    </row>
    <row r="176" spans="1:24" x14ac:dyDescent="0.25">
      <c r="A176" s="648"/>
      <c r="B176" s="592"/>
      <c r="C176" s="592"/>
      <c r="D176" s="592"/>
      <c r="E176" s="592"/>
      <c r="F176" s="595"/>
      <c r="G176" s="598"/>
      <c r="H176" s="601"/>
      <c r="I176" s="604"/>
      <c r="J176" s="607"/>
      <c r="K176" s="610"/>
      <c r="L176" s="592"/>
      <c r="M176" s="592"/>
      <c r="N176" s="211" t="s">
        <v>465</v>
      </c>
      <c r="O176" s="595"/>
      <c r="P176" s="206">
        <v>2190</v>
      </c>
      <c r="Q176" s="207" t="s">
        <v>503</v>
      </c>
      <c r="R176" s="208"/>
      <c r="S176" s="206"/>
      <c r="T176" s="206"/>
      <c r="U176" s="601"/>
      <c r="V176" s="654"/>
      <c r="W176" s="651"/>
      <c r="X176" s="2">
        <v>124</v>
      </c>
    </row>
    <row r="177" spans="1:24" s="85" customFormat="1" ht="112.5" x14ac:dyDescent="0.25">
      <c r="A177" s="140">
        <v>23</v>
      </c>
      <c r="B177" s="141" t="s">
        <v>56</v>
      </c>
      <c r="C177" s="141"/>
      <c r="D177" s="141"/>
      <c r="E177" s="141" t="s">
        <v>173</v>
      </c>
      <c r="F177" s="146" t="s">
        <v>355</v>
      </c>
      <c r="G177" s="142" t="s">
        <v>356</v>
      </c>
      <c r="H177" s="143">
        <v>10000</v>
      </c>
      <c r="I177" s="144">
        <f>IF(X177 = 125, H177 + SUM(S177:S177) - SUM(T177:T177) - SUM(P177:P177) - V177,0)</f>
        <v>0</v>
      </c>
      <c r="J177" s="147">
        <v>235302352147</v>
      </c>
      <c r="K177" s="148" t="s">
        <v>357</v>
      </c>
      <c r="L177" s="141"/>
      <c r="M177" s="141" t="s">
        <v>358</v>
      </c>
      <c r="N177" s="146" t="s">
        <v>404</v>
      </c>
      <c r="O177" s="146" t="s">
        <v>359</v>
      </c>
      <c r="P177" s="143">
        <v>10000</v>
      </c>
      <c r="Q177" s="142" t="s">
        <v>405</v>
      </c>
      <c r="R177" s="141"/>
      <c r="S177" s="143"/>
      <c r="T177" s="143"/>
      <c r="U177" s="143"/>
      <c r="V177" s="149"/>
      <c r="W177" s="139"/>
      <c r="X177" s="85">
        <v>125</v>
      </c>
    </row>
    <row r="178" spans="1:24" s="85" customFormat="1" ht="56.25" x14ac:dyDescent="0.25">
      <c r="A178" s="140">
        <v>24</v>
      </c>
      <c r="B178" s="141" t="s">
        <v>56</v>
      </c>
      <c r="C178" s="141"/>
      <c r="D178" s="141"/>
      <c r="E178" s="141" t="s">
        <v>384</v>
      </c>
      <c r="F178" s="146" t="s">
        <v>370</v>
      </c>
      <c r="G178" s="142" t="s">
        <v>385</v>
      </c>
      <c r="H178" s="143">
        <v>1974</v>
      </c>
      <c r="I178" s="144">
        <f>IF(X178 = 127, H178 + SUM(S178:S178) - SUM(T178:T178) - SUM(P178:P178) - V178,0)</f>
        <v>0</v>
      </c>
      <c r="J178" s="147">
        <v>2310132554</v>
      </c>
      <c r="K178" s="148" t="s">
        <v>386</v>
      </c>
      <c r="L178" s="141"/>
      <c r="M178" s="141" t="s">
        <v>387</v>
      </c>
      <c r="N178" s="146" t="s">
        <v>413</v>
      </c>
      <c r="O178" s="146" t="s">
        <v>388</v>
      </c>
      <c r="P178" s="143">
        <v>1974</v>
      </c>
      <c r="Q178" s="142" t="s">
        <v>412</v>
      </c>
      <c r="R178" s="141"/>
      <c r="S178" s="143"/>
      <c r="T178" s="143"/>
      <c r="U178" s="143"/>
      <c r="V178" s="149"/>
      <c r="W178" s="139"/>
      <c r="X178" s="85">
        <v>127</v>
      </c>
    </row>
    <row r="179" spans="1:24" s="85" customFormat="1" ht="112.5" x14ac:dyDescent="0.25">
      <c r="A179" s="170">
        <v>25</v>
      </c>
      <c r="B179" s="171" t="s">
        <v>56</v>
      </c>
      <c r="C179" s="171"/>
      <c r="D179" s="171"/>
      <c r="E179" s="171" t="s">
        <v>432</v>
      </c>
      <c r="F179" s="179" t="s">
        <v>433</v>
      </c>
      <c r="G179" s="173" t="s">
        <v>434</v>
      </c>
      <c r="H179" s="174">
        <v>3000</v>
      </c>
      <c r="I179" s="175">
        <f>IF(X179 = 128, H179 + SUM(S179:S179) - SUM(T179:T179) - SUM(P179:P179) - V179,0)</f>
        <v>0</v>
      </c>
      <c r="J179" s="176">
        <v>2311187588</v>
      </c>
      <c r="K179" s="177" t="s">
        <v>435</v>
      </c>
      <c r="L179" s="171"/>
      <c r="M179" s="171" t="s">
        <v>437</v>
      </c>
      <c r="N179" s="179" t="s">
        <v>461</v>
      </c>
      <c r="O179" s="179" t="s">
        <v>436</v>
      </c>
      <c r="P179" s="174">
        <v>3000</v>
      </c>
      <c r="Q179" s="173" t="s">
        <v>464</v>
      </c>
      <c r="R179" s="171"/>
      <c r="S179" s="174"/>
      <c r="T179" s="174"/>
      <c r="U179" s="174"/>
      <c r="V179" s="178"/>
      <c r="W179" s="172"/>
      <c r="X179" s="85">
        <v>128</v>
      </c>
    </row>
    <row r="180" spans="1:24" s="85" customFormat="1" ht="112.5" x14ac:dyDescent="0.25">
      <c r="A180" s="170">
        <v>26</v>
      </c>
      <c r="B180" s="171" t="s">
        <v>56</v>
      </c>
      <c r="C180" s="171"/>
      <c r="D180" s="171"/>
      <c r="E180" s="171" t="s">
        <v>438</v>
      </c>
      <c r="F180" s="179" t="s">
        <v>439</v>
      </c>
      <c r="G180" s="173" t="s">
        <v>440</v>
      </c>
      <c r="H180" s="174">
        <v>63990</v>
      </c>
      <c r="I180" s="175">
        <f>IF(X180 = 129, H180 + SUM(S180:S180) - SUM(T180:T180) - SUM(P180:P180) - V180,0)</f>
        <v>0</v>
      </c>
      <c r="J180" s="176">
        <v>235303483777</v>
      </c>
      <c r="K180" s="177" t="s">
        <v>441</v>
      </c>
      <c r="L180" s="171"/>
      <c r="M180" s="171" t="s">
        <v>442</v>
      </c>
      <c r="N180" s="179" t="s">
        <v>465</v>
      </c>
      <c r="O180" s="179" t="s">
        <v>443</v>
      </c>
      <c r="P180" s="174">
        <v>63990</v>
      </c>
      <c r="Q180" s="173" t="s">
        <v>466</v>
      </c>
      <c r="R180" s="171"/>
      <c r="S180" s="174"/>
      <c r="T180" s="174"/>
      <c r="U180" s="174"/>
      <c r="V180" s="178"/>
      <c r="W180" s="172"/>
      <c r="X180" s="85">
        <v>129</v>
      </c>
    </row>
    <row r="181" spans="1:24" s="85" customFormat="1" ht="75" x14ac:dyDescent="0.25">
      <c r="A181" s="170">
        <v>27</v>
      </c>
      <c r="B181" s="171" t="s">
        <v>56</v>
      </c>
      <c r="C181" s="171"/>
      <c r="D181" s="171"/>
      <c r="E181" s="171" t="s">
        <v>369</v>
      </c>
      <c r="F181" s="179" t="s">
        <v>478</v>
      </c>
      <c r="G181" s="173" t="s">
        <v>481</v>
      </c>
      <c r="H181" s="174">
        <v>89520</v>
      </c>
      <c r="I181" s="175">
        <f>IF(X181 = 130, H181 + SUM(S181:S181) - SUM(T181:T181) - SUM(P181:P181) - V181,0)</f>
        <v>89520</v>
      </c>
      <c r="J181" s="176">
        <v>2353020735</v>
      </c>
      <c r="K181" s="177" t="s">
        <v>177</v>
      </c>
      <c r="L181" s="171"/>
      <c r="M181" s="171" t="s">
        <v>371</v>
      </c>
      <c r="N181" s="179"/>
      <c r="O181" s="179" t="s">
        <v>178</v>
      </c>
      <c r="P181" s="174"/>
      <c r="Q181" s="173"/>
      <c r="R181" s="171"/>
      <c r="S181" s="174"/>
      <c r="T181" s="174"/>
      <c r="U181" s="174"/>
      <c r="V181" s="178"/>
      <c r="W181" s="172"/>
      <c r="X181" s="85">
        <v>130</v>
      </c>
    </row>
    <row r="182" spans="1:24" s="85" customFormat="1" ht="75" x14ac:dyDescent="0.25">
      <c r="A182" s="170">
        <v>28</v>
      </c>
      <c r="B182" s="171" t="s">
        <v>56</v>
      </c>
      <c r="C182" s="171"/>
      <c r="D182" s="171"/>
      <c r="E182" s="171" t="s">
        <v>477</v>
      </c>
      <c r="F182" s="179" t="s">
        <v>478</v>
      </c>
      <c r="G182" s="173" t="s">
        <v>482</v>
      </c>
      <c r="H182" s="174">
        <v>11190</v>
      </c>
      <c r="I182" s="175">
        <f>IF(X182 = 131, H182 + SUM(S182:S182) - SUM(T182:T182) - SUM(P182:P182) - V182,0)</f>
        <v>11190</v>
      </c>
      <c r="J182" s="176">
        <v>2353020735</v>
      </c>
      <c r="K182" s="177" t="s">
        <v>177</v>
      </c>
      <c r="L182" s="171"/>
      <c r="M182" s="171" t="s">
        <v>371</v>
      </c>
      <c r="N182" s="179"/>
      <c r="O182" s="179" t="s">
        <v>178</v>
      </c>
      <c r="P182" s="174"/>
      <c r="Q182" s="173"/>
      <c r="R182" s="171"/>
      <c r="S182" s="174"/>
      <c r="T182" s="174"/>
      <c r="U182" s="174"/>
      <c r="V182" s="178"/>
      <c r="W182" s="172"/>
      <c r="X182" s="85">
        <v>131</v>
      </c>
    </row>
    <row r="183" spans="1:24" s="85" customFormat="1" ht="97.9" customHeight="1" x14ac:dyDescent="0.25">
      <c r="A183" s="190">
        <v>29</v>
      </c>
      <c r="B183" s="191" t="s">
        <v>56</v>
      </c>
      <c r="C183" s="191"/>
      <c r="D183" s="191"/>
      <c r="E183" s="191" t="s">
        <v>444</v>
      </c>
      <c r="F183" s="196" t="s">
        <v>445</v>
      </c>
      <c r="G183" s="192" t="s">
        <v>446</v>
      </c>
      <c r="H183" s="193">
        <v>7000</v>
      </c>
      <c r="I183" s="194">
        <f>IF(X183 = 132, H183 + SUM(S183:S183) - SUM(T183:T183) - SUM(P183:P183) - V183,0)</f>
        <v>0</v>
      </c>
      <c r="J183" s="197">
        <v>2353018870</v>
      </c>
      <c r="K183" s="198" t="s">
        <v>152</v>
      </c>
      <c r="L183" s="191"/>
      <c r="M183" s="191" t="s">
        <v>447</v>
      </c>
      <c r="N183" s="196" t="s">
        <v>480</v>
      </c>
      <c r="O183" s="196" t="s">
        <v>443</v>
      </c>
      <c r="P183" s="193">
        <v>7000</v>
      </c>
      <c r="Q183" s="192" t="s">
        <v>479</v>
      </c>
      <c r="R183" s="191"/>
      <c r="S183" s="193"/>
      <c r="T183" s="193"/>
      <c r="U183" s="193"/>
      <c r="V183" s="199"/>
      <c r="W183" s="189"/>
      <c r="X183" s="85">
        <v>132</v>
      </c>
    </row>
    <row r="184" spans="1:24" s="85" customFormat="1" ht="65.45" customHeight="1" x14ac:dyDescent="0.25">
      <c r="A184" s="463">
        <v>30</v>
      </c>
      <c r="B184" s="416" t="s">
        <v>56</v>
      </c>
      <c r="C184" s="416"/>
      <c r="D184" s="416"/>
      <c r="E184" s="416" t="s">
        <v>159</v>
      </c>
      <c r="F184" s="413" t="s">
        <v>451</v>
      </c>
      <c r="G184" s="533" t="s">
        <v>160</v>
      </c>
      <c r="H184" s="419">
        <v>24254.1</v>
      </c>
      <c r="I184" s="422">
        <f>IF(X184 = 133, H184 + SUM(S184:S186) - SUM(T184:T186) - SUM(P184:P186) - V184,0)</f>
        <v>12127.05</v>
      </c>
      <c r="J184" s="546">
        <v>2308131994</v>
      </c>
      <c r="K184" s="549" t="s">
        <v>208</v>
      </c>
      <c r="L184" s="416"/>
      <c r="M184" s="416" t="s">
        <v>448</v>
      </c>
      <c r="N184" s="356">
        <v>45535</v>
      </c>
      <c r="O184" s="413" t="s">
        <v>163</v>
      </c>
      <c r="P184" s="344">
        <v>4042.35</v>
      </c>
      <c r="Q184" s="345">
        <v>45544</v>
      </c>
      <c r="R184" s="346"/>
      <c r="S184" s="344"/>
      <c r="T184" s="344"/>
      <c r="U184" s="419"/>
      <c r="V184" s="703"/>
      <c r="W184" s="530"/>
      <c r="X184" s="85">
        <v>133</v>
      </c>
    </row>
    <row r="185" spans="1:24" s="254" customFormat="1" x14ac:dyDescent="0.25">
      <c r="A185" s="464"/>
      <c r="B185" s="417"/>
      <c r="C185" s="417"/>
      <c r="D185" s="417"/>
      <c r="E185" s="417"/>
      <c r="F185" s="414"/>
      <c r="G185" s="534"/>
      <c r="H185" s="420"/>
      <c r="I185" s="423"/>
      <c r="J185" s="547"/>
      <c r="K185" s="550"/>
      <c r="L185" s="417"/>
      <c r="M185" s="417"/>
      <c r="N185" s="358">
        <v>45565</v>
      </c>
      <c r="O185" s="414"/>
      <c r="P185" s="350">
        <v>4042.35</v>
      </c>
      <c r="Q185" s="351">
        <v>45574</v>
      </c>
      <c r="R185" s="352"/>
      <c r="S185" s="350"/>
      <c r="T185" s="350"/>
      <c r="U185" s="420"/>
      <c r="V185" s="704"/>
      <c r="W185" s="531"/>
      <c r="X185" s="254">
        <v>133</v>
      </c>
    </row>
    <row r="186" spans="1:24" s="254" customFormat="1" x14ac:dyDescent="0.25">
      <c r="A186" s="465"/>
      <c r="B186" s="418"/>
      <c r="C186" s="418"/>
      <c r="D186" s="418"/>
      <c r="E186" s="418"/>
      <c r="F186" s="415"/>
      <c r="G186" s="535"/>
      <c r="H186" s="421"/>
      <c r="I186" s="424"/>
      <c r="J186" s="548"/>
      <c r="K186" s="551"/>
      <c r="L186" s="418"/>
      <c r="M186" s="418"/>
      <c r="N186" s="359">
        <v>45596</v>
      </c>
      <c r="O186" s="415"/>
      <c r="P186" s="353">
        <v>4042.35</v>
      </c>
      <c r="Q186" s="354">
        <v>45607</v>
      </c>
      <c r="R186" s="355"/>
      <c r="S186" s="353"/>
      <c r="T186" s="353"/>
      <c r="U186" s="421"/>
      <c r="V186" s="705"/>
      <c r="W186" s="532"/>
      <c r="X186" s="254">
        <v>133</v>
      </c>
    </row>
    <row r="187" spans="1:24" s="85" customFormat="1" ht="112.5" x14ac:dyDescent="0.25">
      <c r="A187" s="190">
        <v>31</v>
      </c>
      <c r="B187" s="191" t="s">
        <v>56</v>
      </c>
      <c r="C187" s="191"/>
      <c r="D187" s="191"/>
      <c r="E187" s="191" t="s">
        <v>487</v>
      </c>
      <c r="F187" s="196" t="s">
        <v>488</v>
      </c>
      <c r="G187" s="192" t="s">
        <v>440</v>
      </c>
      <c r="H187" s="193">
        <v>17725</v>
      </c>
      <c r="I187" s="194">
        <f>IF(X187 = 134, H187 + SUM(S187:S187) - SUM(T187:T187) - SUM(P187:P187) - V187,0)</f>
        <v>0</v>
      </c>
      <c r="J187" s="197">
        <v>235303483777</v>
      </c>
      <c r="K187" s="198" t="s">
        <v>441</v>
      </c>
      <c r="L187" s="191"/>
      <c r="M187" s="191" t="s">
        <v>489</v>
      </c>
      <c r="N187" s="196" t="s">
        <v>510</v>
      </c>
      <c r="O187" s="196" t="s">
        <v>443</v>
      </c>
      <c r="P187" s="193">
        <v>17725</v>
      </c>
      <c r="Q187" s="192" t="s">
        <v>511</v>
      </c>
      <c r="R187" s="191"/>
      <c r="S187" s="193"/>
      <c r="T187" s="193"/>
      <c r="U187" s="193"/>
      <c r="V187" s="199"/>
      <c r="W187" s="189"/>
      <c r="X187" s="85">
        <v>134</v>
      </c>
    </row>
    <row r="188" spans="1:24" s="85" customFormat="1" ht="112.5" x14ac:dyDescent="0.25">
      <c r="A188" s="246">
        <v>32</v>
      </c>
      <c r="B188" s="245" t="s">
        <v>56</v>
      </c>
      <c r="C188" s="245"/>
      <c r="D188" s="245"/>
      <c r="E188" s="245" t="s">
        <v>548</v>
      </c>
      <c r="F188" s="271">
        <v>45525</v>
      </c>
      <c r="G188" s="249" t="s">
        <v>549</v>
      </c>
      <c r="H188" s="247">
        <v>578600</v>
      </c>
      <c r="I188" s="250">
        <f>IF(X188 = 135, H188 + SUM(S188:S188) - SUM(T188:T188) - SUM(P188:P188) - V188,0)</f>
        <v>0</v>
      </c>
      <c r="J188" s="252">
        <v>235310451286</v>
      </c>
      <c r="K188" s="253" t="s">
        <v>550</v>
      </c>
      <c r="L188" s="245"/>
      <c r="M188" s="245" t="s">
        <v>551</v>
      </c>
      <c r="N188" s="271">
        <v>45545</v>
      </c>
      <c r="O188" s="271" t="s">
        <v>443</v>
      </c>
      <c r="P188" s="247">
        <v>578600</v>
      </c>
      <c r="Q188" s="249">
        <v>45558</v>
      </c>
      <c r="R188" s="245"/>
      <c r="S188" s="247"/>
      <c r="T188" s="247"/>
      <c r="U188" s="247"/>
      <c r="V188" s="251"/>
      <c r="W188" s="248"/>
      <c r="X188" s="85">
        <v>135</v>
      </c>
    </row>
    <row r="189" spans="1:24" s="85" customFormat="1" ht="72" customHeight="1" x14ac:dyDescent="0.25">
      <c r="A189" s="463">
        <v>33</v>
      </c>
      <c r="B189" s="416" t="s">
        <v>56</v>
      </c>
      <c r="C189" s="416"/>
      <c r="D189" s="416"/>
      <c r="E189" s="416" t="s">
        <v>552</v>
      </c>
      <c r="F189" s="413">
        <v>45537</v>
      </c>
      <c r="G189" s="533" t="s">
        <v>553</v>
      </c>
      <c r="H189" s="419">
        <v>10080</v>
      </c>
      <c r="I189" s="422">
        <f>IF(X189 = 136, H189 + SUM(S189:S190) - SUM(T189:T190) - SUM(P189:P190) - V189,0)</f>
        <v>2394</v>
      </c>
      <c r="J189" s="546">
        <v>2353020735</v>
      </c>
      <c r="K189" s="549" t="s">
        <v>554</v>
      </c>
      <c r="L189" s="416"/>
      <c r="M189" s="416" t="s">
        <v>555</v>
      </c>
      <c r="N189" s="356">
        <v>45565</v>
      </c>
      <c r="O189" s="413" t="s">
        <v>556</v>
      </c>
      <c r="P189" s="344">
        <v>4014</v>
      </c>
      <c r="Q189" s="345">
        <v>45581</v>
      </c>
      <c r="R189" s="346"/>
      <c r="S189" s="344"/>
      <c r="T189" s="344"/>
      <c r="U189" s="419"/>
      <c r="V189" s="703"/>
      <c r="W189" s="530"/>
      <c r="X189" s="85">
        <v>136</v>
      </c>
    </row>
    <row r="190" spans="1:24" s="254" customFormat="1" x14ac:dyDescent="0.25">
      <c r="A190" s="465"/>
      <c r="B190" s="418"/>
      <c r="C190" s="418"/>
      <c r="D190" s="418"/>
      <c r="E190" s="418"/>
      <c r="F190" s="415"/>
      <c r="G190" s="535"/>
      <c r="H190" s="421"/>
      <c r="I190" s="424"/>
      <c r="J190" s="548"/>
      <c r="K190" s="551"/>
      <c r="L190" s="418"/>
      <c r="M190" s="418"/>
      <c r="N190" s="359">
        <v>45316</v>
      </c>
      <c r="O190" s="415"/>
      <c r="P190" s="353">
        <v>3672</v>
      </c>
      <c r="Q190" s="354">
        <v>45608</v>
      </c>
      <c r="R190" s="355"/>
      <c r="S190" s="353"/>
      <c r="T190" s="353"/>
      <c r="U190" s="421"/>
      <c r="V190" s="705"/>
      <c r="W190" s="532"/>
      <c r="X190" s="254">
        <v>136</v>
      </c>
    </row>
    <row r="191" spans="1:24" s="85" customFormat="1" ht="90" customHeight="1" x14ac:dyDescent="0.25">
      <c r="A191" s="463">
        <v>34</v>
      </c>
      <c r="B191" s="416" t="s">
        <v>56</v>
      </c>
      <c r="C191" s="416"/>
      <c r="D191" s="416"/>
      <c r="E191" s="416" t="s">
        <v>557</v>
      </c>
      <c r="F191" s="413">
        <v>45537</v>
      </c>
      <c r="G191" s="533" t="s">
        <v>558</v>
      </c>
      <c r="H191" s="419">
        <v>273124.8</v>
      </c>
      <c r="I191" s="422">
        <f>IF(X191 = 137, H191 + SUM(S191:S211) - SUM(T191:T211) - SUM(P191:P211) - V191,0)</f>
        <v>53532.51999999999</v>
      </c>
      <c r="J191" s="546">
        <v>2353020735</v>
      </c>
      <c r="K191" s="549" t="s">
        <v>554</v>
      </c>
      <c r="L191" s="416"/>
      <c r="M191" s="416" t="s">
        <v>555</v>
      </c>
      <c r="N191" s="356">
        <v>45565</v>
      </c>
      <c r="O191" s="413" t="s">
        <v>556</v>
      </c>
      <c r="P191" s="360">
        <v>5820</v>
      </c>
      <c r="Q191" s="345">
        <v>45581</v>
      </c>
      <c r="R191" s="346"/>
      <c r="S191" s="344"/>
      <c r="T191" s="344"/>
      <c r="U191" s="419"/>
      <c r="V191" s="703"/>
      <c r="W191" s="530"/>
      <c r="X191" s="85">
        <v>137</v>
      </c>
    </row>
    <row r="192" spans="1:24" s="254" customFormat="1" x14ac:dyDescent="0.25">
      <c r="A192" s="464"/>
      <c r="B192" s="417"/>
      <c r="C192" s="417"/>
      <c r="D192" s="417"/>
      <c r="E192" s="417"/>
      <c r="F192" s="414"/>
      <c r="G192" s="534"/>
      <c r="H192" s="420"/>
      <c r="I192" s="423"/>
      <c r="J192" s="547"/>
      <c r="K192" s="550"/>
      <c r="L192" s="417"/>
      <c r="M192" s="417"/>
      <c r="N192" s="358">
        <v>45565</v>
      </c>
      <c r="O192" s="414"/>
      <c r="P192" s="361">
        <v>1500</v>
      </c>
      <c r="Q192" s="351">
        <v>45581</v>
      </c>
      <c r="R192" s="352"/>
      <c r="S192" s="350"/>
      <c r="T192" s="350"/>
      <c r="U192" s="420"/>
      <c r="V192" s="704"/>
      <c r="W192" s="531"/>
      <c r="X192" s="254">
        <v>137</v>
      </c>
    </row>
    <row r="193" spans="1:24" s="254" customFormat="1" x14ac:dyDescent="0.25">
      <c r="A193" s="464"/>
      <c r="B193" s="417"/>
      <c r="C193" s="417"/>
      <c r="D193" s="417"/>
      <c r="E193" s="417"/>
      <c r="F193" s="414"/>
      <c r="G193" s="534"/>
      <c r="H193" s="420"/>
      <c r="I193" s="423"/>
      <c r="J193" s="547"/>
      <c r="K193" s="550"/>
      <c r="L193" s="417"/>
      <c r="M193" s="417"/>
      <c r="N193" s="358">
        <v>45565</v>
      </c>
      <c r="O193" s="414"/>
      <c r="P193" s="361">
        <v>8180.07</v>
      </c>
      <c r="Q193" s="351">
        <v>45581</v>
      </c>
      <c r="R193" s="352"/>
      <c r="S193" s="350"/>
      <c r="T193" s="350"/>
      <c r="U193" s="420"/>
      <c r="V193" s="704"/>
      <c r="W193" s="531"/>
      <c r="X193" s="254">
        <v>137</v>
      </c>
    </row>
    <row r="194" spans="1:24" s="254" customFormat="1" x14ac:dyDescent="0.25">
      <c r="A194" s="464"/>
      <c r="B194" s="417"/>
      <c r="C194" s="417"/>
      <c r="D194" s="417"/>
      <c r="E194" s="417"/>
      <c r="F194" s="414"/>
      <c r="G194" s="534"/>
      <c r="H194" s="420"/>
      <c r="I194" s="423"/>
      <c r="J194" s="547"/>
      <c r="K194" s="550"/>
      <c r="L194" s="417"/>
      <c r="M194" s="417"/>
      <c r="N194" s="358">
        <v>45565</v>
      </c>
      <c r="O194" s="414"/>
      <c r="P194" s="361">
        <v>9997.73</v>
      </c>
      <c r="Q194" s="351">
        <v>45581</v>
      </c>
      <c r="R194" s="352"/>
      <c r="S194" s="350"/>
      <c r="T194" s="350"/>
      <c r="U194" s="420"/>
      <c r="V194" s="704"/>
      <c r="W194" s="531"/>
      <c r="X194" s="254">
        <v>137</v>
      </c>
    </row>
    <row r="195" spans="1:24" s="254" customFormat="1" x14ac:dyDescent="0.25">
      <c r="A195" s="464"/>
      <c r="B195" s="417"/>
      <c r="C195" s="417"/>
      <c r="D195" s="417"/>
      <c r="E195" s="417"/>
      <c r="F195" s="414"/>
      <c r="G195" s="534"/>
      <c r="H195" s="420"/>
      <c r="I195" s="423"/>
      <c r="J195" s="547"/>
      <c r="K195" s="550"/>
      <c r="L195" s="417"/>
      <c r="M195" s="417"/>
      <c r="N195" s="358">
        <v>45565</v>
      </c>
      <c r="O195" s="414"/>
      <c r="P195" s="361">
        <v>2105.4499999999998</v>
      </c>
      <c r="Q195" s="351">
        <v>45581</v>
      </c>
      <c r="R195" s="352"/>
      <c r="S195" s="350"/>
      <c r="T195" s="350"/>
      <c r="U195" s="420"/>
      <c r="V195" s="704"/>
      <c r="W195" s="531"/>
      <c r="X195" s="254">
        <v>137</v>
      </c>
    </row>
    <row r="196" spans="1:24" s="254" customFormat="1" x14ac:dyDescent="0.25">
      <c r="A196" s="464"/>
      <c r="B196" s="417"/>
      <c r="C196" s="417"/>
      <c r="D196" s="417"/>
      <c r="E196" s="417"/>
      <c r="F196" s="414"/>
      <c r="G196" s="534"/>
      <c r="H196" s="420"/>
      <c r="I196" s="423"/>
      <c r="J196" s="547"/>
      <c r="K196" s="550"/>
      <c r="L196" s="417"/>
      <c r="M196" s="417"/>
      <c r="N196" s="358">
        <v>45565</v>
      </c>
      <c r="O196" s="414"/>
      <c r="P196" s="361">
        <v>2573.11</v>
      </c>
      <c r="Q196" s="351">
        <v>45581</v>
      </c>
      <c r="R196" s="352"/>
      <c r="S196" s="350"/>
      <c r="T196" s="350"/>
      <c r="U196" s="420"/>
      <c r="V196" s="704"/>
      <c r="W196" s="531"/>
      <c r="X196" s="254">
        <v>137</v>
      </c>
    </row>
    <row r="197" spans="1:24" s="254" customFormat="1" x14ac:dyDescent="0.25">
      <c r="A197" s="464"/>
      <c r="B197" s="417"/>
      <c r="C197" s="417"/>
      <c r="D197" s="417"/>
      <c r="E197" s="417"/>
      <c r="F197" s="414"/>
      <c r="G197" s="534"/>
      <c r="H197" s="420"/>
      <c r="I197" s="423"/>
      <c r="J197" s="547"/>
      <c r="K197" s="550"/>
      <c r="L197" s="417"/>
      <c r="M197" s="417"/>
      <c r="N197" s="358">
        <v>45565</v>
      </c>
      <c r="O197" s="414"/>
      <c r="P197" s="361">
        <v>307.8</v>
      </c>
      <c r="Q197" s="351">
        <v>45581</v>
      </c>
      <c r="R197" s="352"/>
      <c r="S197" s="350"/>
      <c r="T197" s="350"/>
      <c r="U197" s="420"/>
      <c r="V197" s="704"/>
      <c r="W197" s="531"/>
      <c r="X197" s="254">
        <v>137</v>
      </c>
    </row>
    <row r="198" spans="1:24" s="254" customFormat="1" x14ac:dyDescent="0.25">
      <c r="A198" s="464"/>
      <c r="B198" s="417"/>
      <c r="C198" s="417"/>
      <c r="D198" s="417"/>
      <c r="E198" s="417"/>
      <c r="F198" s="414"/>
      <c r="G198" s="534"/>
      <c r="H198" s="420"/>
      <c r="I198" s="423"/>
      <c r="J198" s="547"/>
      <c r="K198" s="550"/>
      <c r="L198" s="417"/>
      <c r="M198" s="417"/>
      <c r="N198" s="358">
        <v>45565</v>
      </c>
      <c r="O198" s="414"/>
      <c r="P198" s="361">
        <v>4685</v>
      </c>
      <c r="Q198" s="351">
        <v>45581</v>
      </c>
      <c r="R198" s="352"/>
      <c r="S198" s="350"/>
      <c r="T198" s="350"/>
      <c r="U198" s="420"/>
      <c r="V198" s="704"/>
      <c r="W198" s="531"/>
      <c r="X198" s="254">
        <v>137</v>
      </c>
    </row>
    <row r="199" spans="1:24" s="254" customFormat="1" x14ac:dyDescent="0.25">
      <c r="A199" s="464"/>
      <c r="B199" s="417"/>
      <c r="C199" s="417"/>
      <c r="D199" s="417"/>
      <c r="E199" s="417"/>
      <c r="F199" s="414"/>
      <c r="G199" s="534"/>
      <c r="H199" s="420"/>
      <c r="I199" s="423"/>
      <c r="J199" s="547"/>
      <c r="K199" s="550"/>
      <c r="L199" s="417"/>
      <c r="M199" s="417"/>
      <c r="N199" s="358">
        <v>45565</v>
      </c>
      <c r="O199" s="414"/>
      <c r="P199" s="361">
        <v>2280</v>
      </c>
      <c r="Q199" s="351">
        <v>45581</v>
      </c>
      <c r="R199" s="352"/>
      <c r="S199" s="350"/>
      <c r="T199" s="350"/>
      <c r="U199" s="420"/>
      <c r="V199" s="704"/>
      <c r="W199" s="531"/>
      <c r="X199" s="254">
        <v>137</v>
      </c>
    </row>
    <row r="200" spans="1:24" s="254" customFormat="1" x14ac:dyDescent="0.25">
      <c r="A200" s="464"/>
      <c r="B200" s="417"/>
      <c r="C200" s="417"/>
      <c r="D200" s="417"/>
      <c r="E200" s="417"/>
      <c r="F200" s="414"/>
      <c r="G200" s="534"/>
      <c r="H200" s="420"/>
      <c r="I200" s="423"/>
      <c r="J200" s="547"/>
      <c r="K200" s="550"/>
      <c r="L200" s="417"/>
      <c r="M200" s="417"/>
      <c r="N200" s="358">
        <v>45565</v>
      </c>
      <c r="O200" s="414"/>
      <c r="P200" s="361">
        <v>150</v>
      </c>
      <c r="Q200" s="351">
        <v>45581</v>
      </c>
      <c r="R200" s="352"/>
      <c r="S200" s="350"/>
      <c r="T200" s="350"/>
      <c r="U200" s="420"/>
      <c r="V200" s="704"/>
      <c r="W200" s="531"/>
      <c r="X200" s="254">
        <v>137</v>
      </c>
    </row>
    <row r="201" spans="1:24" s="254" customFormat="1" x14ac:dyDescent="0.25">
      <c r="A201" s="464"/>
      <c r="B201" s="417"/>
      <c r="C201" s="417"/>
      <c r="D201" s="417"/>
      <c r="E201" s="417"/>
      <c r="F201" s="414"/>
      <c r="G201" s="534"/>
      <c r="H201" s="420"/>
      <c r="I201" s="423"/>
      <c r="J201" s="547"/>
      <c r="K201" s="550"/>
      <c r="L201" s="417"/>
      <c r="M201" s="417"/>
      <c r="N201" s="358">
        <v>45565</v>
      </c>
      <c r="O201" s="414"/>
      <c r="P201" s="361">
        <v>1417.8</v>
      </c>
      <c r="Q201" s="351">
        <v>45581</v>
      </c>
      <c r="R201" s="352"/>
      <c r="S201" s="350"/>
      <c r="T201" s="350"/>
      <c r="U201" s="420"/>
      <c r="V201" s="704"/>
      <c r="W201" s="531"/>
      <c r="X201" s="254">
        <v>137</v>
      </c>
    </row>
    <row r="202" spans="1:24" s="254" customFormat="1" x14ac:dyDescent="0.25">
      <c r="A202" s="464"/>
      <c r="B202" s="417"/>
      <c r="C202" s="417"/>
      <c r="D202" s="417"/>
      <c r="E202" s="417"/>
      <c r="F202" s="414"/>
      <c r="G202" s="534"/>
      <c r="H202" s="420"/>
      <c r="I202" s="423"/>
      <c r="J202" s="547"/>
      <c r="K202" s="550"/>
      <c r="L202" s="417"/>
      <c r="M202" s="417"/>
      <c r="N202" s="358">
        <v>45565</v>
      </c>
      <c r="O202" s="414"/>
      <c r="P202" s="361">
        <v>5671.2</v>
      </c>
      <c r="Q202" s="351">
        <v>45581</v>
      </c>
      <c r="R202" s="352"/>
      <c r="S202" s="350"/>
      <c r="T202" s="350"/>
      <c r="U202" s="420"/>
      <c r="V202" s="704"/>
      <c r="W202" s="531"/>
      <c r="X202" s="254">
        <v>137</v>
      </c>
    </row>
    <row r="203" spans="1:24" s="254" customFormat="1" x14ac:dyDescent="0.25">
      <c r="A203" s="464"/>
      <c r="B203" s="417"/>
      <c r="C203" s="417"/>
      <c r="D203" s="417"/>
      <c r="E203" s="417"/>
      <c r="F203" s="414"/>
      <c r="G203" s="534"/>
      <c r="H203" s="420"/>
      <c r="I203" s="423"/>
      <c r="J203" s="547"/>
      <c r="K203" s="550"/>
      <c r="L203" s="417"/>
      <c r="M203" s="417"/>
      <c r="N203" s="358">
        <v>45565</v>
      </c>
      <c r="O203" s="414"/>
      <c r="P203" s="361">
        <v>71029</v>
      </c>
      <c r="Q203" s="351">
        <v>45581</v>
      </c>
      <c r="R203" s="352"/>
      <c r="S203" s="350"/>
      <c r="T203" s="350"/>
      <c r="U203" s="420"/>
      <c r="V203" s="704"/>
      <c r="W203" s="531"/>
      <c r="X203" s="254">
        <v>137</v>
      </c>
    </row>
    <row r="204" spans="1:24" s="254" customFormat="1" x14ac:dyDescent="0.25">
      <c r="A204" s="464"/>
      <c r="B204" s="417"/>
      <c r="C204" s="417"/>
      <c r="D204" s="417"/>
      <c r="E204" s="417"/>
      <c r="F204" s="414"/>
      <c r="G204" s="534"/>
      <c r="H204" s="420"/>
      <c r="I204" s="423"/>
      <c r="J204" s="547"/>
      <c r="K204" s="550"/>
      <c r="L204" s="417"/>
      <c r="M204" s="417"/>
      <c r="N204" s="358">
        <v>45590</v>
      </c>
      <c r="O204" s="414"/>
      <c r="P204" s="361">
        <v>3780.8</v>
      </c>
      <c r="Q204" s="351">
        <v>45608</v>
      </c>
      <c r="R204" s="352"/>
      <c r="S204" s="350"/>
      <c r="T204" s="350"/>
      <c r="U204" s="420"/>
      <c r="V204" s="704"/>
      <c r="W204" s="531"/>
      <c r="X204" s="254">
        <v>137</v>
      </c>
    </row>
    <row r="205" spans="1:24" s="254" customFormat="1" x14ac:dyDescent="0.25">
      <c r="A205" s="464"/>
      <c r="B205" s="417"/>
      <c r="C205" s="417"/>
      <c r="D205" s="417"/>
      <c r="E205" s="417"/>
      <c r="F205" s="414"/>
      <c r="G205" s="534"/>
      <c r="H205" s="420"/>
      <c r="I205" s="423"/>
      <c r="J205" s="547"/>
      <c r="K205" s="550"/>
      <c r="L205" s="417"/>
      <c r="M205" s="417"/>
      <c r="N205" s="358">
        <v>45590</v>
      </c>
      <c r="O205" s="414"/>
      <c r="P205" s="361">
        <v>945.2</v>
      </c>
      <c r="Q205" s="351">
        <v>45608</v>
      </c>
      <c r="R205" s="352"/>
      <c r="S205" s="350"/>
      <c r="T205" s="350"/>
      <c r="U205" s="420"/>
      <c r="V205" s="704"/>
      <c r="W205" s="531"/>
      <c r="X205" s="254">
        <v>137</v>
      </c>
    </row>
    <row r="206" spans="1:24" s="254" customFormat="1" x14ac:dyDescent="0.25">
      <c r="A206" s="464"/>
      <c r="B206" s="417"/>
      <c r="C206" s="417"/>
      <c r="D206" s="417"/>
      <c r="E206" s="417"/>
      <c r="F206" s="414"/>
      <c r="G206" s="534"/>
      <c r="H206" s="420"/>
      <c r="I206" s="423"/>
      <c r="J206" s="547"/>
      <c r="K206" s="550"/>
      <c r="L206" s="417"/>
      <c r="M206" s="417"/>
      <c r="N206" s="358">
        <v>45590</v>
      </c>
      <c r="O206" s="414"/>
      <c r="P206" s="361">
        <v>6559</v>
      </c>
      <c r="Q206" s="351">
        <v>45608</v>
      </c>
      <c r="R206" s="352"/>
      <c r="S206" s="350"/>
      <c r="T206" s="350"/>
      <c r="U206" s="420"/>
      <c r="V206" s="704"/>
      <c r="W206" s="531"/>
      <c r="X206" s="254">
        <v>137</v>
      </c>
    </row>
    <row r="207" spans="1:24" s="254" customFormat="1" x14ac:dyDescent="0.25">
      <c r="A207" s="464"/>
      <c r="B207" s="417"/>
      <c r="C207" s="417"/>
      <c r="D207" s="417"/>
      <c r="E207" s="417"/>
      <c r="F207" s="414"/>
      <c r="G207" s="534"/>
      <c r="H207" s="420"/>
      <c r="I207" s="423"/>
      <c r="J207" s="547"/>
      <c r="K207" s="550"/>
      <c r="L207" s="417"/>
      <c r="M207" s="417"/>
      <c r="N207" s="358">
        <v>45590</v>
      </c>
      <c r="O207" s="414"/>
      <c r="P207" s="361">
        <v>2100</v>
      </c>
      <c r="Q207" s="351">
        <v>45608</v>
      </c>
      <c r="R207" s="352"/>
      <c r="S207" s="350"/>
      <c r="T207" s="350"/>
      <c r="U207" s="420"/>
      <c r="V207" s="704"/>
      <c r="W207" s="531"/>
      <c r="X207" s="254">
        <v>137</v>
      </c>
    </row>
    <row r="208" spans="1:24" s="254" customFormat="1" x14ac:dyDescent="0.25">
      <c r="A208" s="464"/>
      <c r="B208" s="417"/>
      <c r="C208" s="417"/>
      <c r="D208" s="417"/>
      <c r="E208" s="417"/>
      <c r="F208" s="414"/>
      <c r="G208" s="534"/>
      <c r="H208" s="420"/>
      <c r="I208" s="423"/>
      <c r="J208" s="547"/>
      <c r="K208" s="550"/>
      <c r="L208" s="417"/>
      <c r="M208" s="417"/>
      <c r="N208" s="358">
        <v>45590</v>
      </c>
      <c r="O208" s="414"/>
      <c r="P208" s="361">
        <v>8100</v>
      </c>
      <c r="Q208" s="351">
        <v>45608</v>
      </c>
      <c r="R208" s="352"/>
      <c r="S208" s="350"/>
      <c r="T208" s="350"/>
      <c r="U208" s="420"/>
      <c r="V208" s="704"/>
      <c r="W208" s="531"/>
      <c r="X208" s="254">
        <v>137</v>
      </c>
    </row>
    <row r="209" spans="1:24" s="254" customFormat="1" x14ac:dyDescent="0.25">
      <c r="A209" s="464"/>
      <c r="B209" s="417"/>
      <c r="C209" s="417"/>
      <c r="D209" s="417"/>
      <c r="E209" s="417"/>
      <c r="F209" s="414"/>
      <c r="G209" s="534"/>
      <c r="H209" s="420"/>
      <c r="I209" s="423"/>
      <c r="J209" s="547"/>
      <c r="K209" s="550"/>
      <c r="L209" s="417"/>
      <c r="M209" s="417"/>
      <c r="N209" s="358">
        <v>45955</v>
      </c>
      <c r="O209" s="414"/>
      <c r="P209" s="361">
        <v>12288.09</v>
      </c>
      <c r="Q209" s="351">
        <v>45608</v>
      </c>
      <c r="R209" s="352"/>
      <c r="S209" s="350"/>
      <c r="T209" s="350"/>
      <c r="U209" s="420"/>
      <c r="V209" s="704"/>
      <c r="W209" s="531"/>
      <c r="X209" s="254">
        <v>137</v>
      </c>
    </row>
    <row r="210" spans="1:24" s="254" customFormat="1" x14ac:dyDescent="0.25">
      <c r="A210" s="464"/>
      <c r="B210" s="417"/>
      <c r="C210" s="417"/>
      <c r="D210" s="417"/>
      <c r="E210" s="417"/>
      <c r="F210" s="414"/>
      <c r="G210" s="534"/>
      <c r="H210" s="420"/>
      <c r="I210" s="423"/>
      <c r="J210" s="547"/>
      <c r="K210" s="550"/>
      <c r="L210" s="417"/>
      <c r="M210" s="417"/>
      <c r="N210" s="358">
        <v>45955</v>
      </c>
      <c r="O210" s="414"/>
      <c r="P210" s="361">
        <v>10054.030000000001</v>
      </c>
      <c r="Q210" s="351">
        <v>45608</v>
      </c>
      <c r="R210" s="352"/>
      <c r="S210" s="350"/>
      <c r="T210" s="350"/>
      <c r="U210" s="420"/>
      <c r="V210" s="704"/>
      <c r="W210" s="531"/>
      <c r="X210" s="254">
        <v>137</v>
      </c>
    </row>
    <row r="211" spans="1:24" s="254" customFormat="1" x14ac:dyDescent="0.25">
      <c r="A211" s="465"/>
      <c r="B211" s="418"/>
      <c r="C211" s="418"/>
      <c r="D211" s="418"/>
      <c r="E211" s="418"/>
      <c r="F211" s="415"/>
      <c r="G211" s="535"/>
      <c r="H211" s="421"/>
      <c r="I211" s="424"/>
      <c r="J211" s="548"/>
      <c r="K211" s="551"/>
      <c r="L211" s="418"/>
      <c r="M211" s="418"/>
      <c r="N211" s="359">
        <v>45955</v>
      </c>
      <c r="O211" s="415"/>
      <c r="P211" s="362">
        <v>60048</v>
      </c>
      <c r="Q211" s="354">
        <v>45618</v>
      </c>
      <c r="R211" s="355"/>
      <c r="S211" s="353"/>
      <c r="T211" s="353"/>
      <c r="U211" s="421"/>
      <c r="V211" s="705"/>
      <c r="W211" s="532"/>
      <c r="X211" s="254">
        <v>137</v>
      </c>
    </row>
    <row r="212" spans="1:24" s="85" customFormat="1" ht="36" customHeight="1" x14ac:dyDescent="0.25">
      <c r="A212" s="463">
        <v>35</v>
      </c>
      <c r="B212" s="416" t="s">
        <v>56</v>
      </c>
      <c r="C212" s="416"/>
      <c r="D212" s="416"/>
      <c r="E212" s="416" t="s">
        <v>565</v>
      </c>
      <c r="F212" s="413" t="s">
        <v>566</v>
      </c>
      <c r="G212" s="533" t="s">
        <v>567</v>
      </c>
      <c r="H212" s="419">
        <v>21772.799999999999</v>
      </c>
      <c r="I212" s="422">
        <f>IF(X212 = 138, H212 + SUM(S212:S213) - SUM(T212:T213) - SUM(P212:P213) - V212,0)</f>
        <v>0</v>
      </c>
      <c r="J212" s="546">
        <v>2304067057</v>
      </c>
      <c r="K212" s="549" t="s">
        <v>155</v>
      </c>
      <c r="L212" s="416"/>
      <c r="M212" s="416"/>
      <c r="N212" s="356">
        <v>45565</v>
      </c>
      <c r="O212" s="413" t="s">
        <v>556</v>
      </c>
      <c r="P212" s="344">
        <v>12096</v>
      </c>
      <c r="Q212" s="345">
        <v>45575</v>
      </c>
      <c r="R212" s="346"/>
      <c r="S212" s="344"/>
      <c r="T212" s="344"/>
      <c r="U212" s="419"/>
      <c r="V212" s="703"/>
      <c r="W212" s="530"/>
      <c r="X212" s="85">
        <v>138</v>
      </c>
    </row>
    <row r="213" spans="1:24" s="254" customFormat="1" x14ac:dyDescent="0.25">
      <c r="A213" s="465"/>
      <c r="B213" s="418"/>
      <c r="C213" s="418"/>
      <c r="D213" s="418"/>
      <c r="E213" s="418"/>
      <c r="F213" s="415"/>
      <c r="G213" s="535"/>
      <c r="H213" s="421"/>
      <c r="I213" s="424"/>
      <c r="J213" s="548"/>
      <c r="K213" s="551"/>
      <c r="L213" s="418"/>
      <c r="M213" s="418"/>
      <c r="N213" s="359">
        <v>45569</v>
      </c>
      <c r="O213" s="415"/>
      <c r="P213" s="353">
        <v>9676.7999999999993</v>
      </c>
      <c r="Q213" s="354">
        <v>45598</v>
      </c>
      <c r="R213" s="355"/>
      <c r="S213" s="353"/>
      <c r="T213" s="353"/>
      <c r="U213" s="421"/>
      <c r="V213" s="705"/>
      <c r="W213" s="532"/>
      <c r="X213" s="254">
        <v>138</v>
      </c>
    </row>
    <row r="214" spans="1:24" s="85" customFormat="1" ht="54" customHeight="1" x14ac:dyDescent="0.25">
      <c r="A214" s="463">
        <v>36</v>
      </c>
      <c r="B214" s="416" t="s">
        <v>56</v>
      </c>
      <c r="C214" s="416"/>
      <c r="D214" s="416"/>
      <c r="E214" s="416" t="s">
        <v>568</v>
      </c>
      <c r="F214" s="413">
        <v>45555</v>
      </c>
      <c r="G214" s="533" t="s">
        <v>569</v>
      </c>
      <c r="H214" s="419">
        <v>20000</v>
      </c>
      <c r="I214" s="422">
        <f>IF(X214 = 139, H214 + SUM(S214:S215) - SUM(T214:T215) - SUM(P214:P215) - V214,0)</f>
        <v>10240</v>
      </c>
      <c r="J214" s="546">
        <v>2353017179</v>
      </c>
      <c r="K214" s="549" t="s">
        <v>570</v>
      </c>
      <c r="L214" s="416"/>
      <c r="M214" s="416"/>
      <c r="N214" s="356">
        <v>45565</v>
      </c>
      <c r="O214" s="413" t="s">
        <v>556</v>
      </c>
      <c r="P214" s="344">
        <v>2400</v>
      </c>
      <c r="Q214" s="345">
        <v>45579</v>
      </c>
      <c r="R214" s="346"/>
      <c r="S214" s="344"/>
      <c r="T214" s="344"/>
      <c r="U214" s="419"/>
      <c r="V214" s="703"/>
      <c r="W214" s="530"/>
      <c r="X214" s="85">
        <v>139</v>
      </c>
    </row>
    <row r="215" spans="1:24" s="254" customFormat="1" x14ac:dyDescent="0.25">
      <c r="A215" s="465"/>
      <c r="B215" s="418"/>
      <c r="C215" s="418"/>
      <c r="D215" s="418"/>
      <c r="E215" s="418"/>
      <c r="F215" s="415"/>
      <c r="G215" s="535"/>
      <c r="H215" s="421"/>
      <c r="I215" s="424"/>
      <c r="J215" s="548"/>
      <c r="K215" s="551"/>
      <c r="L215" s="418"/>
      <c r="M215" s="418"/>
      <c r="N215" s="359">
        <v>45596</v>
      </c>
      <c r="O215" s="415"/>
      <c r="P215" s="353">
        <v>7360</v>
      </c>
      <c r="Q215" s="354">
        <v>45608</v>
      </c>
      <c r="R215" s="355"/>
      <c r="S215" s="353"/>
      <c r="T215" s="353"/>
      <c r="U215" s="421"/>
      <c r="V215" s="705"/>
      <c r="W215" s="532"/>
      <c r="X215" s="254">
        <v>139</v>
      </c>
    </row>
    <row r="216" spans="1:24" s="85" customFormat="1" ht="36" customHeight="1" x14ac:dyDescent="0.25">
      <c r="A216" s="463">
        <v>37</v>
      </c>
      <c r="B216" s="416" t="s">
        <v>56</v>
      </c>
      <c r="C216" s="416"/>
      <c r="D216" s="416"/>
      <c r="E216" s="416" t="s">
        <v>571</v>
      </c>
      <c r="F216" s="413">
        <v>45520</v>
      </c>
      <c r="G216" s="533" t="s">
        <v>572</v>
      </c>
      <c r="H216" s="419">
        <v>6000</v>
      </c>
      <c r="I216" s="422">
        <f>IF(X216 = 140, H216 + SUM(S216:S217) - SUM(T216:T217) - SUM(P216:P217) - V216,0)</f>
        <v>3000</v>
      </c>
      <c r="J216" s="546">
        <v>231107998282</v>
      </c>
      <c r="K216" s="549" t="s">
        <v>573</v>
      </c>
      <c r="L216" s="416"/>
      <c r="M216" s="416" t="s">
        <v>574</v>
      </c>
      <c r="N216" s="356">
        <v>45574</v>
      </c>
      <c r="O216" s="413" t="s">
        <v>556</v>
      </c>
      <c r="P216" s="344">
        <v>1500</v>
      </c>
      <c r="Q216" s="345">
        <v>45575</v>
      </c>
      <c r="R216" s="346"/>
      <c r="S216" s="344"/>
      <c r="T216" s="344"/>
      <c r="U216" s="419"/>
      <c r="V216" s="703"/>
      <c r="W216" s="530"/>
      <c r="X216" s="85">
        <v>140</v>
      </c>
    </row>
    <row r="217" spans="1:24" s="254" customFormat="1" x14ac:dyDescent="0.25">
      <c r="A217" s="465"/>
      <c r="B217" s="418"/>
      <c r="C217" s="418"/>
      <c r="D217" s="418"/>
      <c r="E217" s="418"/>
      <c r="F217" s="415"/>
      <c r="G217" s="535"/>
      <c r="H217" s="421"/>
      <c r="I217" s="424"/>
      <c r="J217" s="548"/>
      <c r="K217" s="551"/>
      <c r="L217" s="418"/>
      <c r="M217" s="418"/>
      <c r="N217" s="359">
        <v>45596</v>
      </c>
      <c r="O217" s="415"/>
      <c r="P217" s="353">
        <v>1500</v>
      </c>
      <c r="Q217" s="354">
        <v>45604</v>
      </c>
      <c r="R217" s="355"/>
      <c r="S217" s="353"/>
      <c r="T217" s="353"/>
      <c r="U217" s="421"/>
      <c r="V217" s="705"/>
      <c r="W217" s="532"/>
      <c r="X217" s="254">
        <v>140</v>
      </c>
    </row>
    <row r="218" spans="1:24" s="85" customFormat="1" ht="36" customHeight="1" x14ac:dyDescent="0.25">
      <c r="A218" s="685">
        <v>38</v>
      </c>
      <c r="B218" s="682" t="s">
        <v>56</v>
      </c>
      <c r="C218" s="682"/>
      <c r="D218" s="682"/>
      <c r="E218" s="682" t="s">
        <v>575</v>
      </c>
      <c r="F218" s="688">
        <v>45505</v>
      </c>
      <c r="G218" s="697" t="s">
        <v>576</v>
      </c>
      <c r="H218" s="691">
        <v>226800.54</v>
      </c>
      <c r="I218" s="700">
        <f>IF(X218 = 141, H218 + SUM(S218:S220) - SUM(T218:T220) - SUM(P218:P220) - V218,0)</f>
        <v>2.9103830456733704E-11</v>
      </c>
      <c r="J218" s="676">
        <v>2353005578903</v>
      </c>
      <c r="K218" s="679" t="s">
        <v>147</v>
      </c>
      <c r="L218" s="682"/>
      <c r="M218" s="682" t="s">
        <v>577</v>
      </c>
      <c r="N218" s="313">
        <v>45565</v>
      </c>
      <c r="O218" s="688" t="s">
        <v>556</v>
      </c>
      <c r="P218" s="314">
        <v>103410</v>
      </c>
      <c r="Q218" s="315">
        <v>45574</v>
      </c>
      <c r="R218" s="316"/>
      <c r="S218" s="314"/>
      <c r="T218" s="314"/>
      <c r="U218" s="691"/>
      <c r="V218" s="694"/>
      <c r="W218" s="664"/>
      <c r="X218" s="85">
        <v>141</v>
      </c>
    </row>
    <row r="219" spans="1:24" s="254" customFormat="1" x14ac:dyDescent="0.25">
      <c r="A219" s="686"/>
      <c r="B219" s="683"/>
      <c r="C219" s="683"/>
      <c r="D219" s="683"/>
      <c r="E219" s="683"/>
      <c r="F219" s="689"/>
      <c r="G219" s="698"/>
      <c r="H219" s="692"/>
      <c r="I219" s="701"/>
      <c r="J219" s="677"/>
      <c r="K219" s="680"/>
      <c r="L219" s="683"/>
      <c r="M219" s="683"/>
      <c r="N219" s="321">
        <v>45534</v>
      </c>
      <c r="O219" s="689"/>
      <c r="P219" s="322">
        <v>13230</v>
      </c>
      <c r="Q219" s="323">
        <v>45541</v>
      </c>
      <c r="R219" s="324"/>
      <c r="S219" s="322"/>
      <c r="T219" s="322"/>
      <c r="U219" s="692"/>
      <c r="V219" s="695"/>
      <c r="W219" s="665"/>
      <c r="X219" s="254">
        <v>141</v>
      </c>
    </row>
    <row r="220" spans="1:24" s="254" customFormat="1" x14ac:dyDescent="0.25">
      <c r="A220" s="687"/>
      <c r="B220" s="684"/>
      <c r="C220" s="684"/>
      <c r="D220" s="684"/>
      <c r="E220" s="684"/>
      <c r="F220" s="690"/>
      <c r="G220" s="699"/>
      <c r="H220" s="693"/>
      <c r="I220" s="702"/>
      <c r="J220" s="678"/>
      <c r="K220" s="681"/>
      <c r="L220" s="684"/>
      <c r="M220" s="684"/>
      <c r="N220" s="317">
        <v>45595</v>
      </c>
      <c r="O220" s="690"/>
      <c r="P220" s="318">
        <v>110160.54</v>
      </c>
      <c r="Q220" s="319">
        <v>45603</v>
      </c>
      <c r="R220" s="320"/>
      <c r="S220" s="318"/>
      <c r="T220" s="318"/>
      <c r="U220" s="693"/>
      <c r="V220" s="696"/>
      <c r="W220" s="666"/>
      <c r="X220" s="254">
        <v>141</v>
      </c>
    </row>
    <row r="221" spans="1:24" s="85" customFormat="1" ht="56.25" x14ac:dyDescent="0.25">
      <c r="A221" s="293">
        <v>39</v>
      </c>
      <c r="B221" s="294" t="s">
        <v>56</v>
      </c>
      <c r="C221" s="294"/>
      <c r="D221" s="294"/>
      <c r="E221" s="294" t="s">
        <v>578</v>
      </c>
      <c r="F221" s="312">
        <v>45533</v>
      </c>
      <c r="G221" s="295" t="s">
        <v>579</v>
      </c>
      <c r="H221" s="296">
        <v>19000</v>
      </c>
      <c r="I221" s="297">
        <f>IF(X221 = 142, H221 + SUM(S221:S221) - SUM(T221:T221) - SUM(P221:P221) - V221,0)</f>
        <v>0</v>
      </c>
      <c r="J221" s="306">
        <v>2312314060</v>
      </c>
      <c r="K221" s="307" t="s">
        <v>580</v>
      </c>
      <c r="L221" s="294"/>
      <c r="M221" s="294" t="s">
        <v>581</v>
      </c>
      <c r="N221" s="312">
        <v>45533</v>
      </c>
      <c r="O221" s="312" t="s">
        <v>556</v>
      </c>
      <c r="P221" s="296">
        <v>19000</v>
      </c>
      <c r="Q221" s="295">
        <v>45541</v>
      </c>
      <c r="R221" s="294"/>
      <c r="S221" s="296"/>
      <c r="T221" s="296"/>
      <c r="U221" s="296"/>
      <c r="V221" s="308"/>
      <c r="W221" s="302"/>
      <c r="X221" s="85">
        <v>142</v>
      </c>
    </row>
    <row r="222" spans="1:24" s="85" customFormat="1" ht="56.25" x14ac:dyDescent="0.25">
      <c r="A222" s="326">
        <v>40</v>
      </c>
      <c r="B222" s="327" t="s">
        <v>56</v>
      </c>
      <c r="C222" s="327"/>
      <c r="D222" s="327"/>
      <c r="E222" s="327" t="s">
        <v>601</v>
      </c>
      <c r="F222" s="332">
        <v>45593</v>
      </c>
      <c r="G222" s="328" t="s">
        <v>440</v>
      </c>
      <c r="H222" s="329">
        <v>38315</v>
      </c>
      <c r="I222" s="330">
        <f>IF(X222 = 143, H222 + SUM(S222:S222) - SUM(T222:T222) - SUM(P222:P222) - V222,0)</f>
        <v>0</v>
      </c>
      <c r="J222" s="341">
        <v>235303483777</v>
      </c>
      <c r="K222" s="342" t="s">
        <v>441</v>
      </c>
      <c r="L222" s="327"/>
      <c r="M222" s="327" t="s">
        <v>602</v>
      </c>
      <c r="N222" s="332">
        <v>45596</v>
      </c>
      <c r="O222" s="332" t="s">
        <v>556</v>
      </c>
      <c r="P222" s="329">
        <v>38315</v>
      </c>
      <c r="Q222" s="328">
        <v>45610</v>
      </c>
      <c r="R222" s="327"/>
      <c r="S222" s="329"/>
      <c r="T222" s="329"/>
      <c r="U222" s="329"/>
      <c r="V222" s="343"/>
      <c r="W222" s="325"/>
      <c r="X222" s="85">
        <v>143</v>
      </c>
    </row>
    <row r="223" spans="1:24" x14ac:dyDescent="0.25">
      <c r="X223" s="2">
        <v>144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428">
    <mergeCell ref="V212:V213"/>
    <mergeCell ref="C212:C213"/>
    <mergeCell ref="W212:W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H191:H211"/>
    <mergeCell ref="I191:I211"/>
    <mergeCell ref="J191:J211"/>
    <mergeCell ref="K191:K211"/>
    <mergeCell ref="L191:L211"/>
    <mergeCell ref="M191:M211"/>
    <mergeCell ref="A212:A213"/>
    <mergeCell ref="O212:O213"/>
    <mergeCell ref="U212:U213"/>
    <mergeCell ref="B212:B213"/>
    <mergeCell ref="V189:V190"/>
    <mergeCell ref="C189:C190"/>
    <mergeCell ref="A191:A211"/>
    <mergeCell ref="O191:O211"/>
    <mergeCell ref="U191:U211"/>
    <mergeCell ref="B191:B211"/>
    <mergeCell ref="W189:W190"/>
    <mergeCell ref="D189:D190"/>
    <mergeCell ref="E189:E190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V191:V211"/>
    <mergeCell ref="C191:C211"/>
    <mergeCell ref="W191:W211"/>
    <mergeCell ref="D191:D211"/>
    <mergeCell ref="E191:E211"/>
    <mergeCell ref="F191:F211"/>
    <mergeCell ref="G191:G211"/>
    <mergeCell ref="K9:K35"/>
    <mergeCell ref="L9:L35"/>
    <mergeCell ref="M9:M35"/>
    <mergeCell ref="M42:M51"/>
    <mergeCell ref="A9:A35"/>
    <mergeCell ref="O9:O35"/>
    <mergeCell ref="U9:U35"/>
    <mergeCell ref="B9:B35"/>
    <mergeCell ref="A189:A190"/>
    <mergeCell ref="O189:O190"/>
    <mergeCell ref="U189:U190"/>
    <mergeCell ref="B189:B190"/>
    <mergeCell ref="V9:V35"/>
    <mergeCell ref="C9:C35"/>
    <mergeCell ref="M184:M186"/>
    <mergeCell ref="A214:A215"/>
    <mergeCell ref="O214:O215"/>
    <mergeCell ref="U214:U215"/>
    <mergeCell ref="B214:B215"/>
    <mergeCell ref="V214:V215"/>
    <mergeCell ref="C214:C215"/>
    <mergeCell ref="D184:D186"/>
    <mergeCell ref="E184:E186"/>
    <mergeCell ref="F184:F186"/>
    <mergeCell ref="G184:G186"/>
    <mergeCell ref="H184:H186"/>
    <mergeCell ref="I184:I186"/>
    <mergeCell ref="J184:J186"/>
    <mergeCell ref="K184:K186"/>
    <mergeCell ref="L184:L186"/>
    <mergeCell ref="E42:E51"/>
    <mergeCell ref="F42:F51"/>
    <mergeCell ref="G42:G51"/>
    <mergeCell ref="H42:H51"/>
    <mergeCell ref="I42:I51"/>
    <mergeCell ref="B75:B86"/>
    <mergeCell ref="W214:W215"/>
    <mergeCell ref="D214:D215"/>
    <mergeCell ref="E214:E215"/>
    <mergeCell ref="F214:F215"/>
    <mergeCell ref="G214:G215"/>
    <mergeCell ref="H214:H215"/>
    <mergeCell ref="I214:I215"/>
    <mergeCell ref="J214:J215"/>
    <mergeCell ref="K214:K215"/>
    <mergeCell ref="L214:L215"/>
    <mergeCell ref="M214:M215"/>
    <mergeCell ref="A216:A217"/>
    <mergeCell ref="O216:O217"/>
    <mergeCell ref="U216:U217"/>
    <mergeCell ref="B216:B217"/>
    <mergeCell ref="V216:V217"/>
    <mergeCell ref="C216:C217"/>
    <mergeCell ref="W216:W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W108:W117"/>
    <mergeCell ref="D108:D117"/>
    <mergeCell ref="E108:E117"/>
    <mergeCell ref="F108:F117"/>
    <mergeCell ref="G108:G117"/>
    <mergeCell ref="H108:H117"/>
    <mergeCell ref="I108:I117"/>
    <mergeCell ref="J108:J117"/>
    <mergeCell ref="K108:K117"/>
    <mergeCell ref="L108:L117"/>
    <mergeCell ref="M108:M117"/>
    <mergeCell ref="V108:V117"/>
    <mergeCell ref="W9:W35"/>
    <mergeCell ref="D9:D35"/>
    <mergeCell ref="E9:E35"/>
    <mergeCell ref="F9:F35"/>
    <mergeCell ref="G9:G35"/>
    <mergeCell ref="H9:H35"/>
    <mergeCell ref="I9:I35"/>
    <mergeCell ref="A184:A186"/>
    <mergeCell ref="O184:O186"/>
    <mergeCell ref="U184:U186"/>
    <mergeCell ref="B184:B186"/>
    <mergeCell ref="V184:V186"/>
    <mergeCell ref="C184:C186"/>
    <mergeCell ref="W184:W186"/>
    <mergeCell ref="W36:W41"/>
    <mergeCell ref="D36:D41"/>
    <mergeCell ref="E36:E41"/>
    <mergeCell ref="K36:K41"/>
    <mergeCell ref="O42:O51"/>
    <mergeCell ref="U42:U51"/>
    <mergeCell ref="V42:V51"/>
    <mergeCell ref="C42:C51"/>
    <mergeCell ref="W42:W51"/>
    <mergeCell ref="D42:D51"/>
    <mergeCell ref="J218:J220"/>
    <mergeCell ref="K218:K220"/>
    <mergeCell ref="L218:L220"/>
    <mergeCell ref="A218:A220"/>
    <mergeCell ref="O218:O220"/>
    <mergeCell ref="U218:U220"/>
    <mergeCell ref="B218:B220"/>
    <mergeCell ref="V218:V220"/>
    <mergeCell ref="C218:C220"/>
    <mergeCell ref="M218:M220"/>
    <mergeCell ref="D218:D220"/>
    <mergeCell ref="E218:E220"/>
    <mergeCell ref="F218:F220"/>
    <mergeCell ref="G218:G220"/>
    <mergeCell ref="H218:H220"/>
    <mergeCell ref="I218:I220"/>
    <mergeCell ref="W218:W220"/>
    <mergeCell ref="A93:A107"/>
    <mergeCell ref="O93:O107"/>
    <mergeCell ref="U93:U107"/>
    <mergeCell ref="B93:B107"/>
    <mergeCell ref="V93:V107"/>
    <mergeCell ref="C93:C107"/>
    <mergeCell ref="W93:W107"/>
    <mergeCell ref="M93:M107"/>
    <mergeCell ref="D93:D107"/>
    <mergeCell ref="E93:E107"/>
    <mergeCell ref="F93:F107"/>
    <mergeCell ref="G93:G107"/>
    <mergeCell ref="H93:H107"/>
    <mergeCell ref="I93:I107"/>
    <mergeCell ref="J93:J107"/>
    <mergeCell ref="K93:K107"/>
    <mergeCell ref="W118:W123"/>
    <mergeCell ref="M118:M123"/>
    <mergeCell ref="V118:V123"/>
    <mergeCell ref="W165:W172"/>
    <mergeCell ref="D165:D172"/>
    <mergeCell ref="E165:E172"/>
    <mergeCell ref="F165:F172"/>
    <mergeCell ref="W52:W53"/>
    <mergeCell ref="D52:D53"/>
    <mergeCell ref="E52:E53"/>
    <mergeCell ref="I52:I53"/>
    <mergeCell ref="J52:J53"/>
    <mergeCell ref="L93:L107"/>
    <mergeCell ref="W87:W92"/>
    <mergeCell ref="I87:I92"/>
    <mergeCell ref="J87:J92"/>
    <mergeCell ref="K87:K92"/>
    <mergeCell ref="L87:L92"/>
    <mergeCell ref="O87:O92"/>
    <mergeCell ref="U87:U92"/>
    <mergeCell ref="W57:W74"/>
    <mergeCell ref="E57:E74"/>
    <mergeCell ref="F57:F74"/>
    <mergeCell ref="V75:V86"/>
    <mergeCell ref="D57:D74"/>
    <mergeCell ref="V87:V92"/>
    <mergeCell ref="C75:C86"/>
    <mergeCell ref="W75:W86"/>
    <mergeCell ref="D75:D86"/>
    <mergeCell ref="E75:E86"/>
    <mergeCell ref="F75:F86"/>
    <mergeCell ref="G75:G86"/>
    <mergeCell ref="H75:H86"/>
    <mergeCell ref="I75:I86"/>
    <mergeCell ref="J75:J86"/>
    <mergeCell ref="K75:K86"/>
    <mergeCell ref="L75:L86"/>
    <mergeCell ref="M75:M86"/>
    <mergeCell ref="U75:U86"/>
    <mergeCell ref="W149:W152"/>
    <mergeCell ref="G165:G172"/>
    <mergeCell ref="H165:H172"/>
    <mergeCell ref="I165:I172"/>
    <mergeCell ref="J165:J172"/>
    <mergeCell ref="K165:K172"/>
    <mergeCell ref="L165:L172"/>
    <mergeCell ref="M165:M172"/>
    <mergeCell ref="V149:V152"/>
    <mergeCell ref="V173:V176"/>
    <mergeCell ref="C173:C176"/>
    <mergeCell ref="W173:W176"/>
    <mergeCell ref="D173:D176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U165:U172"/>
    <mergeCell ref="B165:B172"/>
    <mergeCell ref="V165:V172"/>
    <mergeCell ref="M173:M176"/>
    <mergeCell ref="A143:A148"/>
    <mergeCell ref="O143:O148"/>
    <mergeCell ref="B143:B148"/>
    <mergeCell ref="C143:C148"/>
    <mergeCell ref="D143:D148"/>
    <mergeCell ref="E143:E148"/>
    <mergeCell ref="F143:F148"/>
    <mergeCell ref="G143:G148"/>
    <mergeCell ref="H143:H148"/>
    <mergeCell ref="I143:I148"/>
    <mergeCell ref="J143:J148"/>
    <mergeCell ref="K143:K148"/>
    <mergeCell ref="L143:L148"/>
    <mergeCell ref="M143:M148"/>
    <mergeCell ref="M153:M164"/>
    <mergeCell ref="U149:U152"/>
    <mergeCell ref="A173:A176"/>
    <mergeCell ref="O173:O176"/>
    <mergeCell ref="U173:U176"/>
    <mergeCell ref="B173:B176"/>
    <mergeCell ref="W131:W142"/>
    <mergeCell ref="U143:U148"/>
    <mergeCell ref="V143:V148"/>
    <mergeCell ref="W143:W148"/>
    <mergeCell ref="U131:U142"/>
    <mergeCell ref="V131:V142"/>
    <mergeCell ref="M149:M152"/>
    <mergeCell ref="A153:A164"/>
    <mergeCell ref="O153:O164"/>
    <mergeCell ref="U153:U164"/>
    <mergeCell ref="B153:B164"/>
    <mergeCell ref="V153:V164"/>
    <mergeCell ref="C153:C164"/>
    <mergeCell ref="W153:W164"/>
    <mergeCell ref="D153:D164"/>
    <mergeCell ref="E153:E164"/>
    <mergeCell ref="F153:F164"/>
    <mergeCell ref="G153:G164"/>
    <mergeCell ref="H153:H164"/>
    <mergeCell ref="I153:I164"/>
    <mergeCell ref="J153:J164"/>
    <mergeCell ref="K153:K164"/>
    <mergeCell ref="L153:L164"/>
    <mergeCell ref="C149:C152"/>
    <mergeCell ref="D87:D92"/>
    <mergeCell ref="E87:E92"/>
    <mergeCell ref="A131:A142"/>
    <mergeCell ref="O131:O142"/>
    <mergeCell ref="B131:B142"/>
    <mergeCell ref="A149:A152"/>
    <mergeCell ref="O149:O152"/>
    <mergeCell ref="B149:B152"/>
    <mergeCell ref="C165:C172"/>
    <mergeCell ref="D131:D142"/>
    <mergeCell ref="A165:A172"/>
    <mergeCell ref="O165:O172"/>
    <mergeCell ref="M131:M142"/>
    <mergeCell ref="I149:I152"/>
    <mergeCell ref="J149:J152"/>
    <mergeCell ref="K149:K152"/>
    <mergeCell ref="L149:L152"/>
    <mergeCell ref="D149:D152"/>
    <mergeCell ref="E149:E152"/>
    <mergeCell ref="F149:F152"/>
    <mergeCell ref="G149:G152"/>
    <mergeCell ref="H149:H152"/>
    <mergeCell ref="O118:O123"/>
    <mergeCell ref="U118:U123"/>
    <mergeCell ref="L131:L142"/>
    <mergeCell ref="L118:L123"/>
    <mergeCell ref="S2:U2"/>
    <mergeCell ref="F2:G2"/>
    <mergeCell ref="N2:O2"/>
    <mergeCell ref="G57:G74"/>
    <mergeCell ref="L57:L74"/>
    <mergeCell ref="M57:M74"/>
    <mergeCell ref="O36:O41"/>
    <mergeCell ref="U36:U41"/>
    <mergeCell ref="L126:L129"/>
    <mergeCell ref="M126:M129"/>
    <mergeCell ref="H87:H92"/>
    <mergeCell ref="O108:O117"/>
    <mergeCell ref="U108:U117"/>
    <mergeCell ref="F87:F92"/>
    <mergeCell ref="G87:G92"/>
    <mergeCell ref="I118:I123"/>
    <mergeCell ref="J118:J123"/>
    <mergeCell ref="K118:K123"/>
    <mergeCell ref="M87:M92"/>
    <mergeCell ref="J9:J35"/>
    <mergeCell ref="V36:V41"/>
    <mergeCell ref="F36:F41"/>
    <mergeCell ref="G36:G41"/>
    <mergeCell ref="H36:H41"/>
    <mergeCell ref="I36:I41"/>
    <mergeCell ref="J36:J41"/>
    <mergeCell ref="U57:U74"/>
    <mergeCell ref="V57:V74"/>
    <mergeCell ref="H57:H74"/>
    <mergeCell ref="I57:I74"/>
    <mergeCell ref="J57:J74"/>
    <mergeCell ref="K57:K74"/>
    <mergeCell ref="F52:F53"/>
    <mergeCell ref="G52:G53"/>
    <mergeCell ref="H52:H53"/>
    <mergeCell ref="V52:V53"/>
    <mergeCell ref="M52:M53"/>
    <mergeCell ref="L36:L41"/>
    <mergeCell ref="M36:M41"/>
    <mergeCell ref="C131:C142"/>
    <mergeCell ref="E131:E142"/>
    <mergeCell ref="F131:F142"/>
    <mergeCell ref="G131:G142"/>
    <mergeCell ref="H131:H142"/>
    <mergeCell ref="I131:I142"/>
    <mergeCell ref="J131:J142"/>
    <mergeCell ref="K131:K142"/>
    <mergeCell ref="G118:G123"/>
    <mergeCell ref="H118:H123"/>
    <mergeCell ref="C118:C123"/>
    <mergeCell ref="I126:I129"/>
    <mergeCell ref="J126:J129"/>
    <mergeCell ref="K126:K129"/>
    <mergeCell ref="C108:C117"/>
    <mergeCell ref="B57:B74"/>
    <mergeCell ref="A52:A53"/>
    <mergeCell ref="B52:B53"/>
    <mergeCell ref="C52:C53"/>
    <mergeCell ref="V126:V129"/>
    <mergeCell ref="C126:C129"/>
    <mergeCell ref="A57:A74"/>
    <mergeCell ref="O57:O74"/>
    <mergeCell ref="A75:A86"/>
    <mergeCell ref="O75:O86"/>
    <mergeCell ref="C57:C74"/>
    <mergeCell ref="D118:D123"/>
    <mergeCell ref="E118:E123"/>
    <mergeCell ref="F118:F123"/>
    <mergeCell ref="B118:B123"/>
    <mergeCell ref="A126:A129"/>
    <mergeCell ref="O126:O129"/>
    <mergeCell ref="U126:U129"/>
    <mergeCell ref="A87:A92"/>
    <mergeCell ref="B87:B92"/>
    <mergeCell ref="C87:C92"/>
    <mergeCell ref="A118:A123"/>
    <mergeCell ref="B126:B129"/>
    <mergeCell ref="A108:A117"/>
    <mergeCell ref="B108:B117"/>
    <mergeCell ref="W126:W129"/>
    <mergeCell ref="D126:D129"/>
    <mergeCell ref="E126:E129"/>
    <mergeCell ref="F126:F129"/>
    <mergeCell ref="G126:G129"/>
    <mergeCell ref="H126:H129"/>
    <mergeCell ref="V54:V55"/>
    <mergeCell ref="C54:C55"/>
    <mergeCell ref="W54:W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A54:A55"/>
    <mergeCell ref="O54:O55"/>
    <mergeCell ref="U54:U55"/>
    <mergeCell ref="B54:B55"/>
    <mergeCell ref="K52:K53"/>
    <mergeCell ref="L52:L53"/>
    <mergeCell ref="O52:O53"/>
    <mergeCell ref="U52:U53"/>
    <mergeCell ref="A36:A41"/>
    <mergeCell ref="B36:B41"/>
    <mergeCell ref="C36:C41"/>
    <mergeCell ref="A42:A51"/>
    <mergeCell ref="B42:B51"/>
    <mergeCell ref="J42:J51"/>
    <mergeCell ref="K42:K51"/>
    <mergeCell ref="L42:L51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8"/>
  <sheetViews>
    <sheetView showGridLines="0" view="pageBreakPreview" topLeftCell="F1" zoomScale="60" zoomScaleNormal="50" workbookViewId="0">
      <pane ySplit="8" topLeftCell="A18" activePane="bottomLeft" state="frozen"/>
      <selection pane="bottomLeft" activeCell="P13" sqref="P13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644" t="s">
        <v>24</v>
      </c>
      <c r="F2" s="645"/>
      <c r="G2" s="80">
        <f>SUM(G9:G9999)</f>
        <v>2375911.7600000002</v>
      </c>
      <c r="L2" s="709" t="s">
        <v>137</v>
      </c>
      <c r="M2" s="710"/>
      <c r="N2" s="69">
        <f>SUM(N9:N9999)</f>
        <v>2193026.2599999998</v>
      </c>
      <c r="P2" s="68"/>
      <c r="Q2" s="471" t="s">
        <v>45</v>
      </c>
      <c r="R2" s="472"/>
      <c r="S2" s="473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463">
        <v>1</v>
      </c>
      <c r="B9" s="416"/>
      <c r="C9" s="416"/>
      <c r="D9" s="416" t="s">
        <v>153</v>
      </c>
      <c r="E9" s="413">
        <v>45300</v>
      </c>
      <c r="F9" s="533" t="s">
        <v>154</v>
      </c>
      <c r="G9" s="419">
        <v>1214926.1100000001</v>
      </c>
      <c r="H9" s="422">
        <f>IF(V9 = 6, G9 + SUM(Q9:Q13) - SUM(R9:R13) - SUM(N9:N13) - T9,0)</f>
        <v>182885.50000000023</v>
      </c>
      <c r="I9" s="711">
        <v>2312054894</v>
      </c>
      <c r="J9" s="416" t="s">
        <v>148</v>
      </c>
      <c r="K9" s="416" t="s">
        <v>248</v>
      </c>
      <c r="L9" s="356" t="s">
        <v>257</v>
      </c>
      <c r="M9" s="416" t="s">
        <v>164</v>
      </c>
      <c r="N9" s="344">
        <v>326741.28999999998</v>
      </c>
      <c r="O9" s="356" t="s">
        <v>265</v>
      </c>
      <c r="P9" s="345"/>
      <c r="Q9" s="344"/>
      <c r="R9" s="344"/>
      <c r="S9" s="533"/>
      <c r="T9" s="419"/>
      <c r="U9" s="530"/>
      <c r="V9" s="85">
        <v>6</v>
      </c>
    </row>
    <row r="10" spans="1:22" x14ac:dyDescent="0.25">
      <c r="A10" s="464"/>
      <c r="B10" s="417"/>
      <c r="C10" s="417"/>
      <c r="D10" s="417"/>
      <c r="E10" s="414"/>
      <c r="F10" s="534"/>
      <c r="G10" s="420"/>
      <c r="H10" s="423"/>
      <c r="I10" s="712"/>
      <c r="J10" s="417"/>
      <c r="K10" s="417"/>
      <c r="L10" s="357" t="s">
        <v>312</v>
      </c>
      <c r="M10" s="417"/>
      <c r="N10" s="347">
        <v>308745.11</v>
      </c>
      <c r="O10" s="357" t="s">
        <v>321</v>
      </c>
      <c r="P10" s="348"/>
      <c r="Q10" s="347"/>
      <c r="R10" s="347"/>
      <c r="S10" s="534"/>
      <c r="T10" s="420"/>
      <c r="U10" s="531"/>
      <c r="V10" s="2">
        <v>6</v>
      </c>
    </row>
    <row r="11" spans="1:22" x14ac:dyDescent="0.25">
      <c r="A11" s="464"/>
      <c r="B11" s="417"/>
      <c r="C11" s="417"/>
      <c r="D11" s="417"/>
      <c r="E11" s="414"/>
      <c r="F11" s="534"/>
      <c r="G11" s="420"/>
      <c r="H11" s="423"/>
      <c r="I11" s="712"/>
      <c r="J11" s="417"/>
      <c r="K11" s="417"/>
      <c r="L11" s="357" t="s">
        <v>402</v>
      </c>
      <c r="M11" s="417"/>
      <c r="N11" s="347">
        <v>236462.58</v>
      </c>
      <c r="O11" s="357" t="s">
        <v>400</v>
      </c>
      <c r="P11" s="348"/>
      <c r="Q11" s="347"/>
      <c r="R11" s="347"/>
      <c r="S11" s="534"/>
      <c r="T11" s="420"/>
      <c r="U11" s="531"/>
      <c r="V11" s="2">
        <v>6</v>
      </c>
    </row>
    <row r="12" spans="1:22" x14ac:dyDescent="0.25">
      <c r="A12" s="464"/>
      <c r="B12" s="417"/>
      <c r="C12" s="417"/>
      <c r="D12" s="417"/>
      <c r="E12" s="414"/>
      <c r="F12" s="534"/>
      <c r="G12" s="420"/>
      <c r="H12" s="423"/>
      <c r="I12" s="712"/>
      <c r="J12" s="417"/>
      <c r="K12" s="417"/>
      <c r="L12" s="357" t="s">
        <v>454</v>
      </c>
      <c r="M12" s="417"/>
      <c r="N12" s="347">
        <v>85877.77</v>
      </c>
      <c r="O12" s="357" t="s">
        <v>463</v>
      </c>
      <c r="P12" s="348"/>
      <c r="Q12" s="347"/>
      <c r="R12" s="347"/>
      <c r="S12" s="534"/>
      <c r="T12" s="420"/>
      <c r="U12" s="531"/>
      <c r="V12" s="2">
        <v>6</v>
      </c>
    </row>
    <row r="13" spans="1:22" s="254" customFormat="1" x14ac:dyDescent="0.25">
      <c r="A13" s="465"/>
      <c r="B13" s="418"/>
      <c r="C13" s="418"/>
      <c r="D13" s="418"/>
      <c r="E13" s="415"/>
      <c r="F13" s="535"/>
      <c r="G13" s="421"/>
      <c r="H13" s="424"/>
      <c r="I13" s="713"/>
      <c r="J13" s="418"/>
      <c r="K13" s="418"/>
      <c r="L13" s="359">
        <v>45596</v>
      </c>
      <c r="M13" s="418"/>
      <c r="N13" s="353">
        <v>74213.86</v>
      </c>
      <c r="O13" s="359">
        <v>45615</v>
      </c>
      <c r="P13" s="354"/>
      <c r="Q13" s="353"/>
      <c r="R13" s="353"/>
      <c r="S13" s="535"/>
      <c r="T13" s="421"/>
      <c r="U13" s="532"/>
      <c r="V13" s="254">
        <v>6</v>
      </c>
    </row>
    <row r="14" spans="1:22" s="85" customFormat="1" ht="135.6" customHeight="1" x14ac:dyDescent="0.25">
      <c r="A14" s="587">
        <v>2</v>
      </c>
      <c r="B14" s="555"/>
      <c r="C14" s="555"/>
      <c r="D14" s="555" t="s">
        <v>288</v>
      </c>
      <c r="E14" s="558">
        <v>45366</v>
      </c>
      <c r="F14" s="561" t="s">
        <v>289</v>
      </c>
      <c r="G14" s="564">
        <v>1042002.5</v>
      </c>
      <c r="H14" s="617">
        <f>IF(V14 = 7, G14 + SUM(Q14:Q15) - SUM(R14:R15) - SUM(N14:N15) - T14,0)</f>
        <v>0</v>
      </c>
      <c r="I14" s="707">
        <v>7715995942</v>
      </c>
      <c r="J14" s="555" t="s">
        <v>290</v>
      </c>
      <c r="K14" s="555" t="s">
        <v>325</v>
      </c>
      <c r="L14" s="232" t="s">
        <v>462</v>
      </c>
      <c r="M14" s="555" t="s">
        <v>291</v>
      </c>
      <c r="N14" s="223">
        <v>970120.25</v>
      </c>
      <c r="O14" s="232" t="s">
        <v>458</v>
      </c>
      <c r="P14" s="222"/>
      <c r="Q14" s="223"/>
      <c r="R14" s="223"/>
      <c r="S14" s="561"/>
      <c r="T14" s="564"/>
      <c r="U14" s="552"/>
      <c r="V14" s="85">
        <v>7</v>
      </c>
    </row>
    <row r="15" spans="1:22" x14ac:dyDescent="0.25">
      <c r="A15" s="589"/>
      <c r="B15" s="557"/>
      <c r="C15" s="557"/>
      <c r="D15" s="557"/>
      <c r="E15" s="560"/>
      <c r="F15" s="563"/>
      <c r="G15" s="566"/>
      <c r="H15" s="619"/>
      <c r="I15" s="708"/>
      <c r="J15" s="557"/>
      <c r="K15" s="557"/>
      <c r="L15" s="230">
        <v>45444</v>
      </c>
      <c r="M15" s="557"/>
      <c r="N15" s="229">
        <v>71882.25</v>
      </c>
      <c r="O15" s="234">
        <v>45477</v>
      </c>
      <c r="P15" s="230"/>
      <c r="Q15" s="229"/>
      <c r="R15" s="229"/>
      <c r="S15" s="563"/>
      <c r="T15" s="566"/>
      <c r="U15" s="554"/>
      <c r="V15" s="2">
        <v>7</v>
      </c>
    </row>
    <row r="16" spans="1:22" s="85" customFormat="1" ht="108" customHeight="1" x14ac:dyDescent="0.25">
      <c r="A16" s="220">
        <v>3</v>
      </c>
      <c r="B16" s="221"/>
      <c r="C16" s="221"/>
      <c r="D16" s="221" t="s">
        <v>322</v>
      </c>
      <c r="E16" s="232" t="s">
        <v>323</v>
      </c>
      <c r="F16" s="222" t="s">
        <v>289</v>
      </c>
      <c r="G16" s="223">
        <v>114292.75</v>
      </c>
      <c r="H16" s="224">
        <f>IF(V16 = 8, G16 + SUM(Q16:Q16) - SUM(R16:R16) - SUM(N16:N16) - T16,0)</f>
        <v>0</v>
      </c>
      <c r="I16" s="235">
        <v>7715995942</v>
      </c>
      <c r="J16" s="221" t="s">
        <v>290</v>
      </c>
      <c r="K16" s="221" t="s">
        <v>324</v>
      </c>
      <c r="L16" s="222">
        <v>45444</v>
      </c>
      <c r="M16" s="221" t="s">
        <v>291</v>
      </c>
      <c r="N16" s="223">
        <v>114292.75</v>
      </c>
      <c r="O16" s="232">
        <v>45477</v>
      </c>
      <c r="P16" s="222"/>
      <c r="Q16" s="223"/>
      <c r="R16" s="223"/>
      <c r="S16" s="222"/>
      <c r="T16" s="223"/>
      <c r="U16" s="225"/>
      <c r="V16" s="85">
        <v>8</v>
      </c>
    </row>
    <row r="17" spans="1:22" s="85" customFormat="1" ht="131.25" x14ac:dyDescent="0.25">
      <c r="A17" s="123">
        <v>4</v>
      </c>
      <c r="B17" s="124"/>
      <c r="C17" s="124"/>
      <c r="D17" s="124" t="s">
        <v>326</v>
      </c>
      <c r="E17" s="125" t="s">
        <v>323</v>
      </c>
      <c r="F17" s="126" t="s">
        <v>289</v>
      </c>
      <c r="G17" s="127">
        <v>4690.3999999999996</v>
      </c>
      <c r="H17" s="128">
        <f>IF(V17 = 9, G17 + SUM(Q17:Q17) - SUM(R17:R17) - SUM(N17:N17) - T17,0)</f>
        <v>0</v>
      </c>
      <c r="I17" s="129">
        <v>7715995942</v>
      </c>
      <c r="J17" s="124" t="s">
        <v>290</v>
      </c>
      <c r="K17" s="124" t="s">
        <v>324</v>
      </c>
      <c r="L17" s="125" t="s">
        <v>467</v>
      </c>
      <c r="M17" s="124" t="s">
        <v>291</v>
      </c>
      <c r="N17" s="127">
        <v>4690.3999999999996</v>
      </c>
      <c r="O17" s="125" t="s">
        <v>468</v>
      </c>
      <c r="P17" s="126"/>
      <c r="Q17" s="127"/>
      <c r="R17" s="127"/>
      <c r="S17" s="126"/>
      <c r="T17" s="127"/>
      <c r="U17" s="130"/>
      <c r="V17" s="85">
        <v>9</v>
      </c>
    </row>
    <row r="18" spans="1:22" x14ac:dyDescent="0.25">
      <c r="V18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U9:U13"/>
    <mergeCell ref="D9:D13"/>
    <mergeCell ref="E9:E13"/>
    <mergeCell ref="F9:F13"/>
    <mergeCell ref="G9:G13"/>
    <mergeCell ref="H9:H13"/>
    <mergeCell ref="I9:I13"/>
    <mergeCell ref="J9:J13"/>
    <mergeCell ref="K9:K13"/>
    <mergeCell ref="Q2:S2"/>
    <mergeCell ref="E2:F2"/>
    <mergeCell ref="L2:M2"/>
    <mergeCell ref="M9:M13"/>
    <mergeCell ref="S9:S13"/>
    <mergeCell ref="A9:A13"/>
    <mergeCell ref="B9:B13"/>
    <mergeCell ref="T9:T13"/>
    <mergeCell ref="A14:A15"/>
    <mergeCell ref="M14:M15"/>
    <mergeCell ref="S14:S15"/>
    <mergeCell ref="B14:B15"/>
    <mergeCell ref="T14:T15"/>
    <mergeCell ref="C14:C15"/>
    <mergeCell ref="C9:C13"/>
    <mergeCell ref="U14:U15"/>
    <mergeCell ref="D14:D15"/>
    <mergeCell ref="E14:E15"/>
    <mergeCell ref="F14:F15"/>
    <mergeCell ref="G14:G15"/>
    <mergeCell ref="H14:H15"/>
    <mergeCell ref="I14:I15"/>
    <mergeCell ref="J14:J15"/>
    <mergeCell ref="K14:K15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V9" sqref="V9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644" t="s">
        <v>139</v>
      </c>
      <c r="F2" s="645"/>
      <c r="G2" s="82">
        <f>SUM(G9:G9999)</f>
        <v>0</v>
      </c>
      <c r="O2" s="644" t="s">
        <v>24</v>
      </c>
      <c r="P2" s="645"/>
      <c r="Q2" s="80">
        <f>SUM(Q9:Q9999)</f>
        <v>0</v>
      </c>
      <c r="T2" s="471" t="s">
        <v>137</v>
      </c>
      <c r="U2" s="473"/>
      <c r="V2" s="69">
        <f>SUM(V9:V9999)</f>
        <v>0</v>
      </c>
      <c r="X2" s="68"/>
      <c r="Y2" s="471" t="s">
        <v>45</v>
      </c>
      <c r="Z2" s="472"/>
      <c r="AA2" s="473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93.75" x14ac:dyDescent="0.25">
      <c r="A9" s="212">
        <v>1</v>
      </c>
      <c r="B9" s="214"/>
      <c r="C9" s="214" t="s">
        <v>515</v>
      </c>
      <c r="D9" s="214"/>
      <c r="E9" s="214"/>
      <c r="F9" s="214"/>
      <c r="G9" s="213"/>
      <c r="H9" s="218">
        <f>IF(AD9 = 1, G9 - Q9,0)</f>
        <v>0</v>
      </c>
      <c r="I9" s="213"/>
      <c r="J9" s="213"/>
      <c r="K9" s="214"/>
      <c r="L9" s="214"/>
      <c r="M9" s="214"/>
      <c r="N9" s="219">
        <v>45470</v>
      </c>
      <c r="O9" s="214" t="s">
        <v>542</v>
      </c>
      <c r="P9" s="214" t="s">
        <v>543</v>
      </c>
      <c r="Q9" s="213"/>
      <c r="R9" s="218">
        <f>IF(AD9 = 1, Q9 + SUM(Y9:Y9) - SUM(Z9:Z9) - SUM(V9:V9) - AB9,0)</f>
        <v>0</v>
      </c>
      <c r="S9" s="214" t="s">
        <v>545</v>
      </c>
      <c r="T9" s="219"/>
      <c r="U9" s="217" t="s">
        <v>544</v>
      </c>
      <c r="V9" s="213"/>
      <c r="W9" s="219"/>
      <c r="X9" s="214"/>
      <c r="Y9" s="213"/>
      <c r="Z9" s="213"/>
      <c r="AA9" s="217"/>
      <c r="AB9" s="213"/>
      <c r="AC9" s="214"/>
      <c r="AD9" s="85">
        <v>1</v>
      </c>
    </row>
    <row r="10" spans="1:30" s="85" customFormat="1" ht="93.75" x14ac:dyDescent="0.25">
      <c r="A10" s="212">
        <v>2</v>
      </c>
      <c r="B10" s="214"/>
      <c r="C10" s="214" t="s">
        <v>202</v>
      </c>
      <c r="D10" s="214"/>
      <c r="E10" s="214"/>
      <c r="F10" s="214"/>
      <c r="G10" s="213"/>
      <c r="H10" s="218">
        <f>IF(AD10 = 2, G10 - Q10,0)</f>
        <v>0</v>
      </c>
      <c r="I10" s="213"/>
      <c r="J10" s="213"/>
      <c r="K10" s="214"/>
      <c r="L10" s="214"/>
      <c r="M10" s="214"/>
      <c r="N10" s="219">
        <v>45652</v>
      </c>
      <c r="O10" s="214" t="s">
        <v>542</v>
      </c>
      <c r="P10" s="214" t="s">
        <v>543</v>
      </c>
      <c r="Q10" s="213"/>
      <c r="R10" s="218">
        <f>IF(AD10 = 2, Q10 + SUM(Y10:Y10) - SUM(Z10:Z10) - SUM(V10:V10) - AB10,0)</f>
        <v>0</v>
      </c>
      <c r="S10" s="214" t="s">
        <v>546</v>
      </c>
      <c r="T10" s="219"/>
      <c r="U10" s="217" t="s">
        <v>544</v>
      </c>
      <c r="V10" s="213"/>
      <c r="W10" s="219"/>
      <c r="X10" s="214"/>
      <c r="Y10" s="213"/>
      <c r="Z10" s="213"/>
      <c r="AA10" s="217"/>
      <c r="AB10" s="213"/>
      <c r="AC10" s="214"/>
      <c r="AD10" s="85">
        <v>2</v>
      </c>
    </row>
    <row r="11" spans="1:30" x14ac:dyDescent="0.25">
      <c r="AD11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644" t="s">
        <v>139</v>
      </c>
      <c r="F2" s="645"/>
      <c r="G2" s="82">
        <f>SUM(G9:G9999)</f>
        <v>0</v>
      </c>
      <c r="H2" s="10"/>
      <c r="O2" s="644" t="s">
        <v>24</v>
      </c>
      <c r="P2" s="645"/>
      <c r="Q2" s="80">
        <f>SUM(Q9:Q9999)</f>
        <v>0</v>
      </c>
      <c r="T2" s="471" t="s">
        <v>137</v>
      </c>
      <c r="U2" s="473"/>
      <c r="V2" s="69">
        <f>SUM(V9:V9999)</f>
        <v>0</v>
      </c>
      <c r="X2" s="68"/>
      <c r="Y2" s="471" t="s">
        <v>45</v>
      </c>
      <c r="Z2" s="472"/>
      <c r="AA2" s="473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61"/>
  <sheetViews>
    <sheetView showGridLines="0" topLeftCell="K1" zoomScale="50" zoomScaleNormal="50" workbookViewId="0">
      <pane ySplit="8" topLeftCell="A39" activePane="bottomLeft" state="frozen"/>
      <selection pane="bottomLeft" activeCell="P7" sqref="P7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644" t="s">
        <v>139</v>
      </c>
      <c r="F2" s="645"/>
      <c r="G2" s="82">
        <f>SUM(G9:G9999)</f>
        <v>3972027</v>
      </c>
      <c r="H2" s="10"/>
      <c r="O2" s="644" t="s">
        <v>24</v>
      </c>
      <c r="P2" s="645"/>
      <c r="Q2" s="80">
        <f>SUM(Q9:Q9999)</f>
        <v>2590274.91</v>
      </c>
      <c r="T2" s="471" t="s">
        <v>137</v>
      </c>
      <c r="U2" s="473"/>
      <c r="V2" s="69">
        <f>SUM(V9:V9999)</f>
        <v>1626285.46</v>
      </c>
      <c r="X2" s="68"/>
      <c r="Y2" s="471" t="s">
        <v>45</v>
      </c>
      <c r="Z2" s="472"/>
      <c r="AA2" s="473"/>
      <c r="AB2" s="70">
        <f>SUM(AB9:AB9999)</f>
        <v>73610.350000000006</v>
      </c>
    </row>
    <row r="4" spans="1:30" ht="39.950000000000003" customHeight="1" x14ac:dyDescent="0.25">
      <c r="P4" s="470"/>
      <c r="Q4" s="470"/>
      <c r="R4" s="470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88.9" customHeight="1" x14ac:dyDescent="0.25">
      <c r="A9" s="581">
        <v>1</v>
      </c>
      <c r="B9" s="573" t="s">
        <v>56</v>
      </c>
      <c r="C9" s="573" t="s">
        <v>198</v>
      </c>
      <c r="D9" s="573"/>
      <c r="E9" s="573" t="s">
        <v>199</v>
      </c>
      <c r="F9" s="573" t="s">
        <v>184</v>
      </c>
      <c r="G9" s="614">
        <v>700940.87</v>
      </c>
      <c r="H9" s="631">
        <f>IF(AD9 = 5, G9 - Q9,0)</f>
        <v>0</v>
      </c>
      <c r="I9" s="614"/>
      <c r="J9" s="614"/>
      <c r="K9" s="573"/>
      <c r="L9" s="573"/>
      <c r="M9" s="573" t="s">
        <v>197</v>
      </c>
      <c r="N9" s="584" t="s">
        <v>200</v>
      </c>
      <c r="O9" s="573">
        <v>2353020735</v>
      </c>
      <c r="P9" s="573" t="s">
        <v>177</v>
      </c>
      <c r="Q9" s="614">
        <v>700940.87</v>
      </c>
      <c r="R9" s="631">
        <f>IF(AD9 = 5, Q9 + SUM(Y9:Y29) - SUM(Z9:Z29) - SUM(V9:V29) - AB9,0)</f>
        <v>-2.9103830456733704E-11</v>
      </c>
      <c r="S9" s="573" t="s">
        <v>201</v>
      </c>
      <c r="T9" s="167" t="s">
        <v>260</v>
      </c>
      <c r="U9" s="573" t="s">
        <v>156</v>
      </c>
      <c r="V9" s="160">
        <v>29010</v>
      </c>
      <c r="W9" s="167" t="s">
        <v>259</v>
      </c>
      <c r="X9" s="158"/>
      <c r="Y9" s="160"/>
      <c r="Z9" s="160"/>
      <c r="AA9" s="573" t="s">
        <v>453</v>
      </c>
      <c r="AB9" s="614">
        <v>73610.350000000006</v>
      </c>
      <c r="AC9" s="655"/>
      <c r="AD9" s="85">
        <v>5</v>
      </c>
    </row>
    <row r="10" spans="1:30" x14ac:dyDescent="0.25">
      <c r="A10" s="582"/>
      <c r="B10" s="574"/>
      <c r="C10" s="574"/>
      <c r="D10" s="574"/>
      <c r="E10" s="574"/>
      <c r="F10" s="574"/>
      <c r="G10" s="615"/>
      <c r="H10" s="632"/>
      <c r="I10" s="615"/>
      <c r="J10" s="615"/>
      <c r="K10" s="574"/>
      <c r="L10" s="574"/>
      <c r="M10" s="574"/>
      <c r="N10" s="585"/>
      <c r="O10" s="574"/>
      <c r="P10" s="574"/>
      <c r="Q10" s="615"/>
      <c r="R10" s="632"/>
      <c r="S10" s="574"/>
      <c r="T10" s="168" t="s">
        <v>261</v>
      </c>
      <c r="U10" s="574"/>
      <c r="V10" s="161">
        <v>23040</v>
      </c>
      <c r="W10" s="168" t="s">
        <v>259</v>
      </c>
      <c r="X10" s="163"/>
      <c r="Y10" s="161"/>
      <c r="Z10" s="161"/>
      <c r="AA10" s="574"/>
      <c r="AB10" s="615"/>
      <c r="AC10" s="656"/>
      <c r="AD10" s="2">
        <v>5</v>
      </c>
    </row>
    <row r="11" spans="1:30" x14ac:dyDescent="0.25">
      <c r="A11" s="582"/>
      <c r="B11" s="574"/>
      <c r="C11" s="574"/>
      <c r="D11" s="574"/>
      <c r="E11" s="574"/>
      <c r="F11" s="574"/>
      <c r="G11" s="615"/>
      <c r="H11" s="632"/>
      <c r="I11" s="615"/>
      <c r="J11" s="615"/>
      <c r="K11" s="574"/>
      <c r="L11" s="574"/>
      <c r="M11" s="574"/>
      <c r="N11" s="585"/>
      <c r="O11" s="574"/>
      <c r="P11" s="574"/>
      <c r="Q11" s="615"/>
      <c r="R11" s="632"/>
      <c r="S11" s="574"/>
      <c r="T11" s="168" t="s">
        <v>262</v>
      </c>
      <c r="U11" s="574"/>
      <c r="V11" s="161">
        <v>2940</v>
      </c>
      <c r="W11" s="168" t="s">
        <v>259</v>
      </c>
      <c r="X11" s="163"/>
      <c r="Y11" s="161"/>
      <c r="Z11" s="161"/>
      <c r="AA11" s="574"/>
      <c r="AB11" s="615"/>
      <c r="AC11" s="656"/>
      <c r="AD11" s="2">
        <v>5</v>
      </c>
    </row>
    <row r="12" spans="1:30" x14ac:dyDescent="0.25">
      <c r="A12" s="582"/>
      <c r="B12" s="574"/>
      <c r="C12" s="574"/>
      <c r="D12" s="574"/>
      <c r="E12" s="574"/>
      <c r="F12" s="574"/>
      <c r="G12" s="615"/>
      <c r="H12" s="632"/>
      <c r="I12" s="615"/>
      <c r="J12" s="615"/>
      <c r="K12" s="574"/>
      <c r="L12" s="574"/>
      <c r="M12" s="574"/>
      <c r="N12" s="585"/>
      <c r="O12" s="574"/>
      <c r="P12" s="574"/>
      <c r="Q12" s="615"/>
      <c r="R12" s="632"/>
      <c r="S12" s="574"/>
      <c r="T12" s="168" t="s">
        <v>262</v>
      </c>
      <c r="U12" s="574"/>
      <c r="V12" s="161">
        <v>8444.6299999999992</v>
      </c>
      <c r="W12" s="168" t="s">
        <v>263</v>
      </c>
      <c r="X12" s="163"/>
      <c r="Y12" s="161"/>
      <c r="Z12" s="161"/>
      <c r="AA12" s="574"/>
      <c r="AB12" s="615"/>
      <c r="AC12" s="656"/>
      <c r="AD12" s="2">
        <v>5</v>
      </c>
    </row>
    <row r="13" spans="1:30" x14ac:dyDescent="0.25">
      <c r="A13" s="582"/>
      <c r="B13" s="574"/>
      <c r="C13" s="574"/>
      <c r="D13" s="574"/>
      <c r="E13" s="574"/>
      <c r="F13" s="574"/>
      <c r="G13" s="615"/>
      <c r="H13" s="632"/>
      <c r="I13" s="615"/>
      <c r="J13" s="615"/>
      <c r="K13" s="574"/>
      <c r="L13" s="574"/>
      <c r="M13" s="574"/>
      <c r="N13" s="585"/>
      <c r="O13" s="574"/>
      <c r="P13" s="574"/>
      <c r="Q13" s="615"/>
      <c r="R13" s="632"/>
      <c r="S13" s="574"/>
      <c r="T13" s="168" t="s">
        <v>262</v>
      </c>
      <c r="U13" s="574"/>
      <c r="V13" s="161">
        <v>539.03</v>
      </c>
      <c r="W13" s="168" t="s">
        <v>263</v>
      </c>
      <c r="X13" s="163"/>
      <c r="Y13" s="161"/>
      <c r="Z13" s="161"/>
      <c r="AA13" s="574"/>
      <c r="AB13" s="615"/>
      <c r="AC13" s="656"/>
      <c r="AD13" s="2">
        <v>5</v>
      </c>
    </row>
    <row r="14" spans="1:30" x14ac:dyDescent="0.25">
      <c r="A14" s="582"/>
      <c r="B14" s="574"/>
      <c r="C14" s="574"/>
      <c r="D14" s="574"/>
      <c r="E14" s="574"/>
      <c r="F14" s="574"/>
      <c r="G14" s="615"/>
      <c r="H14" s="632"/>
      <c r="I14" s="615"/>
      <c r="J14" s="615"/>
      <c r="K14" s="574"/>
      <c r="L14" s="574"/>
      <c r="M14" s="574"/>
      <c r="N14" s="585"/>
      <c r="O14" s="574"/>
      <c r="P14" s="574"/>
      <c r="Q14" s="615"/>
      <c r="R14" s="632"/>
      <c r="S14" s="574"/>
      <c r="T14" s="168" t="s">
        <v>261</v>
      </c>
      <c r="U14" s="574"/>
      <c r="V14" s="161">
        <v>66178.34</v>
      </c>
      <c r="W14" s="168" t="s">
        <v>263</v>
      </c>
      <c r="X14" s="163"/>
      <c r="Y14" s="161"/>
      <c r="Z14" s="161"/>
      <c r="AA14" s="574"/>
      <c r="AB14" s="615"/>
      <c r="AC14" s="656"/>
      <c r="AD14" s="2">
        <v>5</v>
      </c>
    </row>
    <row r="15" spans="1:30" x14ac:dyDescent="0.25">
      <c r="A15" s="582"/>
      <c r="B15" s="574"/>
      <c r="C15" s="574"/>
      <c r="D15" s="574"/>
      <c r="E15" s="574"/>
      <c r="F15" s="574"/>
      <c r="G15" s="615"/>
      <c r="H15" s="632"/>
      <c r="I15" s="615"/>
      <c r="J15" s="615"/>
      <c r="K15" s="574"/>
      <c r="L15" s="574"/>
      <c r="M15" s="574"/>
      <c r="N15" s="585"/>
      <c r="O15" s="574"/>
      <c r="P15" s="574"/>
      <c r="Q15" s="615"/>
      <c r="R15" s="632"/>
      <c r="S15" s="574"/>
      <c r="T15" s="168" t="s">
        <v>261</v>
      </c>
      <c r="U15" s="574"/>
      <c r="V15" s="161">
        <v>4224.22</v>
      </c>
      <c r="W15" s="168" t="s">
        <v>263</v>
      </c>
      <c r="X15" s="163"/>
      <c r="Y15" s="161"/>
      <c r="Z15" s="161"/>
      <c r="AA15" s="574"/>
      <c r="AB15" s="615"/>
      <c r="AC15" s="656"/>
      <c r="AD15" s="2">
        <v>5</v>
      </c>
    </row>
    <row r="16" spans="1:30" x14ac:dyDescent="0.25">
      <c r="A16" s="582"/>
      <c r="B16" s="574"/>
      <c r="C16" s="574"/>
      <c r="D16" s="574"/>
      <c r="E16" s="574"/>
      <c r="F16" s="574"/>
      <c r="G16" s="615"/>
      <c r="H16" s="632"/>
      <c r="I16" s="615"/>
      <c r="J16" s="615"/>
      <c r="K16" s="574"/>
      <c r="L16" s="574"/>
      <c r="M16" s="574"/>
      <c r="N16" s="585"/>
      <c r="O16" s="574"/>
      <c r="P16" s="574"/>
      <c r="Q16" s="615"/>
      <c r="R16" s="632"/>
      <c r="S16" s="574"/>
      <c r="T16" s="168" t="s">
        <v>260</v>
      </c>
      <c r="U16" s="574"/>
      <c r="V16" s="161">
        <v>83326.12</v>
      </c>
      <c r="W16" s="168" t="s">
        <v>263</v>
      </c>
      <c r="X16" s="163"/>
      <c r="Y16" s="161"/>
      <c r="Z16" s="161"/>
      <c r="AA16" s="574"/>
      <c r="AB16" s="615"/>
      <c r="AC16" s="656"/>
      <c r="AD16" s="2">
        <v>5</v>
      </c>
    </row>
    <row r="17" spans="1:30" x14ac:dyDescent="0.25">
      <c r="A17" s="582"/>
      <c r="B17" s="574"/>
      <c r="C17" s="574"/>
      <c r="D17" s="574"/>
      <c r="E17" s="574"/>
      <c r="F17" s="574"/>
      <c r="G17" s="615"/>
      <c r="H17" s="632"/>
      <c r="I17" s="615"/>
      <c r="J17" s="615"/>
      <c r="K17" s="574"/>
      <c r="L17" s="574"/>
      <c r="M17" s="574"/>
      <c r="N17" s="585"/>
      <c r="O17" s="574"/>
      <c r="P17" s="574"/>
      <c r="Q17" s="615"/>
      <c r="R17" s="632"/>
      <c r="S17" s="574"/>
      <c r="T17" s="168" t="s">
        <v>260</v>
      </c>
      <c r="U17" s="574"/>
      <c r="V17" s="161">
        <v>5318.77</v>
      </c>
      <c r="W17" s="168" t="s">
        <v>263</v>
      </c>
      <c r="X17" s="163"/>
      <c r="Y17" s="161"/>
      <c r="Z17" s="161"/>
      <c r="AA17" s="574"/>
      <c r="AB17" s="615"/>
      <c r="AC17" s="656"/>
      <c r="AD17" s="2">
        <v>5</v>
      </c>
    </row>
    <row r="18" spans="1:30" x14ac:dyDescent="0.25">
      <c r="A18" s="582"/>
      <c r="B18" s="574"/>
      <c r="C18" s="574"/>
      <c r="D18" s="574"/>
      <c r="E18" s="574"/>
      <c r="F18" s="574"/>
      <c r="G18" s="615"/>
      <c r="H18" s="632"/>
      <c r="I18" s="615"/>
      <c r="J18" s="615"/>
      <c r="K18" s="574"/>
      <c r="L18" s="574"/>
      <c r="M18" s="574"/>
      <c r="N18" s="585"/>
      <c r="O18" s="574"/>
      <c r="P18" s="574"/>
      <c r="Q18" s="615"/>
      <c r="R18" s="632"/>
      <c r="S18" s="574"/>
      <c r="T18" s="168" t="s">
        <v>265</v>
      </c>
      <c r="U18" s="574"/>
      <c r="V18" s="161">
        <v>74795.320000000007</v>
      </c>
      <c r="W18" s="168" t="s">
        <v>264</v>
      </c>
      <c r="X18" s="163"/>
      <c r="Y18" s="161"/>
      <c r="Z18" s="161"/>
      <c r="AA18" s="574"/>
      <c r="AB18" s="615"/>
      <c r="AC18" s="656"/>
      <c r="AD18" s="2">
        <v>5</v>
      </c>
    </row>
    <row r="19" spans="1:30" x14ac:dyDescent="0.25">
      <c r="A19" s="582"/>
      <c r="B19" s="574"/>
      <c r="C19" s="574"/>
      <c r="D19" s="574"/>
      <c r="E19" s="574"/>
      <c r="F19" s="574"/>
      <c r="G19" s="615"/>
      <c r="H19" s="632"/>
      <c r="I19" s="615"/>
      <c r="J19" s="615"/>
      <c r="K19" s="574"/>
      <c r="L19" s="574"/>
      <c r="M19" s="574"/>
      <c r="N19" s="585"/>
      <c r="O19" s="574"/>
      <c r="P19" s="574"/>
      <c r="Q19" s="615"/>
      <c r="R19" s="632"/>
      <c r="S19" s="574"/>
      <c r="T19" s="168" t="s">
        <v>265</v>
      </c>
      <c r="U19" s="574"/>
      <c r="V19" s="161">
        <v>4774.24</v>
      </c>
      <c r="W19" s="168" t="s">
        <v>264</v>
      </c>
      <c r="X19" s="163"/>
      <c r="Y19" s="161"/>
      <c r="Z19" s="161"/>
      <c r="AA19" s="574"/>
      <c r="AB19" s="615"/>
      <c r="AC19" s="656"/>
      <c r="AD19" s="2">
        <v>5</v>
      </c>
    </row>
    <row r="20" spans="1:30" x14ac:dyDescent="0.25">
      <c r="A20" s="582"/>
      <c r="B20" s="574"/>
      <c r="C20" s="574"/>
      <c r="D20" s="574"/>
      <c r="E20" s="574"/>
      <c r="F20" s="574"/>
      <c r="G20" s="615"/>
      <c r="H20" s="632"/>
      <c r="I20" s="615"/>
      <c r="J20" s="615"/>
      <c r="K20" s="574"/>
      <c r="L20" s="574"/>
      <c r="M20" s="574"/>
      <c r="N20" s="585"/>
      <c r="O20" s="574"/>
      <c r="P20" s="574"/>
      <c r="Q20" s="615"/>
      <c r="R20" s="632"/>
      <c r="S20" s="574"/>
      <c r="T20" s="168" t="s">
        <v>265</v>
      </c>
      <c r="U20" s="574"/>
      <c r="V20" s="161">
        <v>26040</v>
      </c>
      <c r="W20" s="168" t="s">
        <v>264</v>
      </c>
      <c r="X20" s="163"/>
      <c r="Y20" s="161"/>
      <c r="Z20" s="161"/>
      <c r="AA20" s="574"/>
      <c r="AB20" s="615"/>
      <c r="AC20" s="656"/>
      <c r="AD20" s="2">
        <v>5</v>
      </c>
    </row>
    <row r="21" spans="1:30" x14ac:dyDescent="0.25">
      <c r="A21" s="582"/>
      <c r="B21" s="574"/>
      <c r="C21" s="574"/>
      <c r="D21" s="574"/>
      <c r="E21" s="574"/>
      <c r="F21" s="574"/>
      <c r="G21" s="615"/>
      <c r="H21" s="632"/>
      <c r="I21" s="615"/>
      <c r="J21" s="615"/>
      <c r="K21" s="574"/>
      <c r="L21" s="574"/>
      <c r="M21" s="574"/>
      <c r="N21" s="585"/>
      <c r="O21" s="574"/>
      <c r="P21" s="574"/>
      <c r="Q21" s="615"/>
      <c r="R21" s="632"/>
      <c r="S21" s="574"/>
      <c r="T21" s="168" t="s">
        <v>314</v>
      </c>
      <c r="U21" s="574"/>
      <c r="V21" s="161">
        <v>4900.75</v>
      </c>
      <c r="W21" s="168" t="s">
        <v>311</v>
      </c>
      <c r="X21" s="163"/>
      <c r="Y21" s="161"/>
      <c r="Z21" s="161"/>
      <c r="AA21" s="574"/>
      <c r="AB21" s="615"/>
      <c r="AC21" s="656"/>
      <c r="AD21" s="2">
        <v>5</v>
      </c>
    </row>
    <row r="22" spans="1:30" x14ac:dyDescent="0.25">
      <c r="A22" s="582"/>
      <c r="B22" s="574"/>
      <c r="C22" s="574"/>
      <c r="D22" s="574"/>
      <c r="E22" s="574"/>
      <c r="F22" s="574"/>
      <c r="G22" s="615"/>
      <c r="H22" s="632"/>
      <c r="I22" s="615"/>
      <c r="J22" s="615"/>
      <c r="K22" s="574"/>
      <c r="L22" s="574"/>
      <c r="M22" s="574"/>
      <c r="N22" s="585"/>
      <c r="O22" s="574"/>
      <c r="P22" s="574"/>
      <c r="Q22" s="615"/>
      <c r="R22" s="632"/>
      <c r="S22" s="574"/>
      <c r="T22" s="168" t="s">
        <v>314</v>
      </c>
      <c r="U22" s="574"/>
      <c r="V22" s="161">
        <v>76777.22</v>
      </c>
      <c r="W22" s="168" t="s">
        <v>328</v>
      </c>
      <c r="X22" s="163"/>
      <c r="Y22" s="161"/>
      <c r="Z22" s="161"/>
      <c r="AA22" s="574"/>
      <c r="AB22" s="615"/>
      <c r="AC22" s="656"/>
      <c r="AD22" s="2">
        <v>5</v>
      </c>
    </row>
    <row r="23" spans="1:30" x14ac:dyDescent="0.25">
      <c r="A23" s="582"/>
      <c r="B23" s="574"/>
      <c r="C23" s="574"/>
      <c r="D23" s="574"/>
      <c r="E23" s="574"/>
      <c r="F23" s="574"/>
      <c r="G23" s="615"/>
      <c r="H23" s="632"/>
      <c r="I23" s="615"/>
      <c r="J23" s="615"/>
      <c r="K23" s="574"/>
      <c r="L23" s="574"/>
      <c r="M23" s="574"/>
      <c r="N23" s="585"/>
      <c r="O23" s="574"/>
      <c r="P23" s="574"/>
      <c r="Q23" s="615"/>
      <c r="R23" s="632"/>
      <c r="S23" s="574"/>
      <c r="T23" s="168" t="s">
        <v>328</v>
      </c>
      <c r="U23" s="574"/>
      <c r="V23" s="161">
        <v>31410</v>
      </c>
      <c r="W23" s="168" t="s">
        <v>329</v>
      </c>
      <c r="X23" s="163"/>
      <c r="Y23" s="161"/>
      <c r="Z23" s="161"/>
      <c r="AA23" s="574"/>
      <c r="AB23" s="615"/>
      <c r="AC23" s="656"/>
      <c r="AD23" s="2">
        <v>5</v>
      </c>
    </row>
    <row r="24" spans="1:30" x14ac:dyDescent="0.25">
      <c r="A24" s="582"/>
      <c r="B24" s="574"/>
      <c r="C24" s="574"/>
      <c r="D24" s="574"/>
      <c r="E24" s="574"/>
      <c r="F24" s="574"/>
      <c r="G24" s="615"/>
      <c r="H24" s="632"/>
      <c r="I24" s="615"/>
      <c r="J24" s="615"/>
      <c r="K24" s="574"/>
      <c r="L24" s="574"/>
      <c r="M24" s="574"/>
      <c r="N24" s="585"/>
      <c r="O24" s="574"/>
      <c r="P24" s="574"/>
      <c r="Q24" s="615"/>
      <c r="R24" s="632"/>
      <c r="S24" s="574"/>
      <c r="T24" s="168" t="s">
        <v>328</v>
      </c>
      <c r="U24" s="574"/>
      <c r="V24" s="161">
        <v>90219.7</v>
      </c>
      <c r="W24" s="168" t="s">
        <v>329</v>
      </c>
      <c r="X24" s="163"/>
      <c r="Y24" s="161"/>
      <c r="Z24" s="161"/>
      <c r="AA24" s="574"/>
      <c r="AB24" s="615"/>
      <c r="AC24" s="656"/>
      <c r="AD24" s="2">
        <v>5</v>
      </c>
    </row>
    <row r="25" spans="1:30" x14ac:dyDescent="0.25">
      <c r="A25" s="582"/>
      <c r="B25" s="574"/>
      <c r="C25" s="574"/>
      <c r="D25" s="574"/>
      <c r="E25" s="574"/>
      <c r="F25" s="574"/>
      <c r="G25" s="615"/>
      <c r="H25" s="632"/>
      <c r="I25" s="615"/>
      <c r="J25" s="615"/>
      <c r="K25" s="574"/>
      <c r="L25" s="574"/>
      <c r="M25" s="574"/>
      <c r="N25" s="585"/>
      <c r="O25" s="574"/>
      <c r="P25" s="574"/>
      <c r="Q25" s="615"/>
      <c r="R25" s="632"/>
      <c r="S25" s="574"/>
      <c r="T25" s="168" t="s">
        <v>328</v>
      </c>
      <c r="U25" s="574"/>
      <c r="V25" s="161">
        <v>5758.79</v>
      </c>
      <c r="W25" s="168" t="s">
        <v>329</v>
      </c>
      <c r="X25" s="163"/>
      <c r="Y25" s="161"/>
      <c r="Z25" s="161"/>
      <c r="AA25" s="574"/>
      <c r="AB25" s="615"/>
      <c r="AC25" s="656"/>
      <c r="AD25" s="2">
        <v>5</v>
      </c>
    </row>
    <row r="26" spans="1:30" x14ac:dyDescent="0.25">
      <c r="A26" s="582"/>
      <c r="B26" s="574"/>
      <c r="C26" s="574"/>
      <c r="D26" s="574"/>
      <c r="E26" s="574"/>
      <c r="F26" s="574"/>
      <c r="G26" s="615"/>
      <c r="H26" s="632"/>
      <c r="I26" s="615"/>
      <c r="J26" s="615"/>
      <c r="K26" s="574"/>
      <c r="L26" s="574"/>
      <c r="M26" s="574"/>
      <c r="N26" s="585"/>
      <c r="O26" s="574"/>
      <c r="P26" s="574"/>
      <c r="Q26" s="615"/>
      <c r="R26" s="632"/>
      <c r="S26" s="574"/>
      <c r="T26" s="168" t="s">
        <v>314</v>
      </c>
      <c r="U26" s="574"/>
      <c r="V26" s="161">
        <v>26730</v>
      </c>
      <c r="W26" s="168" t="s">
        <v>330</v>
      </c>
      <c r="X26" s="163"/>
      <c r="Y26" s="161"/>
      <c r="Z26" s="161"/>
      <c r="AA26" s="574"/>
      <c r="AB26" s="615"/>
      <c r="AC26" s="656"/>
      <c r="AD26" s="2">
        <v>5</v>
      </c>
    </row>
    <row r="27" spans="1:30" x14ac:dyDescent="0.25">
      <c r="A27" s="582"/>
      <c r="B27" s="574"/>
      <c r="C27" s="574"/>
      <c r="D27" s="574"/>
      <c r="E27" s="574"/>
      <c r="F27" s="574"/>
      <c r="G27" s="615"/>
      <c r="H27" s="632"/>
      <c r="I27" s="615"/>
      <c r="J27" s="615"/>
      <c r="K27" s="574"/>
      <c r="L27" s="574"/>
      <c r="M27" s="574"/>
      <c r="N27" s="585"/>
      <c r="O27" s="574"/>
      <c r="P27" s="574"/>
      <c r="Q27" s="615"/>
      <c r="R27" s="632"/>
      <c r="S27" s="574"/>
      <c r="T27" s="168" t="s">
        <v>422</v>
      </c>
      <c r="U27" s="574"/>
      <c r="V27" s="161">
        <v>44549.75</v>
      </c>
      <c r="W27" s="168" t="s">
        <v>404</v>
      </c>
      <c r="X27" s="163"/>
      <c r="Y27" s="161"/>
      <c r="Z27" s="161"/>
      <c r="AA27" s="574"/>
      <c r="AB27" s="615"/>
      <c r="AC27" s="656"/>
      <c r="AD27" s="2">
        <v>5</v>
      </c>
    </row>
    <row r="28" spans="1:30" x14ac:dyDescent="0.25">
      <c r="A28" s="582"/>
      <c r="B28" s="574"/>
      <c r="C28" s="574"/>
      <c r="D28" s="574"/>
      <c r="E28" s="574"/>
      <c r="F28" s="574"/>
      <c r="G28" s="615"/>
      <c r="H28" s="632"/>
      <c r="I28" s="615"/>
      <c r="J28" s="615"/>
      <c r="K28" s="574"/>
      <c r="L28" s="574"/>
      <c r="M28" s="574"/>
      <c r="N28" s="585"/>
      <c r="O28" s="574"/>
      <c r="P28" s="574"/>
      <c r="Q28" s="615"/>
      <c r="R28" s="632"/>
      <c r="S28" s="574"/>
      <c r="T28" s="168" t="s">
        <v>422</v>
      </c>
      <c r="U28" s="574"/>
      <c r="V28" s="161">
        <v>2843.64</v>
      </c>
      <c r="W28" s="168" t="s">
        <v>404</v>
      </c>
      <c r="X28" s="163"/>
      <c r="Y28" s="161"/>
      <c r="Z28" s="161"/>
      <c r="AA28" s="574"/>
      <c r="AB28" s="615"/>
      <c r="AC28" s="656"/>
      <c r="AD28" s="2">
        <v>5</v>
      </c>
    </row>
    <row r="29" spans="1:30" x14ac:dyDescent="0.25">
      <c r="A29" s="583"/>
      <c r="B29" s="575"/>
      <c r="C29" s="575"/>
      <c r="D29" s="575"/>
      <c r="E29" s="575"/>
      <c r="F29" s="575"/>
      <c r="G29" s="616"/>
      <c r="H29" s="633"/>
      <c r="I29" s="616"/>
      <c r="J29" s="616"/>
      <c r="K29" s="575"/>
      <c r="L29" s="575"/>
      <c r="M29" s="575"/>
      <c r="N29" s="586"/>
      <c r="O29" s="575"/>
      <c r="P29" s="575"/>
      <c r="Q29" s="616"/>
      <c r="R29" s="633"/>
      <c r="S29" s="575"/>
      <c r="T29" s="169" t="s">
        <v>422</v>
      </c>
      <c r="U29" s="575"/>
      <c r="V29" s="164">
        <v>15510</v>
      </c>
      <c r="W29" s="169" t="s">
        <v>404</v>
      </c>
      <c r="X29" s="166"/>
      <c r="Y29" s="164"/>
      <c r="Z29" s="164"/>
      <c r="AA29" s="575"/>
      <c r="AB29" s="616"/>
      <c r="AC29" s="657"/>
      <c r="AD29" s="2">
        <v>5</v>
      </c>
    </row>
    <row r="30" spans="1:30" s="85" customFormat="1" ht="100.9" customHeight="1" x14ac:dyDescent="0.25">
      <c r="A30" s="732">
        <v>2</v>
      </c>
      <c r="B30" s="735" t="s">
        <v>56</v>
      </c>
      <c r="C30" s="735" t="s">
        <v>202</v>
      </c>
      <c r="D30" s="735"/>
      <c r="E30" s="735" t="s">
        <v>204</v>
      </c>
      <c r="F30" s="735" t="s">
        <v>205</v>
      </c>
      <c r="G30" s="738">
        <v>1210368.93</v>
      </c>
      <c r="H30" s="717">
        <f>IF(AD30 = 6, G30 - Q30,0)</f>
        <v>817922.08999999985</v>
      </c>
      <c r="I30" s="738"/>
      <c r="J30" s="738"/>
      <c r="K30" s="735"/>
      <c r="L30" s="735"/>
      <c r="M30" s="735" t="s">
        <v>203</v>
      </c>
      <c r="N30" s="741" t="s">
        <v>200</v>
      </c>
      <c r="O30" s="735">
        <v>2304067057</v>
      </c>
      <c r="P30" s="735" t="s">
        <v>155</v>
      </c>
      <c r="Q30" s="738">
        <v>392446.84</v>
      </c>
      <c r="R30" s="717">
        <f>IF(AD30 = 6, Q30 + SUM(Y30:Y35) - SUM(Z30:Z35) - SUM(V30:V35) - AB30,0)</f>
        <v>5.8207660913467407E-11</v>
      </c>
      <c r="S30" s="735" t="s">
        <v>206</v>
      </c>
      <c r="T30" s="242" t="s">
        <v>266</v>
      </c>
      <c r="U30" s="735" t="s">
        <v>207</v>
      </c>
      <c r="V30" s="237">
        <v>68347.48</v>
      </c>
      <c r="W30" s="242" t="s">
        <v>271</v>
      </c>
      <c r="X30" s="236"/>
      <c r="Y30" s="237"/>
      <c r="Z30" s="237"/>
      <c r="AA30" s="735"/>
      <c r="AB30" s="738"/>
      <c r="AC30" s="714"/>
      <c r="AD30" s="85">
        <v>6</v>
      </c>
    </row>
    <row r="31" spans="1:30" x14ac:dyDescent="0.25">
      <c r="A31" s="733"/>
      <c r="B31" s="736"/>
      <c r="C31" s="736"/>
      <c r="D31" s="736"/>
      <c r="E31" s="736"/>
      <c r="F31" s="736"/>
      <c r="G31" s="739"/>
      <c r="H31" s="718"/>
      <c r="I31" s="739"/>
      <c r="J31" s="739"/>
      <c r="K31" s="736"/>
      <c r="L31" s="736"/>
      <c r="M31" s="736"/>
      <c r="N31" s="742"/>
      <c r="O31" s="736"/>
      <c r="P31" s="736"/>
      <c r="Q31" s="739"/>
      <c r="R31" s="718"/>
      <c r="S31" s="736"/>
      <c r="T31" s="243" t="s">
        <v>310</v>
      </c>
      <c r="U31" s="736"/>
      <c r="V31" s="238">
        <v>63937.97</v>
      </c>
      <c r="W31" s="243" t="s">
        <v>316</v>
      </c>
      <c r="X31" s="239"/>
      <c r="Y31" s="238"/>
      <c r="Z31" s="238"/>
      <c r="AA31" s="736"/>
      <c r="AB31" s="739"/>
      <c r="AC31" s="715"/>
      <c r="AD31" s="2">
        <v>6</v>
      </c>
    </row>
    <row r="32" spans="1:30" x14ac:dyDescent="0.25">
      <c r="A32" s="733"/>
      <c r="B32" s="736"/>
      <c r="C32" s="736"/>
      <c r="D32" s="736"/>
      <c r="E32" s="736"/>
      <c r="F32" s="736"/>
      <c r="G32" s="739"/>
      <c r="H32" s="718"/>
      <c r="I32" s="739"/>
      <c r="J32" s="739"/>
      <c r="K32" s="736"/>
      <c r="L32" s="736"/>
      <c r="M32" s="736"/>
      <c r="N32" s="742"/>
      <c r="O32" s="736"/>
      <c r="P32" s="736"/>
      <c r="Q32" s="739"/>
      <c r="R32" s="718"/>
      <c r="S32" s="736"/>
      <c r="T32" s="243" t="s">
        <v>401</v>
      </c>
      <c r="U32" s="736"/>
      <c r="V32" s="238">
        <v>68347.48</v>
      </c>
      <c r="W32" s="243" t="s">
        <v>404</v>
      </c>
      <c r="X32" s="239"/>
      <c r="Y32" s="238"/>
      <c r="Z32" s="238"/>
      <c r="AA32" s="736"/>
      <c r="AB32" s="739"/>
      <c r="AC32" s="715"/>
      <c r="AD32" s="2">
        <v>6</v>
      </c>
    </row>
    <row r="33" spans="1:30" x14ac:dyDescent="0.25">
      <c r="A33" s="733"/>
      <c r="B33" s="736"/>
      <c r="C33" s="736"/>
      <c r="D33" s="736"/>
      <c r="E33" s="736"/>
      <c r="F33" s="736"/>
      <c r="G33" s="739"/>
      <c r="H33" s="718"/>
      <c r="I33" s="739"/>
      <c r="J33" s="739"/>
      <c r="K33" s="736"/>
      <c r="L33" s="736"/>
      <c r="M33" s="736"/>
      <c r="N33" s="742"/>
      <c r="O33" s="736"/>
      <c r="P33" s="736"/>
      <c r="Q33" s="739"/>
      <c r="R33" s="718"/>
      <c r="S33" s="736"/>
      <c r="T33" s="243" t="s">
        <v>457</v>
      </c>
      <c r="U33" s="736"/>
      <c r="V33" s="238">
        <v>66142.73</v>
      </c>
      <c r="W33" s="243" t="s">
        <v>459</v>
      </c>
      <c r="X33" s="239"/>
      <c r="Y33" s="238"/>
      <c r="Z33" s="238"/>
      <c r="AA33" s="736"/>
      <c r="AB33" s="739"/>
      <c r="AC33" s="715"/>
      <c r="AD33" s="2">
        <v>6</v>
      </c>
    </row>
    <row r="34" spans="1:30" x14ac:dyDescent="0.25">
      <c r="A34" s="733"/>
      <c r="B34" s="736"/>
      <c r="C34" s="736"/>
      <c r="D34" s="736"/>
      <c r="E34" s="736"/>
      <c r="F34" s="736"/>
      <c r="G34" s="739"/>
      <c r="H34" s="718"/>
      <c r="I34" s="739"/>
      <c r="J34" s="739"/>
      <c r="K34" s="736"/>
      <c r="L34" s="736"/>
      <c r="M34" s="736"/>
      <c r="N34" s="742"/>
      <c r="O34" s="736"/>
      <c r="P34" s="736"/>
      <c r="Q34" s="739"/>
      <c r="R34" s="718"/>
      <c r="S34" s="736"/>
      <c r="T34" s="243" t="s">
        <v>514</v>
      </c>
      <c r="U34" s="736"/>
      <c r="V34" s="238">
        <v>68347.48</v>
      </c>
      <c r="W34" s="243" t="s">
        <v>507</v>
      </c>
      <c r="X34" s="239"/>
      <c r="Y34" s="238"/>
      <c r="Z34" s="238"/>
      <c r="AA34" s="736"/>
      <c r="AB34" s="739"/>
      <c r="AC34" s="715"/>
      <c r="AD34" s="2">
        <v>6</v>
      </c>
    </row>
    <row r="35" spans="1:30" x14ac:dyDescent="0.25">
      <c r="A35" s="734"/>
      <c r="B35" s="737"/>
      <c r="C35" s="737"/>
      <c r="D35" s="737"/>
      <c r="E35" s="737"/>
      <c r="F35" s="737"/>
      <c r="G35" s="740"/>
      <c r="H35" s="719"/>
      <c r="I35" s="740"/>
      <c r="J35" s="740"/>
      <c r="K35" s="737"/>
      <c r="L35" s="737"/>
      <c r="M35" s="737"/>
      <c r="N35" s="743"/>
      <c r="O35" s="737"/>
      <c r="P35" s="737"/>
      <c r="Q35" s="740"/>
      <c r="R35" s="719"/>
      <c r="S35" s="737"/>
      <c r="T35" s="244">
        <v>45470</v>
      </c>
      <c r="U35" s="737"/>
      <c r="V35" s="240">
        <v>57323.7</v>
      </c>
      <c r="W35" s="244">
        <v>45483</v>
      </c>
      <c r="X35" s="241"/>
      <c r="Y35" s="240"/>
      <c r="Z35" s="240"/>
      <c r="AA35" s="737"/>
      <c r="AB35" s="740"/>
      <c r="AC35" s="716"/>
      <c r="AD35" s="2">
        <v>6</v>
      </c>
    </row>
    <row r="36" spans="1:30" s="85" customFormat="1" ht="90" customHeight="1" x14ac:dyDescent="0.25">
      <c r="A36" s="744">
        <v>3</v>
      </c>
      <c r="B36" s="723" t="s">
        <v>56</v>
      </c>
      <c r="C36" s="723" t="s">
        <v>515</v>
      </c>
      <c r="D36" s="723"/>
      <c r="E36" s="723" t="s">
        <v>520</v>
      </c>
      <c r="F36" s="723" t="s">
        <v>205</v>
      </c>
      <c r="G36" s="720">
        <v>783977.2</v>
      </c>
      <c r="H36" s="729">
        <f>IF(AD36 = 7, G36 - Q36,0)</f>
        <v>563830</v>
      </c>
      <c r="I36" s="720"/>
      <c r="J36" s="720"/>
      <c r="K36" s="723"/>
      <c r="L36" s="723"/>
      <c r="M36" s="723" t="s">
        <v>517</v>
      </c>
      <c r="N36" s="747" t="s">
        <v>516</v>
      </c>
      <c r="O36" s="723">
        <v>2304067057</v>
      </c>
      <c r="P36" s="723" t="s">
        <v>155</v>
      </c>
      <c r="Q36" s="720">
        <v>220147.20000000001</v>
      </c>
      <c r="R36" s="729">
        <f>IF(AD36 = 7, Q36 + SUM(Y36:Y39) - SUM(Z36:Z39) - SUM(V36:V39) - AB36,0)</f>
        <v>0</v>
      </c>
      <c r="S36" s="723" t="s">
        <v>518</v>
      </c>
      <c r="T36" s="278">
        <v>45475</v>
      </c>
      <c r="U36" s="723" t="s">
        <v>207</v>
      </c>
      <c r="V36" s="279">
        <v>9676.7999999999993</v>
      </c>
      <c r="W36" s="278">
        <v>45488</v>
      </c>
      <c r="X36" s="280"/>
      <c r="Y36" s="279"/>
      <c r="Z36" s="279"/>
      <c r="AA36" s="723"/>
      <c r="AB36" s="720"/>
      <c r="AC36" s="726"/>
      <c r="AD36" s="85">
        <v>7</v>
      </c>
    </row>
    <row r="37" spans="1:30" x14ac:dyDescent="0.25">
      <c r="A37" s="745"/>
      <c r="B37" s="724"/>
      <c r="C37" s="724"/>
      <c r="D37" s="724"/>
      <c r="E37" s="724"/>
      <c r="F37" s="724"/>
      <c r="G37" s="721"/>
      <c r="H37" s="730"/>
      <c r="I37" s="721"/>
      <c r="J37" s="721"/>
      <c r="K37" s="724"/>
      <c r="L37" s="724"/>
      <c r="M37" s="724"/>
      <c r="N37" s="748"/>
      <c r="O37" s="724"/>
      <c r="P37" s="724"/>
      <c r="Q37" s="721"/>
      <c r="R37" s="730"/>
      <c r="S37" s="724"/>
      <c r="T37" s="311">
        <v>45505</v>
      </c>
      <c r="U37" s="724"/>
      <c r="V37" s="309">
        <v>74995.199999999997</v>
      </c>
      <c r="W37" s="311">
        <v>45512</v>
      </c>
      <c r="X37" s="310"/>
      <c r="Y37" s="309"/>
      <c r="Z37" s="309"/>
      <c r="AA37" s="724"/>
      <c r="AB37" s="721"/>
      <c r="AC37" s="727"/>
      <c r="AD37" s="2">
        <v>7</v>
      </c>
    </row>
    <row r="38" spans="1:30" s="254" customFormat="1" x14ac:dyDescent="0.25">
      <c r="A38" s="745"/>
      <c r="B38" s="724"/>
      <c r="C38" s="724"/>
      <c r="D38" s="724"/>
      <c r="E38" s="724"/>
      <c r="F38" s="724"/>
      <c r="G38" s="721"/>
      <c r="H38" s="730"/>
      <c r="I38" s="721"/>
      <c r="J38" s="721"/>
      <c r="K38" s="724"/>
      <c r="L38" s="724"/>
      <c r="M38" s="724"/>
      <c r="N38" s="748"/>
      <c r="O38" s="724"/>
      <c r="P38" s="724"/>
      <c r="Q38" s="721"/>
      <c r="R38" s="730"/>
      <c r="S38" s="724"/>
      <c r="T38" s="284">
        <v>45561</v>
      </c>
      <c r="U38" s="724"/>
      <c r="V38" s="285">
        <v>60480</v>
      </c>
      <c r="W38" s="284">
        <v>45575</v>
      </c>
      <c r="X38" s="286"/>
      <c r="Y38" s="285"/>
      <c r="Z38" s="285"/>
      <c r="AA38" s="724"/>
      <c r="AB38" s="721"/>
      <c r="AC38" s="727"/>
      <c r="AD38" s="254">
        <v>7</v>
      </c>
    </row>
    <row r="39" spans="1:30" s="254" customFormat="1" x14ac:dyDescent="0.25">
      <c r="A39" s="746"/>
      <c r="B39" s="725"/>
      <c r="C39" s="725"/>
      <c r="D39" s="725"/>
      <c r="E39" s="725"/>
      <c r="F39" s="725"/>
      <c r="G39" s="722"/>
      <c r="H39" s="731"/>
      <c r="I39" s="722"/>
      <c r="J39" s="722"/>
      <c r="K39" s="725"/>
      <c r="L39" s="725"/>
      <c r="M39" s="725"/>
      <c r="N39" s="749"/>
      <c r="O39" s="725"/>
      <c r="P39" s="725"/>
      <c r="Q39" s="722"/>
      <c r="R39" s="731"/>
      <c r="S39" s="725"/>
      <c r="T39" s="281">
        <v>45536</v>
      </c>
      <c r="U39" s="725"/>
      <c r="V39" s="282">
        <v>74995.199999999997</v>
      </c>
      <c r="W39" s="281">
        <v>45546</v>
      </c>
      <c r="X39" s="283"/>
      <c r="Y39" s="282"/>
      <c r="Z39" s="282"/>
      <c r="AA39" s="725"/>
      <c r="AB39" s="722"/>
      <c r="AC39" s="728"/>
      <c r="AD39" s="254">
        <v>7</v>
      </c>
    </row>
    <row r="40" spans="1:30" s="85" customFormat="1" ht="72" customHeight="1" x14ac:dyDescent="0.25">
      <c r="A40" s="463">
        <v>4</v>
      </c>
      <c r="B40" s="416" t="s">
        <v>56</v>
      </c>
      <c r="C40" s="416" t="s">
        <v>521</v>
      </c>
      <c r="D40" s="416"/>
      <c r="E40" s="416" t="s">
        <v>522</v>
      </c>
      <c r="F40" s="416" t="s">
        <v>184</v>
      </c>
      <c r="G40" s="419">
        <v>1065540</v>
      </c>
      <c r="H40" s="422">
        <f>IF(AD40 = 8, G40 - Q40,0)</f>
        <v>0</v>
      </c>
      <c r="I40" s="419"/>
      <c r="J40" s="419"/>
      <c r="K40" s="416"/>
      <c r="L40" s="416"/>
      <c r="M40" s="416" t="s">
        <v>523</v>
      </c>
      <c r="N40" s="413" t="s">
        <v>519</v>
      </c>
      <c r="O40" s="416">
        <v>2353020735</v>
      </c>
      <c r="P40" s="416" t="s">
        <v>504</v>
      </c>
      <c r="Q40" s="419">
        <v>1065540</v>
      </c>
      <c r="R40" s="422">
        <f>IF(AD40 = 8, Q40 + SUM(Y40:Y51) - SUM(Z40:Z51) - SUM(V40:V51) - AB40,0)</f>
        <v>782859.1</v>
      </c>
      <c r="S40" s="416" t="s">
        <v>524</v>
      </c>
      <c r="T40" s="356">
        <v>45554</v>
      </c>
      <c r="U40" s="416" t="s">
        <v>156</v>
      </c>
      <c r="V40" s="344">
        <v>17315.12</v>
      </c>
      <c r="W40" s="356">
        <v>45560</v>
      </c>
      <c r="X40" s="346"/>
      <c r="Y40" s="344"/>
      <c r="Z40" s="344"/>
      <c r="AA40" s="416"/>
      <c r="AB40" s="419"/>
      <c r="AC40" s="530"/>
      <c r="AD40" s="85">
        <v>8</v>
      </c>
    </row>
    <row r="41" spans="1:30" s="254" customFormat="1" x14ac:dyDescent="0.25">
      <c r="A41" s="464"/>
      <c r="B41" s="417"/>
      <c r="C41" s="417"/>
      <c r="D41" s="417"/>
      <c r="E41" s="417"/>
      <c r="F41" s="417"/>
      <c r="G41" s="420"/>
      <c r="H41" s="423"/>
      <c r="I41" s="420"/>
      <c r="J41" s="420"/>
      <c r="K41" s="417"/>
      <c r="L41" s="417"/>
      <c r="M41" s="417"/>
      <c r="N41" s="414"/>
      <c r="O41" s="417"/>
      <c r="P41" s="417"/>
      <c r="Q41" s="420"/>
      <c r="R41" s="423"/>
      <c r="S41" s="417"/>
      <c r="T41" s="358">
        <v>45554</v>
      </c>
      <c r="U41" s="417"/>
      <c r="V41" s="350">
        <v>53711.69</v>
      </c>
      <c r="W41" s="358">
        <v>45560</v>
      </c>
      <c r="X41" s="352"/>
      <c r="Y41" s="350"/>
      <c r="Z41" s="350"/>
      <c r="AA41" s="417"/>
      <c r="AB41" s="420"/>
      <c r="AC41" s="531"/>
      <c r="AD41" s="254">
        <v>8</v>
      </c>
    </row>
    <row r="42" spans="1:30" s="254" customFormat="1" x14ac:dyDescent="0.25">
      <c r="A42" s="464"/>
      <c r="B42" s="417"/>
      <c r="C42" s="417"/>
      <c r="D42" s="417"/>
      <c r="E42" s="417"/>
      <c r="F42" s="417"/>
      <c r="G42" s="420"/>
      <c r="H42" s="423"/>
      <c r="I42" s="420"/>
      <c r="J42" s="420"/>
      <c r="K42" s="417"/>
      <c r="L42" s="417"/>
      <c r="M42" s="417"/>
      <c r="N42" s="414"/>
      <c r="O42" s="417"/>
      <c r="P42" s="417"/>
      <c r="Q42" s="420"/>
      <c r="R42" s="423"/>
      <c r="S42" s="417"/>
      <c r="T42" s="358">
        <v>45554</v>
      </c>
      <c r="U42" s="417"/>
      <c r="V42" s="350">
        <v>3428.21</v>
      </c>
      <c r="W42" s="358">
        <v>45560</v>
      </c>
      <c r="X42" s="352"/>
      <c r="Y42" s="350"/>
      <c r="Z42" s="350"/>
      <c r="AA42" s="417"/>
      <c r="AB42" s="420"/>
      <c r="AC42" s="531"/>
      <c r="AD42" s="254">
        <v>8</v>
      </c>
    </row>
    <row r="43" spans="1:30" s="254" customFormat="1" x14ac:dyDescent="0.25">
      <c r="A43" s="464"/>
      <c r="B43" s="417"/>
      <c r="C43" s="417"/>
      <c r="D43" s="417"/>
      <c r="E43" s="417"/>
      <c r="F43" s="417"/>
      <c r="G43" s="420"/>
      <c r="H43" s="423"/>
      <c r="I43" s="420"/>
      <c r="J43" s="420"/>
      <c r="K43" s="417"/>
      <c r="L43" s="417"/>
      <c r="M43" s="417"/>
      <c r="N43" s="414"/>
      <c r="O43" s="417"/>
      <c r="P43" s="417"/>
      <c r="Q43" s="420"/>
      <c r="R43" s="423"/>
      <c r="S43" s="417"/>
      <c r="T43" s="358">
        <v>45567</v>
      </c>
      <c r="U43" s="417"/>
      <c r="V43" s="350">
        <v>15771.19</v>
      </c>
      <c r="W43" s="358">
        <v>45574</v>
      </c>
      <c r="X43" s="352"/>
      <c r="Y43" s="350"/>
      <c r="Z43" s="350"/>
      <c r="AA43" s="417"/>
      <c r="AB43" s="420"/>
      <c r="AC43" s="531"/>
      <c r="AD43" s="254">
        <v>8</v>
      </c>
    </row>
    <row r="44" spans="1:30" s="254" customFormat="1" x14ac:dyDescent="0.25">
      <c r="A44" s="464"/>
      <c r="B44" s="417"/>
      <c r="C44" s="417"/>
      <c r="D44" s="417"/>
      <c r="E44" s="417"/>
      <c r="F44" s="417"/>
      <c r="G44" s="420"/>
      <c r="H44" s="423"/>
      <c r="I44" s="420"/>
      <c r="J44" s="420"/>
      <c r="K44" s="417"/>
      <c r="L44" s="417"/>
      <c r="M44" s="417"/>
      <c r="N44" s="414"/>
      <c r="O44" s="417"/>
      <c r="P44" s="417"/>
      <c r="Q44" s="420"/>
      <c r="R44" s="423"/>
      <c r="S44" s="417"/>
      <c r="T44" s="358">
        <v>45567</v>
      </c>
      <c r="U44" s="417"/>
      <c r="V44" s="350">
        <v>48922.2</v>
      </c>
      <c r="W44" s="358">
        <v>45574</v>
      </c>
      <c r="X44" s="352"/>
      <c r="Y44" s="350"/>
      <c r="Z44" s="350"/>
      <c r="AA44" s="417"/>
      <c r="AB44" s="420"/>
      <c r="AC44" s="531"/>
      <c r="AD44" s="254">
        <v>8</v>
      </c>
    </row>
    <row r="45" spans="1:30" s="254" customFormat="1" x14ac:dyDescent="0.25">
      <c r="A45" s="464"/>
      <c r="B45" s="417"/>
      <c r="C45" s="417"/>
      <c r="D45" s="417"/>
      <c r="E45" s="417"/>
      <c r="F45" s="417"/>
      <c r="G45" s="420"/>
      <c r="H45" s="423"/>
      <c r="I45" s="420"/>
      <c r="J45" s="420"/>
      <c r="K45" s="417"/>
      <c r="L45" s="417"/>
      <c r="M45" s="417"/>
      <c r="N45" s="414"/>
      <c r="O45" s="417"/>
      <c r="P45" s="417"/>
      <c r="Q45" s="420"/>
      <c r="R45" s="423"/>
      <c r="S45" s="417"/>
      <c r="T45" s="358">
        <v>45567</v>
      </c>
      <c r="U45" s="417"/>
      <c r="V45" s="350">
        <v>3122.73</v>
      </c>
      <c r="W45" s="358">
        <v>45574</v>
      </c>
      <c r="X45" s="352"/>
      <c r="Y45" s="350"/>
      <c r="Z45" s="350"/>
      <c r="AA45" s="417"/>
      <c r="AB45" s="420"/>
      <c r="AC45" s="531"/>
      <c r="AD45" s="254">
        <v>8</v>
      </c>
    </row>
    <row r="46" spans="1:30" s="254" customFormat="1" x14ac:dyDescent="0.25">
      <c r="A46" s="464"/>
      <c r="B46" s="417"/>
      <c r="C46" s="417"/>
      <c r="D46" s="417"/>
      <c r="E46" s="417"/>
      <c r="F46" s="417"/>
      <c r="G46" s="420"/>
      <c r="H46" s="423"/>
      <c r="I46" s="420"/>
      <c r="J46" s="420"/>
      <c r="K46" s="417"/>
      <c r="L46" s="417"/>
      <c r="M46" s="417"/>
      <c r="N46" s="414"/>
      <c r="O46" s="417"/>
      <c r="P46" s="417"/>
      <c r="Q46" s="420"/>
      <c r="R46" s="423"/>
      <c r="S46" s="417"/>
      <c r="T46" s="358">
        <v>45580</v>
      </c>
      <c r="U46" s="417"/>
      <c r="V46" s="350">
        <v>49504.07</v>
      </c>
      <c r="W46" s="358">
        <v>45590</v>
      </c>
      <c r="X46" s="352"/>
      <c r="Y46" s="350"/>
      <c r="Z46" s="350"/>
      <c r="AA46" s="417"/>
      <c r="AB46" s="420"/>
      <c r="AC46" s="531"/>
      <c r="AD46" s="254">
        <v>8</v>
      </c>
    </row>
    <row r="47" spans="1:30" s="254" customFormat="1" x14ac:dyDescent="0.25">
      <c r="A47" s="464"/>
      <c r="B47" s="417"/>
      <c r="C47" s="417"/>
      <c r="D47" s="417"/>
      <c r="E47" s="417"/>
      <c r="F47" s="417"/>
      <c r="G47" s="420"/>
      <c r="H47" s="423"/>
      <c r="I47" s="420"/>
      <c r="J47" s="420"/>
      <c r="K47" s="417"/>
      <c r="L47" s="417"/>
      <c r="M47" s="417"/>
      <c r="N47" s="414"/>
      <c r="O47" s="417"/>
      <c r="P47" s="417"/>
      <c r="Q47" s="420"/>
      <c r="R47" s="423"/>
      <c r="S47" s="417"/>
      <c r="T47" s="358">
        <v>45580</v>
      </c>
      <c r="U47" s="417"/>
      <c r="V47" s="350">
        <v>3159.87</v>
      </c>
      <c r="W47" s="358">
        <v>45590</v>
      </c>
      <c r="X47" s="352"/>
      <c r="Y47" s="350"/>
      <c r="Z47" s="350"/>
      <c r="AA47" s="417"/>
      <c r="AB47" s="420"/>
      <c r="AC47" s="531"/>
      <c r="AD47" s="254">
        <v>8</v>
      </c>
    </row>
    <row r="48" spans="1:30" s="254" customFormat="1" x14ac:dyDescent="0.25">
      <c r="A48" s="464"/>
      <c r="B48" s="417"/>
      <c r="C48" s="417"/>
      <c r="D48" s="417"/>
      <c r="E48" s="417"/>
      <c r="F48" s="417"/>
      <c r="G48" s="420"/>
      <c r="H48" s="423"/>
      <c r="I48" s="420"/>
      <c r="J48" s="420"/>
      <c r="K48" s="417"/>
      <c r="L48" s="417"/>
      <c r="M48" s="417"/>
      <c r="N48" s="414"/>
      <c r="O48" s="417"/>
      <c r="P48" s="417"/>
      <c r="Q48" s="420"/>
      <c r="R48" s="423"/>
      <c r="S48" s="417"/>
      <c r="T48" s="358">
        <v>45580</v>
      </c>
      <c r="U48" s="417"/>
      <c r="V48" s="350">
        <v>15958.77</v>
      </c>
      <c r="W48" s="358">
        <v>45590</v>
      </c>
      <c r="X48" s="352"/>
      <c r="Y48" s="350"/>
      <c r="Z48" s="350"/>
      <c r="AA48" s="417"/>
      <c r="AB48" s="420"/>
      <c r="AC48" s="531"/>
      <c r="AD48" s="254">
        <v>8</v>
      </c>
    </row>
    <row r="49" spans="1:30" s="254" customFormat="1" x14ac:dyDescent="0.25">
      <c r="A49" s="464"/>
      <c r="B49" s="417"/>
      <c r="C49" s="417"/>
      <c r="D49" s="417"/>
      <c r="E49" s="417"/>
      <c r="F49" s="417"/>
      <c r="G49" s="420"/>
      <c r="H49" s="423"/>
      <c r="I49" s="420"/>
      <c r="J49" s="420"/>
      <c r="K49" s="417"/>
      <c r="L49" s="417"/>
      <c r="M49" s="417"/>
      <c r="N49" s="414"/>
      <c r="O49" s="417"/>
      <c r="P49" s="417"/>
      <c r="Q49" s="420"/>
      <c r="R49" s="423"/>
      <c r="S49" s="417"/>
      <c r="T49" s="358">
        <v>45596</v>
      </c>
      <c r="U49" s="417"/>
      <c r="V49" s="350">
        <v>51786.81</v>
      </c>
      <c r="W49" s="358">
        <v>45608</v>
      </c>
      <c r="X49" s="352"/>
      <c r="Y49" s="350"/>
      <c r="Z49" s="350"/>
      <c r="AA49" s="417"/>
      <c r="AB49" s="420"/>
      <c r="AC49" s="531"/>
      <c r="AD49" s="254">
        <v>8</v>
      </c>
    </row>
    <row r="50" spans="1:30" s="254" customFormat="1" x14ac:dyDescent="0.25">
      <c r="A50" s="464"/>
      <c r="B50" s="417"/>
      <c r="C50" s="417"/>
      <c r="D50" s="417"/>
      <c r="E50" s="417"/>
      <c r="F50" s="417"/>
      <c r="G50" s="420"/>
      <c r="H50" s="423"/>
      <c r="I50" s="420"/>
      <c r="J50" s="420"/>
      <c r="K50" s="417"/>
      <c r="L50" s="417"/>
      <c r="M50" s="417"/>
      <c r="N50" s="414"/>
      <c r="O50" s="417"/>
      <c r="P50" s="417"/>
      <c r="Q50" s="420"/>
      <c r="R50" s="423"/>
      <c r="S50" s="417"/>
      <c r="T50" s="358">
        <v>45596</v>
      </c>
      <c r="U50" s="417"/>
      <c r="V50" s="350">
        <v>16694.66</v>
      </c>
      <c r="W50" s="358">
        <v>45608</v>
      </c>
      <c r="X50" s="352"/>
      <c r="Y50" s="350"/>
      <c r="Z50" s="350"/>
      <c r="AA50" s="417"/>
      <c r="AB50" s="420"/>
      <c r="AC50" s="531"/>
      <c r="AD50" s="254">
        <v>8</v>
      </c>
    </row>
    <row r="51" spans="1:30" s="254" customFormat="1" x14ac:dyDescent="0.25">
      <c r="A51" s="465"/>
      <c r="B51" s="418"/>
      <c r="C51" s="418"/>
      <c r="D51" s="418"/>
      <c r="E51" s="418"/>
      <c r="F51" s="418"/>
      <c r="G51" s="421"/>
      <c r="H51" s="424"/>
      <c r="I51" s="421"/>
      <c r="J51" s="421"/>
      <c r="K51" s="418"/>
      <c r="L51" s="418"/>
      <c r="M51" s="418"/>
      <c r="N51" s="415"/>
      <c r="O51" s="418"/>
      <c r="P51" s="418"/>
      <c r="Q51" s="421"/>
      <c r="R51" s="424"/>
      <c r="S51" s="418"/>
      <c r="T51" s="359">
        <v>45596</v>
      </c>
      <c r="U51" s="418"/>
      <c r="V51" s="353">
        <v>3305.58</v>
      </c>
      <c r="W51" s="359">
        <v>45608</v>
      </c>
      <c r="X51" s="355"/>
      <c r="Y51" s="353"/>
      <c r="Z51" s="353"/>
      <c r="AA51" s="418"/>
      <c r="AB51" s="421"/>
      <c r="AC51" s="532"/>
      <c r="AD51" s="254">
        <v>8</v>
      </c>
    </row>
    <row r="52" spans="1:30" s="85" customFormat="1" ht="37.5" x14ac:dyDescent="0.25">
      <c r="A52" s="273">
        <v>5</v>
      </c>
      <c r="B52" s="274" t="s">
        <v>56</v>
      </c>
      <c r="C52" s="274" t="s">
        <v>561</v>
      </c>
      <c r="D52" s="274"/>
      <c r="E52" s="274" t="s">
        <v>562</v>
      </c>
      <c r="F52" s="274" t="s">
        <v>563</v>
      </c>
      <c r="G52" s="275">
        <v>211200</v>
      </c>
      <c r="H52" s="276">
        <f>IF(AD52 = 9, G52 - Q52,0)</f>
        <v>0</v>
      </c>
      <c r="I52" s="275"/>
      <c r="J52" s="275"/>
      <c r="K52" s="274"/>
      <c r="L52" s="274"/>
      <c r="M52" s="274" t="s">
        <v>560</v>
      </c>
      <c r="N52" s="277">
        <v>45566</v>
      </c>
      <c r="O52" s="274" t="s">
        <v>542</v>
      </c>
      <c r="P52" s="274" t="s">
        <v>155</v>
      </c>
      <c r="Q52" s="275">
        <v>211200</v>
      </c>
      <c r="R52" s="276">
        <f>IF(AD52 = 9, Q52 + SUM(Y52:Y52) - SUM(Z52:Z52) - SUM(V52:V52) - AB52,0)</f>
        <v>107520</v>
      </c>
      <c r="S52" s="274" t="s">
        <v>564</v>
      </c>
      <c r="T52" s="277">
        <v>45597</v>
      </c>
      <c r="U52" s="274"/>
      <c r="V52" s="275">
        <v>103680</v>
      </c>
      <c r="W52" s="277">
        <v>45604</v>
      </c>
      <c r="X52" s="274"/>
      <c r="Y52" s="275"/>
      <c r="Z52" s="275"/>
      <c r="AA52" s="274"/>
      <c r="AB52" s="275"/>
      <c r="AC52" s="272"/>
      <c r="AD52" s="85">
        <v>9</v>
      </c>
    </row>
    <row r="53" spans="1:30" x14ac:dyDescent="0.25">
      <c r="M53" s="3"/>
      <c r="AD53" s="2">
        <v>10</v>
      </c>
    </row>
    <row r="54" spans="1:30" x14ac:dyDescent="0.25">
      <c r="M54" s="3"/>
    </row>
    <row r="55" spans="1:30" x14ac:dyDescent="0.25">
      <c r="M55" s="3"/>
    </row>
    <row r="56" spans="1:30" x14ac:dyDescent="0.25">
      <c r="M56" s="3"/>
    </row>
    <row r="57" spans="1:30" x14ac:dyDescent="0.25">
      <c r="M57" s="3"/>
    </row>
    <row r="58" spans="1:30" x14ac:dyDescent="0.25">
      <c r="M58" s="3"/>
    </row>
    <row r="59" spans="1:30" x14ac:dyDescent="0.25">
      <c r="M59" s="3"/>
    </row>
    <row r="60" spans="1:30" x14ac:dyDescent="0.25">
      <c r="M60" s="3"/>
    </row>
    <row r="61" spans="1:30" x14ac:dyDescent="0.25">
      <c r="M61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97">
    <mergeCell ref="A40:A51"/>
    <mergeCell ref="U40:U51"/>
    <mergeCell ref="AA40:AA51"/>
    <mergeCell ref="B40:B51"/>
    <mergeCell ref="AB40:AB51"/>
    <mergeCell ref="C40:C51"/>
    <mergeCell ref="D40:D51"/>
    <mergeCell ref="E40:E51"/>
    <mergeCell ref="F40:F51"/>
    <mergeCell ref="G40:G51"/>
    <mergeCell ref="H40:H51"/>
    <mergeCell ref="I40:I51"/>
    <mergeCell ref="J40:J51"/>
    <mergeCell ref="K40:K51"/>
    <mergeCell ref="L40:L51"/>
    <mergeCell ref="M40:M51"/>
    <mergeCell ref="N40:N51"/>
    <mergeCell ref="O40:O51"/>
    <mergeCell ref="P40:P51"/>
    <mergeCell ref="Q40:Q51"/>
    <mergeCell ref="R40:R51"/>
    <mergeCell ref="A36:A39"/>
    <mergeCell ref="U36:U39"/>
    <mergeCell ref="AA36:AA39"/>
    <mergeCell ref="P36:P39"/>
    <mergeCell ref="Q36:Q39"/>
    <mergeCell ref="R36:R39"/>
    <mergeCell ref="S36:S39"/>
    <mergeCell ref="L36:L39"/>
    <mergeCell ref="M36:M39"/>
    <mergeCell ref="N36:N39"/>
    <mergeCell ref="B36:B39"/>
    <mergeCell ref="M30:M35"/>
    <mergeCell ref="N30:N35"/>
    <mergeCell ref="O30:O35"/>
    <mergeCell ref="P30:P35"/>
    <mergeCell ref="Q30:Q35"/>
    <mergeCell ref="P4:R4"/>
    <mergeCell ref="E2:F2"/>
    <mergeCell ref="O2:P2"/>
    <mergeCell ref="Y2:AA2"/>
    <mergeCell ref="T2:U2"/>
    <mergeCell ref="A30:A35"/>
    <mergeCell ref="U30:U35"/>
    <mergeCell ref="AA30:AA35"/>
    <mergeCell ref="B30:B35"/>
    <mergeCell ref="AB30:AB35"/>
    <mergeCell ref="C30:C35"/>
    <mergeCell ref="S30:S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A9:A29"/>
    <mergeCell ref="U9:U29"/>
    <mergeCell ref="AA9:AA29"/>
    <mergeCell ref="B9:B29"/>
    <mergeCell ref="AB9:AB29"/>
    <mergeCell ref="C9:C29"/>
    <mergeCell ref="S9:S29"/>
    <mergeCell ref="N9:N29"/>
    <mergeCell ref="O9:O29"/>
    <mergeCell ref="P9:P29"/>
    <mergeCell ref="Q9:Q29"/>
    <mergeCell ref="R9:R29"/>
    <mergeCell ref="I9:I29"/>
    <mergeCell ref="J9:J29"/>
    <mergeCell ref="K9:K29"/>
    <mergeCell ref="L9:L29"/>
    <mergeCell ref="M9:M29"/>
    <mergeCell ref="D9:D29"/>
    <mergeCell ref="E9:E29"/>
    <mergeCell ref="F9:F29"/>
    <mergeCell ref="G9:G29"/>
    <mergeCell ref="H9:H29"/>
    <mergeCell ref="C36:C39"/>
    <mergeCell ref="AC36:AC39"/>
    <mergeCell ref="D36:D39"/>
    <mergeCell ref="E36:E39"/>
    <mergeCell ref="F36:F39"/>
    <mergeCell ref="G36:G39"/>
    <mergeCell ref="H36:H39"/>
    <mergeCell ref="I36:I39"/>
    <mergeCell ref="J36:J39"/>
    <mergeCell ref="K36:K39"/>
    <mergeCell ref="O36:O39"/>
    <mergeCell ref="AC9:AC29"/>
    <mergeCell ref="AC30:AC35"/>
    <mergeCell ref="R30:R35"/>
    <mergeCell ref="AC40:AC51"/>
    <mergeCell ref="S40:S51"/>
    <mergeCell ref="AB36:AB3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98</v>
      </c>
      <c r="B1" s="47">
        <v>38</v>
      </c>
      <c r="C1" s="47">
        <v>9</v>
      </c>
      <c r="D1" s="75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753"/>
      <c r="E2" s="32"/>
      <c r="F2" s="62">
        <v>141</v>
      </c>
      <c r="G2" s="66">
        <v>143</v>
      </c>
      <c r="H2" s="65">
        <v>9</v>
      </c>
      <c r="I2" s="64">
        <v>2</v>
      </c>
      <c r="J2" s="63">
        <v>0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222</v>
      </c>
      <c r="B4" s="44">
        <v>40</v>
      </c>
      <c r="C4" s="44">
        <v>9</v>
      </c>
      <c r="D4" s="754" t="s">
        <v>102</v>
      </c>
      <c r="E4" s="32"/>
      <c r="F4" s="62">
        <v>142</v>
      </c>
      <c r="G4" s="66">
        <v>144</v>
      </c>
      <c r="H4" s="65">
        <v>10</v>
      </c>
      <c r="I4" s="64">
        <v>3</v>
      </c>
      <c r="J4" s="63">
        <v>0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755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4</v>
      </c>
      <c r="C7" s="46">
        <v>9</v>
      </c>
      <c r="D7" s="756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757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10</v>
      </c>
      <c r="B10" s="42">
        <v>2</v>
      </c>
      <c r="C10" s="42">
        <v>9</v>
      </c>
      <c r="D10" s="758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759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760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761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52</v>
      </c>
      <c r="B16" s="38">
        <v>5</v>
      </c>
      <c r="C16" s="38">
        <v>9</v>
      </c>
      <c r="D16" s="750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751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2024-12-10T12:00:15Z</dcterms:modified>
</cp:coreProperties>
</file>