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-105" yWindow="-105" windowWidth="20730" windowHeight="11760" firstSheet="4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="1"/>
</workbook>
</file>

<file path=xl/calcChain.xml><?xml version="1.0" encoding="utf-8"?>
<calcChain xmlns="http://schemas.openxmlformats.org/spreadsheetml/2006/main">
  <c r="H26" i="20" l="1"/>
  <c r="R26" i="20"/>
  <c r="G2" i="20"/>
  <c r="Q2" i="20"/>
  <c r="V2" i="20"/>
  <c r="AB2" i="20"/>
  <c r="G2" i="22"/>
  <c r="Q2" i="22"/>
  <c r="V2" i="22"/>
  <c r="AB2" i="22"/>
  <c r="G2" i="17"/>
  <c r="Q2" i="17"/>
  <c r="V2" i="17"/>
  <c r="AB2" i="17"/>
  <c r="I114" i="27"/>
  <c r="I112" i="27"/>
  <c r="H2" i="27"/>
  <c r="P2" i="27"/>
  <c r="V2" i="27"/>
  <c r="I47" i="31"/>
  <c r="I82" i="31"/>
  <c r="H2" i="31"/>
  <c r="P2" i="31"/>
  <c r="V2" i="31"/>
  <c r="I36" i="27"/>
  <c r="I164" i="31"/>
  <c r="I12" i="27"/>
  <c r="I9" i="27"/>
  <c r="I39" i="31"/>
  <c r="I31" i="31"/>
  <c r="I20" i="27"/>
  <c r="I28" i="27"/>
  <c r="H18" i="20"/>
  <c r="R18" i="20"/>
  <c r="I100" i="27"/>
  <c r="I72" i="31"/>
  <c r="I173" i="31"/>
  <c r="I172" i="31"/>
  <c r="I118" i="27"/>
  <c r="I171" i="31"/>
  <c r="I117" i="27"/>
  <c r="I116" i="27"/>
  <c r="G2" i="19"/>
  <c r="N2" i="19"/>
  <c r="T2" i="19"/>
  <c r="H14" i="19"/>
  <c r="I111" i="27"/>
  <c r="I110" i="27"/>
  <c r="I109" i="27"/>
  <c r="I108" i="27"/>
  <c r="I102" i="27"/>
  <c r="I83" i="27"/>
  <c r="I80" i="31"/>
  <c r="I44" i="27"/>
  <c r="I170" i="31"/>
  <c r="I169" i="31"/>
  <c r="I107" i="27"/>
  <c r="I106" i="27"/>
  <c r="I105" i="27"/>
  <c r="I104" i="27"/>
  <c r="I168" i="31"/>
  <c r="I167" i="31"/>
  <c r="I161" i="31"/>
  <c r="I98" i="31"/>
  <c r="I127" i="31"/>
  <c r="I57" i="27"/>
  <c r="I95" i="27"/>
  <c r="I163" i="31"/>
  <c r="I99" i="27"/>
  <c r="I98" i="27"/>
  <c r="I78" i="27"/>
  <c r="I47" i="27"/>
  <c r="I72" i="27"/>
  <c r="I67" i="27"/>
  <c r="I52" i="27"/>
  <c r="I150" i="31"/>
  <c r="I140" i="31"/>
  <c r="H9" i="19"/>
  <c r="I97" i="27"/>
  <c r="I160" i="31"/>
  <c r="I159" i="31"/>
  <c r="I158" i="31"/>
  <c r="I157" i="31"/>
  <c r="I94" i="27"/>
  <c r="I93" i="27"/>
  <c r="I156" i="31"/>
  <c r="I155" i="31"/>
  <c r="I92" i="27"/>
  <c r="I91" i="27"/>
  <c r="I103" i="31"/>
  <c r="I86" i="27"/>
  <c r="I119" i="31"/>
  <c r="I90" i="27"/>
  <c r="I26" i="31"/>
  <c r="I89" i="27"/>
  <c r="I88" i="27"/>
  <c r="I139" i="31"/>
  <c r="I138" i="31" l="1"/>
  <c r="I137" i="31"/>
  <c r="I46" i="27"/>
  <c r="I9" i="31" l="1"/>
  <c r="H9" i="20"/>
  <c r="R9" i="20"/>
  <c r="I23" i="31" l="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<sst xmlns="http://schemas.openxmlformats.org/spreadsheetml/2006/main" count="1617" uniqueCount="657">
  <si>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</si>
  <si>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</si>
  <si>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</si>
  <si>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</si>
  <si>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</si>
  <si>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</si>
  <si>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</si>
  <si>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</si>
  <si>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</si>
  <si>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</si>
  <si>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</si>
  <si>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</si>
  <si>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</si>
  <si>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</si>
  <si>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</si>
  <si>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</si>
  <si>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</si>
  <si>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</si>
  <si>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</si>
  <si>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</si>
  <si>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</si>
  <si>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</si>
  <si>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</si>
  <si>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</si>
  <si>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</si>
  <si>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</si>
  <si>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</si>
  <si>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</si>
  <si>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</si>
  <si>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</si>
  <si>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</si>
  <si>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</si>
  <si>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</si>
  <si>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</si>
  <si>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</si>
  <si>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</si>
  <si>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</si>
  <si>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</si>
  <si>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</si>
  <si>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</si>
  <si>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</si>
  <si>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</si>
  <si>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</si>
  <si>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</si>
  <si>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</si>
  <si>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</si>
  <si>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</si>
  <si>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</si>
  <si>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</si>
  <si>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</si>
  <si>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</si>
  <si>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</si>
  <si>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</si>
  <si>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</si>
  <si>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</si>
  <si>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</si>
  <si>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</si>
  <si>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</si>
  <si>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</si>
  <si>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</si>
  <si>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</si>
  <si>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</si>
  <si>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</si>
  <si>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</si>
  <si>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</si>
  <si>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</si>
  <si>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</si>
  <si>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</si>
  <si>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</si>
  <si>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</si>
  <si>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</si>
  <si>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</si>
  <si>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</si>
  <si>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</si>
  <si>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</si>
  <si>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</si>
  <si>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</si>
  <si>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</si>
  <si>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</si>
  <si>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</si>
  <si>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</si>
  <si>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</si>
  <si>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</si>
  <si>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</si>
  <si>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</si>
  <si>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</si>
  <si>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</si>
  <si>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</si>
  <si>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</si>
  <si>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</si>
  <si>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</si>
  <si>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</si>
  <si>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</si>
  <si>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</si>
  <si>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</si>
  <si>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</si>
  <si>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</si>
  <si>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</si>
  <si>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</si>
  <si>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</si>
  <si>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</si>
  <si>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</si>
  <si>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</si>
  <si>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</si>
  <si>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</si>
  <si>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</si>
  <si>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</si>
  <si>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</si>
  <si>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</si>
  <si>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</si>
  <si>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</si>
  <si>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</si>
  <si>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</si>
  <si>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</si>
  <si>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</si>
  <si>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</si>
  <si>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</si>
  <si>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</si>
  <si>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</si>
  <si>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</si>
  <si>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</si>
  <si>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</si>
  <si>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</si>
  <si>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</si>
  <si>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</si>
  <si>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</si>
  <si>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</si>
  <si>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</si>
  <si>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</si>
  <si>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</si>
  <si>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</si>
  <si>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</si>
  <si>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</si>
  <si>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</si>
  <si>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</si>
  <si>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</si>
  <si>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</si>
  <si>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</si>
  <si>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</si>
  <si>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</si>
  <si>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</si>
  <si>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</si>
  <si>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</si>
  <si>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</si>
  <si>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</si>
  <si>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</si>
  <si>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</si>
  <si>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</si>
  <si>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</si>
  <si>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</si>
  <si>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</si>
  <si>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</si>
  <si>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</si>
  <si>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</si>
  <si>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</si>
  <si>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</si>
  <si>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</si>
  <si>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</si>
  <si>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</si>
  <si>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</si>
  <si>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</si>
  <si>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</si>
  <si>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</si>
  <si>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</si>
  <si>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</si>
  <si>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</si>
  <si>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</si>
  <si>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</si>
  <si>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</si>
  <si>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</si>
  <si>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</si>
  <si>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</si>
  <si>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</si>
  <si>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</si>
  <si>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</si>
  <si>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</si>
  <si>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</si>
  <si>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</si>
  <si>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</si>
  <si>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</si>
  <si>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</si>
  <si>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</si>
  <si>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</si>
  <si>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</si>
  <si>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</si>
  <si>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</si>
  <si>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</si>
  <si>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</si>
  <si>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</si>
  <si>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</si>
  <si>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</si>
  <si>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</si>
  <si>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</si>
  <si>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</si>
  <si>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</si>
  <si>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</si>
  <si>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</si>
  <si>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</si>
  <si>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</si>
  <si>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</si>
  <si>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</si>
  <si>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</si>
  <si>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</si>
  <si>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</si>
  <si>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</si>
  <si>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</si>
  <si>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</si>
  <si>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</si>
  <si>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</si>
  <si>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</si>
  <si>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</si>
  <si>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</si>
  <si>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</si>
  <si>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</si>
  <si>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</si>
  <si>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</si>
  <si>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</si>
  <si>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</si>
  <si>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</si>
  <si>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</si>
  <si>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</si>
  <si>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</si>
  <si>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</si>
  <si>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</si>
  <si>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</si>
  <si>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</si>
  <si>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</si>
  <si>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</si>
  <si>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</si>
  <si>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</si>
  <si>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</si>
  <si>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</si>
  <si>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</si>
  <si>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</si>
  <si>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</si>
  <si>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</si>
  <si>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</si>
  <si>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</si>
  <si>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</si>
  <si>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</si>
  <si>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</si>
  <si>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</si>
  <si>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</si>
  <si>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</si>
  <si>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</si>
  <si>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</si>
  <si>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</si>
  <si>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</si>
  <si>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</si>
  <si>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</si>
  <si>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</si>
  <si>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</si>
  <si>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</si>
  <si>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</si>
  <si>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</si>
  <si>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</si>
  <si>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</si>
  <si>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</si>
  <si>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</si>
  <si>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</si>
  <si>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</si>
  <si>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</si>
  <si>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</si>
  <si>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</si>
  <si>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</si>
  <si>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</si>
  <si>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</si>
  <si>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</si>
  <si>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</si>
  <si>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</si>
  <si>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</si>
  <si>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</si>
  <si>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</si>
  <si>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</si>
  <si>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</si>
  <si>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</si>
  <si>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</si>
  <si>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</si>
  <si>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</si>
  <si>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</si>
  <si>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</si>
  <si>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</si>
  <si>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</si>
  <si>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</si>
  <si>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</si>
  <si>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</si>
  <si>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</si>
  <si>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</si>
  <si>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</si>
  <si>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</si>
  <si>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</si>
  <si>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</si>
  <si>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</si>
  <si>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</si>
  <si>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</si>
  <si>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</si>
  <si>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</si>
  <si>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</si>
  <si>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</si>
  <si>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</si>
  <si>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</si>
  <si>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</si>
  <si>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</si>
  <si>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</si>
  <si>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</si>
  <si>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</si>
  <si>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</si>
  <si>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</si>
  <si>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</si>
  <si>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</si>
  <si>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</si>
  <si>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</si>
  <si>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</si>
  <si>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</si>
  <si>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</si>
  <si>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</si>
  <si>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</si>
  <si>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</si>
  <si>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</si>
  <si>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</si>
  <si>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</si>
  <si>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</si>
  <si>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</si>
  <si>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</si>
  <si>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</si>
  <si>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</si>
  <si>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</si>
  <si>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Услуги по предоставлению права использования программы для ЭВМ</t>
  </si>
  <si>
    <t>6663003127</t>
  </si>
  <si>
    <t>АО "ПФ "СКБ Контур"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</si>
  <si>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</si>
  <si>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</si>
  <si>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</si>
  <si>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</si>
  <si>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</si>
  <si>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</si>
  <si>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</si>
  <si>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</si>
  <si>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</si>
  <si>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</si>
  <si>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</si>
  <si>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</si>
  <si>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</si>
  <si>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</si>
  <si>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</si>
  <si>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</si>
  <si>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</si>
  <si>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</si>
  <si>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</si>
  <si>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</si>
  <si>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</si>
  <si>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</si>
  <si>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</si>
  <si>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</si>
  <si>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</si>
  <si>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</si>
  <si>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</si>
  <si>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</si>
  <si>
    <t>№ К062780/23</t>
  </si>
  <si>
    <t>04.04.2023г.</t>
  </si>
  <si>
    <t>с 04.04.2023г. по 04.04.2024г.</t>
  </si>
  <si>
    <t>Дополнительное соглашение № 1 от 06.03.2023г.</t>
  </si>
  <si>
    <t>03.04.2023г.</t>
  </si>
  <si>
    <t>с 03.04.2023г. по 19.05.2023г.</t>
  </si>
  <si>
    <t>№ 06-04/2023</t>
  </si>
  <si>
    <t>06.04.2023г.</t>
  </si>
  <si>
    <t>235303782209</t>
  </si>
  <si>
    <t>ИП Пастухов Б.П.</t>
  </si>
  <si>
    <t>с 06.04.2023г. по 17.04.2023г.</t>
  </si>
  <si>
    <t>в течение 10 рабочих дней с момента подписания Заказчиком документа о приемке оказанных услуг и представления Исполни-телем документа на оплату.</t>
  </si>
  <si>
    <t>04 апреля 2023г.</t>
  </si>
  <si>
    <t>31 марта 2023г.</t>
  </si>
  <si>
    <t>05 апреля 2023г.</t>
  </si>
  <si>
    <t>01 апреля 2023г.</t>
  </si>
  <si>
    <t>27 марта 2023г.</t>
  </si>
  <si>
    <t>06 апреля 2023г.</t>
  </si>
  <si>
    <t>07 апреля 2023г.</t>
  </si>
  <si>
    <t>03 апреля 2023г.</t>
  </si>
  <si>
    <t>10 апреля 2023г.</t>
  </si>
  <si>
    <t>13 апреля 2023г.</t>
  </si>
  <si>
    <t>14 апреля 2023г.</t>
  </si>
  <si>
    <t>21 апреля 2023г.</t>
  </si>
  <si>
    <t>30 марта 2023г.</t>
  </si>
  <si>
    <t>24 марта 2023г.</t>
  </si>
  <si>
    <t>18 апреля 2023г.</t>
  </si>
  <si>
    <t>№ СП007419/23</t>
  </si>
  <si>
    <t>19.04.2023г.</t>
  </si>
  <si>
    <t>Выдача сертификата и лицензии на программы для ЭВМ</t>
  </si>
  <si>
    <t>6673240328</t>
  </si>
  <si>
    <t>ООО "Сертум-Про"</t>
  </si>
  <si>
    <t xml:space="preserve">с 19.04.2023г. по 31.12.2023г. </t>
  </si>
  <si>
    <t>в течение 10 (десяти) рабочих дней после подписания акта сдачи-приемки и получения документов на оплату..</t>
  </si>
  <si>
    <t>№ 88</t>
  </si>
  <si>
    <t>21.04.2023г.</t>
  </si>
  <si>
    <t>Поставка учебно-наглядных пособий</t>
  </si>
  <si>
    <t>2350009645</t>
  </si>
  <si>
    <t>ООО "Художественный салон "Сокол"</t>
  </si>
  <si>
    <t>с 21.04.2023г. по 08.06.2023г.</t>
  </si>
  <si>
    <t>в течение 7 (семи) рабочих дней с момента подписания документов о приемке товара.</t>
  </si>
  <si>
    <t>№  99</t>
  </si>
  <si>
    <t>12.05.2023г.</t>
  </si>
  <si>
    <t>Поставка дез.средств, хоз.товаров</t>
  </si>
  <si>
    <t>с 12.05.2023г. по 31.12.2023г.</t>
  </si>
  <si>
    <t>№ 30</t>
  </si>
  <si>
    <t>17.05.2023г.</t>
  </si>
  <si>
    <t>Поставка шин</t>
  </si>
  <si>
    <t>ООО "Навигатор Плюс"</t>
  </si>
  <si>
    <t>с 17.05.2023г. по 27.05.2023г.</t>
  </si>
  <si>
    <t>не более 10 рабочих дней с момента подписания Заказчиком документа о приемке товара и представления Поставщиком документа на оплату.</t>
  </si>
  <si>
    <t>№ КС1/386-23</t>
  </si>
  <si>
    <t>Услуги по восстановлению доступа и технической поддержке корпоративных сервисов</t>
  </si>
  <si>
    <t>2312038420</t>
  </si>
  <si>
    <t>ФГБОУ ВО "КубГУ"</t>
  </si>
  <si>
    <t>в течение 10 рабочих дней с даты подписания Сторонами акта сдачи-приемки оказанных услуг и предоставления счета на оплату</t>
  </si>
  <si>
    <t>№ 82/23</t>
  </si>
  <si>
    <t>№ 82-1/23</t>
  </si>
  <si>
    <t>24.04.2023г.</t>
  </si>
  <si>
    <t>Услуги по проведению медосмотров сотрудников</t>
  </si>
  <si>
    <t>2353006498</t>
  </si>
  <si>
    <t>ГБУЗ "Тимашевская ЦРБ"</t>
  </si>
  <si>
    <t>с 24.04.2023г. по 30.12.2023г.</t>
  </si>
  <si>
    <t>в течение 10 рабочих дней с момента подписания обеими Сторонами акта  оказанных услуг</t>
  </si>
  <si>
    <t>в течение 10 рабочих дней с момента подписания обеими Сторонами акта оказанных услуг</t>
  </si>
  <si>
    <t>№ 2023.157503</t>
  </si>
  <si>
    <t>24.05.2023г.</t>
  </si>
  <si>
    <t>Поставка линолеума</t>
  </si>
  <si>
    <t>ООО "Интерактив-Сервис"</t>
  </si>
  <si>
    <t>с 24.05.2023г. по 31.12.2023г.</t>
  </si>
  <si>
    <t xml:space="preserve">не позднее 7 дней с момента подписания Заказчиком документа о поставке товара и представления Поставщиком документа на оплату </t>
  </si>
  <si>
    <t>№21/23</t>
  </si>
  <si>
    <t>18.05.2023г.</t>
  </si>
  <si>
    <t>Услуги по ассенизации</t>
  </si>
  <si>
    <t>2333011443</t>
  </si>
  <si>
    <t>ООО "Водоканал"</t>
  </si>
  <si>
    <t>с 18.05.2023г. по 31.12.2023г.</t>
  </si>
  <si>
    <t>№ 98</t>
  </si>
  <si>
    <t>19.05.2023г.</t>
  </si>
  <si>
    <t>Поставка посуды</t>
  </si>
  <si>
    <t>с 19.05.2023г. по 31.12.2023г.</t>
  </si>
  <si>
    <t>№ 14/23/2</t>
  </si>
  <si>
    <t>22.05.2023г.</t>
  </si>
  <si>
    <t>с 22.05.2023г. по 31.08.2023г.</t>
  </si>
  <si>
    <t>№ 14-Л</t>
  </si>
  <si>
    <t>Услуги по организации питания детей в летнем лагере (стоимость продуктов)</t>
  </si>
  <si>
    <t>с 29.05.2023г. по 18.06.2023г.</t>
  </si>
  <si>
    <t>№ 14-П</t>
  </si>
  <si>
    <t>25.05.2023г.</t>
  </si>
  <si>
    <t>Услуги по организации питания детей в летнем лагере (услуги по приготовлению)</t>
  </si>
  <si>
    <t>№ 4390/220</t>
  </si>
  <si>
    <t>31.05.2023г.</t>
  </si>
  <si>
    <t>Поставка периодических печатных изданий</t>
  </si>
  <si>
    <t>7724490000</t>
  </si>
  <si>
    <t>АО "Почта России"</t>
  </si>
  <si>
    <t>с 01.07.2023г. по 31.12.2023г.</t>
  </si>
  <si>
    <t>Авансовый платеж в размере 100% перечисляется в течение 7 рабочих дней с даты заключения контракта</t>
  </si>
  <si>
    <t>03 мая 2023г.</t>
  </si>
  <si>
    <t>01 мая 2023г.</t>
  </si>
  <si>
    <t>04 мая 2023г.</t>
  </si>
  <si>
    <t>19 пареля 2023г.</t>
  </si>
  <si>
    <t>28 апреля 2023г.</t>
  </si>
  <si>
    <t>30 апреля 2023г.</t>
  </si>
  <si>
    <t>29 апреля 2023г.</t>
  </si>
  <si>
    <t>05 мая 2023г.</t>
  </si>
  <si>
    <t>12 мая 2023г.</t>
  </si>
  <si>
    <t>16 мая 2023г.</t>
  </si>
  <si>
    <t>18 мая 2023г.</t>
  </si>
  <si>
    <t>22 мая 2023г.</t>
  </si>
  <si>
    <t>19 мая 2023г.</t>
  </si>
  <si>
    <t>23 мая 2023г.</t>
  </si>
  <si>
    <t>26 мая 2023г.</t>
  </si>
  <si>
    <t>31 мая 2023г.</t>
  </si>
  <si>
    <t>№ А0048571</t>
  </si>
  <si>
    <t>13.04.2023г.</t>
  </si>
  <si>
    <t>Поставка учебной литературы</t>
  </si>
  <si>
    <t>7715995942</t>
  </si>
  <si>
    <t>АО "Издательство "Просвещение"</t>
  </si>
  <si>
    <t>с 13.04.2023г. по 25.08.2023г.</t>
  </si>
  <si>
    <t>в течение 10 рабочих дней со дня подписания Заказчиком УПД (товарной накладной), сформированной Поставщиком в ЭДО.</t>
  </si>
  <si>
    <t>№ 23-10609</t>
  </si>
  <si>
    <t>18.04.2023г.</t>
  </si>
  <si>
    <t xml:space="preserve">Изготовление и поставка полиграфической продукции строгого учета </t>
  </si>
  <si>
    <t>7706526550</t>
  </si>
  <si>
    <t>ООО "СпецБланк-Москва"</t>
  </si>
  <si>
    <t>с 18.04.2023г. по 28.05.2023г.</t>
  </si>
  <si>
    <t>в течение 7-ми (семи) рабочих дней с момента получения Продукции, счета-фактуры, накладнй и акта сдачи-приемки.</t>
  </si>
  <si>
    <t>№ А0056464</t>
  </si>
  <si>
    <t>26.06.2023г.</t>
  </si>
  <si>
    <t xml:space="preserve">с 26.06.2023г. по         30.09.2023г. </t>
  </si>
  <si>
    <t>в течение 7 рабочих дней со дня подписания Заказчиком УПД (товарной накладной), сформированного Поставщиком в системе ЭДО.</t>
  </si>
  <si>
    <t>№ 18</t>
  </si>
  <si>
    <t>27.04.2023г.</t>
  </si>
  <si>
    <t>Поставка учебно-педагогической документации</t>
  </si>
  <si>
    <t>ООО "Краснодарский учколлектор"</t>
  </si>
  <si>
    <t>с 27.04.2023г. по 11.08.2023г.</t>
  </si>
  <si>
    <t>в течение 7 рабочих дней с момента подписания Сторонами документов</t>
  </si>
  <si>
    <t>№ 1408</t>
  </si>
  <si>
    <t>14.06.2023г.</t>
  </si>
  <si>
    <t>Услуги по проведению специальной оценки условий труда</t>
  </si>
  <si>
    <t>2310136750</t>
  </si>
  <si>
    <t>ООО "Карьера"</t>
  </si>
  <si>
    <t>с 14.06.2023г. по 06.09.2023г.</t>
  </si>
  <si>
    <t>Оплата 30% предоплаты в течение 5 рабочих дней со дня получения счета , окончательный расчет в течение 5 рабочих дней с момента подписания Заказчиком акта сдачи-приема услуг</t>
  </si>
  <si>
    <t>№ 24</t>
  </si>
  <si>
    <t>01.06.2023г.</t>
  </si>
  <si>
    <t>с 01.06.2023г. по 31.12.2023г.</t>
  </si>
  <si>
    <t>01 июня 2023г.</t>
  </si>
  <si>
    <t>25 мая 2023г.</t>
  </si>
  <si>
    <t>02 июня 2023г.</t>
  </si>
  <si>
    <t>05 июня 2023г.</t>
  </si>
  <si>
    <t>07 июня 2023г.</t>
  </si>
  <si>
    <t>15 июня 2023г.</t>
  </si>
  <si>
    <t>16 июня 2023г.</t>
  </si>
  <si>
    <t>19 июня 2023г.</t>
  </si>
  <si>
    <t>18 июня 2023г.</t>
  </si>
  <si>
    <t>27 июня 2023г.</t>
  </si>
  <si>
    <t>Дополнительное соглашение о расторжении б/н от 07.06.2023г.</t>
  </si>
  <si>
    <t xml:space="preserve">Дополнительное соглашение о расторжении б/н от 07.06.2023г. </t>
  </si>
  <si>
    <t>Дополнительное соглашение о расторжении б/н от 19.06.2023г.</t>
  </si>
  <si>
    <t>Дополнительное соглашение о расторжении б/н от 20.02.2023г.</t>
  </si>
  <si>
    <t>Дополнительное ссоглашение о расторжении б/н от 09.01.2023г.</t>
  </si>
  <si>
    <t>Дополнительное соглашение о расторжении б/н от 14.06.2023г.</t>
  </si>
  <si>
    <t>Дополнительное соглашение о расторжении б/н от 14.04.2023г.</t>
  </si>
  <si>
    <t>Дополнительное соглашение о расторжении б/н от  07.06.2023г.</t>
  </si>
  <si>
    <t>Дополнительное соглашение о расторжении б/н от 30.06.2023г.</t>
  </si>
  <si>
    <t>МБОУ СОШ № 14</t>
  </si>
  <si>
    <t>№ 31</t>
  </si>
  <si>
    <t>30.06.2023г.</t>
  </si>
  <si>
    <t xml:space="preserve"> с 30.06.2023г. по 14.07.2023г.</t>
  </si>
  <si>
    <t>№ 175</t>
  </si>
  <si>
    <t>12.07.2023г.</t>
  </si>
  <si>
    <t>Поставка краски, эмали</t>
  </si>
  <si>
    <t>с 12.07.2023г. по 31.12.2023г.</t>
  </si>
  <si>
    <t>23.06.2023г.</t>
  </si>
  <si>
    <t>с 23.06.2023г. по 30.12.2023г.</t>
  </si>
  <si>
    <t>21.07.2023г.</t>
  </si>
  <si>
    <t>24.07.2023г.</t>
  </si>
  <si>
    <t>Услуга по обследованию и опрессовке центрального отопления</t>
  </si>
  <si>
    <t>2315160361</t>
  </si>
  <si>
    <t>ООО "ГРЦ"</t>
  </si>
  <si>
    <t>с 21.07.2023г. по 31.08.2023г.</t>
  </si>
  <si>
    <t>в течение 10 рабочих дней с момента подписания акта выплненных работ и предоставления документов на оплату</t>
  </si>
  <si>
    <t>Право использования программы для ЭВМ и услуги по её сопровождению</t>
  </si>
  <si>
    <t xml:space="preserve">с 24.07.2023г. по 31.12.2023г. </t>
  </si>
  <si>
    <t>в течение 10 рабочих дней с момента выставления счета Оператором и подписания обеими Сторонами акта оказанных услуг</t>
  </si>
  <si>
    <t>ИП Быстров А.А.</t>
  </si>
  <si>
    <t>17.07.2023г.</t>
  </si>
  <si>
    <t>№ 30/Т</t>
  </si>
  <si>
    <t>№ К1038638/23</t>
  </si>
  <si>
    <t>№ ЦБ-505</t>
  </si>
  <si>
    <t>№ 111/23</t>
  </si>
  <si>
    <t>№ 111-1/23</t>
  </si>
  <si>
    <t>Поставка краски ВД</t>
  </si>
  <si>
    <t>235305536400</t>
  </si>
  <si>
    <t xml:space="preserve">с 17.07.2023г. по 31.12.2023г. </t>
  </si>
  <si>
    <t>в течение 10 (десяти) рабочих дней с момента подписания Заказчиком документа о приемке товара и представления Поставщиком документа на оплату.</t>
  </si>
  <si>
    <t>№ 185</t>
  </si>
  <si>
    <t>с 21.07.2023г. по 31.12.2023г.</t>
  </si>
  <si>
    <t>№ 204</t>
  </si>
  <si>
    <t>Поставка плинтуса</t>
  </si>
  <si>
    <t>03 июля 2023г.</t>
  </si>
  <si>
    <t>12 июля 2023г.</t>
  </si>
  <si>
    <t>04 июля 2023г.</t>
  </si>
  <si>
    <t>30 июня 2023г.</t>
  </si>
  <si>
    <t>4 июля 2023г.</t>
  </si>
  <si>
    <t>06 июля 2023г.</t>
  </si>
  <si>
    <t>01 июля 2023г.</t>
  </si>
  <si>
    <t>21 июля 2023г.</t>
  </si>
  <si>
    <t>05 июля 2023г.</t>
  </si>
  <si>
    <t>10 июля 2023г.</t>
  </si>
  <si>
    <t>11 июля 2023г.</t>
  </si>
  <si>
    <t>17 июля 2023г.</t>
  </si>
  <si>
    <t>19 июля 2023г.</t>
  </si>
  <si>
    <t>25 июля 2023г.</t>
  </si>
  <si>
    <t>27 июля 2023г.</t>
  </si>
  <si>
    <t>24 июля 2023г.</t>
  </si>
  <si>
    <t>28 июля 2023г.</t>
  </si>
  <si>
    <t>№ 81</t>
  </si>
  <si>
    <t>11.07.2023г.</t>
  </si>
  <si>
    <t>Поставка мебели ученической</t>
  </si>
  <si>
    <t>2308172990</t>
  </si>
  <si>
    <t>ООО "Лидер-Юг"</t>
  </si>
  <si>
    <t xml:space="preserve">с 11.07.2023г. по 31.12.2023г. </t>
  </si>
  <si>
    <t>№ А0074366</t>
  </si>
  <si>
    <t>09.08.2023г.</t>
  </si>
  <si>
    <t xml:space="preserve">с 09.08.2023г. по 30.10.2023г. </t>
  </si>
  <si>
    <t xml:space="preserve"> № 490</t>
  </si>
  <si>
    <t>17.08.2023г.</t>
  </si>
  <si>
    <t>Услуги по формированию карты водителя</t>
  </si>
  <si>
    <t xml:space="preserve">с 17.08.2023г. по 30.12.2023г. </t>
  </si>
  <si>
    <t>в течение 10 (десяти) рабочих дней с момента подписания Акта выполненных работ на основании выставленного счета.</t>
  </si>
  <si>
    <t>№ 1/2023/35</t>
  </si>
  <si>
    <t>23.08.2023г.</t>
  </si>
  <si>
    <t>ГБУК КК "КГИАМЗ им.Е.Д.Фелицына"</t>
  </si>
  <si>
    <t>с 23.08.2023г. по 23.12.2023г.</t>
  </si>
  <si>
    <t>Оплата 30% предоплаты в течение 5 рабочих дней со дня получения счета, окончательный расчет в течение 5 рабочих дней после получения акта окзанных услуг</t>
  </si>
  <si>
    <t>24.08.2023г.</t>
  </si>
  <si>
    <t>№ 2</t>
  </si>
  <si>
    <t>231107998282</t>
  </si>
  <si>
    <t>ИП Даценко И.Н.</t>
  </si>
  <si>
    <t>с 24.08.2023г. по 31.12.2023г.</t>
  </si>
  <si>
    <t>Поставка видеорегистратора, жесткого диска (антитеррор)</t>
  </si>
  <si>
    <t>Поставка USB-проигрывателя-тюнера-усилителя, рупорного громкоговорителя (противопожарная безопасность)</t>
  </si>
  <si>
    <t>31 июля 2023г.</t>
  </si>
  <si>
    <t>02 августа 2023г.</t>
  </si>
  <si>
    <t>04 августа 2023г.</t>
  </si>
  <si>
    <t>09 августа 2023г.</t>
  </si>
  <si>
    <t>31 августа 2023г.</t>
  </si>
  <si>
    <t>03 августа 2023г.</t>
  </si>
  <si>
    <t>01 августа 2023г.</t>
  </si>
  <si>
    <t>16 июля 2023г.</t>
  </si>
  <si>
    <t>08 августа 2023г.</t>
  </si>
  <si>
    <t>22 августа 2023г.</t>
  </si>
  <si>
    <t>15 августа 2023г.</t>
  </si>
  <si>
    <t>10 августа 2023г.</t>
  </si>
  <si>
    <t>17 августа 2023г.</t>
  </si>
  <si>
    <t>19 августа 2023г.</t>
  </si>
  <si>
    <t>25 августа 2023г.</t>
  </si>
  <si>
    <t>31 августа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</si>
  <si>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</si>
  <si>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</si>
  <si>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</si>
  <si>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</si>
  <si>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</si>
  <si>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№ 055-08/2023-ЭЛ</t>
  </si>
  <si>
    <t>07.09.2023г.</t>
  </si>
  <si>
    <t>Услуги по измерению сопротивления контуров заземления</t>
  </si>
  <si>
    <t>234702451800</t>
  </si>
  <si>
    <t>ИП Должиков С.С.</t>
  </si>
  <si>
    <t>с 07.09.2023г. по 31.12.2023г.</t>
  </si>
  <si>
    <t>в течение 10 (десяти) рабочих дней с момента подписания Заказчиком акта выполненных работ и представления Поставщиком документа на оплату.</t>
  </si>
  <si>
    <t>№ 08-09/2023-3</t>
  </si>
  <si>
    <t>Услуги по тех.обслуживанию и ремонту  автобуса</t>
  </si>
  <si>
    <t>с 08.09.2023г. по 31.12.2023г.</t>
  </si>
  <si>
    <t>08.09.2023г.</t>
  </si>
  <si>
    <t>в течение 10 (десяти) рабочих дней с момента подписания Заказчиком документа о приемке оказанных услуг и представления Исполнителем документа на оплату.</t>
  </si>
  <si>
    <t>01.09.2023г.</t>
  </si>
  <si>
    <t>Услуги по оранизации питания учащихся 5-11 кл.</t>
  </si>
  <si>
    <t>с 01.09.2023г. по 29.12.2023г.</t>
  </si>
  <si>
    <t>№ 25-09/2023</t>
  </si>
  <si>
    <t>25.09.2023г.</t>
  </si>
  <si>
    <t>с 25.09.2023г. по 31.12.2023г.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</si>
  <si>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</si>
  <si>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</si>
  <si>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</si>
  <si>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</si>
  <si>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31 августа 2023г</t>
  </si>
  <si>
    <t>04 сентября 2023г.</t>
  </si>
  <si>
    <t>03 сентября 2023г.</t>
  </si>
  <si>
    <t>05 сентября 2023г.</t>
  </si>
  <si>
    <t>06 сентября 2023г.</t>
  </si>
  <si>
    <t>08 сентября 2023г.</t>
  </si>
  <si>
    <t>15 сентября 2023г.</t>
  </si>
  <si>
    <t>11 сентября 2023г.</t>
  </si>
  <si>
    <t>19 сентября 2023г.</t>
  </si>
  <si>
    <t>28 августа 2023г.</t>
  </si>
  <si>
    <t>24 августа 2023г.</t>
  </si>
  <si>
    <t>21 сентября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</si>
</sst>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70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Border="1" applyAlignment="1" applyProtection="1">
      <alignment horizontal="center" vertical="center" wrapText="1"/>
      <protection locked="0"/>
    </xf>
    <xf numFmtId="4" fontId="1" fillId="0" borderId="49" xfId="0" applyNumberFormat="1" applyFont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Border="1" applyAlignment="1" applyProtection="1">
      <alignment horizontal="center" vertical="center" wrapText="1"/>
      <protection locked="0"/>
    </xf>
    <xf numFmtId="4" fontId="1" fillId="0" borderId="53" xfId="0" applyNumberFormat="1" applyFont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Border="1" applyAlignment="1" applyProtection="1">
      <alignment horizontal="center" vertical="center" wrapText="1"/>
      <protection locked="0"/>
    </xf>
    <xf numFmtId="4" fontId="1" fillId="0" borderId="57" xfId="0" applyNumberFormat="1" applyFont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Border="1" applyAlignment="1" applyProtection="1">
      <alignment horizontal="center" vertical="center" wrapText="1"/>
      <protection locked="0"/>
    </xf>
    <xf numFmtId="4" fontId="1" fillId="0" borderId="66" xfId="0" applyNumberFormat="1" applyFont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75" xfId="0" applyNumberFormat="1" applyFont="1" applyBorder="1" applyAlignment="1" applyProtection="1">
      <alignment horizontal="center" vertical="center" wrapText="1"/>
      <protection locked="0"/>
    </xf>
    <xf numFmtId="16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>
      <alignment horizontal="center" vertical="center" wrapText="1"/>
    </xf>
    <xf numFmtId="16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>
      <alignment horizontal="center" vertical="center" wrapText="1"/>
    </xf>
    <xf numFmtId="16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165" fontId="16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>
      <alignment horizontal="center" vertical="center" wrapText="1"/>
    </xf>
    <xf numFmtId="16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1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>
      <alignment horizontal="center" vertical="center" wrapText="1"/>
    </xf>
    <xf numFmtId="16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>
      <alignment horizontal="center" vertical="center" wrapText="1"/>
    </xf>
    <xf numFmtId="2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10" zoomScale="70" zoomScaleNormal="70" workbookViewId="0">
      <selection activeCell="C5" sqref="C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308" t="s">
        <v>141</v>
      </c>
      <c r="B1" s="309"/>
      <c r="C1" s="309"/>
      <c r="D1" s="309"/>
      <c r="E1" s="308" t="s">
        <v>524</v>
      </c>
      <c r="F1" s="309"/>
      <c r="G1" s="309"/>
      <c r="H1" s="309"/>
      <c r="I1" s="309"/>
      <c r="J1" s="309"/>
      <c r="K1" s="309"/>
      <c r="L1" s="309"/>
      <c r="M1" s="309"/>
      <c r="N1" s="310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344" t="s">
        <v>25</v>
      </c>
      <c r="B4" s="345"/>
      <c r="C4" s="4">
        <v>9709369.8499999996</v>
      </c>
      <c r="D4" s="5"/>
      <c r="E4" s="346" t="s">
        <v>140</v>
      </c>
      <c r="F4" s="347"/>
      <c r="G4" s="348"/>
      <c r="H4" s="349">
        <v>2000000</v>
      </c>
      <c r="I4" s="350"/>
      <c r="J4" s="351"/>
      <c r="K4" s="17"/>
      <c r="L4" s="81" t="s">
        <v>55</v>
      </c>
      <c r="M4" s="346">
        <v>4822665.37</v>
      </c>
      <c r="N4" s="348"/>
    </row>
    <row r="5" spans="1:14" ht="30.75" customHeight="1" thickBot="1" x14ac:dyDescent="0.3">
      <c r="A5" s="344" t="s">
        <v>26</v>
      </c>
      <c r="B5" s="345"/>
      <c r="C5" s="6">
        <f>C4-G15+J15</f>
        <v>123645.62000000046</v>
      </c>
      <c r="D5" s="5"/>
      <c r="E5" s="346" t="s">
        <v>53</v>
      </c>
      <c r="F5" s="347"/>
      <c r="G5" s="348"/>
      <c r="H5" s="339">
        <f>H4-G12</f>
        <v>802041.43000000017</v>
      </c>
      <c r="I5" s="340"/>
      <c r="J5" s="341"/>
      <c r="K5" s="17"/>
      <c r="L5" s="81" t="s">
        <v>54</v>
      </c>
      <c r="M5" s="342">
        <f>M4-G13</f>
        <v>184321.29000000097</v>
      </c>
      <c r="N5" s="343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352" t="s">
        <v>27</v>
      </c>
      <c r="B8" s="353"/>
      <c r="C8" s="354"/>
      <c r="D8" s="352" t="s">
        <v>28</v>
      </c>
      <c r="E8" s="353"/>
      <c r="F8" s="354"/>
      <c r="G8" s="355" t="s">
        <v>29</v>
      </c>
      <c r="H8" s="356"/>
      <c r="I8" s="357"/>
      <c r="J8" s="355" t="s">
        <v>142</v>
      </c>
      <c r="K8" s="356"/>
      <c r="L8" s="357"/>
      <c r="M8" s="352" t="s">
        <v>30</v>
      </c>
      <c r="N8" s="354"/>
    </row>
    <row r="9" spans="1:14" ht="41.25" customHeight="1" thickBot="1" x14ac:dyDescent="0.3">
      <c r="A9" s="330" t="s">
        <v>31</v>
      </c>
      <c r="B9" s="331"/>
      <c r="C9" s="332"/>
      <c r="D9" s="329">
        <f>'Состоявшиеся аукционы'!G2</f>
        <v>0</v>
      </c>
      <c r="E9" s="329"/>
      <c r="F9" s="329"/>
      <c r="G9" s="329">
        <f>'Состоявшиеся аукционы'!Q2</f>
        <v>0</v>
      </c>
      <c r="H9" s="329"/>
      <c r="I9" s="329"/>
      <c r="J9" s="326">
        <f>'Состоявшиеся аукционы'!AB2</f>
        <v>0</v>
      </c>
      <c r="K9" s="327"/>
      <c r="L9" s="328"/>
      <c r="M9" s="329">
        <f t="shared" ref="M9:M15" si="0">D9-G9</f>
        <v>0</v>
      </c>
      <c r="N9" s="329"/>
    </row>
    <row r="10" spans="1:14" ht="78.75" customHeight="1" thickBot="1" x14ac:dyDescent="0.3">
      <c r="A10" s="330" t="s">
        <v>49</v>
      </c>
      <c r="B10" s="331"/>
      <c r="C10" s="332"/>
      <c r="D10" s="329">
        <f>'Несостоявшиеся аукционы'!G2</f>
        <v>0</v>
      </c>
      <c r="E10" s="329"/>
      <c r="F10" s="329"/>
      <c r="G10" s="329">
        <f>'Несостоявшиеся аукционы'!Q2</f>
        <v>0</v>
      </c>
      <c r="H10" s="329"/>
      <c r="I10" s="329"/>
      <c r="J10" s="326">
        <f>'Несостоявшиеся аукционы'!AB2</f>
        <v>0</v>
      </c>
      <c r="K10" s="327"/>
      <c r="L10" s="328"/>
      <c r="M10" s="329">
        <f t="shared" si="0"/>
        <v>0</v>
      </c>
      <c r="N10" s="329"/>
    </row>
    <row r="11" spans="1:14" ht="40.5" customHeight="1" thickBot="1" x14ac:dyDescent="0.3">
      <c r="A11" s="330" t="s">
        <v>83</v>
      </c>
      <c r="B11" s="331"/>
      <c r="C11" s="332"/>
      <c r="D11" s="326">
        <f>'Иные конкурентные закупки'!G2</f>
        <v>2451970.1799999997</v>
      </c>
      <c r="E11" s="327"/>
      <c r="F11" s="328"/>
      <c r="G11" s="326">
        <f>'Иные конкурентные закупки'!Q2</f>
        <v>2326002.34</v>
      </c>
      <c r="H11" s="327"/>
      <c r="I11" s="328"/>
      <c r="J11" s="326">
        <f>'Иные конкурентные закупки'!AB2</f>
        <v>8112</v>
      </c>
      <c r="K11" s="327"/>
      <c r="L11" s="328"/>
      <c r="M11" s="326">
        <f t="shared" si="0"/>
        <v>125967.83999999985</v>
      </c>
      <c r="N11" s="328"/>
    </row>
    <row r="12" spans="1:14" ht="54.75" customHeight="1" thickBot="1" x14ac:dyDescent="0.3">
      <c r="A12" s="333" t="s">
        <v>50</v>
      </c>
      <c r="B12" s="334"/>
      <c r="C12" s="335"/>
      <c r="D12" s="329">
        <f>'Ед. поставщик п.4 ч.1'!H2</f>
        <v>1197958.5699999998</v>
      </c>
      <c r="E12" s="329"/>
      <c r="F12" s="329"/>
      <c r="G12" s="329">
        <f>D12</f>
        <v>1197958.5699999998</v>
      </c>
      <c r="H12" s="329"/>
      <c r="I12" s="329"/>
      <c r="J12" s="326">
        <f>'Ед. поставщик п.4 ч.1'!V2</f>
        <v>108591.51999999999</v>
      </c>
      <c r="K12" s="327"/>
      <c r="L12" s="328"/>
      <c r="M12" s="329">
        <f t="shared" si="0"/>
        <v>0</v>
      </c>
      <c r="N12" s="329"/>
    </row>
    <row r="13" spans="1:14" ht="45.75" customHeight="1" thickBot="1" x14ac:dyDescent="0.3">
      <c r="A13" s="333" t="s">
        <v>51</v>
      </c>
      <c r="B13" s="334"/>
      <c r="C13" s="335"/>
      <c r="D13" s="329">
        <f>'Ед. поставщик п.5 ч.1'!H2</f>
        <v>4638344.0799999991</v>
      </c>
      <c r="E13" s="329"/>
      <c r="F13" s="329"/>
      <c r="G13" s="329">
        <f>D13</f>
        <v>4638344.0799999991</v>
      </c>
      <c r="H13" s="329"/>
      <c r="I13" s="329"/>
      <c r="J13" s="326">
        <f>'Ед. поставщик п.5 ч.1'!V2</f>
        <v>349657.29</v>
      </c>
      <c r="K13" s="327"/>
      <c r="L13" s="328"/>
      <c r="M13" s="329">
        <f t="shared" si="0"/>
        <v>0</v>
      </c>
      <c r="N13" s="329"/>
    </row>
    <row r="14" spans="1:14" ht="45.75" customHeight="1" thickBot="1" x14ac:dyDescent="0.3">
      <c r="A14" s="323" t="s">
        <v>52</v>
      </c>
      <c r="B14" s="324"/>
      <c r="C14" s="325"/>
      <c r="D14" s="326">
        <f>'Ед.поставщик за искл. п.4,5 ч.1'!G2</f>
        <v>1889780.05</v>
      </c>
      <c r="E14" s="327"/>
      <c r="F14" s="328"/>
      <c r="G14" s="326">
        <f>D14</f>
        <v>1889780.05</v>
      </c>
      <c r="H14" s="327"/>
      <c r="I14" s="328"/>
      <c r="J14" s="326">
        <f>'Ед.поставщик за искл. п.4,5 ч.1'!T2</f>
        <v>0</v>
      </c>
      <c r="K14" s="327"/>
      <c r="L14" s="328"/>
      <c r="M14" s="329">
        <f t="shared" si="0"/>
        <v>0</v>
      </c>
      <c r="N14" s="329"/>
    </row>
    <row r="15" spans="1:14" ht="21" thickBot="1" x14ac:dyDescent="0.3">
      <c r="A15" s="336" t="s">
        <v>143</v>
      </c>
      <c r="B15" s="337"/>
      <c r="C15" s="338"/>
      <c r="D15" s="329">
        <f>SUM(D9:D14)</f>
        <v>10178052.879999999</v>
      </c>
      <c r="E15" s="329"/>
      <c r="F15" s="329"/>
      <c r="G15" s="326">
        <f>SUM(G9:G14)</f>
        <v>10052085.039999999</v>
      </c>
      <c r="H15" s="327"/>
      <c r="I15" s="328"/>
      <c r="J15" s="326">
        <f>SUM(J9:J14)</f>
        <v>466360.80999999994</v>
      </c>
      <c r="K15" s="327"/>
      <c r="L15" s="328"/>
      <c r="M15" s="329">
        <f t="shared" si="0"/>
        <v>125967.83999999985</v>
      </c>
      <c r="N15" s="329"/>
    </row>
    <row r="18" spans="1:12" thickBot="1" x14ac:dyDescent="0.35"/>
    <row r="19" spans="1:12" ht="23.25" customHeight="1" x14ac:dyDescent="0.25">
      <c r="A19" s="311" t="s">
        <v>35</v>
      </c>
      <c r="B19" s="312"/>
      <c r="C19" s="313"/>
      <c r="D19" s="317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7361919.6300000027</v>
      </c>
      <c r="E19" s="318"/>
      <c r="F19" s="318"/>
      <c r="G19" s="319"/>
      <c r="I19" s="15"/>
      <c r="J19" s="15"/>
      <c r="K19" s="15"/>
      <c r="L19" s="15"/>
    </row>
    <row r="20" spans="1:12" ht="24" customHeight="1" thickBot="1" x14ac:dyDescent="0.3">
      <c r="A20" s="314"/>
      <c r="B20" s="315"/>
      <c r="C20" s="316"/>
      <c r="D20" s="320"/>
      <c r="E20" s="321"/>
      <c r="F20" s="321"/>
      <c r="G20" s="322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119"/>
  <sheetViews>
    <sheetView showGridLines="0" topLeftCell="D1" zoomScale="50" zoomScaleNormal="50" workbookViewId="0">
      <pane ySplit="8" topLeftCell="A112" activePane="bottomLeft" state="frozen"/>
      <selection activeCell="I1" sqref="I1"/>
      <selection pane="bottomLeft" activeCell="Q115" sqref="Q115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SUM(H9:H10001)</f>
        <v>1197958.5699999998</v>
      </c>
      <c r="K2" s="416"/>
      <c r="L2" s="416"/>
      <c r="M2" s="416"/>
      <c r="N2" s="417" t="s">
        <v>137</v>
      </c>
      <c r="O2" s="419"/>
      <c r="P2" s="69">
        <f>SUM(P9:P10001)</f>
        <v>996595.49</v>
      </c>
      <c r="R2" s="68"/>
      <c r="S2" s="417" t="s">
        <v>45</v>
      </c>
      <c r="T2" s="418"/>
      <c r="U2" s="419"/>
      <c r="V2" s="70">
        <f>SUM(V9:V10001)</f>
        <v>108591.51999999999</v>
      </c>
    </row>
    <row r="3" spans="1:24" ht="18" x14ac:dyDescent="0.3">
      <c r="A3" s="416"/>
      <c r="B3" s="416"/>
      <c r="C3" s="416"/>
      <c r="D3" s="416"/>
      <c r="E3" s="416"/>
      <c r="N3" s="68"/>
    </row>
    <row r="4" spans="1:24" ht="39.950000000000003" customHeight="1" x14ac:dyDescent="0.3">
      <c r="J4" s="420"/>
      <c r="K4" s="420"/>
      <c r="M4" s="420"/>
      <c r="N4" s="420"/>
      <c r="O4" s="420"/>
      <c r="P4" s="420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27.15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358">
        <v>1</v>
      </c>
      <c r="B9" s="364" t="s">
        <v>56</v>
      </c>
      <c r="C9" s="364"/>
      <c r="D9" s="364"/>
      <c r="E9" s="380" t="s">
        <v>210</v>
      </c>
      <c r="F9" s="360" t="s">
        <v>211</v>
      </c>
      <c r="G9" s="364" t="s">
        <v>212</v>
      </c>
      <c r="H9" s="362">
        <v>1000</v>
      </c>
      <c r="I9" s="372">
        <f>IF(X9 = 49, H9 + SUM(S9:S11) - SUM(T9:T11) - SUM(P9:P11) - V9,0)</f>
        <v>863.85</v>
      </c>
      <c r="J9" s="364" t="s">
        <v>213</v>
      </c>
      <c r="K9" s="364" t="s">
        <v>157</v>
      </c>
      <c r="L9" s="364"/>
      <c r="M9" s="364" t="s">
        <v>214</v>
      </c>
      <c r="N9" s="298" t="s">
        <v>562</v>
      </c>
      <c r="O9" s="360" t="s">
        <v>215</v>
      </c>
      <c r="P9" s="289">
        <v>79.56</v>
      </c>
      <c r="Q9" s="290" t="s">
        <v>564</v>
      </c>
      <c r="R9" s="291"/>
      <c r="S9" s="289"/>
      <c r="T9" s="289"/>
      <c r="U9" s="362"/>
      <c r="V9" s="366"/>
      <c r="W9" s="368"/>
      <c r="X9" s="85">
        <v>49</v>
      </c>
    </row>
    <row r="10" spans="1:24" x14ac:dyDescent="0.25">
      <c r="A10" s="374"/>
      <c r="B10" s="377"/>
      <c r="C10" s="377"/>
      <c r="D10" s="377"/>
      <c r="E10" s="381"/>
      <c r="F10" s="375"/>
      <c r="G10" s="377"/>
      <c r="H10" s="376"/>
      <c r="I10" s="383"/>
      <c r="J10" s="377"/>
      <c r="K10" s="377"/>
      <c r="L10" s="377"/>
      <c r="M10" s="377"/>
      <c r="N10" s="299" t="s">
        <v>602</v>
      </c>
      <c r="O10" s="375"/>
      <c r="P10" s="292">
        <v>19.63</v>
      </c>
      <c r="Q10" s="293" t="s">
        <v>605</v>
      </c>
      <c r="R10" s="294"/>
      <c r="S10" s="292"/>
      <c r="T10" s="292"/>
      <c r="U10" s="376"/>
      <c r="V10" s="378"/>
      <c r="W10" s="379"/>
      <c r="X10" s="2">
        <v>49</v>
      </c>
    </row>
    <row r="11" spans="1:24" s="280" customFormat="1" x14ac:dyDescent="0.25">
      <c r="A11" s="359"/>
      <c r="B11" s="365"/>
      <c r="C11" s="365"/>
      <c r="D11" s="365"/>
      <c r="E11" s="382"/>
      <c r="F11" s="361"/>
      <c r="G11" s="365"/>
      <c r="H11" s="363"/>
      <c r="I11" s="373"/>
      <c r="J11" s="365"/>
      <c r="K11" s="365"/>
      <c r="L11" s="365"/>
      <c r="M11" s="365"/>
      <c r="N11" s="300" t="s">
        <v>606</v>
      </c>
      <c r="O11" s="361"/>
      <c r="P11" s="295">
        <v>36.96</v>
      </c>
      <c r="Q11" s="296" t="s">
        <v>648</v>
      </c>
      <c r="R11" s="297"/>
      <c r="S11" s="295"/>
      <c r="T11" s="295"/>
      <c r="U11" s="363"/>
      <c r="V11" s="367"/>
      <c r="W11" s="369"/>
      <c r="X11" s="280">
        <v>49</v>
      </c>
    </row>
    <row r="12" spans="1:24" s="85" customFormat="1" ht="72" customHeight="1" x14ac:dyDescent="0.25">
      <c r="A12" s="358">
        <v>2</v>
      </c>
      <c r="B12" s="364" t="s">
        <v>56</v>
      </c>
      <c r="C12" s="364"/>
      <c r="D12" s="364"/>
      <c r="E12" s="380" t="s">
        <v>158</v>
      </c>
      <c r="F12" s="360" t="s">
        <v>211</v>
      </c>
      <c r="G12" s="364" t="s">
        <v>212</v>
      </c>
      <c r="H12" s="362">
        <v>9400</v>
      </c>
      <c r="I12" s="372">
        <f>IF(X12 = 50, H12 + SUM(S12:S19) - SUM(T12:T19) - SUM(P12:P19) - V12,0)</f>
        <v>2704.21</v>
      </c>
      <c r="J12" s="364" t="s">
        <v>213</v>
      </c>
      <c r="K12" s="364" t="s">
        <v>157</v>
      </c>
      <c r="L12" s="364"/>
      <c r="M12" s="364" t="s">
        <v>214</v>
      </c>
      <c r="N12" s="298" t="s">
        <v>307</v>
      </c>
      <c r="O12" s="360" t="s">
        <v>215</v>
      </c>
      <c r="P12" s="289">
        <v>867.14</v>
      </c>
      <c r="Q12" s="290" t="s">
        <v>310</v>
      </c>
      <c r="R12" s="291"/>
      <c r="S12" s="289"/>
      <c r="T12" s="289"/>
      <c r="U12" s="362"/>
      <c r="V12" s="366"/>
      <c r="W12" s="368"/>
      <c r="X12" s="85">
        <v>50</v>
      </c>
    </row>
    <row r="13" spans="1:24" x14ac:dyDescent="0.25">
      <c r="A13" s="374"/>
      <c r="B13" s="377"/>
      <c r="C13" s="377"/>
      <c r="D13" s="377"/>
      <c r="E13" s="381"/>
      <c r="F13" s="375"/>
      <c r="G13" s="377"/>
      <c r="H13" s="376"/>
      <c r="I13" s="383"/>
      <c r="J13" s="377"/>
      <c r="K13" s="377"/>
      <c r="L13" s="377"/>
      <c r="M13" s="377"/>
      <c r="N13" s="299" t="s">
        <v>345</v>
      </c>
      <c r="O13" s="375"/>
      <c r="P13" s="292">
        <v>858.19</v>
      </c>
      <c r="Q13" s="293" t="s">
        <v>348</v>
      </c>
      <c r="R13" s="294"/>
      <c r="S13" s="292"/>
      <c r="T13" s="292"/>
      <c r="U13" s="376"/>
      <c r="V13" s="378"/>
      <c r="W13" s="379"/>
      <c r="X13" s="2">
        <v>50</v>
      </c>
    </row>
    <row r="14" spans="1:24" x14ac:dyDescent="0.25">
      <c r="A14" s="374"/>
      <c r="B14" s="377"/>
      <c r="C14" s="377"/>
      <c r="D14" s="377"/>
      <c r="E14" s="381"/>
      <c r="F14" s="375"/>
      <c r="G14" s="377"/>
      <c r="H14" s="376"/>
      <c r="I14" s="383"/>
      <c r="J14" s="377"/>
      <c r="K14" s="377"/>
      <c r="L14" s="377"/>
      <c r="M14" s="377"/>
      <c r="N14" s="299" t="s">
        <v>371</v>
      </c>
      <c r="O14" s="375"/>
      <c r="P14" s="292">
        <v>825.3</v>
      </c>
      <c r="Q14" s="293" t="s">
        <v>376</v>
      </c>
      <c r="R14" s="294"/>
      <c r="S14" s="292"/>
      <c r="T14" s="292"/>
      <c r="U14" s="376"/>
      <c r="V14" s="378"/>
      <c r="W14" s="379"/>
      <c r="X14" s="2">
        <v>50</v>
      </c>
    </row>
    <row r="15" spans="1:24" x14ac:dyDescent="0.25">
      <c r="A15" s="374"/>
      <c r="B15" s="377"/>
      <c r="C15" s="377"/>
      <c r="D15" s="377"/>
      <c r="E15" s="381"/>
      <c r="F15" s="375"/>
      <c r="G15" s="377"/>
      <c r="H15" s="376"/>
      <c r="I15" s="383"/>
      <c r="J15" s="377"/>
      <c r="K15" s="377"/>
      <c r="L15" s="377"/>
      <c r="M15" s="377"/>
      <c r="N15" s="299" t="s">
        <v>460</v>
      </c>
      <c r="O15" s="375"/>
      <c r="P15" s="292">
        <v>846.54</v>
      </c>
      <c r="Q15" s="293" t="s">
        <v>468</v>
      </c>
      <c r="R15" s="294"/>
      <c r="S15" s="292"/>
      <c r="T15" s="292"/>
      <c r="U15" s="376"/>
      <c r="V15" s="378"/>
      <c r="W15" s="379"/>
      <c r="X15" s="2">
        <v>50</v>
      </c>
    </row>
    <row r="16" spans="1:24" x14ac:dyDescent="0.25">
      <c r="A16" s="374"/>
      <c r="B16" s="377"/>
      <c r="C16" s="377"/>
      <c r="D16" s="377"/>
      <c r="E16" s="381"/>
      <c r="F16" s="375"/>
      <c r="G16" s="377"/>
      <c r="H16" s="376"/>
      <c r="I16" s="383"/>
      <c r="J16" s="377"/>
      <c r="K16" s="377"/>
      <c r="L16" s="377"/>
      <c r="M16" s="377"/>
      <c r="N16" s="299" t="s">
        <v>470</v>
      </c>
      <c r="O16" s="375"/>
      <c r="P16" s="292">
        <v>816.37</v>
      </c>
      <c r="Q16" s="293" t="s">
        <v>509</v>
      </c>
      <c r="R16" s="294"/>
      <c r="S16" s="292"/>
      <c r="T16" s="292"/>
      <c r="U16" s="376"/>
      <c r="V16" s="378"/>
      <c r="W16" s="379"/>
      <c r="X16" s="2">
        <v>50</v>
      </c>
    </row>
    <row r="17" spans="1:24" x14ac:dyDescent="0.25">
      <c r="A17" s="374"/>
      <c r="B17" s="377"/>
      <c r="C17" s="377"/>
      <c r="D17" s="377"/>
      <c r="E17" s="381"/>
      <c r="F17" s="375"/>
      <c r="G17" s="377"/>
      <c r="H17" s="376"/>
      <c r="I17" s="383"/>
      <c r="J17" s="377"/>
      <c r="K17" s="377"/>
      <c r="L17" s="377"/>
      <c r="M17" s="377"/>
      <c r="N17" s="299" t="s">
        <v>562</v>
      </c>
      <c r="O17" s="375"/>
      <c r="P17" s="292">
        <v>805.55</v>
      </c>
      <c r="Q17" s="293" t="s">
        <v>564</v>
      </c>
      <c r="R17" s="294"/>
      <c r="S17" s="292"/>
      <c r="T17" s="292"/>
      <c r="U17" s="376"/>
      <c r="V17" s="378"/>
      <c r="W17" s="379"/>
      <c r="X17" s="2">
        <v>50</v>
      </c>
    </row>
    <row r="18" spans="1:24" x14ac:dyDescent="0.25">
      <c r="A18" s="374"/>
      <c r="B18" s="377"/>
      <c r="C18" s="377"/>
      <c r="D18" s="377"/>
      <c r="E18" s="381"/>
      <c r="F18" s="375"/>
      <c r="G18" s="377"/>
      <c r="H18" s="376"/>
      <c r="I18" s="383"/>
      <c r="J18" s="377"/>
      <c r="K18" s="377"/>
      <c r="L18" s="377"/>
      <c r="M18" s="377"/>
      <c r="N18" s="299" t="s">
        <v>602</v>
      </c>
      <c r="O18" s="375"/>
      <c r="P18" s="292">
        <v>930.61</v>
      </c>
      <c r="Q18" s="293" t="s">
        <v>605</v>
      </c>
      <c r="R18" s="294"/>
      <c r="S18" s="292"/>
      <c r="T18" s="292"/>
      <c r="U18" s="376"/>
      <c r="V18" s="378"/>
      <c r="W18" s="379"/>
      <c r="X18" s="2">
        <v>50</v>
      </c>
    </row>
    <row r="19" spans="1:24" s="280" customFormat="1" x14ac:dyDescent="0.25">
      <c r="A19" s="359"/>
      <c r="B19" s="365"/>
      <c r="C19" s="365"/>
      <c r="D19" s="365"/>
      <c r="E19" s="382"/>
      <c r="F19" s="361"/>
      <c r="G19" s="365"/>
      <c r="H19" s="363"/>
      <c r="I19" s="373"/>
      <c r="J19" s="365"/>
      <c r="K19" s="365"/>
      <c r="L19" s="365"/>
      <c r="M19" s="365"/>
      <c r="N19" s="300" t="s">
        <v>606</v>
      </c>
      <c r="O19" s="361"/>
      <c r="P19" s="295">
        <v>746.09</v>
      </c>
      <c r="Q19" s="296" t="s">
        <v>648</v>
      </c>
      <c r="R19" s="297"/>
      <c r="S19" s="295"/>
      <c r="T19" s="295"/>
      <c r="U19" s="363"/>
      <c r="V19" s="367"/>
      <c r="W19" s="369"/>
      <c r="X19" s="280">
        <v>50</v>
      </c>
    </row>
    <row r="20" spans="1:24" s="85" customFormat="1" ht="94.9" customHeight="1" x14ac:dyDescent="0.25">
      <c r="A20" s="358">
        <v>3</v>
      </c>
      <c r="B20" s="364" t="s">
        <v>56</v>
      </c>
      <c r="C20" s="364"/>
      <c r="D20" s="364"/>
      <c r="E20" s="380" t="s">
        <v>152</v>
      </c>
      <c r="F20" s="360" t="s">
        <v>236</v>
      </c>
      <c r="G20" s="364" t="s">
        <v>237</v>
      </c>
      <c r="H20" s="362">
        <v>36000</v>
      </c>
      <c r="I20" s="372">
        <f>IF(X20 = 51, H20 + SUM(S20:S27) - SUM(T20:T27) - SUM(P20:P27) - V20,0)</f>
        <v>12000</v>
      </c>
      <c r="J20" s="364" t="s">
        <v>238</v>
      </c>
      <c r="K20" s="364" t="s">
        <v>153</v>
      </c>
      <c r="L20" s="364"/>
      <c r="M20" s="364" t="s">
        <v>214</v>
      </c>
      <c r="N20" s="298" t="s">
        <v>307</v>
      </c>
      <c r="O20" s="360" t="s">
        <v>239</v>
      </c>
      <c r="P20" s="289">
        <v>3000</v>
      </c>
      <c r="Q20" s="290" t="s">
        <v>308</v>
      </c>
      <c r="R20" s="291"/>
      <c r="S20" s="289"/>
      <c r="T20" s="289"/>
      <c r="U20" s="362"/>
      <c r="V20" s="366"/>
      <c r="W20" s="368"/>
      <c r="X20" s="85">
        <v>51</v>
      </c>
    </row>
    <row r="21" spans="1:24" x14ac:dyDescent="0.25">
      <c r="A21" s="374"/>
      <c r="B21" s="377"/>
      <c r="C21" s="377"/>
      <c r="D21" s="377"/>
      <c r="E21" s="381"/>
      <c r="F21" s="375"/>
      <c r="G21" s="377"/>
      <c r="H21" s="376"/>
      <c r="I21" s="383"/>
      <c r="J21" s="377"/>
      <c r="K21" s="377"/>
      <c r="L21" s="377"/>
      <c r="M21" s="377"/>
      <c r="N21" s="299" t="s">
        <v>345</v>
      </c>
      <c r="O21" s="375"/>
      <c r="P21" s="292">
        <v>3000</v>
      </c>
      <c r="Q21" s="293" t="s">
        <v>344</v>
      </c>
      <c r="R21" s="294"/>
      <c r="S21" s="292"/>
      <c r="T21" s="292"/>
      <c r="U21" s="376"/>
      <c r="V21" s="378"/>
      <c r="W21" s="379"/>
      <c r="X21" s="2">
        <v>51</v>
      </c>
    </row>
    <row r="22" spans="1:24" x14ac:dyDescent="0.25">
      <c r="A22" s="374"/>
      <c r="B22" s="377"/>
      <c r="C22" s="377"/>
      <c r="D22" s="377"/>
      <c r="E22" s="381"/>
      <c r="F22" s="375"/>
      <c r="G22" s="377"/>
      <c r="H22" s="376"/>
      <c r="I22" s="383"/>
      <c r="J22" s="377"/>
      <c r="K22" s="377"/>
      <c r="L22" s="377"/>
      <c r="M22" s="377"/>
      <c r="N22" s="299" t="s">
        <v>371</v>
      </c>
      <c r="O22" s="375"/>
      <c r="P22" s="292">
        <v>3000</v>
      </c>
      <c r="Q22" s="293" t="s">
        <v>372</v>
      </c>
      <c r="R22" s="294"/>
      <c r="S22" s="292"/>
      <c r="T22" s="292"/>
      <c r="U22" s="376"/>
      <c r="V22" s="378"/>
      <c r="W22" s="379"/>
      <c r="X22" s="2">
        <v>51</v>
      </c>
    </row>
    <row r="23" spans="1:24" x14ac:dyDescent="0.25">
      <c r="A23" s="374"/>
      <c r="B23" s="377"/>
      <c r="C23" s="377"/>
      <c r="D23" s="377"/>
      <c r="E23" s="381"/>
      <c r="F23" s="375"/>
      <c r="G23" s="377"/>
      <c r="H23" s="376"/>
      <c r="I23" s="383"/>
      <c r="J23" s="377"/>
      <c r="K23" s="377"/>
      <c r="L23" s="377"/>
      <c r="M23" s="377"/>
      <c r="N23" s="299" t="s">
        <v>460</v>
      </c>
      <c r="O23" s="375"/>
      <c r="P23" s="292">
        <v>3000</v>
      </c>
      <c r="Q23" s="293" t="s">
        <v>457</v>
      </c>
      <c r="R23" s="294"/>
      <c r="S23" s="292"/>
      <c r="T23" s="292"/>
      <c r="U23" s="376"/>
      <c r="V23" s="378"/>
      <c r="W23" s="379"/>
      <c r="X23" s="2">
        <v>51</v>
      </c>
    </row>
    <row r="24" spans="1:24" x14ac:dyDescent="0.25">
      <c r="A24" s="374"/>
      <c r="B24" s="377"/>
      <c r="C24" s="377"/>
      <c r="D24" s="377"/>
      <c r="E24" s="381"/>
      <c r="F24" s="375"/>
      <c r="G24" s="377"/>
      <c r="H24" s="376"/>
      <c r="I24" s="383"/>
      <c r="J24" s="377"/>
      <c r="K24" s="377"/>
      <c r="L24" s="377"/>
      <c r="M24" s="377"/>
      <c r="N24" s="299" t="s">
        <v>470</v>
      </c>
      <c r="O24" s="375"/>
      <c r="P24" s="292">
        <v>3000</v>
      </c>
      <c r="Q24" s="293" t="s">
        <v>507</v>
      </c>
      <c r="R24" s="294"/>
      <c r="S24" s="292"/>
      <c r="T24" s="292"/>
      <c r="U24" s="376"/>
      <c r="V24" s="378"/>
      <c r="W24" s="379"/>
      <c r="X24" s="2">
        <v>51</v>
      </c>
    </row>
    <row r="25" spans="1:24" x14ac:dyDescent="0.25">
      <c r="A25" s="374"/>
      <c r="B25" s="377"/>
      <c r="C25" s="377"/>
      <c r="D25" s="377"/>
      <c r="E25" s="381"/>
      <c r="F25" s="375"/>
      <c r="G25" s="377"/>
      <c r="H25" s="376"/>
      <c r="I25" s="383"/>
      <c r="J25" s="377"/>
      <c r="K25" s="377"/>
      <c r="L25" s="377"/>
      <c r="M25" s="377"/>
      <c r="N25" s="299" t="s">
        <v>562</v>
      </c>
      <c r="O25" s="375"/>
      <c r="P25" s="292">
        <v>3000</v>
      </c>
      <c r="Q25" s="293" t="s">
        <v>564</v>
      </c>
      <c r="R25" s="294"/>
      <c r="S25" s="292"/>
      <c r="T25" s="292"/>
      <c r="U25" s="376"/>
      <c r="V25" s="378"/>
      <c r="W25" s="379"/>
      <c r="X25" s="2">
        <v>51</v>
      </c>
    </row>
    <row r="26" spans="1:24" x14ac:dyDescent="0.25">
      <c r="A26" s="374"/>
      <c r="B26" s="377"/>
      <c r="C26" s="377"/>
      <c r="D26" s="377"/>
      <c r="E26" s="381"/>
      <c r="F26" s="375"/>
      <c r="G26" s="377"/>
      <c r="H26" s="376"/>
      <c r="I26" s="383"/>
      <c r="J26" s="377"/>
      <c r="K26" s="377"/>
      <c r="L26" s="377"/>
      <c r="M26" s="377"/>
      <c r="N26" s="299" t="s">
        <v>602</v>
      </c>
      <c r="O26" s="375"/>
      <c r="P26" s="292">
        <v>3000</v>
      </c>
      <c r="Q26" s="293" t="s">
        <v>603</v>
      </c>
      <c r="R26" s="294"/>
      <c r="S26" s="292"/>
      <c r="T26" s="292"/>
      <c r="U26" s="376"/>
      <c r="V26" s="378"/>
      <c r="W26" s="379"/>
      <c r="X26" s="2">
        <v>51</v>
      </c>
    </row>
    <row r="27" spans="1:24" s="280" customFormat="1" x14ac:dyDescent="0.25">
      <c r="A27" s="359"/>
      <c r="B27" s="365"/>
      <c r="C27" s="365"/>
      <c r="D27" s="365"/>
      <c r="E27" s="382"/>
      <c r="F27" s="361"/>
      <c r="G27" s="365"/>
      <c r="H27" s="363"/>
      <c r="I27" s="373"/>
      <c r="J27" s="365"/>
      <c r="K27" s="365"/>
      <c r="L27" s="365"/>
      <c r="M27" s="365"/>
      <c r="N27" s="300" t="s">
        <v>606</v>
      </c>
      <c r="O27" s="361"/>
      <c r="P27" s="295">
        <v>3000</v>
      </c>
      <c r="Q27" s="296" t="s">
        <v>648</v>
      </c>
      <c r="R27" s="297"/>
      <c r="S27" s="295"/>
      <c r="T27" s="295"/>
      <c r="U27" s="363"/>
      <c r="V27" s="367"/>
      <c r="W27" s="369"/>
      <c r="X27" s="280">
        <v>51</v>
      </c>
    </row>
    <row r="28" spans="1:24" s="85" customFormat="1" ht="90" customHeight="1" x14ac:dyDescent="0.25">
      <c r="A28" s="358">
        <v>4</v>
      </c>
      <c r="B28" s="364" t="s">
        <v>56</v>
      </c>
      <c r="C28" s="364"/>
      <c r="D28" s="364"/>
      <c r="E28" s="380" t="s">
        <v>240</v>
      </c>
      <c r="F28" s="360" t="s">
        <v>236</v>
      </c>
      <c r="G28" s="364" t="s">
        <v>241</v>
      </c>
      <c r="H28" s="362">
        <v>24000</v>
      </c>
      <c r="I28" s="372">
        <f>IF(X28 = 52, H28 + SUM(S28:S35) - SUM(T28:T35) - SUM(P28:P35) - V28,0)</f>
        <v>8000</v>
      </c>
      <c r="J28" s="364" t="s">
        <v>238</v>
      </c>
      <c r="K28" s="364" t="s">
        <v>153</v>
      </c>
      <c r="L28" s="364"/>
      <c r="M28" s="364" t="s">
        <v>214</v>
      </c>
      <c r="N28" s="298" t="s">
        <v>307</v>
      </c>
      <c r="O28" s="360" t="s">
        <v>239</v>
      </c>
      <c r="P28" s="289">
        <v>2000</v>
      </c>
      <c r="Q28" s="290" t="s">
        <v>306</v>
      </c>
      <c r="R28" s="291"/>
      <c r="S28" s="289"/>
      <c r="T28" s="289"/>
      <c r="U28" s="362"/>
      <c r="V28" s="366"/>
      <c r="W28" s="368"/>
      <c r="X28" s="85">
        <v>52</v>
      </c>
    </row>
    <row r="29" spans="1:24" x14ac:dyDescent="0.25">
      <c r="A29" s="374"/>
      <c r="B29" s="377"/>
      <c r="C29" s="377"/>
      <c r="D29" s="377"/>
      <c r="E29" s="381"/>
      <c r="F29" s="375"/>
      <c r="G29" s="377"/>
      <c r="H29" s="376"/>
      <c r="I29" s="383"/>
      <c r="J29" s="377"/>
      <c r="K29" s="377"/>
      <c r="L29" s="377"/>
      <c r="M29" s="377"/>
      <c r="N29" s="299" t="s">
        <v>345</v>
      </c>
      <c r="O29" s="375"/>
      <c r="P29" s="292">
        <v>2000</v>
      </c>
      <c r="Q29" s="293" t="s">
        <v>344</v>
      </c>
      <c r="R29" s="294"/>
      <c r="S29" s="292"/>
      <c r="T29" s="292"/>
      <c r="U29" s="376"/>
      <c r="V29" s="378"/>
      <c r="W29" s="379"/>
      <c r="X29" s="2">
        <v>52</v>
      </c>
    </row>
    <row r="30" spans="1:24" x14ac:dyDescent="0.25">
      <c r="A30" s="374"/>
      <c r="B30" s="377"/>
      <c r="C30" s="377"/>
      <c r="D30" s="377"/>
      <c r="E30" s="381"/>
      <c r="F30" s="375"/>
      <c r="G30" s="377"/>
      <c r="H30" s="376"/>
      <c r="I30" s="383"/>
      <c r="J30" s="377"/>
      <c r="K30" s="377"/>
      <c r="L30" s="377"/>
      <c r="M30" s="377"/>
      <c r="N30" s="299" t="s">
        <v>371</v>
      </c>
      <c r="O30" s="375"/>
      <c r="P30" s="292">
        <v>2000</v>
      </c>
      <c r="Q30" s="293" t="s">
        <v>372</v>
      </c>
      <c r="R30" s="294"/>
      <c r="S30" s="292"/>
      <c r="T30" s="292"/>
      <c r="U30" s="376"/>
      <c r="V30" s="378"/>
      <c r="W30" s="379"/>
      <c r="X30" s="2">
        <v>52</v>
      </c>
    </row>
    <row r="31" spans="1:24" x14ac:dyDescent="0.25">
      <c r="A31" s="374"/>
      <c r="B31" s="377"/>
      <c r="C31" s="377"/>
      <c r="D31" s="377"/>
      <c r="E31" s="381"/>
      <c r="F31" s="375"/>
      <c r="G31" s="377"/>
      <c r="H31" s="376"/>
      <c r="I31" s="383"/>
      <c r="J31" s="377"/>
      <c r="K31" s="377"/>
      <c r="L31" s="377"/>
      <c r="M31" s="377"/>
      <c r="N31" s="299" t="s">
        <v>460</v>
      </c>
      <c r="O31" s="375"/>
      <c r="P31" s="292">
        <v>2000</v>
      </c>
      <c r="Q31" s="293" t="s">
        <v>457</v>
      </c>
      <c r="R31" s="294"/>
      <c r="S31" s="292"/>
      <c r="T31" s="292"/>
      <c r="U31" s="376"/>
      <c r="V31" s="378"/>
      <c r="W31" s="379"/>
      <c r="X31" s="2">
        <v>52</v>
      </c>
    </row>
    <row r="32" spans="1:24" x14ac:dyDescent="0.25">
      <c r="A32" s="374"/>
      <c r="B32" s="377"/>
      <c r="C32" s="377"/>
      <c r="D32" s="377"/>
      <c r="E32" s="381"/>
      <c r="F32" s="375"/>
      <c r="G32" s="377"/>
      <c r="H32" s="376"/>
      <c r="I32" s="383"/>
      <c r="J32" s="377"/>
      <c r="K32" s="377"/>
      <c r="L32" s="377"/>
      <c r="M32" s="377"/>
      <c r="N32" s="299" t="s">
        <v>470</v>
      </c>
      <c r="O32" s="375"/>
      <c r="P32" s="292">
        <v>2000</v>
      </c>
      <c r="Q32" s="293" t="s">
        <v>507</v>
      </c>
      <c r="R32" s="294"/>
      <c r="S32" s="292"/>
      <c r="T32" s="292"/>
      <c r="U32" s="376"/>
      <c r="V32" s="378"/>
      <c r="W32" s="379"/>
      <c r="X32" s="2">
        <v>52</v>
      </c>
    </row>
    <row r="33" spans="1:24" x14ac:dyDescent="0.25">
      <c r="A33" s="374"/>
      <c r="B33" s="377"/>
      <c r="C33" s="377"/>
      <c r="D33" s="377"/>
      <c r="E33" s="381"/>
      <c r="F33" s="375"/>
      <c r="G33" s="377"/>
      <c r="H33" s="376"/>
      <c r="I33" s="383"/>
      <c r="J33" s="377"/>
      <c r="K33" s="377"/>
      <c r="L33" s="377"/>
      <c r="M33" s="377"/>
      <c r="N33" s="299" t="s">
        <v>562</v>
      </c>
      <c r="O33" s="375"/>
      <c r="P33" s="292">
        <v>2000</v>
      </c>
      <c r="Q33" s="293" t="s">
        <v>564</v>
      </c>
      <c r="R33" s="294"/>
      <c r="S33" s="292"/>
      <c r="T33" s="292"/>
      <c r="U33" s="376"/>
      <c r="V33" s="378"/>
      <c r="W33" s="379"/>
      <c r="X33" s="2">
        <v>52</v>
      </c>
    </row>
    <row r="34" spans="1:24" x14ac:dyDescent="0.25">
      <c r="A34" s="374"/>
      <c r="B34" s="377"/>
      <c r="C34" s="377"/>
      <c r="D34" s="377"/>
      <c r="E34" s="381"/>
      <c r="F34" s="375"/>
      <c r="G34" s="377"/>
      <c r="H34" s="376"/>
      <c r="I34" s="383"/>
      <c r="J34" s="377"/>
      <c r="K34" s="377"/>
      <c r="L34" s="377"/>
      <c r="M34" s="377"/>
      <c r="N34" s="299" t="s">
        <v>602</v>
      </c>
      <c r="O34" s="375"/>
      <c r="P34" s="292">
        <v>2000</v>
      </c>
      <c r="Q34" s="293" t="s">
        <v>603</v>
      </c>
      <c r="R34" s="294"/>
      <c r="S34" s="292"/>
      <c r="T34" s="292"/>
      <c r="U34" s="376"/>
      <c r="V34" s="378"/>
      <c r="W34" s="379"/>
      <c r="X34" s="2">
        <v>52</v>
      </c>
    </row>
    <row r="35" spans="1:24" s="280" customFormat="1" x14ac:dyDescent="0.25">
      <c r="A35" s="359"/>
      <c r="B35" s="365"/>
      <c r="C35" s="365"/>
      <c r="D35" s="365"/>
      <c r="E35" s="382"/>
      <c r="F35" s="361"/>
      <c r="G35" s="365"/>
      <c r="H35" s="363"/>
      <c r="I35" s="373"/>
      <c r="J35" s="365"/>
      <c r="K35" s="365"/>
      <c r="L35" s="365"/>
      <c r="M35" s="365"/>
      <c r="N35" s="300" t="s">
        <v>606</v>
      </c>
      <c r="O35" s="361"/>
      <c r="P35" s="295">
        <v>2000</v>
      </c>
      <c r="Q35" s="296" t="s">
        <v>648</v>
      </c>
      <c r="R35" s="297"/>
      <c r="S35" s="295"/>
      <c r="T35" s="295"/>
      <c r="U35" s="363"/>
      <c r="V35" s="367"/>
      <c r="W35" s="369"/>
      <c r="X35" s="280">
        <v>52</v>
      </c>
    </row>
    <row r="36" spans="1:24" s="85" customFormat="1" ht="90" customHeight="1" x14ac:dyDescent="0.25">
      <c r="A36" s="358">
        <v>5</v>
      </c>
      <c r="B36" s="364" t="s">
        <v>56</v>
      </c>
      <c r="C36" s="364"/>
      <c r="D36" s="364"/>
      <c r="E36" s="380" t="s">
        <v>57</v>
      </c>
      <c r="F36" s="360" t="s">
        <v>236</v>
      </c>
      <c r="G36" s="364" t="s">
        <v>242</v>
      </c>
      <c r="H36" s="362">
        <v>72000</v>
      </c>
      <c r="I36" s="372">
        <f>IF(X36 = 53, H36 + SUM(S36:S43) - SUM(T36:T43) - SUM(P36:P43) - V36,0)</f>
        <v>24000</v>
      </c>
      <c r="J36" s="364" t="s">
        <v>243</v>
      </c>
      <c r="K36" s="364" t="s">
        <v>166</v>
      </c>
      <c r="L36" s="364"/>
      <c r="M36" s="364" t="s">
        <v>214</v>
      </c>
      <c r="N36" s="298" t="s">
        <v>307</v>
      </c>
      <c r="O36" s="360" t="s">
        <v>239</v>
      </c>
      <c r="P36" s="289">
        <v>6000</v>
      </c>
      <c r="Q36" s="290" t="s">
        <v>314</v>
      </c>
      <c r="R36" s="291"/>
      <c r="S36" s="289"/>
      <c r="T36" s="289"/>
      <c r="U36" s="362"/>
      <c r="V36" s="366"/>
      <c r="W36" s="368"/>
      <c r="X36" s="85">
        <v>53</v>
      </c>
    </row>
    <row r="37" spans="1:24" x14ac:dyDescent="0.25">
      <c r="A37" s="374"/>
      <c r="B37" s="377"/>
      <c r="C37" s="377"/>
      <c r="D37" s="377"/>
      <c r="E37" s="381"/>
      <c r="F37" s="375"/>
      <c r="G37" s="377"/>
      <c r="H37" s="376"/>
      <c r="I37" s="383"/>
      <c r="J37" s="377"/>
      <c r="K37" s="377"/>
      <c r="L37" s="377"/>
      <c r="M37" s="377"/>
      <c r="N37" s="299" t="s">
        <v>345</v>
      </c>
      <c r="O37" s="375"/>
      <c r="P37" s="292">
        <v>6000</v>
      </c>
      <c r="Q37" s="293" t="s">
        <v>349</v>
      </c>
      <c r="R37" s="294"/>
      <c r="S37" s="292"/>
      <c r="T37" s="292"/>
      <c r="U37" s="376"/>
      <c r="V37" s="378"/>
      <c r="W37" s="379"/>
      <c r="X37" s="2">
        <v>53</v>
      </c>
    </row>
    <row r="38" spans="1:24" x14ac:dyDescent="0.25">
      <c r="A38" s="374"/>
      <c r="B38" s="377"/>
      <c r="C38" s="377"/>
      <c r="D38" s="377"/>
      <c r="E38" s="381"/>
      <c r="F38" s="375"/>
      <c r="G38" s="377"/>
      <c r="H38" s="376"/>
      <c r="I38" s="383"/>
      <c r="J38" s="377"/>
      <c r="K38" s="377"/>
      <c r="L38" s="377"/>
      <c r="M38" s="377"/>
      <c r="N38" s="299" t="s">
        <v>371</v>
      </c>
      <c r="O38" s="375"/>
      <c r="P38" s="292">
        <v>6000</v>
      </c>
      <c r="Q38" s="293" t="s">
        <v>376</v>
      </c>
      <c r="R38" s="294"/>
      <c r="S38" s="292"/>
      <c r="T38" s="292"/>
      <c r="U38" s="376"/>
      <c r="V38" s="378"/>
      <c r="W38" s="379"/>
      <c r="X38" s="2">
        <v>53</v>
      </c>
    </row>
    <row r="39" spans="1:24" x14ac:dyDescent="0.25">
      <c r="A39" s="374"/>
      <c r="B39" s="377"/>
      <c r="C39" s="377"/>
      <c r="D39" s="377"/>
      <c r="E39" s="381"/>
      <c r="F39" s="375"/>
      <c r="G39" s="377"/>
      <c r="H39" s="376"/>
      <c r="I39" s="383"/>
      <c r="J39" s="377"/>
      <c r="K39" s="377"/>
      <c r="L39" s="377"/>
      <c r="M39" s="377"/>
      <c r="N39" s="299" t="s">
        <v>460</v>
      </c>
      <c r="O39" s="375"/>
      <c r="P39" s="292">
        <v>6000</v>
      </c>
      <c r="Q39" s="293" t="s">
        <v>464</v>
      </c>
      <c r="R39" s="294"/>
      <c r="S39" s="292"/>
      <c r="T39" s="292"/>
      <c r="U39" s="376"/>
      <c r="V39" s="378"/>
      <c r="W39" s="379"/>
      <c r="X39" s="2">
        <v>53</v>
      </c>
    </row>
    <row r="40" spans="1:24" x14ac:dyDescent="0.25">
      <c r="A40" s="374"/>
      <c r="B40" s="377"/>
      <c r="C40" s="377"/>
      <c r="D40" s="377"/>
      <c r="E40" s="381"/>
      <c r="F40" s="375"/>
      <c r="G40" s="377"/>
      <c r="H40" s="376"/>
      <c r="I40" s="383"/>
      <c r="J40" s="377"/>
      <c r="K40" s="377"/>
      <c r="L40" s="377"/>
      <c r="M40" s="377"/>
      <c r="N40" s="299" t="s">
        <v>470</v>
      </c>
      <c r="O40" s="375"/>
      <c r="P40" s="292">
        <v>6000</v>
      </c>
      <c r="Q40" s="293" t="s">
        <v>509</v>
      </c>
      <c r="R40" s="294"/>
      <c r="S40" s="292"/>
      <c r="T40" s="292"/>
      <c r="U40" s="376"/>
      <c r="V40" s="378"/>
      <c r="W40" s="379"/>
      <c r="X40" s="2">
        <v>53</v>
      </c>
    </row>
    <row r="41" spans="1:24" x14ac:dyDescent="0.25">
      <c r="A41" s="374"/>
      <c r="B41" s="377"/>
      <c r="C41" s="377"/>
      <c r="D41" s="377"/>
      <c r="E41" s="381"/>
      <c r="F41" s="375"/>
      <c r="G41" s="377"/>
      <c r="H41" s="376"/>
      <c r="I41" s="383"/>
      <c r="J41" s="377"/>
      <c r="K41" s="377"/>
      <c r="L41" s="377"/>
      <c r="M41" s="377"/>
      <c r="N41" s="299" t="s">
        <v>562</v>
      </c>
      <c r="O41" s="375"/>
      <c r="P41" s="292">
        <v>6000</v>
      </c>
      <c r="Q41" s="293" t="s">
        <v>564</v>
      </c>
      <c r="R41" s="294"/>
      <c r="S41" s="292"/>
      <c r="T41" s="292"/>
      <c r="U41" s="376"/>
      <c r="V41" s="378"/>
      <c r="W41" s="379"/>
      <c r="X41" s="2">
        <v>53</v>
      </c>
    </row>
    <row r="42" spans="1:24" x14ac:dyDescent="0.25">
      <c r="A42" s="374"/>
      <c r="B42" s="377"/>
      <c r="C42" s="377"/>
      <c r="D42" s="377"/>
      <c r="E42" s="381"/>
      <c r="F42" s="375"/>
      <c r="G42" s="377"/>
      <c r="H42" s="376"/>
      <c r="I42" s="383"/>
      <c r="J42" s="377"/>
      <c r="K42" s="377"/>
      <c r="L42" s="377"/>
      <c r="M42" s="377"/>
      <c r="N42" s="299" t="s">
        <v>602</v>
      </c>
      <c r="O42" s="375"/>
      <c r="P42" s="292">
        <v>6000</v>
      </c>
      <c r="Q42" s="293" t="s">
        <v>604</v>
      </c>
      <c r="R42" s="294"/>
      <c r="S42" s="292"/>
      <c r="T42" s="292"/>
      <c r="U42" s="376"/>
      <c r="V42" s="378"/>
      <c r="W42" s="379"/>
      <c r="X42" s="2">
        <v>53</v>
      </c>
    </row>
    <row r="43" spans="1:24" s="280" customFormat="1" x14ac:dyDescent="0.25">
      <c r="A43" s="359"/>
      <c r="B43" s="365"/>
      <c r="C43" s="365"/>
      <c r="D43" s="365"/>
      <c r="E43" s="382"/>
      <c r="F43" s="361"/>
      <c r="G43" s="365"/>
      <c r="H43" s="363"/>
      <c r="I43" s="373"/>
      <c r="J43" s="365"/>
      <c r="K43" s="365"/>
      <c r="L43" s="365"/>
      <c r="M43" s="365"/>
      <c r="N43" s="300" t="s">
        <v>606</v>
      </c>
      <c r="O43" s="361"/>
      <c r="P43" s="295">
        <v>6000</v>
      </c>
      <c r="Q43" s="296" t="s">
        <v>650</v>
      </c>
      <c r="R43" s="297"/>
      <c r="S43" s="295"/>
      <c r="T43" s="295"/>
      <c r="U43" s="363"/>
      <c r="V43" s="367"/>
      <c r="W43" s="369"/>
      <c r="X43" s="280">
        <v>53</v>
      </c>
    </row>
    <row r="44" spans="1:24" s="85" customFormat="1" ht="90" customHeight="1" x14ac:dyDescent="0.25">
      <c r="A44" s="384">
        <v>6</v>
      </c>
      <c r="B44" s="390" t="s">
        <v>56</v>
      </c>
      <c r="C44" s="390"/>
      <c r="D44" s="390"/>
      <c r="E44" s="396" t="s">
        <v>244</v>
      </c>
      <c r="F44" s="386" t="s">
        <v>236</v>
      </c>
      <c r="G44" s="390" t="s">
        <v>245</v>
      </c>
      <c r="H44" s="388">
        <v>7200</v>
      </c>
      <c r="I44" s="398">
        <f>IF(X44 = 54, H44 + SUM(S44:S45) - SUM(T44:T45) - SUM(P44:P45) - V44,0)</f>
        <v>3600</v>
      </c>
      <c r="J44" s="390" t="s">
        <v>246</v>
      </c>
      <c r="K44" s="390" t="s">
        <v>247</v>
      </c>
      <c r="L44" s="390"/>
      <c r="M44" s="390" t="s">
        <v>214</v>
      </c>
      <c r="N44" s="246" t="s">
        <v>371</v>
      </c>
      <c r="O44" s="386" t="s">
        <v>239</v>
      </c>
      <c r="P44" s="242">
        <v>1800</v>
      </c>
      <c r="Q44" s="241" t="s">
        <v>370</v>
      </c>
      <c r="R44" s="240"/>
      <c r="S44" s="242"/>
      <c r="T44" s="242"/>
      <c r="U44" s="388"/>
      <c r="V44" s="392"/>
      <c r="W44" s="394"/>
      <c r="X44" s="85">
        <v>54</v>
      </c>
    </row>
    <row r="45" spans="1:24" x14ac:dyDescent="0.25">
      <c r="A45" s="385"/>
      <c r="B45" s="391"/>
      <c r="C45" s="391"/>
      <c r="D45" s="391"/>
      <c r="E45" s="397"/>
      <c r="F45" s="387"/>
      <c r="G45" s="391"/>
      <c r="H45" s="389"/>
      <c r="I45" s="399"/>
      <c r="J45" s="391"/>
      <c r="K45" s="391"/>
      <c r="L45" s="391"/>
      <c r="M45" s="391"/>
      <c r="N45" s="247" t="s">
        <v>562</v>
      </c>
      <c r="O45" s="387"/>
      <c r="P45" s="243">
        <v>1800</v>
      </c>
      <c r="Q45" s="244" t="s">
        <v>563</v>
      </c>
      <c r="R45" s="245"/>
      <c r="S45" s="243"/>
      <c r="T45" s="243"/>
      <c r="U45" s="389"/>
      <c r="V45" s="393"/>
      <c r="W45" s="395"/>
      <c r="X45" s="2">
        <v>54</v>
      </c>
    </row>
    <row r="46" spans="1:24" s="85" customFormat="1" ht="75" x14ac:dyDescent="0.25">
      <c r="A46" s="116">
        <v>7</v>
      </c>
      <c r="B46" s="112" t="s">
        <v>56</v>
      </c>
      <c r="C46" s="112"/>
      <c r="D46" s="112"/>
      <c r="E46" s="117" t="s">
        <v>277</v>
      </c>
      <c r="F46" s="121" t="s">
        <v>236</v>
      </c>
      <c r="G46" s="112" t="s">
        <v>278</v>
      </c>
      <c r="H46" s="113">
        <v>8000</v>
      </c>
      <c r="I46" s="118">
        <f>IF(X46 = 55, H46 + SUM(S46:S46) - SUM(T46:T46) - SUM(P46:P46) - V46,0)</f>
        <v>0</v>
      </c>
      <c r="J46" s="112" t="s">
        <v>279</v>
      </c>
      <c r="K46" s="112" t="s">
        <v>280</v>
      </c>
      <c r="L46" s="112"/>
      <c r="M46" s="112" t="s">
        <v>214</v>
      </c>
      <c r="N46" s="121" t="s">
        <v>312</v>
      </c>
      <c r="O46" s="121" t="s">
        <v>281</v>
      </c>
      <c r="P46" s="113">
        <v>8000</v>
      </c>
      <c r="Q46" s="117" t="s">
        <v>311</v>
      </c>
      <c r="R46" s="112"/>
      <c r="S46" s="113"/>
      <c r="T46" s="113"/>
      <c r="U46" s="113"/>
      <c r="V46" s="134"/>
      <c r="W46" s="115"/>
      <c r="X46" s="85">
        <v>55</v>
      </c>
    </row>
    <row r="47" spans="1:24" s="85" customFormat="1" ht="72" customHeight="1" x14ac:dyDescent="0.25">
      <c r="A47" s="450">
        <v>8</v>
      </c>
      <c r="B47" s="423" t="s">
        <v>56</v>
      </c>
      <c r="C47" s="423"/>
      <c r="D47" s="423"/>
      <c r="E47" s="459" t="s">
        <v>282</v>
      </c>
      <c r="F47" s="428" t="s">
        <v>283</v>
      </c>
      <c r="G47" s="423" t="s">
        <v>284</v>
      </c>
      <c r="H47" s="431">
        <v>28761.599999999999</v>
      </c>
      <c r="I47" s="456">
        <f>IF(X47 = 56, H47 + SUM(S47:S51) - SUM(T47:T51) - SUM(P47:P51) - V47,0)</f>
        <v>0</v>
      </c>
      <c r="J47" s="423" t="s">
        <v>285</v>
      </c>
      <c r="K47" s="423" t="s">
        <v>286</v>
      </c>
      <c r="L47" s="423"/>
      <c r="M47" s="423" t="s">
        <v>287</v>
      </c>
      <c r="N47" s="194" t="s">
        <v>307</v>
      </c>
      <c r="O47" s="428" t="s">
        <v>288</v>
      </c>
      <c r="P47" s="187">
        <v>2568</v>
      </c>
      <c r="Q47" s="186" t="s">
        <v>311</v>
      </c>
      <c r="R47" s="185"/>
      <c r="S47" s="187"/>
      <c r="T47" s="187"/>
      <c r="U47" s="431" t="s">
        <v>515</v>
      </c>
      <c r="V47" s="453">
        <v>15921.6</v>
      </c>
      <c r="W47" s="447"/>
      <c r="X47" s="85">
        <v>56</v>
      </c>
    </row>
    <row r="48" spans="1:24" x14ac:dyDescent="0.25">
      <c r="A48" s="451"/>
      <c r="B48" s="424"/>
      <c r="C48" s="424"/>
      <c r="D48" s="424"/>
      <c r="E48" s="460"/>
      <c r="F48" s="429"/>
      <c r="G48" s="424"/>
      <c r="H48" s="432"/>
      <c r="I48" s="457"/>
      <c r="J48" s="424"/>
      <c r="K48" s="424"/>
      <c r="L48" s="424"/>
      <c r="M48" s="424"/>
      <c r="N48" s="195" t="s">
        <v>345</v>
      </c>
      <c r="O48" s="429"/>
      <c r="P48" s="188">
        <v>2910.4</v>
      </c>
      <c r="Q48" s="189" t="s">
        <v>355</v>
      </c>
      <c r="R48" s="190"/>
      <c r="S48" s="188"/>
      <c r="T48" s="188"/>
      <c r="U48" s="432"/>
      <c r="V48" s="454"/>
      <c r="W48" s="448"/>
      <c r="X48" s="2">
        <v>56</v>
      </c>
    </row>
    <row r="49" spans="1:24" x14ac:dyDescent="0.25">
      <c r="A49" s="451"/>
      <c r="B49" s="424"/>
      <c r="C49" s="424"/>
      <c r="D49" s="424"/>
      <c r="E49" s="460"/>
      <c r="F49" s="429"/>
      <c r="G49" s="424"/>
      <c r="H49" s="432"/>
      <c r="I49" s="457"/>
      <c r="J49" s="424"/>
      <c r="K49" s="424"/>
      <c r="L49" s="424"/>
      <c r="M49" s="424"/>
      <c r="N49" s="195" t="s">
        <v>383</v>
      </c>
      <c r="O49" s="429"/>
      <c r="P49" s="188">
        <v>2568</v>
      </c>
      <c r="Q49" s="189" t="s">
        <v>376</v>
      </c>
      <c r="R49" s="190"/>
      <c r="S49" s="188"/>
      <c r="T49" s="188"/>
      <c r="U49" s="432"/>
      <c r="V49" s="454"/>
      <c r="W49" s="448"/>
      <c r="X49" s="2">
        <v>56</v>
      </c>
    </row>
    <row r="50" spans="1:24" x14ac:dyDescent="0.25">
      <c r="A50" s="451"/>
      <c r="B50" s="424"/>
      <c r="C50" s="424"/>
      <c r="D50" s="424"/>
      <c r="E50" s="460"/>
      <c r="F50" s="429"/>
      <c r="G50" s="424"/>
      <c r="H50" s="432"/>
      <c r="I50" s="457"/>
      <c r="J50" s="424"/>
      <c r="K50" s="424"/>
      <c r="L50" s="424"/>
      <c r="M50" s="424"/>
      <c r="N50" s="195" t="s">
        <v>459</v>
      </c>
      <c r="O50" s="429"/>
      <c r="P50" s="188">
        <v>2739.2</v>
      </c>
      <c r="Q50" s="189" t="s">
        <v>463</v>
      </c>
      <c r="R50" s="190"/>
      <c r="S50" s="188"/>
      <c r="T50" s="188"/>
      <c r="U50" s="432"/>
      <c r="V50" s="454"/>
      <c r="W50" s="448"/>
      <c r="X50" s="2">
        <v>56</v>
      </c>
    </row>
    <row r="51" spans="1:24" x14ac:dyDescent="0.25">
      <c r="A51" s="452"/>
      <c r="B51" s="425"/>
      <c r="C51" s="425"/>
      <c r="D51" s="425"/>
      <c r="E51" s="461"/>
      <c r="F51" s="430"/>
      <c r="G51" s="425"/>
      <c r="H51" s="433"/>
      <c r="I51" s="458"/>
      <c r="J51" s="425"/>
      <c r="K51" s="425"/>
      <c r="L51" s="425"/>
      <c r="M51" s="425"/>
      <c r="N51" s="196" t="s">
        <v>467</v>
      </c>
      <c r="O51" s="430"/>
      <c r="P51" s="191">
        <v>2054.4</v>
      </c>
      <c r="Q51" s="192" t="s">
        <v>470</v>
      </c>
      <c r="R51" s="193"/>
      <c r="S51" s="191"/>
      <c r="T51" s="191"/>
      <c r="U51" s="433"/>
      <c r="V51" s="455"/>
      <c r="W51" s="449"/>
      <c r="X51" s="2">
        <v>56</v>
      </c>
    </row>
    <row r="52" spans="1:24" s="85" customFormat="1" ht="72" customHeight="1" x14ac:dyDescent="0.25">
      <c r="A52" s="450">
        <v>9</v>
      </c>
      <c r="B52" s="423" t="s">
        <v>56</v>
      </c>
      <c r="C52" s="423"/>
      <c r="D52" s="423"/>
      <c r="E52" s="459" t="s">
        <v>289</v>
      </c>
      <c r="F52" s="428" t="s">
        <v>283</v>
      </c>
      <c r="G52" s="423" t="s">
        <v>290</v>
      </c>
      <c r="H52" s="431">
        <v>8400</v>
      </c>
      <c r="I52" s="456">
        <f>IF(X52 = 57, H52 + SUM(S52:S56) - SUM(T52:T56) - SUM(P52:P56) - V52,0)</f>
        <v>0</v>
      </c>
      <c r="J52" s="423" t="s">
        <v>285</v>
      </c>
      <c r="K52" s="423" t="s">
        <v>286</v>
      </c>
      <c r="L52" s="423"/>
      <c r="M52" s="423" t="s">
        <v>287</v>
      </c>
      <c r="N52" s="194" t="s">
        <v>307</v>
      </c>
      <c r="O52" s="428" t="s">
        <v>288</v>
      </c>
      <c r="P52" s="187">
        <v>750</v>
      </c>
      <c r="Q52" s="186" t="s">
        <v>313</v>
      </c>
      <c r="R52" s="185"/>
      <c r="S52" s="187"/>
      <c r="T52" s="187"/>
      <c r="U52" s="431" t="s">
        <v>516</v>
      </c>
      <c r="V52" s="453">
        <v>4650</v>
      </c>
      <c r="W52" s="447"/>
      <c r="X52" s="85">
        <v>57</v>
      </c>
    </row>
    <row r="53" spans="1:24" x14ac:dyDescent="0.25">
      <c r="A53" s="451"/>
      <c r="B53" s="424"/>
      <c r="C53" s="424"/>
      <c r="D53" s="424"/>
      <c r="E53" s="460"/>
      <c r="F53" s="429"/>
      <c r="G53" s="424"/>
      <c r="H53" s="432"/>
      <c r="I53" s="457"/>
      <c r="J53" s="424"/>
      <c r="K53" s="424"/>
      <c r="L53" s="424"/>
      <c r="M53" s="424"/>
      <c r="N53" s="195" t="s">
        <v>345</v>
      </c>
      <c r="O53" s="429"/>
      <c r="P53" s="188">
        <v>850</v>
      </c>
      <c r="Q53" s="189" t="s">
        <v>355</v>
      </c>
      <c r="R53" s="190"/>
      <c r="S53" s="188"/>
      <c r="T53" s="188"/>
      <c r="U53" s="432"/>
      <c r="V53" s="454"/>
      <c r="W53" s="448"/>
      <c r="X53" s="2">
        <v>57</v>
      </c>
    </row>
    <row r="54" spans="1:24" x14ac:dyDescent="0.25">
      <c r="A54" s="451"/>
      <c r="B54" s="424"/>
      <c r="C54" s="424"/>
      <c r="D54" s="424"/>
      <c r="E54" s="460"/>
      <c r="F54" s="429"/>
      <c r="G54" s="424"/>
      <c r="H54" s="432"/>
      <c r="I54" s="457"/>
      <c r="J54" s="424"/>
      <c r="K54" s="424"/>
      <c r="L54" s="424"/>
      <c r="M54" s="424"/>
      <c r="N54" s="195" t="s">
        <v>383</v>
      </c>
      <c r="O54" s="429"/>
      <c r="P54" s="188">
        <v>750</v>
      </c>
      <c r="Q54" s="189" t="s">
        <v>377</v>
      </c>
      <c r="R54" s="190"/>
      <c r="S54" s="188"/>
      <c r="T54" s="188"/>
      <c r="U54" s="432"/>
      <c r="V54" s="454"/>
      <c r="W54" s="448"/>
      <c r="X54" s="2">
        <v>57</v>
      </c>
    </row>
    <row r="55" spans="1:24" x14ac:dyDescent="0.25">
      <c r="A55" s="451"/>
      <c r="B55" s="424"/>
      <c r="C55" s="424"/>
      <c r="D55" s="424"/>
      <c r="E55" s="460"/>
      <c r="F55" s="429"/>
      <c r="G55" s="424"/>
      <c r="H55" s="432"/>
      <c r="I55" s="457"/>
      <c r="J55" s="424"/>
      <c r="K55" s="424"/>
      <c r="L55" s="424"/>
      <c r="M55" s="424"/>
      <c r="N55" s="195" t="s">
        <v>459</v>
      </c>
      <c r="O55" s="429"/>
      <c r="P55" s="188">
        <v>800</v>
      </c>
      <c r="Q55" s="189" t="s">
        <v>463</v>
      </c>
      <c r="R55" s="190"/>
      <c r="S55" s="188"/>
      <c r="T55" s="188"/>
      <c r="U55" s="432"/>
      <c r="V55" s="454"/>
      <c r="W55" s="448"/>
      <c r="X55" s="2">
        <v>57</v>
      </c>
    </row>
    <row r="56" spans="1:24" x14ac:dyDescent="0.25">
      <c r="A56" s="452"/>
      <c r="B56" s="425"/>
      <c r="C56" s="425"/>
      <c r="D56" s="425"/>
      <c r="E56" s="461"/>
      <c r="F56" s="430"/>
      <c r="G56" s="425"/>
      <c r="H56" s="433"/>
      <c r="I56" s="458"/>
      <c r="J56" s="425"/>
      <c r="K56" s="425"/>
      <c r="L56" s="425"/>
      <c r="M56" s="425"/>
      <c r="N56" s="196" t="s">
        <v>467</v>
      </c>
      <c r="O56" s="430"/>
      <c r="P56" s="191">
        <v>600</v>
      </c>
      <c r="Q56" s="192" t="s">
        <v>470</v>
      </c>
      <c r="R56" s="193"/>
      <c r="S56" s="191"/>
      <c r="T56" s="191"/>
      <c r="U56" s="433"/>
      <c r="V56" s="455"/>
      <c r="W56" s="449"/>
      <c r="X56" s="2">
        <v>57</v>
      </c>
    </row>
    <row r="57" spans="1:24" s="85" customFormat="1" ht="72" customHeight="1" x14ac:dyDescent="0.25">
      <c r="A57" s="437">
        <v>10</v>
      </c>
      <c r="B57" s="434" t="s">
        <v>56</v>
      </c>
      <c r="C57" s="434"/>
      <c r="D57" s="434"/>
      <c r="E57" s="469" t="s">
        <v>291</v>
      </c>
      <c r="F57" s="440" t="s">
        <v>283</v>
      </c>
      <c r="G57" s="434" t="s">
        <v>292</v>
      </c>
      <c r="H57" s="465">
        <v>157474.79999999999</v>
      </c>
      <c r="I57" s="471">
        <f>IF(X57 = 58, H57 + SUM(S57:S66) - SUM(T57:T66) - SUM(P57:P66) - V57,0)</f>
        <v>-7.2759576141834259E-12</v>
      </c>
      <c r="J57" s="434" t="s">
        <v>285</v>
      </c>
      <c r="K57" s="434" t="s">
        <v>286</v>
      </c>
      <c r="L57" s="434"/>
      <c r="M57" s="434" t="s">
        <v>287</v>
      </c>
      <c r="N57" s="223" t="s">
        <v>307</v>
      </c>
      <c r="O57" s="440" t="s">
        <v>288</v>
      </c>
      <c r="P57" s="219">
        <v>11269.73</v>
      </c>
      <c r="Q57" s="218" t="s">
        <v>311</v>
      </c>
      <c r="R57" s="217"/>
      <c r="S57" s="219"/>
      <c r="T57" s="219"/>
      <c r="U57" s="465" t="s">
        <v>517</v>
      </c>
      <c r="V57" s="467">
        <v>53294.239999999998</v>
      </c>
      <c r="W57" s="462"/>
      <c r="X57" s="85">
        <v>58</v>
      </c>
    </row>
    <row r="58" spans="1:24" x14ac:dyDescent="0.25">
      <c r="A58" s="438"/>
      <c r="B58" s="435"/>
      <c r="C58" s="435"/>
      <c r="D58" s="435"/>
      <c r="E58" s="475"/>
      <c r="F58" s="441"/>
      <c r="G58" s="435"/>
      <c r="H58" s="473"/>
      <c r="I58" s="476"/>
      <c r="J58" s="435"/>
      <c r="K58" s="435"/>
      <c r="L58" s="435"/>
      <c r="M58" s="435"/>
      <c r="N58" s="228" t="s">
        <v>307</v>
      </c>
      <c r="O58" s="441"/>
      <c r="P58" s="225">
        <v>9220.69</v>
      </c>
      <c r="Q58" s="226" t="s">
        <v>311</v>
      </c>
      <c r="R58" s="227"/>
      <c r="S58" s="225"/>
      <c r="T58" s="225"/>
      <c r="U58" s="473"/>
      <c r="V58" s="474"/>
      <c r="W58" s="463"/>
      <c r="X58" s="2">
        <v>58</v>
      </c>
    </row>
    <row r="59" spans="1:24" x14ac:dyDescent="0.25">
      <c r="A59" s="438"/>
      <c r="B59" s="435"/>
      <c r="C59" s="435"/>
      <c r="D59" s="435"/>
      <c r="E59" s="475"/>
      <c r="F59" s="441"/>
      <c r="G59" s="435"/>
      <c r="H59" s="473"/>
      <c r="I59" s="476"/>
      <c r="J59" s="435"/>
      <c r="K59" s="435"/>
      <c r="L59" s="435"/>
      <c r="M59" s="435"/>
      <c r="N59" s="228" t="s">
        <v>345</v>
      </c>
      <c r="O59" s="441"/>
      <c r="P59" s="225">
        <v>10634.23</v>
      </c>
      <c r="Q59" s="226" t="s">
        <v>355</v>
      </c>
      <c r="R59" s="227"/>
      <c r="S59" s="225"/>
      <c r="T59" s="225"/>
      <c r="U59" s="473"/>
      <c r="V59" s="474"/>
      <c r="W59" s="463"/>
      <c r="X59" s="2">
        <v>58</v>
      </c>
    </row>
    <row r="60" spans="1:24" x14ac:dyDescent="0.25">
      <c r="A60" s="438"/>
      <c r="B60" s="435"/>
      <c r="C60" s="435"/>
      <c r="D60" s="435"/>
      <c r="E60" s="475"/>
      <c r="F60" s="441"/>
      <c r="G60" s="435"/>
      <c r="H60" s="473"/>
      <c r="I60" s="476"/>
      <c r="J60" s="435"/>
      <c r="K60" s="435"/>
      <c r="L60" s="435"/>
      <c r="M60" s="435"/>
      <c r="N60" s="228" t="s">
        <v>345</v>
      </c>
      <c r="O60" s="441"/>
      <c r="P60" s="225">
        <v>8700.74</v>
      </c>
      <c r="Q60" s="226" t="s">
        <v>355</v>
      </c>
      <c r="R60" s="227"/>
      <c r="S60" s="225"/>
      <c r="T60" s="225"/>
      <c r="U60" s="473"/>
      <c r="V60" s="474"/>
      <c r="W60" s="463"/>
      <c r="X60" s="2">
        <v>58</v>
      </c>
    </row>
    <row r="61" spans="1:24" x14ac:dyDescent="0.25">
      <c r="A61" s="438"/>
      <c r="B61" s="435"/>
      <c r="C61" s="435"/>
      <c r="D61" s="435"/>
      <c r="E61" s="475"/>
      <c r="F61" s="441"/>
      <c r="G61" s="435"/>
      <c r="H61" s="473"/>
      <c r="I61" s="476"/>
      <c r="J61" s="435"/>
      <c r="K61" s="435"/>
      <c r="L61" s="435"/>
      <c r="M61" s="435"/>
      <c r="N61" s="228" t="s">
        <v>383</v>
      </c>
      <c r="O61" s="441"/>
      <c r="P61" s="225">
        <v>11999.06</v>
      </c>
      <c r="Q61" s="226" t="s">
        <v>375</v>
      </c>
      <c r="R61" s="227"/>
      <c r="S61" s="225"/>
      <c r="T61" s="225"/>
      <c r="U61" s="473"/>
      <c r="V61" s="474"/>
      <c r="W61" s="463"/>
      <c r="X61" s="2">
        <v>58</v>
      </c>
    </row>
    <row r="62" spans="1:24" x14ac:dyDescent="0.25">
      <c r="A62" s="438"/>
      <c r="B62" s="435"/>
      <c r="C62" s="435"/>
      <c r="D62" s="435"/>
      <c r="E62" s="475"/>
      <c r="F62" s="441"/>
      <c r="G62" s="435"/>
      <c r="H62" s="473"/>
      <c r="I62" s="476"/>
      <c r="J62" s="435"/>
      <c r="K62" s="435"/>
      <c r="L62" s="435"/>
      <c r="M62" s="435"/>
      <c r="N62" s="228" t="s">
        <v>383</v>
      </c>
      <c r="O62" s="441"/>
      <c r="P62" s="225">
        <v>9817.41</v>
      </c>
      <c r="Q62" s="226" t="s">
        <v>375</v>
      </c>
      <c r="R62" s="227"/>
      <c r="S62" s="225"/>
      <c r="T62" s="225"/>
      <c r="U62" s="473"/>
      <c r="V62" s="474"/>
      <c r="W62" s="463"/>
      <c r="X62" s="2">
        <v>58</v>
      </c>
    </row>
    <row r="63" spans="1:24" x14ac:dyDescent="0.25">
      <c r="A63" s="438"/>
      <c r="B63" s="435"/>
      <c r="C63" s="435"/>
      <c r="D63" s="435"/>
      <c r="E63" s="475"/>
      <c r="F63" s="441"/>
      <c r="G63" s="435"/>
      <c r="H63" s="473"/>
      <c r="I63" s="476"/>
      <c r="J63" s="435"/>
      <c r="K63" s="435"/>
      <c r="L63" s="435"/>
      <c r="M63" s="435"/>
      <c r="N63" s="228" t="s">
        <v>459</v>
      </c>
      <c r="O63" s="441"/>
      <c r="P63" s="225">
        <v>14127.21</v>
      </c>
      <c r="Q63" s="226" t="s">
        <v>463</v>
      </c>
      <c r="R63" s="227"/>
      <c r="S63" s="225"/>
      <c r="T63" s="225"/>
      <c r="U63" s="473"/>
      <c r="V63" s="474"/>
      <c r="W63" s="463"/>
      <c r="X63" s="2">
        <v>58</v>
      </c>
    </row>
    <row r="64" spans="1:24" x14ac:dyDescent="0.25">
      <c r="A64" s="438"/>
      <c r="B64" s="435"/>
      <c r="C64" s="435"/>
      <c r="D64" s="435"/>
      <c r="E64" s="475"/>
      <c r="F64" s="441"/>
      <c r="G64" s="435"/>
      <c r="H64" s="473"/>
      <c r="I64" s="476"/>
      <c r="J64" s="435"/>
      <c r="K64" s="435"/>
      <c r="L64" s="435"/>
      <c r="M64" s="435"/>
      <c r="N64" s="228" t="s">
        <v>459</v>
      </c>
      <c r="O64" s="441"/>
      <c r="P64" s="225">
        <v>11558.62</v>
      </c>
      <c r="Q64" s="226" t="s">
        <v>463</v>
      </c>
      <c r="R64" s="227"/>
      <c r="S64" s="225"/>
      <c r="T64" s="225"/>
      <c r="U64" s="473"/>
      <c r="V64" s="474"/>
      <c r="W64" s="463"/>
      <c r="X64" s="2">
        <v>58</v>
      </c>
    </row>
    <row r="65" spans="1:24" x14ac:dyDescent="0.25">
      <c r="A65" s="438"/>
      <c r="B65" s="435"/>
      <c r="C65" s="435"/>
      <c r="D65" s="435"/>
      <c r="E65" s="475"/>
      <c r="F65" s="441"/>
      <c r="G65" s="435"/>
      <c r="H65" s="473"/>
      <c r="I65" s="476"/>
      <c r="J65" s="435"/>
      <c r="K65" s="435"/>
      <c r="L65" s="435"/>
      <c r="M65" s="435"/>
      <c r="N65" s="228" t="s">
        <v>467</v>
      </c>
      <c r="O65" s="441"/>
      <c r="P65" s="225">
        <v>9269.08</v>
      </c>
      <c r="Q65" s="226" t="s">
        <v>509</v>
      </c>
      <c r="R65" s="227"/>
      <c r="S65" s="225"/>
      <c r="T65" s="225"/>
      <c r="U65" s="473"/>
      <c r="V65" s="474"/>
      <c r="W65" s="463"/>
      <c r="X65" s="2">
        <v>58</v>
      </c>
    </row>
    <row r="66" spans="1:24" x14ac:dyDescent="0.25">
      <c r="A66" s="439"/>
      <c r="B66" s="436"/>
      <c r="C66" s="436"/>
      <c r="D66" s="436"/>
      <c r="E66" s="470"/>
      <c r="F66" s="442"/>
      <c r="G66" s="436"/>
      <c r="H66" s="466"/>
      <c r="I66" s="472"/>
      <c r="J66" s="436"/>
      <c r="K66" s="436"/>
      <c r="L66" s="436"/>
      <c r="M66" s="436"/>
      <c r="N66" s="224" t="s">
        <v>467</v>
      </c>
      <c r="O66" s="442"/>
      <c r="P66" s="220">
        <v>7583.79</v>
      </c>
      <c r="Q66" s="221" t="s">
        <v>509</v>
      </c>
      <c r="R66" s="222"/>
      <c r="S66" s="220"/>
      <c r="T66" s="220"/>
      <c r="U66" s="466"/>
      <c r="V66" s="468"/>
      <c r="W66" s="464"/>
      <c r="X66" s="2">
        <v>58</v>
      </c>
    </row>
    <row r="67" spans="1:24" s="85" customFormat="1" ht="72" customHeight="1" x14ac:dyDescent="0.25">
      <c r="A67" s="450">
        <v>11</v>
      </c>
      <c r="B67" s="423" t="s">
        <v>56</v>
      </c>
      <c r="C67" s="423"/>
      <c r="D67" s="423"/>
      <c r="E67" s="459" t="s">
        <v>293</v>
      </c>
      <c r="F67" s="428" t="s">
        <v>283</v>
      </c>
      <c r="G67" s="423" t="s">
        <v>294</v>
      </c>
      <c r="H67" s="431">
        <v>46200</v>
      </c>
      <c r="I67" s="456">
        <f>IF(X67 = 59, H67 + SUM(S67:S71) - SUM(T67:T71) - SUM(P67:P71) - V67,0)</f>
        <v>0</v>
      </c>
      <c r="J67" s="423" t="s">
        <v>285</v>
      </c>
      <c r="K67" s="423" t="s">
        <v>286</v>
      </c>
      <c r="L67" s="423"/>
      <c r="M67" s="423" t="s">
        <v>287</v>
      </c>
      <c r="N67" s="194" t="s">
        <v>307</v>
      </c>
      <c r="O67" s="428" t="s">
        <v>288</v>
      </c>
      <c r="P67" s="187">
        <v>5800</v>
      </c>
      <c r="Q67" s="186" t="s">
        <v>313</v>
      </c>
      <c r="R67" s="185"/>
      <c r="S67" s="187"/>
      <c r="T67" s="187"/>
      <c r="U67" s="431" t="s">
        <v>515</v>
      </c>
      <c r="V67" s="453">
        <v>16750</v>
      </c>
      <c r="W67" s="447"/>
      <c r="X67" s="85">
        <v>59</v>
      </c>
    </row>
    <row r="68" spans="1:24" x14ac:dyDescent="0.25">
      <c r="A68" s="451"/>
      <c r="B68" s="424"/>
      <c r="C68" s="424"/>
      <c r="D68" s="424"/>
      <c r="E68" s="460"/>
      <c r="F68" s="429"/>
      <c r="G68" s="424"/>
      <c r="H68" s="432"/>
      <c r="I68" s="457"/>
      <c r="J68" s="424"/>
      <c r="K68" s="424"/>
      <c r="L68" s="424"/>
      <c r="M68" s="424"/>
      <c r="N68" s="195" t="s">
        <v>345</v>
      </c>
      <c r="O68" s="429"/>
      <c r="P68" s="188">
        <v>5475</v>
      </c>
      <c r="Q68" s="189" t="s">
        <v>355</v>
      </c>
      <c r="R68" s="190"/>
      <c r="S68" s="188"/>
      <c r="T68" s="188"/>
      <c r="U68" s="432"/>
      <c r="V68" s="454"/>
      <c r="W68" s="448"/>
      <c r="X68" s="2">
        <v>59</v>
      </c>
    </row>
    <row r="69" spans="1:24" x14ac:dyDescent="0.25">
      <c r="A69" s="451"/>
      <c r="B69" s="424"/>
      <c r="C69" s="424"/>
      <c r="D69" s="424"/>
      <c r="E69" s="460"/>
      <c r="F69" s="429"/>
      <c r="G69" s="424"/>
      <c r="H69" s="432"/>
      <c r="I69" s="457"/>
      <c r="J69" s="424"/>
      <c r="K69" s="424"/>
      <c r="L69" s="424"/>
      <c r="M69" s="424"/>
      <c r="N69" s="195" t="s">
        <v>383</v>
      </c>
      <c r="O69" s="429"/>
      <c r="P69" s="188">
        <v>6125</v>
      </c>
      <c r="Q69" s="189" t="s">
        <v>375</v>
      </c>
      <c r="R69" s="190"/>
      <c r="S69" s="188"/>
      <c r="T69" s="188"/>
      <c r="U69" s="432"/>
      <c r="V69" s="454"/>
      <c r="W69" s="448"/>
      <c r="X69" s="2">
        <v>59</v>
      </c>
    </row>
    <row r="70" spans="1:24" x14ac:dyDescent="0.25">
      <c r="A70" s="451"/>
      <c r="B70" s="424"/>
      <c r="C70" s="424"/>
      <c r="D70" s="424"/>
      <c r="E70" s="460"/>
      <c r="F70" s="429"/>
      <c r="G70" s="424"/>
      <c r="H70" s="432"/>
      <c r="I70" s="457"/>
      <c r="J70" s="424"/>
      <c r="K70" s="424"/>
      <c r="L70" s="424"/>
      <c r="M70" s="424"/>
      <c r="N70" s="195" t="s">
        <v>459</v>
      </c>
      <c r="O70" s="429"/>
      <c r="P70" s="188">
        <v>7275</v>
      </c>
      <c r="Q70" s="189" t="s">
        <v>463</v>
      </c>
      <c r="R70" s="190"/>
      <c r="S70" s="188"/>
      <c r="T70" s="188"/>
      <c r="U70" s="432"/>
      <c r="V70" s="454"/>
      <c r="W70" s="448"/>
      <c r="X70" s="2">
        <v>59</v>
      </c>
    </row>
    <row r="71" spans="1:24" x14ac:dyDescent="0.25">
      <c r="A71" s="452"/>
      <c r="B71" s="425"/>
      <c r="C71" s="425"/>
      <c r="D71" s="425"/>
      <c r="E71" s="461"/>
      <c r="F71" s="430"/>
      <c r="G71" s="425"/>
      <c r="H71" s="433"/>
      <c r="I71" s="458"/>
      <c r="J71" s="425"/>
      <c r="K71" s="425"/>
      <c r="L71" s="425"/>
      <c r="M71" s="425"/>
      <c r="N71" s="196" t="s">
        <v>467</v>
      </c>
      <c r="O71" s="430"/>
      <c r="P71" s="191">
        <v>4775</v>
      </c>
      <c r="Q71" s="192" t="s">
        <v>470</v>
      </c>
      <c r="R71" s="193"/>
      <c r="S71" s="191"/>
      <c r="T71" s="191"/>
      <c r="U71" s="433"/>
      <c r="V71" s="455"/>
      <c r="W71" s="449"/>
      <c r="X71" s="2">
        <v>59</v>
      </c>
    </row>
    <row r="72" spans="1:24" s="85" customFormat="1" ht="72" customHeight="1" x14ac:dyDescent="0.25">
      <c r="A72" s="450">
        <v>12</v>
      </c>
      <c r="B72" s="423" t="s">
        <v>56</v>
      </c>
      <c r="C72" s="423"/>
      <c r="D72" s="423"/>
      <c r="E72" s="459" t="s">
        <v>320</v>
      </c>
      <c r="F72" s="428" t="s">
        <v>283</v>
      </c>
      <c r="G72" s="423" t="s">
        <v>319</v>
      </c>
      <c r="H72" s="431">
        <v>10500</v>
      </c>
      <c r="I72" s="456">
        <f>IF(X72 = 60, H72 + SUM(S72:S77) - SUM(T72:T77) - SUM(P72:P77) - V72,0)</f>
        <v>0</v>
      </c>
      <c r="J72" s="423" t="s">
        <v>285</v>
      </c>
      <c r="K72" s="423" t="s">
        <v>286</v>
      </c>
      <c r="L72" s="423"/>
      <c r="M72" s="423" t="s">
        <v>287</v>
      </c>
      <c r="N72" s="194" t="s">
        <v>345</v>
      </c>
      <c r="O72" s="428" t="s">
        <v>288</v>
      </c>
      <c r="P72" s="187">
        <v>1375</v>
      </c>
      <c r="Q72" s="186" t="s">
        <v>349</v>
      </c>
      <c r="R72" s="185"/>
      <c r="S72" s="187"/>
      <c r="T72" s="187"/>
      <c r="U72" s="431" t="s">
        <v>515</v>
      </c>
      <c r="V72" s="453">
        <v>3700</v>
      </c>
      <c r="W72" s="447"/>
      <c r="X72" s="85">
        <v>60</v>
      </c>
    </row>
    <row r="73" spans="1:24" x14ac:dyDescent="0.25">
      <c r="A73" s="451"/>
      <c r="B73" s="424"/>
      <c r="C73" s="424"/>
      <c r="D73" s="424"/>
      <c r="E73" s="460"/>
      <c r="F73" s="429"/>
      <c r="G73" s="424"/>
      <c r="H73" s="432"/>
      <c r="I73" s="457"/>
      <c r="J73" s="424"/>
      <c r="K73" s="424"/>
      <c r="L73" s="424"/>
      <c r="M73" s="424"/>
      <c r="N73" s="195" t="s">
        <v>345</v>
      </c>
      <c r="O73" s="429"/>
      <c r="P73" s="188">
        <v>1375</v>
      </c>
      <c r="Q73" s="189" t="s">
        <v>349</v>
      </c>
      <c r="R73" s="190"/>
      <c r="S73" s="188"/>
      <c r="T73" s="188"/>
      <c r="U73" s="432"/>
      <c r="V73" s="454"/>
      <c r="W73" s="448"/>
      <c r="X73" s="2">
        <v>60</v>
      </c>
    </row>
    <row r="74" spans="1:24" x14ac:dyDescent="0.25">
      <c r="A74" s="451"/>
      <c r="B74" s="424"/>
      <c r="C74" s="424"/>
      <c r="D74" s="424"/>
      <c r="E74" s="460"/>
      <c r="F74" s="429"/>
      <c r="G74" s="424"/>
      <c r="H74" s="432"/>
      <c r="I74" s="457"/>
      <c r="J74" s="424"/>
      <c r="K74" s="424"/>
      <c r="L74" s="424"/>
      <c r="M74" s="424"/>
      <c r="N74" s="195" t="s">
        <v>345</v>
      </c>
      <c r="O74" s="429"/>
      <c r="P74" s="188">
        <v>-25</v>
      </c>
      <c r="Q74" s="189" t="s">
        <v>382</v>
      </c>
      <c r="R74" s="190"/>
      <c r="S74" s="188"/>
      <c r="T74" s="188"/>
      <c r="U74" s="432"/>
      <c r="V74" s="454"/>
      <c r="W74" s="448"/>
      <c r="X74" s="2">
        <v>60</v>
      </c>
    </row>
    <row r="75" spans="1:24" x14ac:dyDescent="0.25">
      <c r="A75" s="451"/>
      <c r="B75" s="424"/>
      <c r="C75" s="424"/>
      <c r="D75" s="424"/>
      <c r="E75" s="460"/>
      <c r="F75" s="429"/>
      <c r="G75" s="424"/>
      <c r="H75" s="432"/>
      <c r="I75" s="457"/>
      <c r="J75" s="424"/>
      <c r="K75" s="424"/>
      <c r="L75" s="424"/>
      <c r="M75" s="424"/>
      <c r="N75" s="195" t="s">
        <v>383</v>
      </c>
      <c r="O75" s="429"/>
      <c r="P75" s="188">
        <v>1425</v>
      </c>
      <c r="Q75" s="189" t="s">
        <v>377</v>
      </c>
      <c r="R75" s="190"/>
      <c r="S75" s="188"/>
      <c r="T75" s="188"/>
      <c r="U75" s="432"/>
      <c r="V75" s="454"/>
      <c r="W75" s="448"/>
      <c r="X75" s="2">
        <v>60</v>
      </c>
    </row>
    <row r="76" spans="1:24" x14ac:dyDescent="0.25">
      <c r="A76" s="451"/>
      <c r="B76" s="424"/>
      <c r="C76" s="424"/>
      <c r="D76" s="424"/>
      <c r="E76" s="460"/>
      <c r="F76" s="429"/>
      <c r="G76" s="424"/>
      <c r="H76" s="432"/>
      <c r="I76" s="457"/>
      <c r="J76" s="424"/>
      <c r="K76" s="424"/>
      <c r="L76" s="424"/>
      <c r="M76" s="424"/>
      <c r="N76" s="195" t="s">
        <v>459</v>
      </c>
      <c r="O76" s="429"/>
      <c r="P76" s="188">
        <v>1825</v>
      </c>
      <c r="Q76" s="189" t="s">
        <v>463</v>
      </c>
      <c r="R76" s="190"/>
      <c r="S76" s="188"/>
      <c r="T76" s="188"/>
      <c r="U76" s="432"/>
      <c r="V76" s="454"/>
      <c r="W76" s="448"/>
      <c r="X76" s="2">
        <v>60</v>
      </c>
    </row>
    <row r="77" spans="1:24" x14ac:dyDescent="0.25">
      <c r="A77" s="452"/>
      <c r="B77" s="425"/>
      <c r="C77" s="425"/>
      <c r="D77" s="425"/>
      <c r="E77" s="461"/>
      <c r="F77" s="430"/>
      <c r="G77" s="425"/>
      <c r="H77" s="433"/>
      <c r="I77" s="458"/>
      <c r="J77" s="425"/>
      <c r="K77" s="425"/>
      <c r="L77" s="425"/>
      <c r="M77" s="425"/>
      <c r="N77" s="196" t="s">
        <v>467</v>
      </c>
      <c r="O77" s="430"/>
      <c r="P77" s="191">
        <v>825</v>
      </c>
      <c r="Q77" s="192" t="s">
        <v>470</v>
      </c>
      <c r="R77" s="193"/>
      <c r="S77" s="191"/>
      <c r="T77" s="191"/>
      <c r="U77" s="433"/>
      <c r="V77" s="455"/>
      <c r="W77" s="449"/>
      <c r="X77" s="2">
        <v>60</v>
      </c>
    </row>
    <row r="78" spans="1:24" s="85" customFormat="1" ht="72" customHeight="1" x14ac:dyDescent="0.25">
      <c r="A78" s="450">
        <v>13</v>
      </c>
      <c r="B78" s="423" t="s">
        <v>56</v>
      </c>
      <c r="C78" s="423"/>
      <c r="D78" s="423"/>
      <c r="E78" s="459" t="s">
        <v>318</v>
      </c>
      <c r="F78" s="428" t="s">
        <v>283</v>
      </c>
      <c r="G78" s="423" t="s">
        <v>321</v>
      </c>
      <c r="H78" s="431">
        <v>40017.599999999999</v>
      </c>
      <c r="I78" s="456">
        <f>IF(X78 = 61, H78 + SUM(S78:S82) - SUM(T78:T82) - SUM(P78:P82) - V78,0)</f>
        <v>0</v>
      </c>
      <c r="J78" s="423" t="s">
        <v>285</v>
      </c>
      <c r="K78" s="423" t="s">
        <v>286</v>
      </c>
      <c r="L78" s="423"/>
      <c r="M78" s="423" t="s">
        <v>287</v>
      </c>
      <c r="N78" s="194" t="s">
        <v>345</v>
      </c>
      <c r="O78" s="428" t="s">
        <v>288</v>
      </c>
      <c r="P78" s="187">
        <v>5240.3999999999996</v>
      </c>
      <c r="Q78" s="186" t="s">
        <v>357</v>
      </c>
      <c r="R78" s="185"/>
      <c r="S78" s="187"/>
      <c r="T78" s="187"/>
      <c r="U78" s="431" t="s">
        <v>515</v>
      </c>
      <c r="V78" s="453">
        <v>14275.68</v>
      </c>
      <c r="W78" s="447"/>
      <c r="X78" s="85">
        <v>61</v>
      </c>
    </row>
    <row r="79" spans="1:24" ht="16.899999999999999" customHeight="1" x14ac:dyDescent="0.25">
      <c r="A79" s="451"/>
      <c r="B79" s="424"/>
      <c r="C79" s="424"/>
      <c r="D79" s="424"/>
      <c r="E79" s="460"/>
      <c r="F79" s="429"/>
      <c r="G79" s="424"/>
      <c r="H79" s="432"/>
      <c r="I79" s="457"/>
      <c r="J79" s="424"/>
      <c r="K79" s="424"/>
      <c r="L79" s="424"/>
      <c r="M79" s="424"/>
      <c r="N79" s="195" t="s">
        <v>345</v>
      </c>
      <c r="O79" s="429"/>
      <c r="P79" s="188">
        <v>4970.88</v>
      </c>
      <c r="Q79" s="189" t="s">
        <v>357</v>
      </c>
      <c r="R79" s="190"/>
      <c r="S79" s="188"/>
      <c r="T79" s="188"/>
      <c r="U79" s="432"/>
      <c r="V79" s="454"/>
      <c r="W79" s="448"/>
      <c r="X79" s="2">
        <v>61</v>
      </c>
    </row>
    <row r="80" spans="1:24" ht="22.9" customHeight="1" x14ac:dyDescent="0.25">
      <c r="A80" s="451"/>
      <c r="B80" s="424"/>
      <c r="C80" s="424"/>
      <c r="D80" s="424"/>
      <c r="E80" s="460"/>
      <c r="F80" s="429"/>
      <c r="G80" s="424"/>
      <c r="H80" s="432"/>
      <c r="I80" s="457"/>
      <c r="J80" s="424"/>
      <c r="K80" s="424"/>
      <c r="L80" s="424"/>
      <c r="M80" s="424"/>
      <c r="N80" s="195" t="s">
        <v>383</v>
      </c>
      <c r="O80" s="429"/>
      <c r="P80" s="188">
        <v>5430.96</v>
      </c>
      <c r="Q80" s="189" t="s">
        <v>376</v>
      </c>
      <c r="R80" s="190"/>
      <c r="S80" s="188"/>
      <c r="T80" s="188"/>
      <c r="U80" s="432"/>
      <c r="V80" s="454"/>
      <c r="W80" s="448"/>
      <c r="X80" s="2">
        <v>61</v>
      </c>
    </row>
    <row r="81" spans="1:24" x14ac:dyDescent="0.25">
      <c r="A81" s="451"/>
      <c r="B81" s="424"/>
      <c r="C81" s="424"/>
      <c r="D81" s="424"/>
      <c r="E81" s="460"/>
      <c r="F81" s="429"/>
      <c r="G81" s="424"/>
      <c r="H81" s="432"/>
      <c r="I81" s="457"/>
      <c r="J81" s="424"/>
      <c r="K81" s="424"/>
      <c r="L81" s="424"/>
      <c r="M81" s="424"/>
      <c r="N81" s="195" t="s">
        <v>459</v>
      </c>
      <c r="O81" s="429"/>
      <c r="P81" s="188">
        <v>6955.44</v>
      </c>
      <c r="Q81" s="189" t="s">
        <v>463</v>
      </c>
      <c r="R81" s="190"/>
      <c r="S81" s="188"/>
      <c r="T81" s="188"/>
      <c r="U81" s="432"/>
      <c r="V81" s="454"/>
      <c r="W81" s="448"/>
      <c r="X81" s="2">
        <v>61</v>
      </c>
    </row>
    <row r="82" spans="1:24" x14ac:dyDescent="0.25">
      <c r="A82" s="452"/>
      <c r="B82" s="425"/>
      <c r="C82" s="425"/>
      <c r="D82" s="425"/>
      <c r="E82" s="461"/>
      <c r="F82" s="430"/>
      <c r="G82" s="425"/>
      <c r="H82" s="433"/>
      <c r="I82" s="458"/>
      <c r="J82" s="425"/>
      <c r="K82" s="425"/>
      <c r="L82" s="425"/>
      <c r="M82" s="425"/>
      <c r="N82" s="196" t="s">
        <v>467</v>
      </c>
      <c r="O82" s="430"/>
      <c r="P82" s="191">
        <v>3144.24</v>
      </c>
      <c r="Q82" s="192" t="s">
        <v>470</v>
      </c>
      <c r="R82" s="193"/>
      <c r="S82" s="191"/>
      <c r="T82" s="191"/>
      <c r="U82" s="433"/>
      <c r="V82" s="455"/>
      <c r="W82" s="449"/>
      <c r="X82" s="2">
        <v>61</v>
      </c>
    </row>
    <row r="83" spans="1:24" s="85" customFormat="1" ht="118.9" customHeight="1" x14ac:dyDescent="0.25">
      <c r="A83" s="384">
        <v>14</v>
      </c>
      <c r="B83" s="390" t="s">
        <v>56</v>
      </c>
      <c r="C83" s="390"/>
      <c r="D83" s="390"/>
      <c r="E83" s="396" t="s">
        <v>409</v>
      </c>
      <c r="F83" s="386" t="s">
        <v>256</v>
      </c>
      <c r="G83" s="390" t="s">
        <v>410</v>
      </c>
      <c r="H83" s="388">
        <v>12096</v>
      </c>
      <c r="I83" s="398">
        <f>IF(X83 = 62, H83 + SUM(S83:S85) - SUM(T83:T85) - SUM(P83:P85) - V83,0)</f>
        <v>3024</v>
      </c>
      <c r="J83" s="390" t="s">
        <v>411</v>
      </c>
      <c r="K83" s="390" t="s">
        <v>412</v>
      </c>
      <c r="L83" s="390"/>
      <c r="M83" s="390" t="s">
        <v>214</v>
      </c>
      <c r="N83" s="246" t="s">
        <v>315</v>
      </c>
      <c r="O83" s="386" t="s">
        <v>413</v>
      </c>
      <c r="P83" s="242">
        <v>6048</v>
      </c>
      <c r="Q83" s="241" t="s">
        <v>466</v>
      </c>
      <c r="R83" s="240"/>
      <c r="S83" s="242"/>
      <c r="T83" s="242"/>
      <c r="U83" s="388"/>
      <c r="V83" s="392"/>
      <c r="W83" s="394"/>
      <c r="X83" s="85">
        <v>62</v>
      </c>
    </row>
    <row r="84" spans="1:24" x14ac:dyDescent="0.25">
      <c r="A84" s="426"/>
      <c r="B84" s="427"/>
      <c r="C84" s="427"/>
      <c r="D84" s="427"/>
      <c r="E84" s="445"/>
      <c r="F84" s="421"/>
      <c r="G84" s="427"/>
      <c r="H84" s="422"/>
      <c r="I84" s="446"/>
      <c r="J84" s="427"/>
      <c r="K84" s="427"/>
      <c r="L84" s="427"/>
      <c r="M84" s="427"/>
      <c r="N84" s="251" t="s">
        <v>371</v>
      </c>
      <c r="O84" s="421"/>
      <c r="P84" s="248">
        <v>1512</v>
      </c>
      <c r="Q84" s="249" t="s">
        <v>466</v>
      </c>
      <c r="R84" s="250"/>
      <c r="S84" s="248"/>
      <c r="T84" s="248"/>
      <c r="U84" s="422"/>
      <c r="V84" s="443"/>
      <c r="W84" s="444"/>
      <c r="X84" s="2">
        <v>62</v>
      </c>
    </row>
    <row r="85" spans="1:24" x14ac:dyDescent="0.25">
      <c r="A85" s="385"/>
      <c r="B85" s="391"/>
      <c r="C85" s="391"/>
      <c r="D85" s="391"/>
      <c r="E85" s="397"/>
      <c r="F85" s="387"/>
      <c r="G85" s="391"/>
      <c r="H85" s="389"/>
      <c r="I85" s="399"/>
      <c r="J85" s="391"/>
      <c r="K85" s="391"/>
      <c r="L85" s="391"/>
      <c r="M85" s="391"/>
      <c r="N85" s="247" t="s">
        <v>562</v>
      </c>
      <c r="O85" s="387"/>
      <c r="P85" s="243">
        <v>1512</v>
      </c>
      <c r="Q85" s="244" t="s">
        <v>569</v>
      </c>
      <c r="R85" s="245"/>
      <c r="S85" s="243"/>
      <c r="T85" s="243"/>
      <c r="U85" s="389"/>
      <c r="V85" s="393"/>
      <c r="W85" s="395"/>
      <c r="X85" s="2">
        <v>62</v>
      </c>
    </row>
    <row r="86" spans="1:24" s="85" customFormat="1" ht="144" customHeight="1" x14ac:dyDescent="0.25">
      <c r="A86" s="400">
        <v>15</v>
      </c>
      <c r="B86" s="406" t="s">
        <v>56</v>
      </c>
      <c r="C86" s="406"/>
      <c r="D86" s="406"/>
      <c r="E86" s="412" t="s">
        <v>331</v>
      </c>
      <c r="F86" s="402" t="s">
        <v>332</v>
      </c>
      <c r="G86" s="406" t="s">
        <v>333</v>
      </c>
      <c r="H86" s="404">
        <v>2800</v>
      </c>
      <c r="I86" s="414">
        <f>IF(X86 = 63, H86 + SUM(S86:S87) - SUM(T86:T87) - SUM(P86:P87) - V86,0)</f>
        <v>0</v>
      </c>
      <c r="J86" s="406" t="s">
        <v>334</v>
      </c>
      <c r="K86" s="406" t="s">
        <v>335</v>
      </c>
      <c r="L86" s="406"/>
      <c r="M86" s="406" t="s">
        <v>336</v>
      </c>
      <c r="N86" s="163" t="s">
        <v>356</v>
      </c>
      <c r="O86" s="402" t="s">
        <v>343</v>
      </c>
      <c r="P86" s="156">
        <v>840</v>
      </c>
      <c r="Q86" s="155" t="s">
        <v>352</v>
      </c>
      <c r="R86" s="154"/>
      <c r="S86" s="156"/>
      <c r="T86" s="156"/>
      <c r="U86" s="404"/>
      <c r="V86" s="408"/>
      <c r="W86" s="410"/>
      <c r="X86" s="85">
        <v>63</v>
      </c>
    </row>
    <row r="87" spans="1:24" x14ac:dyDescent="0.25">
      <c r="A87" s="401"/>
      <c r="B87" s="407"/>
      <c r="C87" s="407"/>
      <c r="D87" s="407"/>
      <c r="E87" s="413"/>
      <c r="F87" s="403"/>
      <c r="G87" s="407"/>
      <c r="H87" s="405"/>
      <c r="I87" s="415"/>
      <c r="J87" s="407"/>
      <c r="K87" s="407"/>
      <c r="L87" s="407"/>
      <c r="M87" s="407"/>
      <c r="N87" s="165" t="s">
        <v>371</v>
      </c>
      <c r="O87" s="403"/>
      <c r="P87" s="160">
        <v>1960</v>
      </c>
      <c r="Q87" s="161" t="s">
        <v>370</v>
      </c>
      <c r="R87" s="162"/>
      <c r="S87" s="160"/>
      <c r="T87" s="160"/>
      <c r="U87" s="405"/>
      <c r="V87" s="409"/>
      <c r="W87" s="411"/>
      <c r="X87" s="2">
        <v>63</v>
      </c>
    </row>
    <row r="88" spans="1:24" s="85" customFormat="1" ht="112.5" x14ac:dyDescent="0.25">
      <c r="A88" s="135">
        <v>16</v>
      </c>
      <c r="B88" s="137" t="s">
        <v>56</v>
      </c>
      <c r="C88" s="137"/>
      <c r="D88" s="137"/>
      <c r="E88" s="140" t="s">
        <v>337</v>
      </c>
      <c r="F88" s="142" t="s">
        <v>338</v>
      </c>
      <c r="G88" s="137" t="s">
        <v>339</v>
      </c>
      <c r="H88" s="136">
        <v>40920</v>
      </c>
      <c r="I88" s="141">
        <f>IF(X88 = 64, H88 + SUM(S88:S88) - SUM(T88:T88) - SUM(P88:P88) - V88,0)</f>
        <v>0</v>
      </c>
      <c r="J88" s="137" t="s">
        <v>340</v>
      </c>
      <c r="K88" s="137" t="s">
        <v>341</v>
      </c>
      <c r="L88" s="137"/>
      <c r="M88" s="137" t="s">
        <v>342</v>
      </c>
      <c r="N88" s="142" t="s">
        <v>353</v>
      </c>
      <c r="O88" s="121" t="s">
        <v>330</v>
      </c>
      <c r="P88" s="136">
        <v>40920</v>
      </c>
      <c r="Q88" s="140" t="s">
        <v>352</v>
      </c>
      <c r="R88" s="137"/>
      <c r="S88" s="136"/>
      <c r="T88" s="136"/>
      <c r="U88" s="136"/>
      <c r="V88" s="138"/>
      <c r="W88" s="139"/>
      <c r="X88" s="85">
        <v>64</v>
      </c>
    </row>
    <row r="89" spans="1:24" s="85" customFormat="1" ht="96" customHeight="1" x14ac:dyDescent="0.25">
      <c r="A89" s="152">
        <v>17</v>
      </c>
      <c r="B89" s="147" t="s">
        <v>56</v>
      </c>
      <c r="C89" s="147"/>
      <c r="D89" s="147"/>
      <c r="E89" s="149" t="s">
        <v>358</v>
      </c>
      <c r="F89" s="153" t="s">
        <v>359</v>
      </c>
      <c r="G89" s="137" t="s">
        <v>327</v>
      </c>
      <c r="H89" s="150">
        <v>1900</v>
      </c>
      <c r="I89" s="151">
        <f>IF(X89 = 65, H89 + SUM(S89:S89) - SUM(T89:T89) - SUM(P89:P89) - V89,0)</f>
        <v>0</v>
      </c>
      <c r="J89" s="137" t="s">
        <v>328</v>
      </c>
      <c r="K89" s="137" t="s">
        <v>329</v>
      </c>
      <c r="L89" s="147"/>
      <c r="M89" s="137" t="s">
        <v>360</v>
      </c>
      <c r="N89" s="153" t="s">
        <v>370</v>
      </c>
      <c r="O89" s="121" t="s">
        <v>330</v>
      </c>
      <c r="P89" s="150">
        <v>1900</v>
      </c>
      <c r="Q89" s="149" t="s">
        <v>375</v>
      </c>
      <c r="R89" s="147"/>
      <c r="S89" s="150"/>
      <c r="T89" s="150"/>
      <c r="U89" s="150"/>
      <c r="V89" s="146"/>
      <c r="W89" s="148"/>
      <c r="X89" s="85">
        <v>65</v>
      </c>
    </row>
    <row r="90" spans="1:24" s="85" customFormat="1" ht="144" customHeight="1" x14ac:dyDescent="0.25">
      <c r="A90" s="166">
        <v>18</v>
      </c>
      <c r="B90" s="167" t="s">
        <v>56</v>
      </c>
      <c r="C90" s="167"/>
      <c r="D90" s="167"/>
      <c r="E90" s="168" t="s">
        <v>364</v>
      </c>
      <c r="F90" s="172" t="s">
        <v>365</v>
      </c>
      <c r="G90" s="167" t="s">
        <v>339</v>
      </c>
      <c r="H90" s="169">
        <v>9656</v>
      </c>
      <c r="I90" s="170">
        <f>IF(X90 = 66, H90 + SUM(S90:S90) - SUM(T90:T90) - SUM(P90:P90) - V90,0)</f>
        <v>0</v>
      </c>
      <c r="J90" s="167" t="s">
        <v>366</v>
      </c>
      <c r="K90" s="167" t="s">
        <v>367</v>
      </c>
      <c r="L90" s="167"/>
      <c r="M90" s="167" t="s">
        <v>368</v>
      </c>
      <c r="N90" s="172" t="s">
        <v>376</v>
      </c>
      <c r="O90" s="172" t="s">
        <v>369</v>
      </c>
      <c r="P90" s="169">
        <v>9656</v>
      </c>
      <c r="Q90" s="168" t="s">
        <v>380</v>
      </c>
      <c r="R90" s="167"/>
      <c r="S90" s="169"/>
      <c r="T90" s="169"/>
      <c r="U90" s="169"/>
      <c r="V90" s="173"/>
      <c r="W90" s="171"/>
      <c r="X90" s="85">
        <v>66</v>
      </c>
    </row>
    <row r="91" spans="1:24" s="85" customFormat="1" ht="93.75" x14ac:dyDescent="0.25">
      <c r="A91" s="175">
        <v>19</v>
      </c>
      <c r="B91" s="176" t="s">
        <v>56</v>
      </c>
      <c r="C91" s="176"/>
      <c r="D91" s="176"/>
      <c r="E91" s="177" t="s">
        <v>385</v>
      </c>
      <c r="F91" s="181" t="s">
        <v>386</v>
      </c>
      <c r="G91" s="176" t="s">
        <v>387</v>
      </c>
      <c r="H91" s="178">
        <v>4000</v>
      </c>
      <c r="I91" s="179">
        <f>IF(X91 = 67, H91 + SUM(S91:S91) - SUM(T91:T91) - SUM(P91:P91) - V91,0)</f>
        <v>0</v>
      </c>
      <c r="J91" s="176" t="s">
        <v>388</v>
      </c>
      <c r="K91" s="176" t="s">
        <v>389</v>
      </c>
      <c r="L91" s="176"/>
      <c r="M91" s="176" t="s">
        <v>390</v>
      </c>
      <c r="N91" s="181" t="s">
        <v>458</v>
      </c>
      <c r="O91" s="172" t="s">
        <v>391</v>
      </c>
      <c r="P91" s="178">
        <v>4000</v>
      </c>
      <c r="Q91" s="177" t="s">
        <v>457</v>
      </c>
      <c r="R91" s="176"/>
      <c r="S91" s="178"/>
      <c r="T91" s="178"/>
      <c r="U91" s="178"/>
      <c r="V91" s="180"/>
      <c r="W91" s="174"/>
      <c r="X91" s="85">
        <v>67</v>
      </c>
    </row>
    <row r="92" spans="1:24" s="85" customFormat="1" ht="93.75" x14ac:dyDescent="0.25">
      <c r="A92" s="175">
        <v>20</v>
      </c>
      <c r="B92" s="176" t="s">
        <v>56</v>
      </c>
      <c r="C92" s="176"/>
      <c r="D92" s="176"/>
      <c r="E92" s="177" t="s">
        <v>392</v>
      </c>
      <c r="F92" s="181" t="s">
        <v>393</v>
      </c>
      <c r="G92" s="176" t="s">
        <v>394</v>
      </c>
      <c r="H92" s="178">
        <v>7500</v>
      </c>
      <c r="I92" s="179">
        <f>IF(X92 = 68, H92 + SUM(S92:S92) - SUM(T92:T92) - SUM(P92:P92) - V92,0)</f>
        <v>0</v>
      </c>
      <c r="J92" s="176" t="s">
        <v>395</v>
      </c>
      <c r="K92" s="176" t="s">
        <v>396</v>
      </c>
      <c r="L92" s="176"/>
      <c r="M92" s="176" t="s">
        <v>397</v>
      </c>
      <c r="N92" s="181" t="s">
        <v>462</v>
      </c>
      <c r="O92" s="181" t="s">
        <v>398</v>
      </c>
      <c r="P92" s="178">
        <v>7500</v>
      </c>
      <c r="Q92" s="177" t="s">
        <v>463</v>
      </c>
      <c r="R92" s="176"/>
      <c r="S92" s="178"/>
      <c r="T92" s="178"/>
      <c r="U92" s="178"/>
      <c r="V92" s="180"/>
      <c r="W92" s="174"/>
      <c r="X92" s="85">
        <v>68</v>
      </c>
    </row>
    <row r="93" spans="1:24" s="85" customFormat="1" ht="93.75" x14ac:dyDescent="0.25">
      <c r="A93" s="175">
        <v>21</v>
      </c>
      <c r="B93" s="176" t="s">
        <v>56</v>
      </c>
      <c r="C93" s="176"/>
      <c r="D93" s="176"/>
      <c r="E93" s="177" t="s">
        <v>414</v>
      </c>
      <c r="F93" s="181" t="s">
        <v>416</v>
      </c>
      <c r="G93" s="176" t="s">
        <v>417</v>
      </c>
      <c r="H93" s="178">
        <v>26589</v>
      </c>
      <c r="I93" s="179">
        <f>IF(X93 = 69, H93 + SUM(S93:S93) - SUM(T93:T93) - SUM(P93:P93) - V93,0)</f>
        <v>0</v>
      </c>
      <c r="J93" s="176" t="s">
        <v>418</v>
      </c>
      <c r="K93" s="176" t="s">
        <v>419</v>
      </c>
      <c r="L93" s="176"/>
      <c r="M93" s="176" t="s">
        <v>420</v>
      </c>
      <c r="N93" s="181" t="s">
        <v>467</v>
      </c>
      <c r="O93" s="121" t="s">
        <v>421</v>
      </c>
      <c r="P93" s="178">
        <v>26589</v>
      </c>
      <c r="Q93" s="177" t="s">
        <v>469</v>
      </c>
      <c r="R93" s="176"/>
      <c r="S93" s="178"/>
      <c r="T93" s="178"/>
      <c r="U93" s="178"/>
      <c r="V93" s="180"/>
      <c r="W93" s="174"/>
      <c r="X93" s="85">
        <v>69</v>
      </c>
    </row>
    <row r="94" spans="1:24" s="85" customFormat="1" ht="93.75" x14ac:dyDescent="0.25">
      <c r="A94" s="175">
        <v>22</v>
      </c>
      <c r="B94" s="176" t="s">
        <v>56</v>
      </c>
      <c r="C94" s="176"/>
      <c r="D94" s="176"/>
      <c r="E94" s="177" t="s">
        <v>415</v>
      </c>
      <c r="F94" s="181" t="s">
        <v>416</v>
      </c>
      <c r="G94" s="176" t="s">
        <v>417</v>
      </c>
      <c r="H94" s="178">
        <v>10227</v>
      </c>
      <c r="I94" s="179">
        <f>IF(X94 = 70, H94 + SUM(S94:S94) - SUM(T94:T94) - SUM(P94:P94) - V94,0)</f>
        <v>0</v>
      </c>
      <c r="J94" s="176" t="s">
        <v>418</v>
      </c>
      <c r="K94" s="176" t="s">
        <v>419</v>
      </c>
      <c r="L94" s="176"/>
      <c r="M94" s="176" t="s">
        <v>420</v>
      </c>
      <c r="N94" s="181" t="s">
        <v>467</v>
      </c>
      <c r="O94" s="121" t="s">
        <v>422</v>
      </c>
      <c r="P94" s="178">
        <v>10227</v>
      </c>
      <c r="Q94" s="177" t="s">
        <v>469</v>
      </c>
      <c r="R94" s="176"/>
      <c r="S94" s="178"/>
      <c r="T94" s="178"/>
      <c r="U94" s="178"/>
      <c r="V94" s="180"/>
      <c r="W94" s="174"/>
      <c r="X94" s="85">
        <v>70</v>
      </c>
    </row>
    <row r="95" spans="1:24" s="85" customFormat="1" ht="90" customHeight="1" x14ac:dyDescent="0.25">
      <c r="A95" s="437">
        <v>23</v>
      </c>
      <c r="B95" s="434" t="s">
        <v>56</v>
      </c>
      <c r="C95" s="434"/>
      <c r="D95" s="434"/>
      <c r="E95" s="469" t="s">
        <v>429</v>
      </c>
      <c r="F95" s="440" t="s">
        <v>430</v>
      </c>
      <c r="G95" s="434" t="s">
        <v>431</v>
      </c>
      <c r="H95" s="465">
        <v>9760</v>
      </c>
      <c r="I95" s="471">
        <f>IF(X95 = 71, H95 + SUM(S95:S96) - SUM(T95:T96) - SUM(P95:P96) - V95,0)</f>
        <v>0</v>
      </c>
      <c r="J95" s="434" t="s">
        <v>432</v>
      </c>
      <c r="K95" s="434" t="s">
        <v>433</v>
      </c>
      <c r="L95" s="434"/>
      <c r="M95" s="434" t="s">
        <v>434</v>
      </c>
      <c r="N95" s="223" t="s">
        <v>465</v>
      </c>
      <c r="O95" s="440" t="s">
        <v>422</v>
      </c>
      <c r="P95" s="219">
        <v>6328</v>
      </c>
      <c r="Q95" s="218" t="s">
        <v>505</v>
      </c>
      <c r="R95" s="217"/>
      <c r="S95" s="219"/>
      <c r="T95" s="219"/>
      <c r="U95" s="465"/>
      <c r="V95" s="467"/>
      <c r="W95" s="462"/>
      <c r="X95" s="85">
        <v>71</v>
      </c>
    </row>
    <row r="96" spans="1:24" x14ac:dyDescent="0.25">
      <c r="A96" s="439"/>
      <c r="B96" s="436"/>
      <c r="C96" s="436"/>
      <c r="D96" s="436"/>
      <c r="E96" s="470"/>
      <c r="F96" s="442"/>
      <c r="G96" s="436"/>
      <c r="H96" s="466"/>
      <c r="I96" s="472"/>
      <c r="J96" s="436"/>
      <c r="K96" s="436"/>
      <c r="L96" s="436"/>
      <c r="M96" s="436"/>
      <c r="N96" s="224" t="s">
        <v>465</v>
      </c>
      <c r="O96" s="442"/>
      <c r="P96" s="220">
        <v>3432</v>
      </c>
      <c r="Q96" s="221" t="s">
        <v>505</v>
      </c>
      <c r="R96" s="222"/>
      <c r="S96" s="220"/>
      <c r="T96" s="220"/>
      <c r="U96" s="466"/>
      <c r="V96" s="468"/>
      <c r="W96" s="464"/>
      <c r="X96" s="2">
        <v>71</v>
      </c>
    </row>
    <row r="97" spans="1:24" s="85" customFormat="1" ht="112.5" x14ac:dyDescent="0.25">
      <c r="A97" s="175">
        <v>24</v>
      </c>
      <c r="B97" s="176" t="s">
        <v>56</v>
      </c>
      <c r="C97" s="176"/>
      <c r="D97" s="176"/>
      <c r="E97" s="177" t="s">
        <v>448</v>
      </c>
      <c r="F97" s="181" t="s">
        <v>449</v>
      </c>
      <c r="G97" s="176" t="s">
        <v>450</v>
      </c>
      <c r="H97" s="178">
        <v>14119.47</v>
      </c>
      <c r="I97" s="179">
        <f>IF(X97 = 72, H97 + SUM(S97:S97) - SUM(T97:T97) - SUM(P97:P97) - V97,0)</f>
        <v>0</v>
      </c>
      <c r="J97" s="176" t="s">
        <v>451</v>
      </c>
      <c r="K97" s="176" t="s">
        <v>452</v>
      </c>
      <c r="L97" s="176"/>
      <c r="M97" s="176" t="s">
        <v>453</v>
      </c>
      <c r="N97" s="181" t="s">
        <v>505</v>
      </c>
      <c r="O97" s="181" t="s">
        <v>454</v>
      </c>
      <c r="P97" s="178">
        <v>14119.47</v>
      </c>
      <c r="Q97" s="177" t="s">
        <v>507</v>
      </c>
      <c r="R97" s="176"/>
      <c r="S97" s="178"/>
      <c r="T97" s="178"/>
      <c r="U97" s="178"/>
      <c r="V97" s="180"/>
      <c r="W97" s="174"/>
      <c r="X97" s="85">
        <v>72</v>
      </c>
    </row>
    <row r="98" spans="1:24" s="85" customFormat="1" ht="131.25" x14ac:dyDescent="0.25">
      <c r="A98" s="207">
        <v>25</v>
      </c>
      <c r="B98" s="208" t="s">
        <v>56</v>
      </c>
      <c r="C98" s="208"/>
      <c r="D98" s="208"/>
      <c r="E98" s="209" t="s">
        <v>471</v>
      </c>
      <c r="F98" s="213" t="s">
        <v>472</v>
      </c>
      <c r="G98" s="208" t="s">
        <v>473</v>
      </c>
      <c r="H98" s="210">
        <v>151641.60000000001</v>
      </c>
      <c r="I98" s="211">
        <f>IF(X98 = 73, H98 + SUM(S98:S98) - SUM(T98:T98) - SUM(P98:P98) - V98,0)</f>
        <v>0</v>
      </c>
      <c r="J98" s="208" t="s">
        <v>474</v>
      </c>
      <c r="K98" s="208" t="s">
        <v>475</v>
      </c>
      <c r="L98" s="208"/>
      <c r="M98" s="208" t="s">
        <v>476</v>
      </c>
      <c r="N98" s="213" t="s">
        <v>560</v>
      </c>
      <c r="O98" s="213" t="s">
        <v>477</v>
      </c>
      <c r="P98" s="210">
        <v>151641.60000000001</v>
      </c>
      <c r="Q98" s="209" t="s">
        <v>573</v>
      </c>
      <c r="R98" s="208"/>
      <c r="S98" s="210"/>
      <c r="T98" s="210"/>
      <c r="U98" s="210"/>
      <c r="V98" s="212"/>
      <c r="W98" s="203"/>
      <c r="X98" s="85">
        <v>73</v>
      </c>
    </row>
    <row r="99" spans="1:24" s="85" customFormat="1" ht="112.5" x14ac:dyDescent="0.25">
      <c r="A99" s="207">
        <v>26</v>
      </c>
      <c r="B99" s="208" t="s">
        <v>56</v>
      </c>
      <c r="C99" s="208"/>
      <c r="D99" s="208"/>
      <c r="E99" s="209" t="s">
        <v>478</v>
      </c>
      <c r="F99" s="213" t="s">
        <v>479</v>
      </c>
      <c r="G99" s="208" t="s">
        <v>480</v>
      </c>
      <c r="H99" s="210">
        <v>14402</v>
      </c>
      <c r="I99" s="211">
        <f>IF(X99 = 74, H99 + SUM(S99:S99) - SUM(T99:T99) - SUM(P99:P99) - V99,0)</f>
        <v>0</v>
      </c>
      <c r="J99" s="208" t="s">
        <v>481</v>
      </c>
      <c r="K99" s="208" t="s">
        <v>482</v>
      </c>
      <c r="L99" s="208"/>
      <c r="M99" s="208" t="s">
        <v>483</v>
      </c>
      <c r="N99" s="213" t="s">
        <v>463</v>
      </c>
      <c r="O99" s="213" t="s">
        <v>484</v>
      </c>
      <c r="P99" s="210">
        <v>14402</v>
      </c>
      <c r="Q99" s="209" t="s">
        <v>561</v>
      </c>
      <c r="R99" s="208"/>
      <c r="S99" s="210"/>
      <c r="T99" s="210"/>
      <c r="U99" s="210"/>
      <c r="V99" s="212"/>
      <c r="W99" s="203"/>
      <c r="X99" s="85">
        <v>74</v>
      </c>
    </row>
    <row r="100" spans="1:24" s="85" customFormat="1" ht="160.9" customHeight="1" x14ac:dyDescent="0.25">
      <c r="A100" s="358">
        <v>27</v>
      </c>
      <c r="B100" s="364" t="s">
        <v>56</v>
      </c>
      <c r="C100" s="364"/>
      <c r="D100" s="364"/>
      <c r="E100" s="370" t="s">
        <v>495</v>
      </c>
      <c r="F100" s="360" t="s">
        <v>496</v>
      </c>
      <c r="G100" s="364" t="s">
        <v>497</v>
      </c>
      <c r="H100" s="362">
        <v>28000</v>
      </c>
      <c r="I100" s="372">
        <f>IF(X100 = 75, H100 + SUM(S100:S101) - SUM(T100:T101) - SUM(P100:P101) - V100,0)</f>
        <v>0</v>
      </c>
      <c r="J100" s="364" t="s">
        <v>498</v>
      </c>
      <c r="K100" s="364" t="s">
        <v>499</v>
      </c>
      <c r="L100" s="364"/>
      <c r="M100" s="364" t="s">
        <v>500</v>
      </c>
      <c r="N100" s="298" t="s">
        <v>646</v>
      </c>
      <c r="O100" s="360" t="s">
        <v>501</v>
      </c>
      <c r="P100" s="289">
        <v>17334.16</v>
      </c>
      <c r="Q100" s="290" t="s">
        <v>646</v>
      </c>
      <c r="R100" s="291"/>
      <c r="S100" s="289"/>
      <c r="T100" s="289"/>
      <c r="U100" s="362"/>
      <c r="V100" s="366"/>
      <c r="W100" s="368"/>
      <c r="X100" s="85">
        <v>75</v>
      </c>
    </row>
    <row r="101" spans="1:24" s="280" customFormat="1" x14ac:dyDescent="0.25">
      <c r="A101" s="359"/>
      <c r="B101" s="365"/>
      <c r="C101" s="365"/>
      <c r="D101" s="365"/>
      <c r="E101" s="371"/>
      <c r="F101" s="361"/>
      <c r="G101" s="365"/>
      <c r="H101" s="363"/>
      <c r="I101" s="373"/>
      <c r="J101" s="365"/>
      <c r="K101" s="365"/>
      <c r="L101" s="365"/>
      <c r="M101" s="365"/>
      <c r="N101" s="300" t="s">
        <v>646</v>
      </c>
      <c r="O101" s="361"/>
      <c r="P101" s="295">
        <v>10665.84</v>
      </c>
      <c r="Q101" s="296" t="s">
        <v>646</v>
      </c>
      <c r="R101" s="297"/>
      <c r="S101" s="295"/>
      <c r="T101" s="295"/>
      <c r="U101" s="363"/>
      <c r="V101" s="367"/>
      <c r="W101" s="369"/>
      <c r="X101" s="280">
        <v>75</v>
      </c>
    </row>
    <row r="102" spans="1:24" s="85" customFormat="1" ht="90" customHeight="1" x14ac:dyDescent="0.25">
      <c r="A102" s="384">
        <v>28</v>
      </c>
      <c r="B102" s="390" t="s">
        <v>56</v>
      </c>
      <c r="C102" s="390"/>
      <c r="D102" s="390"/>
      <c r="E102" s="396" t="s">
        <v>549</v>
      </c>
      <c r="F102" s="386" t="s">
        <v>532</v>
      </c>
      <c r="G102" s="390" t="s">
        <v>417</v>
      </c>
      <c r="H102" s="388">
        <v>102925</v>
      </c>
      <c r="I102" s="398">
        <f>IF(X102 = 76, H102 + SUM(S102:S103) - SUM(T102:T103) - SUM(P102:P103) - V102,0)</f>
        <v>0</v>
      </c>
      <c r="J102" s="390" t="s">
        <v>418</v>
      </c>
      <c r="K102" s="390" t="s">
        <v>419</v>
      </c>
      <c r="L102" s="390"/>
      <c r="M102" s="390" t="s">
        <v>533</v>
      </c>
      <c r="N102" s="246" t="s">
        <v>574</v>
      </c>
      <c r="O102" s="386" t="s">
        <v>422</v>
      </c>
      <c r="P102" s="242">
        <v>1823</v>
      </c>
      <c r="Q102" s="241" t="s">
        <v>575</v>
      </c>
      <c r="R102" s="240"/>
      <c r="S102" s="242"/>
      <c r="T102" s="242"/>
      <c r="U102" s="388"/>
      <c r="V102" s="392"/>
      <c r="W102" s="394"/>
      <c r="X102" s="85">
        <v>76</v>
      </c>
    </row>
    <row r="103" spans="1:24" x14ac:dyDescent="0.25">
      <c r="A103" s="385"/>
      <c r="B103" s="391"/>
      <c r="C103" s="391"/>
      <c r="D103" s="391"/>
      <c r="E103" s="397"/>
      <c r="F103" s="387"/>
      <c r="G103" s="391"/>
      <c r="H103" s="389"/>
      <c r="I103" s="399"/>
      <c r="J103" s="391"/>
      <c r="K103" s="391"/>
      <c r="L103" s="391"/>
      <c r="M103" s="391"/>
      <c r="N103" s="247" t="s">
        <v>574</v>
      </c>
      <c r="O103" s="387"/>
      <c r="P103" s="243">
        <v>101102</v>
      </c>
      <c r="Q103" s="244" t="s">
        <v>575</v>
      </c>
      <c r="R103" s="245"/>
      <c r="S103" s="243"/>
      <c r="T103" s="243"/>
      <c r="U103" s="389"/>
      <c r="V103" s="393"/>
      <c r="W103" s="395"/>
      <c r="X103" s="2">
        <v>76</v>
      </c>
    </row>
    <row r="104" spans="1:24" s="85" customFormat="1" ht="93.75" x14ac:dyDescent="0.25">
      <c r="A104" s="230">
        <v>29</v>
      </c>
      <c r="B104" s="231" t="s">
        <v>56</v>
      </c>
      <c r="C104" s="231"/>
      <c r="D104" s="231"/>
      <c r="E104" s="232" t="s">
        <v>550</v>
      </c>
      <c r="F104" s="238" t="s">
        <v>532</v>
      </c>
      <c r="G104" s="176" t="s">
        <v>417</v>
      </c>
      <c r="H104" s="233">
        <v>2950</v>
      </c>
      <c r="I104" s="234">
        <f>IF(X104 = 77, H104 + SUM(S104:S104) - SUM(T104:T104) - SUM(P104:P104) - V104,0)</f>
        <v>0</v>
      </c>
      <c r="J104" s="176" t="s">
        <v>418</v>
      </c>
      <c r="K104" s="176" t="s">
        <v>419</v>
      </c>
      <c r="L104" s="231"/>
      <c r="M104" s="176" t="s">
        <v>533</v>
      </c>
      <c r="N104" s="238" t="s">
        <v>574</v>
      </c>
      <c r="O104" s="121" t="s">
        <v>422</v>
      </c>
      <c r="P104" s="233">
        <v>2950</v>
      </c>
      <c r="Q104" s="232" t="s">
        <v>575</v>
      </c>
      <c r="R104" s="231"/>
      <c r="S104" s="233"/>
      <c r="T104" s="233"/>
      <c r="U104" s="233"/>
      <c r="V104" s="239"/>
      <c r="W104" s="229"/>
      <c r="X104" s="85">
        <v>77</v>
      </c>
    </row>
    <row r="105" spans="1:24" s="85" customFormat="1" ht="112.5" x14ac:dyDescent="0.25">
      <c r="A105" s="230">
        <v>30</v>
      </c>
      <c r="B105" s="231" t="s">
        <v>56</v>
      </c>
      <c r="C105" s="231"/>
      <c r="D105" s="231"/>
      <c r="E105" s="232" t="s">
        <v>546</v>
      </c>
      <c r="F105" s="238" t="s">
        <v>534</v>
      </c>
      <c r="G105" s="231" t="s">
        <v>536</v>
      </c>
      <c r="H105" s="233">
        <v>19000</v>
      </c>
      <c r="I105" s="234">
        <f>IF(X105 = 78, H105 + SUM(S105:S105) - SUM(T105:T105) - SUM(P105:P105) - V105,0)</f>
        <v>0</v>
      </c>
      <c r="J105" s="231" t="s">
        <v>537</v>
      </c>
      <c r="K105" s="231" t="s">
        <v>538</v>
      </c>
      <c r="L105" s="231"/>
      <c r="M105" s="231" t="s">
        <v>539</v>
      </c>
      <c r="N105" s="238" t="s">
        <v>574</v>
      </c>
      <c r="O105" s="121" t="s">
        <v>540</v>
      </c>
      <c r="P105" s="233">
        <v>19000</v>
      </c>
      <c r="Q105" s="232" t="s">
        <v>575</v>
      </c>
      <c r="R105" s="231"/>
      <c r="S105" s="233"/>
      <c r="T105" s="233"/>
      <c r="U105" s="233"/>
      <c r="V105" s="239"/>
      <c r="W105" s="229"/>
      <c r="X105" s="85">
        <v>78</v>
      </c>
    </row>
    <row r="106" spans="1:24" s="85" customFormat="1" ht="131.25" x14ac:dyDescent="0.25">
      <c r="A106" s="230">
        <v>31</v>
      </c>
      <c r="B106" s="231" t="s">
        <v>56</v>
      </c>
      <c r="C106" s="231"/>
      <c r="D106" s="231"/>
      <c r="E106" s="232" t="s">
        <v>547</v>
      </c>
      <c r="F106" s="238" t="s">
        <v>535</v>
      </c>
      <c r="G106" s="231" t="s">
        <v>541</v>
      </c>
      <c r="H106" s="233">
        <v>6000</v>
      </c>
      <c r="I106" s="234">
        <f>IF(X106 = 79, H106 + SUM(S106:S106) - SUM(T106:T106) - SUM(P106:P106) - V106,0)</f>
        <v>0</v>
      </c>
      <c r="J106" s="231" t="s">
        <v>328</v>
      </c>
      <c r="K106" s="231" t="s">
        <v>329</v>
      </c>
      <c r="L106" s="231"/>
      <c r="M106" s="231" t="s">
        <v>542</v>
      </c>
      <c r="N106" s="238" t="s">
        <v>574</v>
      </c>
      <c r="O106" s="121" t="s">
        <v>543</v>
      </c>
      <c r="P106" s="233">
        <v>6000</v>
      </c>
      <c r="Q106" s="232" t="s">
        <v>575</v>
      </c>
      <c r="R106" s="231"/>
      <c r="S106" s="233"/>
      <c r="T106" s="233"/>
      <c r="U106" s="233"/>
      <c r="V106" s="239"/>
      <c r="W106" s="229"/>
      <c r="X106" s="85">
        <v>79</v>
      </c>
    </row>
    <row r="107" spans="1:24" s="85" customFormat="1" ht="150" x14ac:dyDescent="0.25">
      <c r="A107" s="230">
        <v>32</v>
      </c>
      <c r="B107" s="231" t="s">
        <v>56</v>
      </c>
      <c r="C107" s="231"/>
      <c r="D107" s="231"/>
      <c r="E107" s="232" t="s">
        <v>548</v>
      </c>
      <c r="F107" s="238" t="s">
        <v>545</v>
      </c>
      <c r="G107" s="231" t="s">
        <v>551</v>
      </c>
      <c r="H107" s="233">
        <v>20000</v>
      </c>
      <c r="I107" s="234">
        <f>IF(X107 = 80, H107 + SUM(S107:S107) - SUM(T107:T107) - SUM(P107:P107) - V107,0)</f>
        <v>0</v>
      </c>
      <c r="J107" s="231" t="s">
        <v>552</v>
      </c>
      <c r="K107" s="231" t="s">
        <v>544</v>
      </c>
      <c r="L107" s="231"/>
      <c r="M107" s="231" t="s">
        <v>553</v>
      </c>
      <c r="N107" s="238" t="s">
        <v>574</v>
      </c>
      <c r="O107" s="172" t="s">
        <v>554</v>
      </c>
      <c r="P107" s="233">
        <v>20000</v>
      </c>
      <c r="Q107" s="232" t="s">
        <v>575</v>
      </c>
      <c r="R107" s="231"/>
      <c r="S107" s="233"/>
      <c r="T107" s="233"/>
      <c r="U107" s="233"/>
      <c r="V107" s="239"/>
      <c r="W107" s="229"/>
      <c r="X107" s="85">
        <v>80</v>
      </c>
    </row>
    <row r="108" spans="1:24" s="85" customFormat="1" ht="150" x14ac:dyDescent="0.25">
      <c r="A108" s="253">
        <v>33</v>
      </c>
      <c r="B108" s="254" t="s">
        <v>56</v>
      </c>
      <c r="C108" s="254"/>
      <c r="D108" s="254"/>
      <c r="E108" s="255" t="s">
        <v>576</v>
      </c>
      <c r="F108" s="259" t="s">
        <v>577</v>
      </c>
      <c r="G108" s="254" t="s">
        <v>578</v>
      </c>
      <c r="H108" s="256">
        <v>100000</v>
      </c>
      <c r="I108" s="257">
        <f>IF(X108 = 81, H108 + SUM(S108:S108) - SUM(T108:T108) - SUM(P108:P108) - V108,0)</f>
        <v>0</v>
      </c>
      <c r="J108" s="254" t="s">
        <v>579</v>
      </c>
      <c r="K108" s="254" t="s">
        <v>580</v>
      </c>
      <c r="L108" s="254"/>
      <c r="M108" s="231" t="s">
        <v>581</v>
      </c>
      <c r="N108" s="259" t="s">
        <v>608</v>
      </c>
      <c r="O108" s="172" t="s">
        <v>554</v>
      </c>
      <c r="P108" s="256">
        <v>100000</v>
      </c>
      <c r="Q108" s="255" t="s">
        <v>604</v>
      </c>
      <c r="R108" s="254"/>
      <c r="S108" s="256"/>
      <c r="T108" s="256"/>
      <c r="U108" s="256"/>
      <c r="V108" s="258"/>
      <c r="W108" s="252"/>
      <c r="X108" s="85">
        <v>81</v>
      </c>
    </row>
    <row r="109" spans="1:24" s="85" customFormat="1" ht="131.25" x14ac:dyDescent="0.25">
      <c r="A109" s="253">
        <v>34</v>
      </c>
      <c r="B109" s="254" t="s">
        <v>56</v>
      </c>
      <c r="C109" s="254"/>
      <c r="D109" s="254"/>
      <c r="E109" s="255" t="s">
        <v>582</v>
      </c>
      <c r="F109" s="259" t="s">
        <v>583</v>
      </c>
      <c r="G109" s="208" t="s">
        <v>473</v>
      </c>
      <c r="H109" s="256">
        <v>26053.5</v>
      </c>
      <c r="I109" s="257">
        <f>IF(X109 = 82, H109 + SUM(S109:S109) - SUM(T109:T109) - SUM(P109:P109) - V109,0)</f>
        <v>22654.5</v>
      </c>
      <c r="J109" s="208" t="s">
        <v>474</v>
      </c>
      <c r="K109" s="208" t="s">
        <v>475</v>
      </c>
      <c r="L109" s="254"/>
      <c r="M109" s="231" t="s">
        <v>584</v>
      </c>
      <c r="N109" s="259" t="s">
        <v>615</v>
      </c>
      <c r="O109" s="213" t="s">
        <v>477</v>
      </c>
      <c r="P109" s="256">
        <v>3399</v>
      </c>
      <c r="Q109" s="255" t="s">
        <v>616</v>
      </c>
      <c r="R109" s="254"/>
      <c r="S109" s="256"/>
      <c r="T109" s="256"/>
      <c r="U109" s="256"/>
      <c r="V109" s="258"/>
      <c r="W109" s="252"/>
      <c r="X109" s="85">
        <v>82</v>
      </c>
    </row>
    <row r="110" spans="1:24" s="85" customFormat="1" ht="112.5" x14ac:dyDescent="0.25">
      <c r="A110" s="253">
        <v>35</v>
      </c>
      <c r="B110" s="254" t="s">
        <v>56</v>
      </c>
      <c r="C110" s="254"/>
      <c r="D110" s="254"/>
      <c r="E110" s="255" t="s">
        <v>585</v>
      </c>
      <c r="F110" s="259" t="s">
        <v>586</v>
      </c>
      <c r="G110" s="254" t="s">
        <v>587</v>
      </c>
      <c r="H110" s="256">
        <v>4000</v>
      </c>
      <c r="I110" s="257">
        <f>IF(X110 = 83, H110 + SUM(S110:S110) - SUM(T110:T110) - SUM(P110:P110) - V110,0)</f>
        <v>0</v>
      </c>
      <c r="J110" s="254" t="s">
        <v>246</v>
      </c>
      <c r="K110" s="254" t="s">
        <v>247</v>
      </c>
      <c r="L110" s="254"/>
      <c r="M110" s="231" t="s">
        <v>588</v>
      </c>
      <c r="N110" s="259" t="s">
        <v>614</v>
      </c>
      <c r="O110" s="172" t="s">
        <v>589</v>
      </c>
      <c r="P110" s="256">
        <v>4000</v>
      </c>
      <c r="Q110" s="255" t="s">
        <v>611</v>
      </c>
      <c r="R110" s="254"/>
      <c r="S110" s="256"/>
      <c r="T110" s="256"/>
      <c r="U110" s="256"/>
      <c r="V110" s="258"/>
      <c r="W110" s="252"/>
      <c r="X110" s="85">
        <v>83</v>
      </c>
    </row>
    <row r="111" spans="1:24" s="85" customFormat="1" ht="156" customHeight="1" x14ac:dyDescent="0.25">
      <c r="A111" s="253">
        <v>36</v>
      </c>
      <c r="B111" s="254" t="s">
        <v>56</v>
      </c>
      <c r="C111" s="254"/>
      <c r="D111" s="254"/>
      <c r="E111" s="255" t="s">
        <v>590</v>
      </c>
      <c r="F111" s="259" t="s">
        <v>591</v>
      </c>
      <c r="G111" s="254" t="s">
        <v>333</v>
      </c>
      <c r="H111" s="256">
        <v>3800</v>
      </c>
      <c r="I111" s="257">
        <f>IF(X111 = 84, H111 + SUM(S111:S111) - SUM(T111:T111) - SUM(P111:P111) - V111,0)</f>
        <v>2660</v>
      </c>
      <c r="J111" s="254" t="s">
        <v>334</v>
      </c>
      <c r="K111" s="254" t="s">
        <v>592</v>
      </c>
      <c r="L111" s="254"/>
      <c r="M111" s="254" t="s">
        <v>593</v>
      </c>
      <c r="N111" s="259" t="s">
        <v>654</v>
      </c>
      <c r="O111" s="259" t="s">
        <v>594</v>
      </c>
      <c r="P111" s="256">
        <v>1140</v>
      </c>
      <c r="Q111" s="255" t="s">
        <v>644</v>
      </c>
      <c r="R111" s="254"/>
      <c r="S111" s="256"/>
      <c r="T111" s="256"/>
      <c r="U111" s="256"/>
      <c r="V111" s="258"/>
      <c r="W111" s="252"/>
      <c r="X111" s="85">
        <v>84</v>
      </c>
    </row>
    <row r="112" spans="1:24" s="85" customFormat="1" ht="126" customHeight="1" x14ac:dyDescent="0.25">
      <c r="A112" s="358">
        <v>37</v>
      </c>
      <c r="B112" s="364" t="s">
        <v>56</v>
      </c>
      <c r="C112" s="364"/>
      <c r="D112" s="364"/>
      <c r="E112" s="370" t="s">
        <v>57</v>
      </c>
      <c r="F112" s="360" t="s">
        <v>595</v>
      </c>
      <c r="G112" s="364" t="s">
        <v>600</v>
      </c>
      <c r="H112" s="362">
        <v>24550</v>
      </c>
      <c r="I112" s="372">
        <f>IF(X112 = 85, H112 + SUM(S112:S113) - SUM(T112:T113) - SUM(P112:P113) - V112,0)</f>
        <v>0</v>
      </c>
      <c r="J112" s="364" t="s">
        <v>597</v>
      </c>
      <c r="K112" s="364" t="s">
        <v>598</v>
      </c>
      <c r="L112" s="364"/>
      <c r="M112" s="364" t="s">
        <v>599</v>
      </c>
      <c r="N112" s="298" t="s">
        <v>655</v>
      </c>
      <c r="O112" s="360" t="s">
        <v>554</v>
      </c>
      <c r="P112" s="289">
        <v>18900</v>
      </c>
      <c r="Q112" s="290" t="s">
        <v>646</v>
      </c>
      <c r="R112" s="291"/>
      <c r="S112" s="289"/>
      <c r="T112" s="289"/>
      <c r="U112" s="362"/>
      <c r="V112" s="366"/>
      <c r="W112" s="368"/>
      <c r="X112" s="85">
        <v>85</v>
      </c>
    </row>
    <row r="113" spans="1:24" s="280" customFormat="1" x14ac:dyDescent="0.25">
      <c r="A113" s="359"/>
      <c r="B113" s="365"/>
      <c r="C113" s="365"/>
      <c r="D113" s="365"/>
      <c r="E113" s="371"/>
      <c r="F113" s="361"/>
      <c r="G113" s="365"/>
      <c r="H113" s="363"/>
      <c r="I113" s="373"/>
      <c r="J113" s="365"/>
      <c r="K113" s="365"/>
      <c r="L113" s="365"/>
      <c r="M113" s="365"/>
      <c r="N113" s="300" t="s">
        <v>655</v>
      </c>
      <c r="O113" s="361"/>
      <c r="P113" s="295">
        <v>5650</v>
      </c>
      <c r="Q113" s="296" t="s">
        <v>646</v>
      </c>
      <c r="R113" s="297"/>
      <c r="S113" s="295"/>
      <c r="T113" s="295"/>
      <c r="U113" s="363"/>
      <c r="V113" s="367"/>
      <c r="W113" s="369"/>
      <c r="X113" s="280">
        <v>85</v>
      </c>
    </row>
    <row r="114" spans="1:24" s="85" customFormat="1" ht="126" customHeight="1" x14ac:dyDescent="0.25">
      <c r="A114" s="358">
        <v>38</v>
      </c>
      <c r="B114" s="364" t="s">
        <v>56</v>
      </c>
      <c r="C114" s="364"/>
      <c r="D114" s="364"/>
      <c r="E114" s="370" t="s">
        <v>596</v>
      </c>
      <c r="F114" s="360" t="s">
        <v>595</v>
      </c>
      <c r="G114" s="364" t="s">
        <v>601</v>
      </c>
      <c r="H114" s="362">
        <v>71000</v>
      </c>
      <c r="I114" s="372">
        <f>IF(X114 = 86, H114 + SUM(S114:S115) - SUM(T114:T115) - SUM(P114:P115) - V114,0)</f>
        <v>0</v>
      </c>
      <c r="J114" s="364" t="s">
        <v>597</v>
      </c>
      <c r="K114" s="364" t="s">
        <v>598</v>
      </c>
      <c r="L114" s="364"/>
      <c r="M114" s="364" t="s">
        <v>599</v>
      </c>
      <c r="N114" s="298" t="s">
        <v>655</v>
      </c>
      <c r="O114" s="360" t="s">
        <v>554</v>
      </c>
      <c r="P114" s="289">
        <v>68036</v>
      </c>
      <c r="Q114" s="290" t="s">
        <v>646</v>
      </c>
      <c r="R114" s="291"/>
      <c r="S114" s="289"/>
      <c r="T114" s="289"/>
      <c r="U114" s="362"/>
      <c r="V114" s="366"/>
      <c r="W114" s="368"/>
      <c r="X114" s="85">
        <v>86</v>
      </c>
    </row>
    <row r="115" spans="1:24" s="280" customFormat="1" x14ac:dyDescent="0.25">
      <c r="A115" s="359"/>
      <c r="B115" s="365"/>
      <c r="C115" s="365"/>
      <c r="D115" s="365"/>
      <c r="E115" s="371"/>
      <c r="F115" s="361"/>
      <c r="G115" s="365"/>
      <c r="H115" s="363"/>
      <c r="I115" s="373"/>
      <c r="J115" s="365"/>
      <c r="K115" s="365"/>
      <c r="L115" s="365"/>
      <c r="M115" s="365"/>
      <c r="N115" s="300" t="s">
        <v>655</v>
      </c>
      <c r="O115" s="361"/>
      <c r="P115" s="295">
        <v>2964</v>
      </c>
      <c r="Q115" s="296" t="s">
        <v>646</v>
      </c>
      <c r="R115" s="297"/>
      <c r="S115" s="295"/>
      <c r="T115" s="295"/>
      <c r="U115" s="363"/>
      <c r="V115" s="367"/>
      <c r="W115" s="369"/>
      <c r="X115" s="280">
        <v>86</v>
      </c>
    </row>
    <row r="116" spans="1:24" s="85" customFormat="1" ht="141.6" customHeight="1" x14ac:dyDescent="0.25">
      <c r="A116" s="270">
        <v>39</v>
      </c>
      <c r="B116" s="271" t="s">
        <v>56</v>
      </c>
      <c r="C116" s="271"/>
      <c r="D116" s="271"/>
      <c r="E116" s="272" t="s">
        <v>623</v>
      </c>
      <c r="F116" s="276" t="s">
        <v>624</v>
      </c>
      <c r="G116" s="271" t="s">
        <v>625</v>
      </c>
      <c r="H116" s="273">
        <v>20000</v>
      </c>
      <c r="I116" s="274">
        <f>IF(X116 = 87, H116 + SUM(S116:S116) - SUM(T116:T116) - SUM(P116:P116) - V116,0)</f>
        <v>0</v>
      </c>
      <c r="J116" s="271" t="s">
        <v>626</v>
      </c>
      <c r="K116" s="271" t="s">
        <v>627</v>
      </c>
      <c r="L116" s="271"/>
      <c r="M116" s="271" t="s">
        <v>628</v>
      </c>
      <c r="N116" s="276" t="s">
        <v>652</v>
      </c>
      <c r="O116" s="276" t="s">
        <v>629</v>
      </c>
      <c r="P116" s="273">
        <v>20000</v>
      </c>
      <c r="Q116" s="272" t="s">
        <v>653</v>
      </c>
      <c r="R116" s="271"/>
      <c r="S116" s="273"/>
      <c r="T116" s="273"/>
      <c r="U116" s="273"/>
      <c r="V116" s="275"/>
      <c r="W116" s="269"/>
      <c r="X116" s="85">
        <v>87</v>
      </c>
    </row>
    <row r="117" spans="1:24" s="85" customFormat="1" ht="156" customHeight="1" x14ac:dyDescent="0.25">
      <c r="A117" s="270">
        <v>40</v>
      </c>
      <c r="B117" s="271" t="s">
        <v>56</v>
      </c>
      <c r="C117" s="271"/>
      <c r="D117" s="271"/>
      <c r="E117" s="272" t="s">
        <v>630</v>
      </c>
      <c r="F117" s="276" t="s">
        <v>633</v>
      </c>
      <c r="G117" s="271" t="s">
        <v>631</v>
      </c>
      <c r="H117" s="273">
        <v>1850</v>
      </c>
      <c r="I117" s="274">
        <f>IF(X117 = 88, H117 + SUM(S117:S117) - SUM(T117:T117) - SUM(P117:P117) - V117,0)</f>
        <v>0</v>
      </c>
      <c r="J117" s="271" t="s">
        <v>366</v>
      </c>
      <c r="K117" s="271" t="s">
        <v>367</v>
      </c>
      <c r="L117" s="271"/>
      <c r="M117" s="271" t="s">
        <v>632</v>
      </c>
      <c r="N117" s="276" t="s">
        <v>652</v>
      </c>
      <c r="O117" s="276" t="s">
        <v>634</v>
      </c>
      <c r="P117" s="273">
        <v>1850</v>
      </c>
      <c r="Q117" s="272" t="s">
        <v>651</v>
      </c>
      <c r="R117" s="271"/>
      <c r="S117" s="273"/>
      <c r="T117" s="273"/>
      <c r="U117" s="273"/>
      <c r="V117" s="275"/>
      <c r="W117" s="269"/>
      <c r="X117" s="85">
        <v>88</v>
      </c>
    </row>
    <row r="118" spans="1:24" s="85" customFormat="1" ht="150" x14ac:dyDescent="0.25">
      <c r="A118" s="270">
        <v>41</v>
      </c>
      <c r="B118" s="271" t="s">
        <v>56</v>
      </c>
      <c r="C118" s="271"/>
      <c r="D118" s="271"/>
      <c r="E118" s="272" t="s">
        <v>638</v>
      </c>
      <c r="F118" s="276" t="s">
        <v>639</v>
      </c>
      <c r="G118" s="271" t="s">
        <v>631</v>
      </c>
      <c r="H118" s="273">
        <v>13265</v>
      </c>
      <c r="I118" s="274">
        <f>IF(X118 = 89, H118 + SUM(S118:S118) - SUM(T118:T118) - SUM(P118:P118) - V118,0)</f>
        <v>13265</v>
      </c>
      <c r="J118" s="271" t="s">
        <v>366</v>
      </c>
      <c r="K118" s="271" t="s">
        <v>367</v>
      </c>
      <c r="L118" s="271"/>
      <c r="M118" s="271" t="s">
        <v>640</v>
      </c>
      <c r="N118" s="276"/>
      <c r="O118" s="276" t="s">
        <v>634</v>
      </c>
      <c r="P118" s="273"/>
      <c r="Q118" s="272"/>
      <c r="R118" s="271"/>
      <c r="S118" s="273"/>
      <c r="T118" s="273"/>
      <c r="U118" s="273"/>
      <c r="V118" s="275"/>
      <c r="W118" s="269"/>
      <c r="X118" s="85">
        <v>89</v>
      </c>
    </row>
    <row r="119" spans="1:24" ht="18" x14ac:dyDescent="0.3">
      <c r="X119" s="2">
        <v>90</v>
      </c>
    </row>
  </sheetData>
  <sheetProtection algorithmName="SHA-512" hashValue="fFrySCdw/I3oE+bICyl7FlSu88WkiOoBaC29BWRJhadwJmtzsriskyvoW/yP+Dh8Hg3t5eyjSb9hjJ8E/HDxjg==" saltValue="89tcIPBmjF7uqWoIXqaP6A==" spinCount="100000" sheet="1" objects="1" scenarios="1" formatCells="0" formatColumns="0" formatRows="0"/>
  <mergeCells count="330">
    <mergeCell ref="U57:U66"/>
    <mergeCell ref="B57:B66"/>
    <mergeCell ref="V57:V66"/>
    <mergeCell ref="C57:C66"/>
    <mergeCell ref="A47:A51"/>
    <mergeCell ref="O47:O51"/>
    <mergeCell ref="U47:U51"/>
    <mergeCell ref="B47:B51"/>
    <mergeCell ref="V47:V51"/>
    <mergeCell ref="C47:C51"/>
    <mergeCell ref="D57:D66"/>
    <mergeCell ref="E57:E66"/>
    <mergeCell ref="F57:F66"/>
    <mergeCell ref="G57:G66"/>
    <mergeCell ref="H57:H66"/>
    <mergeCell ref="I57:I66"/>
    <mergeCell ref="J57:J66"/>
    <mergeCell ref="K57:K66"/>
    <mergeCell ref="O95:O96"/>
    <mergeCell ref="U95:U96"/>
    <mergeCell ref="B95:B96"/>
    <mergeCell ref="V95:V96"/>
    <mergeCell ref="C95:C96"/>
    <mergeCell ref="W95:W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M95:M96"/>
    <mergeCell ref="W67:W71"/>
    <mergeCell ref="D67:D71"/>
    <mergeCell ref="E67:E71"/>
    <mergeCell ref="F67:F71"/>
    <mergeCell ref="G67:G71"/>
    <mergeCell ref="W52:W56"/>
    <mergeCell ref="M52:M56"/>
    <mergeCell ref="A78:A82"/>
    <mergeCell ref="O78:O82"/>
    <mergeCell ref="U78:U82"/>
    <mergeCell ref="B78:B82"/>
    <mergeCell ref="V78:V82"/>
    <mergeCell ref="C78:C82"/>
    <mergeCell ref="W78:W82"/>
    <mergeCell ref="D78:D82"/>
    <mergeCell ref="E78:E82"/>
    <mergeCell ref="F78:F82"/>
    <mergeCell ref="G78:G82"/>
    <mergeCell ref="H78:H82"/>
    <mergeCell ref="I78:I82"/>
    <mergeCell ref="J78:J82"/>
    <mergeCell ref="K78:K82"/>
    <mergeCell ref="L78:L82"/>
    <mergeCell ref="W57:W66"/>
    <mergeCell ref="W47:W51"/>
    <mergeCell ref="D47:D51"/>
    <mergeCell ref="E47:E51"/>
    <mergeCell ref="F47:F51"/>
    <mergeCell ref="G47:G51"/>
    <mergeCell ref="H47:H51"/>
    <mergeCell ref="I47:I51"/>
    <mergeCell ref="J47:J51"/>
    <mergeCell ref="K47:K51"/>
    <mergeCell ref="L47:L51"/>
    <mergeCell ref="M47:M51"/>
    <mergeCell ref="V67:V71"/>
    <mergeCell ref="C67:C71"/>
    <mergeCell ref="A72:A77"/>
    <mergeCell ref="O72:O77"/>
    <mergeCell ref="U72:U77"/>
    <mergeCell ref="B72:B77"/>
    <mergeCell ref="V72:V77"/>
    <mergeCell ref="C72:C77"/>
    <mergeCell ref="E72:E77"/>
    <mergeCell ref="F72:F77"/>
    <mergeCell ref="G72:G77"/>
    <mergeCell ref="H72:H77"/>
    <mergeCell ref="I72:I77"/>
    <mergeCell ref="W72:W77"/>
    <mergeCell ref="A52:A56"/>
    <mergeCell ref="O52:O56"/>
    <mergeCell ref="U52:U56"/>
    <mergeCell ref="M57:M66"/>
    <mergeCell ref="B52:B56"/>
    <mergeCell ref="V52:V56"/>
    <mergeCell ref="H67:H71"/>
    <mergeCell ref="I67:I71"/>
    <mergeCell ref="J67:J71"/>
    <mergeCell ref="C52:C56"/>
    <mergeCell ref="D52:D56"/>
    <mergeCell ref="E52:E56"/>
    <mergeCell ref="K67:K71"/>
    <mergeCell ref="L67:L71"/>
    <mergeCell ref="M67:M71"/>
    <mergeCell ref="F52:F56"/>
    <mergeCell ref="G52:G56"/>
    <mergeCell ref="H52:H56"/>
    <mergeCell ref="I52:I56"/>
    <mergeCell ref="J52:J56"/>
    <mergeCell ref="K52:K56"/>
    <mergeCell ref="L52:L56"/>
    <mergeCell ref="A67:A71"/>
    <mergeCell ref="V83:V85"/>
    <mergeCell ref="W83:W85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M83:M85"/>
    <mergeCell ref="A3:E3"/>
    <mergeCell ref="S2:U2"/>
    <mergeCell ref="N2:O2"/>
    <mergeCell ref="J4:K4"/>
    <mergeCell ref="M4:N4"/>
    <mergeCell ref="O4:P4"/>
    <mergeCell ref="K2:M2"/>
    <mergeCell ref="O83:O85"/>
    <mergeCell ref="U83:U85"/>
    <mergeCell ref="J72:J77"/>
    <mergeCell ref="K72:K77"/>
    <mergeCell ref="L72:L77"/>
    <mergeCell ref="M72:M77"/>
    <mergeCell ref="D72:D77"/>
    <mergeCell ref="M78:M82"/>
    <mergeCell ref="A83:A85"/>
    <mergeCell ref="B83:B85"/>
    <mergeCell ref="C83:C85"/>
    <mergeCell ref="O67:O71"/>
    <mergeCell ref="U67:U71"/>
    <mergeCell ref="B67:B71"/>
    <mergeCell ref="L57:L66"/>
    <mergeCell ref="A57:A66"/>
    <mergeCell ref="O57:O66"/>
    <mergeCell ref="V86:V87"/>
    <mergeCell ref="C86:C87"/>
    <mergeCell ref="W86:W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V44:V45"/>
    <mergeCell ref="C44:C45"/>
    <mergeCell ref="W44:W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V102:V103"/>
    <mergeCell ref="C102:C103"/>
    <mergeCell ref="W102:W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D20:D27"/>
    <mergeCell ref="E20:E27"/>
    <mergeCell ref="F20:F27"/>
    <mergeCell ref="G20:G27"/>
    <mergeCell ref="H20:H27"/>
    <mergeCell ref="O12:O19"/>
    <mergeCell ref="U12:U19"/>
    <mergeCell ref="A102:A103"/>
    <mergeCell ref="O102:O103"/>
    <mergeCell ref="U102:U103"/>
    <mergeCell ref="B102:B103"/>
    <mergeCell ref="A20:A27"/>
    <mergeCell ref="B20:B27"/>
    <mergeCell ref="C20:C27"/>
    <mergeCell ref="A12:A19"/>
    <mergeCell ref="A44:A45"/>
    <mergeCell ref="O44:O45"/>
    <mergeCell ref="U44:U45"/>
    <mergeCell ref="B44:B45"/>
    <mergeCell ref="A86:A87"/>
    <mergeCell ref="O86:O87"/>
    <mergeCell ref="U86:U87"/>
    <mergeCell ref="B86:B87"/>
    <mergeCell ref="A95:A96"/>
    <mergeCell ref="O20:O27"/>
    <mergeCell ref="U20:U27"/>
    <mergeCell ref="V20:V27"/>
    <mergeCell ref="I20:I27"/>
    <mergeCell ref="J20:J27"/>
    <mergeCell ref="K20:K27"/>
    <mergeCell ref="L20:L27"/>
    <mergeCell ref="M20:M27"/>
    <mergeCell ref="W20:W27"/>
    <mergeCell ref="A100:A101"/>
    <mergeCell ref="O100:O101"/>
    <mergeCell ref="U100:U101"/>
    <mergeCell ref="B100:B101"/>
    <mergeCell ref="V100:V101"/>
    <mergeCell ref="C100:C101"/>
    <mergeCell ref="W100:W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A28:A35"/>
    <mergeCell ref="O28:O35"/>
    <mergeCell ref="U28:U35"/>
    <mergeCell ref="B28:B35"/>
    <mergeCell ref="V28:V35"/>
    <mergeCell ref="C28:C35"/>
    <mergeCell ref="W28:W35"/>
    <mergeCell ref="D28:D35"/>
    <mergeCell ref="E28:E35"/>
    <mergeCell ref="F28:F35"/>
    <mergeCell ref="G28:G35"/>
    <mergeCell ref="H28:H35"/>
    <mergeCell ref="I28:I35"/>
    <mergeCell ref="J28:J35"/>
    <mergeCell ref="K28:K35"/>
    <mergeCell ref="L28:L35"/>
    <mergeCell ref="M28:M35"/>
    <mergeCell ref="A9:A11"/>
    <mergeCell ref="O9:O11"/>
    <mergeCell ref="U9:U11"/>
    <mergeCell ref="B9:B11"/>
    <mergeCell ref="V9:V11"/>
    <mergeCell ref="C9:C11"/>
    <mergeCell ref="W9:W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B12:B19"/>
    <mergeCell ref="V12:V19"/>
    <mergeCell ref="C12:C19"/>
    <mergeCell ref="W12:W19"/>
    <mergeCell ref="D12:D19"/>
    <mergeCell ref="E12:E19"/>
    <mergeCell ref="F12:F19"/>
    <mergeCell ref="G12:G19"/>
    <mergeCell ref="H12:H19"/>
    <mergeCell ref="I12:I19"/>
    <mergeCell ref="J12:J19"/>
    <mergeCell ref="K12:K19"/>
    <mergeCell ref="L12:L19"/>
    <mergeCell ref="M12:M19"/>
    <mergeCell ref="A36:A43"/>
    <mergeCell ref="O36:O43"/>
    <mergeCell ref="U36:U43"/>
    <mergeCell ref="B36:B43"/>
    <mergeCell ref="V36:V43"/>
    <mergeCell ref="C36:C43"/>
    <mergeCell ref="W36:W43"/>
    <mergeCell ref="D36:D43"/>
    <mergeCell ref="E36:E43"/>
    <mergeCell ref="F36:F43"/>
    <mergeCell ref="G36:G43"/>
    <mergeCell ref="H36:H43"/>
    <mergeCell ref="I36:I43"/>
    <mergeCell ref="J36:J43"/>
    <mergeCell ref="K36:K43"/>
    <mergeCell ref="L36:L43"/>
    <mergeCell ref="M36:M43"/>
    <mergeCell ref="A112:A113"/>
    <mergeCell ref="O112:O113"/>
    <mergeCell ref="U112:U113"/>
    <mergeCell ref="B112:B113"/>
    <mergeCell ref="V112:V113"/>
    <mergeCell ref="C112:C113"/>
    <mergeCell ref="W112:W113"/>
    <mergeCell ref="D112:D113"/>
    <mergeCell ref="E112:E113"/>
    <mergeCell ref="F112:F113"/>
    <mergeCell ref="G112:G113"/>
    <mergeCell ref="H112:H113"/>
    <mergeCell ref="I112:I113"/>
    <mergeCell ref="J112:J113"/>
    <mergeCell ref="K112:K113"/>
    <mergeCell ref="L112:L113"/>
    <mergeCell ref="M112:M113"/>
    <mergeCell ref="A114:A115"/>
    <mergeCell ref="O114:O115"/>
    <mergeCell ref="U114:U115"/>
    <mergeCell ref="B114:B115"/>
    <mergeCell ref="V114:V115"/>
    <mergeCell ref="C114:C115"/>
    <mergeCell ref="W114:W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114:M115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75"/>
  <sheetViews>
    <sheetView showGridLines="0" topLeftCell="F1" zoomScale="51" zoomScaleNormal="51" workbookViewId="0">
      <pane ySplit="8" topLeftCell="A170" activePane="bottomLeft" state="frozen"/>
      <selection pane="bottomLeft" activeCell="K173" sqref="K173:K174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569" t="s">
        <v>24</v>
      </c>
      <c r="G2" s="570"/>
      <c r="H2" s="80">
        <f>SUM(H9:H10002)</f>
        <v>4638344.0799999991</v>
      </c>
      <c r="I2" s="68"/>
      <c r="N2" s="417" t="s">
        <v>137</v>
      </c>
      <c r="O2" s="419"/>
      <c r="P2" s="69">
        <f>SUM(P9:P10002)</f>
        <v>3529686.1800000016</v>
      </c>
      <c r="R2" s="68"/>
      <c r="S2" s="417" t="s">
        <v>45</v>
      </c>
      <c r="T2" s="418"/>
      <c r="U2" s="419"/>
      <c r="V2" s="70">
        <f>SUM(V9:V10002)</f>
        <v>349657.29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586">
        <v>1</v>
      </c>
      <c r="B9" s="545" t="s">
        <v>56</v>
      </c>
      <c r="C9" s="545"/>
      <c r="D9" s="545"/>
      <c r="E9" s="545" t="s">
        <v>158</v>
      </c>
      <c r="F9" s="548">
        <v>44560</v>
      </c>
      <c r="G9" s="551" t="s">
        <v>156</v>
      </c>
      <c r="H9" s="554">
        <v>11000</v>
      </c>
      <c r="I9" s="557">
        <f>IF(X9 = 13, H9 + SUM(S9:S22) - SUM(T9:T22) - SUM(P9:P22) - V9,0)</f>
        <v>1.1368683772161603E-13</v>
      </c>
      <c r="J9" s="560">
        <v>7707049388</v>
      </c>
      <c r="K9" s="563" t="s">
        <v>157</v>
      </c>
      <c r="L9" s="545"/>
      <c r="M9" s="545" t="s">
        <v>155</v>
      </c>
      <c r="N9" s="128">
        <v>44592</v>
      </c>
      <c r="O9" s="548" t="s">
        <v>147</v>
      </c>
      <c r="P9" s="124">
        <v>726.62</v>
      </c>
      <c r="Q9" s="123">
        <v>44608</v>
      </c>
      <c r="R9" s="122"/>
      <c r="S9" s="124"/>
      <c r="T9" s="124"/>
      <c r="U9" s="554" t="s">
        <v>518</v>
      </c>
      <c r="V9" s="566">
        <v>952.42</v>
      </c>
      <c r="W9" s="542"/>
      <c r="X9" s="85">
        <v>13</v>
      </c>
    </row>
    <row r="10" spans="1:24" x14ac:dyDescent="0.25">
      <c r="A10" s="587"/>
      <c r="B10" s="546"/>
      <c r="C10" s="546"/>
      <c r="D10" s="546"/>
      <c r="E10" s="546"/>
      <c r="F10" s="549"/>
      <c r="G10" s="552"/>
      <c r="H10" s="555"/>
      <c r="I10" s="558"/>
      <c r="J10" s="561"/>
      <c r="K10" s="564"/>
      <c r="L10" s="546"/>
      <c r="M10" s="546"/>
      <c r="N10" s="133">
        <v>44620</v>
      </c>
      <c r="O10" s="549"/>
      <c r="P10" s="130">
        <v>682.42</v>
      </c>
      <c r="Q10" s="131">
        <v>44641</v>
      </c>
      <c r="R10" s="132"/>
      <c r="S10" s="130"/>
      <c r="T10" s="130"/>
      <c r="U10" s="555"/>
      <c r="V10" s="567"/>
      <c r="W10" s="543"/>
      <c r="X10" s="2">
        <v>13</v>
      </c>
    </row>
    <row r="11" spans="1:24" x14ac:dyDescent="0.25">
      <c r="A11" s="587"/>
      <c r="B11" s="546"/>
      <c r="C11" s="546"/>
      <c r="D11" s="546"/>
      <c r="E11" s="546"/>
      <c r="F11" s="549"/>
      <c r="G11" s="552"/>
      <c r="H11" s="555"/>
      <c r="I11" s="558"/>
      <c r="J11" s="561"/>
      <c r="K11" s="564"/>
      <c r="L11" s="546"/>
      <c r="M11" s="546"/>
      <c r="N11" s="133">
        <v>44651</v>
      </c>
      <c r="O11" s="549"/>
      <c r="P11" s="130">
        <v>943.67</v>
      </c>
      <c r="Q11" s="131" t="s">
        <v>164</v>
      </c>
      <c r="R11" s="132"/>
      <c r="S11" s="130"/>
      <c r="T11" s="130"/>
      <c r="U11" s="555"/>
      <c r="V11" s="567"/>
      <c r="W11" s="543"/>
      <c r="X11" s="2">
        <v>13</v>
      </c>
    </row>
    <row r="12" spans="1:24" x14ac:dyDescent="0.25">
      <c r="A12" s="587"/>
      <c r="B12" s="546"/>
      <c r="C12" s="546"/>
      <c r="D12" s="546"/>
      <c r="E12" s="546"/>
      <c r="F12" s="549"/>
      <c r="G12" s="552"/>
      <c r="H12" s="555"/>
      <c r="I12" s="558"/>
      <c r="J12" s="561"/>
      <c r="K12" s="564"/>
      <c r="L12" s="546"/>
      <c r="M12" s="546"/>
      <c r="N12" s="133">
        <v>44681</v>
      </c>
      <c r="O12" s="549"/>
      <c r="P12" s="130">
        <v>769.14</v>
      </c>
      <c r="Q12" s="131" t="s">
        <v>165</v>
      </c>
      <c r="R12" s="132"/>
      <c r="S12" s="130"/>
      <c r="T12" s="130"/>
      <c r="U12" s="555"/>
      <c r="V12" s="567"/>
      <c r="W12" s="543"/>
      <c r="X12" s="2">
        <v>13</v>
      </c>
    </row>
    <row r="13" spans="1:24" x14ac:dyDescent="0.25">
      <c r="A13" s="587"/>
      <c r="B13" s="546"/>
      <c r="C13" s="546"/>
      <c r="D13" s="546"/>
      <c r="E13" s="546"/>
      <c r="F13" s="549"/>
      <c r="G13" s="552"/>
      <c r="H13" s="555"/>
      <c r="I13" s="558"/>
      <c r="J13" s="561"/>
      <c r="K13" s="564"/>
      <c r="L13" s="546"/>
      <c r="M13" s="546"/>
      <c r="N13" s="133">
        <v>44712</v>
      </c>
      <c r="O13" s="549"/>
      <c r="P13" s="130">
        <v>973.78</v>
      </c>
      <c r="Q13" s="131" t="s">
        <v>174</v>
      </c>
      <c r="R13" s="132"/>
      <c r="S13" s="130"/>
      <c r="T13" s="130"/>
      <c r="U13" s="555"/>
      <c r="V13" s="567"/>
      <c r="W13" s="543"/>
      <c r="X13" s="2">
        <v>13</v>
      </c>
    </row>
    <row r="14" spans="1:24" x14ac:dyDescent="0.25">
      <c r="A14" s="587"/>
      <c r="B14" s="546"/>
      <c r="C14" s="546"/>
      <c r="D14" s="546"/>
      <c r="E14" s="546"/>
      <c r="F14" s="549"/>
      <c r="G14" s="552"/>
      <c r="H14" s="555"/>
      <c r="I14" s="558"/>
      <c r="J14" s="561"/>
      <c r="K14" s="564"/>
      <c r="L14" s="546"/>
      <c r="M14" s="546"/>
      <c r="N14" s="133">
        <v>44742</v>
      </c>
      <c r="O14" s="549"/>
      <c r="P14" s="130">
        <v>772.94</v>
      </c>
      <c r="Q14" s="131" t="s">
        <v>176</v>
      </c>
      <c r="R14" s="132"/>
      <c r="S14" s="130"/>
      <c r="T14" s="130"/>
      <c r="U14" s="555"/>
      <c r="V14" s="567"/>
      <c r="W14" s="543"/>
      <c r="X14" s="2">
        <v>13</v>
      </c>
    </row>
    <row r="15" spans="1:24" x14ac:dyDescent="0.25">
      <c r="A15" s="587"/>
      <c r="B15" s="546"/>
      <c r="C15" s="546"/>
      <c r="D15" s="546"/>
      <c r="E15" s="546"/>
      <c r="F15" s="549"/>
      <c r="G15" s="552"/>
      <c r="H15" s="555"/>
      <c r="I15" s="558"/>
      <c r="J15" s="561"/>
      <c r="K15" s="564"/>
      <c r="L15" s="546"/>
      <c r="M15" s="546"/>
      <c r="N15" s="133">
        <v>44773</v>
      </c>
      <c r="O15" s="549"/>
      <c r="P15" s="130">
        <v>717.13</v>
      </c>
      <c r="Q15" s="131" t="s">
        <v>181</v>
      </c>
      <c r="R15" s="132"/>
      <c r="S15" s="130"/>
      <c r="T15" s="130"/>
      <c r="U15" s="555"/>
      <c r="V15" s="567"/>
      <c r="W15" s="543"/>
      <c r="X15" s="2">
        <v>13</v>
      </c>
    </row>
    <row r="16" spans="1:24" x14ac:dyDescent="0.25">
      <c r="A16" s="587"/>
      <c r="B16" s="546"/>
      <c r="C16" s="546"/>
      <c r="D16" s="546"/>
      <c r="E16" s="546"/>
      <c r="F16" s="549"/>
      <c r="G16" s="552"/>
      <c r="H16" s="555"/>
      <c r="I16" s="558"/>
      <c r="J16" s="561"/>
      <c r="K16" s="564"/>
      <c r="L16" s="546"/>
      <c r="M16" s="546"/>
      <c r="N16" s="133">
        <v>44804</v>
      </c>
      <c r="O16" s="549"/>
      <c r="P16" s="130">
        <v>704.78</v>
      </c>
      <c r="Q16" s="131" t="s">
        <v>185</v>
      </c>
      <c r="R16" s="132"/>
      <c r="S16" s="130"/>
      <c r="T16" s="130"/>
      <c r="U16" s="555"/>
      <c r="V16" s="567"/>
      <c r="W16" s="543"/>
      <c r="X16" s="2">
        <v>13</v>
      </c>
    </row>
    <row r="17" spans="1:24" x14ac:dyDescent="0.25">
      <c r="A17" s="587"/>
      <c r="B17" s="546"/>
      <c r="C17" s="546"/>
      <c r="D17" s="546"/>
      <c r="E17" s="546"/>
      <c r="F17" s="549"/>
      <c r="G17" s="552"/>
      <c r="H17" s="555"/>
      <c r="I17" s="558"/>
      <c r="J17" s="561"/>
      <c r="K17" s="564"/>
      <c r="L17" s="546"/>
      <c r="M17" s="546"/>
      <c r="N17" s="133">
        <v>44834</v>
      </c>
      <c r="O17" s="549"/>
      <c r="P17" s="130">
        <v>33.020000000000003</v>
      </c>
      <c r="Q17" s="131" t="s">
        <v>189</v>
      </c>
      <c r="R17" s="132"/>
      <c r="S17" s="130"/>
      <c r="T17" s="130"/>
      <c r="U17" s="555"/>
      <c r="V17" s="567"/>
      <c r="W17" s="543"/>
      <c r="X17" s="2">
        <v>13</v>
      </c>
    </row>
    <row r="18" spans="1:24" x14ac:dyDescent="0.25">
      <c r="A18" s="587"/>
      <c r="B18" s="546"/>
      <c r="C18" s="546"/>
      <c r="D18" s="546"/>
      <c r="E18" s="546"/>
      <c r="F18" s="549"/>
      <c r="G18" s="552"/>
      <c r="H18" s="555"/>
      <c r="I18" s="558"/>
      <c r="J18" s="561"/>
      <c r="K18" s="564"/>
      <c r="L18" s="546"/>
      <c r="M18" s="546"/>
      <c r="N18" s="133">
        <v>44834</v>
      </c>
      <c r="O18" s="549"/>
      <c r="P18" s="130">
        <v>805.62</v>
      </c>
      <c r="Q18" s="131" t="s">
        <v>189</v>
      </c>
      <c r="R18" s="132"/>
      <c r="S18" s="130"/>
      <c r="T18" s="130"/>
      <c r="U18" s="555"/>
      <c r="V18" s="567"/>
      <c r="W18" s="543"/>
      <c r="X18" s="2">
        <v>13</v>
      </c>
    </row>
    <row r="19" spans="1:24" x14ac:dyDescent="0.25">
      <c r="A19" s="587"/>
      <c r="B19" s="546"/>
      <c r="C19" s="546"/>
      <c r="D19" s="546"/>
      <c r="E19" s="546"/>
      <c r="F19" s="549"/>
      <c r="G19" s="552"/>
      <c r="H19" s="555"/>
      <c r="I19" s="558"/>
      <c r="J19" s="561"/>
      <c r="K19" s="564"/>
      <c r="L19" s="546"/>
      <c r="M19" s="546"/>
      <c r="N19" s="133">
        <v>44865</v>
      </c>
      <c r="O19" s="549"/>
      <c r="P19" s="130">
        <v>871.99</v>
      </c>
      <c r="Q19" s="131" t="s">
        <v>197</v>
      </c>
      <c r="R19" s="132"/>
      <c r="S19" s="130"/>
      <c r="T19" s="130"/>
      <c r="U19" s="555"/>
      <c r="V19" s="567"/>
      <c r="W19" s="543"/>
      <c r="X19" s="2">
        <v>13</v>
      </c>
    </row>
    <row r="20" spans="1:24" x14ac:dyDescent="0.25">
      <c r="A20" s="587"/>
      <c r="B20" s="546"/>
      <c r="C20" s="546"/>
      <c r="D20" s="546"/>
      <c r="E20" s="546"/>
      <c r="F20" s="549"/>
      <c r="G20" s="552"/>
      <c r="H20" s="555"/>
      <c r="I20" s="558"/>
      <c r="J20" s="561"/>
      <c r="K20" s="564"/>
      <c r="L20" s="546"/>
      <c r="M20" s="546"/>
      <c r="N20" s="133">
        <v>44895</v>
      </c>
      <c r="O20" s="549"/>
      <c r="P20" s="130">
        <v>1010.2</v>
      </c>
      <c r="Q20" s="131" t="s">
        <v>204</v>
      </c>
      <c r="R20" s="132"/>
      <c r="S20" s="130"/>
      <c r="T20" s="130"/>
      <c r="U20" s="555"/>
      <c r="V20" s="567"/>
      <c r="W20" s="543"/>
      <c r="X20" s="2">
        <v>13</v>
      </c>
    </row>
    <row r="21" spans="1:24" x14ac:dyDescent="0.25">
      <c r="A21" s="587"/>
      <c r="B21" s="546"/>
      <c r="C21" s="546"/>
      <c r="D21" s="546"/>
      <c r="E21" s="546"/>
      <c r="F21" s="549"/>
      <c r="G21" s="552"/>
      <c r="H21" s="555"/>
      <c r="I21" s="558"/>
      <c r="J21" s="561"/>
      <c r="K21" s="564"/>
      <c r="L21" s="546"/>
      <c r="M21" s="546"/>
      <c r="N21" s="133">
        <v>44926</v>
      </c>
      <c r="O21" s="549"/>
      <c r="P21" s="130">
        <v>172.08</v>
      </c>
      <c r="Q21" s="131" t="s">
        <v>265</v>
      </c>
      <c r="R21" s="132"/>
      <c r="S21" s="130"/>
      <c r="T21" s="130"/>
      <c r="U21" s="555"/>
      <c r="V21" s="567"/>
      <c r="W21" s="543"/>
      <c r="X21" s="2">
        <v>13</v>
      </c>
    </row>
    <row r="22" spans="1:24" x14ac:dyDescent="0.25">
      <c r="A22" s="588"/>
      <c r="B22" s="547"/>
      <c r="C22" s="547"/>
      <c r="D22" s="547"/>
      <c r="E22" s="547"/>
      <c r="F22" s="550"/>
      <c r="G22" s="553"/>
      <c r="H22" s="556"/>
      <c r="I22" s="559"/>
      <c r="J22" s="562"/>
      <c r="K22" s="565"/>
      <c r="L22" s="547"/>
      <c r="M22" s="547"/>
      <c r="N22" s="129">
        <v>44926</v>
      </c>
      <c r="O22" s="550"/>
      <c r="P22" s="125">
        <v>864.19</v>
      </c>
      <c r="Q22" s="126" t="s">
        <v>265</v>
      </c>
      <c r="R22" s="127"/>
      <c r="S22" s="125"/>
      <c r="T22" s="125"/>
      <c r="U22" s="556"/>
      <c r="V22" s="568"/>
      <c r="W22" s="544"/>
      <c r="X22" s="2">
        <v>13</v>
      </c>
    </row>
    <row r="23" spans="1:24" s="85" customFormat="1" ht="72" customHeight="1" x14ac:dyDescent="0.25">
      <c r="A23" s="571">
        <v>2</v>
      </c>
      <c r="B23" s="526" t="s">
        <v>56</v>
      </c>
      <c r="C23" s="526"/>
      <c r="D23" s="526"/>
      <c r="E23" s="526" t="s">
        <v>191</v>
      </c>
      <c r="F23" s="529" t="s">
        <v>186</v>
      </c>
      <c r="G23" s="532" t="s">
        <v>192</v>
      </c>
      <c r="H23" s="574">
        <v>257225.44</v>
      </c>
      <c r="I23" s="577">
        <f>IF(X23 = 46, H23 + SUM(S23:S25) - SUM(T23:T25) - SUM(P23:P25) - V23,0)</f>
        <v>-1.6298157268224145E-11</v>
      </c>
      <c r="J23" s="580">
        <v>2312054894</v>
      </c>
      <c r="K23" s="583" t="s">
        <v>149</v>
      </c>
      <c r="L23" s="526"/>
      <c r="M23" s="526" t="s">
        <v>190</v>
      </c>
      <c r="N23" s="95">
        <v>44865</v>
      </c>
      <c r="O23" s="529" t="s">
        <v>193</v>
      </c>
      <c r="P23" s="88">
        <v>7464.37</v>
      </c>
      <c r="Q23" s="87" t="s">
        <v>198</v>
      </c>
      <c r="R23" s="86"/>
      <c r="S23" s="88"/>
      <c r="T23" s="88"/>
      <c r="U23" s="574" t="s">
        <v>519</v>
      </c>
      <c r="V23" s="523">
        <v>0.17</v>
      </c>
      <c r="W23" s="520"/>
      <c r="X23" s="85">
        <v>46</v>
      </c>
    </row>
    <row r="24" spans="1:24" x14ac:dyDescent="0.25">
      <c r="A24" s="572"/>
      <c r="B24" s="527"/>
      <c r="C24" s="527"/>
      <c r="D24" s="527"/>
      <c r="E24" s="527"/>
      <c r="F24" s="530"/>
      <c r="G24" s="533"/>
      <c r="H24" s="575"/>
      <c r="I24" s="578"/>
      <c r="J24" s="581"/>
      <c r="K24" s="584"/>
      <c r="L24" s="527"/>
      <c r="M24" s="527"/>
      <c r="N24" s="96">
        <v>44895</v>
      </c>
      <c r="O24" s="530"/>
      <c r="P24" s="89">
        <v>146780.1</v>
      </c>
      <c r="Q24" s="90" t="s">
        <v>199</v>
      </c>
      <c r="R24" s="91"/>
      <c r="S24" s="89"/>
      <c r="T24" s="89"/>
      <c r="U24" s="575"/>
      <c r="V24" s="524"/>
      <c r="W24" s="521"/>
      <c r="X24" s="2">
        <v>46</v>
      </c>
    </row>
    <row r="25" spans="1:24" x14ac:dyDescent="0.25">
      <c r="A25" s="573"/>
      <c r="B25" s="528"/>
      <c r="C25" s="528"/>
      <c r="D25" s="528"/>
      <c r="E25" s="528"/>
      <c r="F25" s="531"/>
      <c r="G25" s="534"/>
      <c r="H25" s="576"/>
      <c r="I25" s="579"/>
      <c r="J25" s="582"/>
      <c r="K25" s="585"/>
      <c r="L25" s="528"/>
      <c r="M25" s="528"/>
      <c r="N25" s="97">
        <v>44914</v>
      </c>
      <c r="O25" s="531"/>
      <c r="P25" s="92">
        <v>102980.8</v>
      </c>
      <c r="Q25" s="93" t="s">
        <v>203</v>
      </c>
      <c r="R25" s="94"/>
      <c r="S25" s="92"/>
      <c r="T25" s="92"/>
      <c r="U25" s="576"/>
      <c r="V25" s="525"/>
      <c r="W25" s="522"/>
      <c r="X25" s="2">
        <v>46</v>
      </c>
    </row>
    <row r="26" spans="1:24" s="85" customFormat="1" ht="72" customHeight="1" x14ac:dyDescent="0.25">
      <c r="A26" s="400">
        <v>3</v>
      </c>
      <c r="B26" s="406" t="s">
        <v>56</v>
      </c>
      <c r="C26" s="406"/>
      <c r="D26" s="406"/>
      <c r="E26" s="406" t="s">
        <v>268</v>
      </c>
      <c r="F26" s="402" t="s">
        <v>269</v>
      </c>
      <c r="G26" s="412" t="s">
        <v>270</v>
      </c>
      <c r="H26" s="404">
        <v>474789</v>
      </c>
      <c r="I26" s="414">
        <f>IF(X26 = 55, H26 + SUM(S26:S30) - SUM(T26:T30) - SUM(P26:P30) - V26,0)</f>
        <v>0</v>
      </c>
      <c r="J26" s="538">
        <v>235300578903</v>
      </c>
      <c r="K26" s="540" t="s">
        <v>148</v>
      </c>
      <c r="L26" s="406"/>
      <c r="M26" s="406" t="s">
        <v>271</v>
      </c>
      <c r="N26" s="163">
        <v>44834</v>
      </c>
      <c r="O26" s="402" t="s">
        <v>272</v>
      </c>
      <c r="P26" s="156">
        <v>126787.5</v>
      </c>
      <c r="Q26" s="155" t="s">
        <v>273</v>
      </c>
      <c r="R26" s="154"/>
      <c r="S26" s="156"/>
      <c r="T26" s="156"/>
      <c r="U26" s="404"/>
      <c r="V26" s="517"/>
      <c r="W26" s="410"/>
      <c r="X26" s="85">
        <v>55</v>
      </c>
    </row>
    <row r="27" spans="1:24" x14ac:dyDescent="0.25">
      <c r="A27" s="513"/>
      <c r="B27" s="516"/>
      <c r="C27" s="516"/>
      <c r="D27" s="516"/>
      <c r="E27" s="516"/>
      <c r="F27" s="514"/>
      <c r="G27" s="536"/>
      <c r="H27" s="515"/>
      <c r="I27" s="537"/>
      <c r="J27" s="539"/>
      <c r="K27" s="541"/>
      <c r="L27" s="516"/>
      <c r="M27" s="516"/>
      <c r="N27" s="164">
        <v>44865</v>
      </c>
      <c r="O27" s="514"/>
      <c r="P27" s="157">
        <v>116644.5</v>
      </c>
      <c r="Q27" s="158" t="s">
        <v>197</v>
      </c>
      <c r="R27" s="159"/>
      <c r="S27" s="157"/>
      <c r="T27" s="157"/>
      <c r="U27" s="515"/>
      <c r="V27" s="518"/>
      <c r="W27" s="535"/>
      <c r="X27" s="2">
        <v>55</v>
      </c>
    </row>
    <row r="28" spans="1:24" x14ac:dyDescent="0.25">
      <c r="A28" s="513"/>
      <c r="B28" s="516"/>
      <c r="C28" s="516"/>
      <c r="D28" s="516"/>
      <c r="E28" s="516"/>
      <c r="F28" s="514"/>
      <c r="G28" s="536"/>
      <c r="H28" s="515"/>
      <c r="I28" s="537"/>
      <c r="J28" s="539"/>
      <c r="K28" s="541"/>
      <c r="L28" s="516"/>
      <c r="M28" s="516"/>
      <c r="N28" s="164">
        <v>44865</v>
      </c>
      <c r="O28" s="514"/>
      <c r="P28" s="157">
        <v>241.5</v>
      </c>
      <c r="Q28" s="158" t="s">
        <v>274</v>
      </c>
      <c r="R28" s="159"/>
      <c r="S28" s="157"/>
      <c r="T28" s="157"/>
      <c r="U28" s="515"/>
      <c r="V28" s="518"/>
      <c r="W28" s="535"/>
      <c r="X28" s="2">
        <v>55</v>
      </c>
    </row>
    <row r="29" spans="1:24" x14ac:dyDescent="0.25">
      <c r="A29" s="513"/>
      <c r="B29" s="516"/>
      <c r="C29" s="516"/>
      <c r="D29" s="516"/>
      <c r="E29" s="516"/>
      <c r="F29" s="514"/>
      <c r="G29" s="536"/>
      <c r="H29" s="515"/>
      <c r="I29" s="537"/>
      <c r="J29" s="539"/>
      <c r="K29" s="541"/>
      <c r="L29" s="516"/>
      <c r="M29" s="516"/>
      <c r="N29" s="164">
        <v>44895</v>
      </c>
      <c r="O29" s="514"/>
      <c r="P29" s="157">
        <v>103120.5</v>
      </c>
      <c r="Q29" s="158" t="s">
        <v>275</v>
      </c>
      <c r="R29" s="159"/>
      <c r="S29" s="157"/>
      <c r="T29" s="157"/>
      <c r="U29" s="515"/>
      <c r="V29" s="518"/>
      <c r="W29" s="535"/>
      <c r="X29" s="2">
        <v>55</v>
      </c>
    </row>
    <row r="30" spans="1:24" x14ac:dyDescent="0.25">
      <c r="A30" s="513"/>
      <c r="B30" s="516"/>
      <c r="C30" s="516"/>
      <c r="D30" s="516"/>
      <c r="E30" s="516"/>
      <c r="F30" s="514"/>
      <c r="G30" s="536"/>
      <c r="H30" s="515"/>
      <c r="I30" s="537"/>
      <c r="J30" s="539"/>
      <c r="K30" s="541"/>
      <c r="L30" s="516"/>
      <c r="M30" s="516"/>
      <c r="N30" s="164">
        <v>44925</v>
      </c>
      <c r="O30" s="514"/>
      <c r="P30" s="157">
        <v>127995</v>
      </c>
      <c r="Q30" s="158" t="s">
        <v>276</v>
      </c>
      <c r="R30" s="159"/>
      <c r="S30" s="157"/>
      <c r="T30" s="157"/>
      <c r="U30" s="515"/>
      <c r="V30" s="518"/>
      <c r="W30" s="535"/>
      <c r="X30" s="2">
        <v>55</v>
      </c>
    </row>
    <row r="31" spans="1:24" s="85" customFormat="1" ht="54" customHeight="1" x14ac:dyDescent="0.25">
      <c r="A31" s="358">
        <v>4</v>
      </c>
      <c r="B31" s="364" t="s">
        <v>56</v>
      </c>
      <c r="C31" s="364"/>
      <c r="D31" s="364"/>
      <c r="E31" s="364" t="s">
        <v>150</v>
      </c>
      <c r="F31" s="360" t="s">
        <v>217</v>
      </c>
      <c r="G31" s="370" t="s">
        <v>220</v>
      </c>
      <c r="H31" s="362">
        <v>24918.78</v>
      </c>
      <c r="I31" s="372">
        <f>IF(X31 = 56, H31 + SUM(S31:S38) - SUM(T31:T38) - SUM(P31:P38) - V31,0)</f>
        <v>9683.68</v>
      </c>
      <c r="J31" s="478">
        <v>2369002347</v>
      </c>
      <c r="K31" s="481" t="s">
        <v>221</v>
      </c>
      <c r="L31" s="364"/>
      <c r="M31" s="364" t="s">
        <v>214</v>
      </c>
      <c r="N31" s="298" t="s">
        <v>307</v>
      </c>
      <c r="O31" s="360" t="s">
        <v>222</v>
      </c>
      <c r="P31" s="289">
        <v>4841.84</v>
      </c>
      <c r="Q31" s="290" t="s">
        <v>313</v>
      </c>
      <c r="R31" s="291"/>
      <c r="S31" s="289"/>
      <c r="T31" s="289"/>
      <c r="U31" s="362"/>
      <c r="V31" s="484"/>
      <c r="W31" s="368"/>
      <c r="X31" s="85">
        <v>56</v>
      </c>
    </row>
    <row r="32" spans="1:24" x14ac:dyDescent="0.25">
      <c r="A32" s="374"/>
      <c r="B32" s="377"/>
      <c r="C32" s="377"/>
      <c r="D32" s="377"/>
      <c r="E32" s="377"/>
      <c r="F32" s="375"/>
      <c r="G32" s="477"/>
      <c r="H32" s="376"/>
      <c r="I32" s="383"/>
      <c r="J32" s="479"/>
      <c r="K32" s="482"/>
      <c r="L32" s="377"/>
      <c r="M32" s="377"/>
      <c r="N32" s="299" t="s">
        <v>345</v>
      </c>
      <c r="O32" s="375"/>
      <c r="P32" s="292">
        <v>2003.52</v>
      </c>
      <c r="Q32" s="293" t="s">
        <v>347</v>
      </c>
      <c r="R32" s="294"/>
      <c r="S32" s="292"/>
      <c r="T32" s="292"/>
      <c r="U32" s="376"/>
      <c r="V32" s="485"/>
      <c r="W32" s="379"/>
      <c r="X32" s="2">
        <v>56</v>
      </c>
    </row>
    <row r="33" spans="1:24" x14ac:dyDescent="0.25">
      <c r="A33" s="374"/>
      <c r="B33" s="377"/>
      <c r="C33" s="377"/>
      <c r="D33" s="377"/>
      <c r="E33" s="377"/>
      <c r="F33" s="375"/>
      <c r="G33" s="477"/>
      <c r="H33" s="376"/>
      <c r="I33" s="383"/>
      <c r="J33" s="479"/>
      <c r="K33" s="482"/>
      <c r="L33" s="377"/>
      <c r="M33" s="377"/>
      <c r="N33" s="299" t="s">
        <v>375</v>
      </c>
      <c r="O33" s="375"/>
      <c r="P33" s="292">
        <v>1794.82</v>
      </c>
      <c r="Q33" s="293" t="s">
        <v>378</v>
      </c>
      <c r="R33" s="294"/>
      <c r="S33" s="292"/>
      <c r="T33" s="292"/>
      <c r="U33" s="376"/>
      <c r="V33" s="485"/>
      <c r="W33" s="379"/>
      <c r="X33" s="2">
        <v>56</v>
      </c>
    </row>
    <row r="34" spans="1:24" x14ac:dyDescent="0.25">
      <c r="A34" s="374"/>
      <c r="B34" s="377"/>
      <c r="C34" s="377"/>
      <c r="D34" s="377"/>
      <c r="E34" s="377"/>
      <c r="F34" s="375"/>
      <c r="G34" s="477"/>
      <c r="H34" s="376"/>
      <c r="I34" s="383"/>
      <c r="J34" s="479"/>
      <c r="K34" s="482"/>
      <c r="L34" s="377"/>
      <c r="M34" s="377"/>
      <c r="N34" s="299" t="s">
        <v>459</v>
      </c>
      <c r="O34" s="375"/>
      <c r="P34" s="292">
        <v>1878.3</v>
      </c>
      <c r="Q34" s="293" t="s">
        <v>457</v>
      </c>
      <c r="R34" s="294"/>
      <c r="S34" s="292"/>
      <c r="T34" s="292"/>
      <c r="U34" s="376"/>
      <c r="V34" s="485"/>
      <c r="W34" s="379"/>
      <c r="X34" s="2">
        <v>56</v>
      </c>
    </row>
    <row r="35" spans="1:24" x14ac:dyDescent="0.25">
      <c r="A35" s="374"/>
      <c r="B35" s="377"/>
      <c r="C35" s="377"/>
      <c r="D35" s="377"/>
      <c r="E35" s="377"/>
      <c r="F35" s="375"/>
      <c r="G35" s="477"/>
      <c r="H35" s="376"/>
      <c r="I35" s="383"/>
      <c r="J35" s="479"/>
      <c r="K35" s="482"/>
      <c r="L35" s="377"/>
      <c r="M35" s="377"/>
      <c r="N35" s="299" t="s">
        <v>470</v>
      </c>
      <c r="O35" s="375"/>
      <c r="P35" s="292">
        <v>1878.3</v>
      </c>
      <c r="Q35" s="293" t="s">
        <v>507</v>
      </c>
      <c r="R35" s="294"/>
      <c r="S35" s="292"/>
      <c r="T35" s="292"/>
      <c r="U35" s="376"/>
      <c r="V35" s="485"/>
      <c r="W35" s="379"/>
      <c r="X35" s="2">
        <v>56</v>
      </c>
    </row>
    <row r="36" spans="1:24" x14ac:dyDescent="0.25">
      <c r="A36" s="374"/>
      <c r="B36" s="377"/>
      <c r="C36" s="377"/>
      <c r="D36" s="377"/>
      <c r="E36" s="377"/>
      <c r="F36" s="375"/>
      <c r="G36" s="477"/>
      <c r="H36" s="376"/>
      <c r="I36" s="383"/>
      <c r="J36" s="479"/>
      <c r="K36" s="482"/>
      <c r="L36" s="377"/>
      <c r="M36" s="377"/>
      <c r="N36" s="299" t="s">
        <v>562</v>
      </c>
      <c r="O36" s="375"/>
      <c r="P36" s="292">
        <v>1085.24</v>
      </c>
      <c r="Q36" s="293" t="s">
        <v>564</v>
      </c>
      <c r="R36" s="294"/>
      <c r="S36" s="292"/>
      <c r="T36" s="292"/>
      <c r="U36" s="376"/>
      <c r="V36" s="485"/>
      <c r="W36" s="379"/>
      <c r="X36" s="2">
        <v>56</v>
      </c>
    </row>
    <row r="37" spans="1:24" x14ac:dyDescent="0.25">
      <c r="A37" s="374"/>
      <c r="B37" s="377"/>
      <c r="C37" s="377"/>
      <c r="D37" s="377"/>
      <c r="E37" s="377"/>
      <c r="F37" s="375"/>
      <c r="G37" s="477"/>
      <c r="H37" s="376"/>
      <c r="I37" s="383"/>
      <c r="J37" s="479"/>
      <c r="K37" s="482"/>
      <c r="L37" s="377"/>
      <c r="M37" s="377"/>
      <c r="N37" s="299" t="s">
        <v>602</v>
      </c>
      <c r="O37" s="375"/>
      <c r="P37" s="292">
        <v>459.14</v>
      </c>
      <c r="Q37" s="293" t="s">
        <v>605</v>
      </c>
      <c r="R37" s="294"/>
      <c r="S37" s="292"/>
      <c r="T37" s="292"/>
      <c r="U37" s="376"/>
      <c r="V37" s="485"/>
      <c r="W37" s="379"/>
      <c r="X37" s="2">
        <v>56</v>
      </c>
    </row>
    <row r="38" spans="1:24" s="280" customFormat="1" x14ac:dyDescent="0.25">
      <c r="A38" s="359"/>
      <c r="B38" s="365"/>
      <c r="C38" s="365"/>
      <c r="D38" s="365"/>
      <c r="E38" s="365"/>
      <c r="F38" s="361"/>
      <c r="G38" s="371"/>
      <c r="H38" s="363"/>
      <c r="I38" s="373"/>
      <c r="J38" s="480"/>
      <c r="K38" s="483"/>
      <c r="L38" s="365"/>
      <c r="M38" s="365"/>
      <c r="N38" s="300" t="s">
        <v>606</v>
      </c>
      <c r="O38" s="361"/>
      <c r="P38" s="295">
        <v>1293.94</v>
      </c>
      <c r="Q38" s="296" t="s">
        <v>648</v>
      </c>
      <c r="R38" s="297"/>
      <c r="S38" s="295"/>
      <c r="T38" s="295"/>
      <c r="U38" s="363"/>
      <c r="V38" s="486"/>
      <c r="W38" s="369"/>
      <c r="X38" s="280">
        <v>56</v>
      </c>
    </row>
    <row r="39" spans="1:24" s="85" customFormat="1" ht="54" customHeight="1" x14ac:dyDescent="0.25">
      <c r="A39" s="358">
        <v>5</v>
      </c>
      <c r="B39" s="364" t="s">
        <v>56</v>
      </c>
      <c r="C39" s="364"/>
      <c r="D39" s="364"/>
      <c r="E39" s="364" t="s">
        <v>216</v>
      </c>
      <c r="F39" s="360" t="s">
        <v>217</v>
      </c>
      <c r="G39" s="370" t="s">
        <v>218</v>
      </c>
      <c r="H39" s="362">
        <v>45256.44</v>
      </c>
      <c r="I39" s="372">
        <f>IF(X39 = 57, H39 + SUM(S39:S46) - SUM(T39:T46) - SUM(P39:P46) - V39,0)</f>
        <v>15085.480000000007</v>
      </c>
      <c r="J39" s="478">
        <v>2308131994</v>
      </c>
      <c r="K39" s="481" t="s">
        <v>219</v>
      </c>
      <c r="L39" s="364"/>
      <c r="M39" s="368" t="s">
        <v>214</v>
      </c>
      <c r="N39" s="298" t="s">
        <v>307</v>
      </c>
      <c r="O39" s="360" t="s">
        <v>222</v>
      </c>
      <c r="P39" s="289">
        <v>3771.37</v>
      </c>
      <c r="Q39" s="290" t="s">
        <v>310</v>
      </c>
      <c r="R39" s="291"/>
      <c r="S39" s="289"/>
      <c r="T39" s="289"/>
      <c r="U39" s="362"/>
      <c r="V39" s="484"/>
      <c r="W39" s="368"/>
      <c r="X39" s="85">
        <v>57</v>
      </c>
    </row>
    <row r="40" spans="1:24" x14ac:dyDescent="0.25">
      <c r="A40" s="374"/>
      <c r="B40" s="377"/>
      <c r="C40" s="377"/>
      <c r="D40" s="377"/>
      <c r="E40" s="377"/>
      <c r="F40" s="375"/>
      <c r="G40" s="477"/>
      <c r="H40" s="376"/>
      <c r="I40" s="383"/>
      <c r="J40" s="479"/>
      <c r="K40" s="482"/>
      <c r="L40" s="377"/>
      <c r="M40" s="379"/>
      <c r="N40" s="299" t="s">
        <v>345</v>
      </c>
      <c r="O40" s="375"/>
      <c r="P40" s="292">
        <v>3771.37</v>
      </c>
      <c r="Q40" s="293" t="s">
        <v>310</v>
      </c>
      <c r="R40" s="294"/>
      <c r="S40" s="292"/>
      <c r="T40" s="292"/>
      <c r="U40" s="376"/>
      <c r="V40" s="485"/>
      <c r="W40" s="379"/>
      <c r="X40" s="2">
        <v>57</v>
      </c>
    </row>
    <row r="41" spans="1:24" x14ac:dyDescent="0.25">
      <c r="A41" s="374"/>
      <c r="B41" s="377"/>
      <c r="C41" s="377"/>
      <c r="D41" s="377"/>
      <c r="E41" s="377"/>
      <c r="F41" s="375"/>
      <c r="G41" s="477"/>
      <c r="H41" s="376"/>
      <c r="I41" s="383"/>
      <c r="J41" s="479"/>
      <c r="K41" s="482"/>
      <c r="L41" s="377"/>
      <c r="M41" s="379"/>
      <c r="N41" s="299" t="s">
        <v>371</v>
      </c>
      <c r="O41" s="375"/>
      <c r="P41" s="292">
        <v>3771.37</v>
      </c>
      <c r="Q41" s="293" t="s">
        <v>376</v>
      </c>
      <c r="R41" s="294"/>
      <c r="S41" s="292"/>
      <c r="T41" s="292"/>
      <c r="U41" s="376"/>
      <c r="V41" s="485"/>
      <c r="W41" s="379"/>
      <c r="X41" s="2">
        <v>57</v>
      </c>
    </row>
    <row r="42" spans="1:24" x14ac:dyDescent="0.25">
      <c r="A42" s="374"/>
      <c r="B42" s="377"/>
      <c r="C42" s="377"/>
      <c r="D42" s="377"/>
      <c r="E42" s="377"/>
      <c r="F42" s="375"/>
      <c r="G42" s="477"/>
      <c r="H42" s="376"/>
      <c r="I42" s="383"/>
      <c r="J42" s="479"/>
      <c r="K42" s="482"/>
      <c r="L42" s="377"/>
      <c r="M42" s="379"/>
      <c r="N42" s="299" t="s">
        <v>460</v>
      </c>
      <c r="O42" s="375"/>
      <c r="P42" s="292">
        <v>3771.37</v>
      </c>
      <c r="Q42" s="293" t="s">
        <v>457</v>
      </c>
      <c r="R42" s="294"/>
      <c r="S42" s="292"/>
      <c r="T42" s="292"/>
      <c r="U42" s="376"/>
      <c r="V42" s="485"/>
      <c r="W42" s="379"/>
      <c r="X42" s="2">
        <v>57</v>
      </c>
    </row>
    <row r="43" spans="1:24" x14ac:dyDescent="0.25">
      <c r="A43" s="374"/>
      <c r="B43" s="377"/>
      <c r="C43" s="377"/>
      <c r="D43" s="377"/>
      <c r="E43" s="377"/>
      <c r="F43" s="375"/>
      <c r="G43" s="477"/>
      <c r="H43" s="376"/>
      <c r="I43" s="383"/>
      <c r="J43" s="479"/>
      <c r="K43" s="482"/>
      <c r="L43" s="377"/>
      <c r="M43" s="379"/>
      <c r="N43" s="299" t="s">
        <v>470</v>
      </c>
      <c r="O43" s="375"/>
      <c r="P43" s="292">
        <v>3771.37</v>
      </c>
      <c r="Q43" s="293" t="s">
        <v>509</v>
      </c>
      <c r="R43" s="294"/>
      <c r="S43" s="292"/>
      <c r="T43" s="292"/>
      <c r="U43" s="376"/>
      <c r="V43" s="485"/>
      <c r="W43" s="379"/>
      <c r="X43" s="2">
        <v>57</v>
      </c>
    </row>
    <row r="44" spans="1:24" x14ac:dyDescent="0.25">
      <c r="A44" s="374"/>
      <c r="B44" s="377"/>
      <c r="C44" s="377"/>
      <c r="D44" s="377"/>
      <c r="E44" s="377"/>
      <c r="F44" s="375"/>
      <c r="G44" s="477"/>
      <c r="H44" s="376"/>
      <c r="I44" s="383"/>
      <c r="J44" s="479"/>
      <c r="K44" s="482"/>
      <c r="L44" s="377"/>
      <c r="M44" s="379"/>
      <c r="N44" s="299" t="s">
        <v>562</v>
      </c>
      <c r="O44" s="375"/>
      <c r="P44" s="292">
        <v>3771.37</v>
      </c>
      <c r="Q44" s="293" t="s">
        <v>564</v>
      </c>
      <c r="R44" s="294"/>
      <c r="S44" s="292"/>
      <c r="T44" s="292"/>
      <c r="U44" s="376"/>
      <c r="V44" s="485"/>
      <c r="W44" s="379"/>
      <c r="X44" s="2">
        <v>57</v>
      </c>
    </row>
    <row r="45" spans="1:24" x14ac:dyDescent="0.25">
      <c r="A45" s="374"/>
      <c r="B45" s="377"/>
      <c r="C45" s="377"/>
      <c r="D45" s="377"/>
      <c r="E45" s="377"/>
      <c r="F45" s="375"/>
      <c r="G45" s="477"/>
      <c r="H45" s="376"/>
      <c r="I45" s="383"/>
      <c r="J45" s="479"/>
      <c r="K45" s="482"/>
      <c r="L45" s="377"/>
      <c r="M45" s="379"/>
      <c r="N45" s="299" t="s">
        <v>602</v>
      </c>
      <c r="O45" s="375"/>
      <c r="P45" s="292">
        <v>3771.37</v>
      </c>
      <c r="Q45" s="293" t="s">
        <v>607</v>
      </c>
      <c r="R45" s="294"/>
      <c r="S45" s="292"/>
      <c r="T45" s="292"/>
      <c r="U45" s="376"/>
      <c r="V45" s="485"/>
      <c r="W45" s="379"/>
      <c r="X45" s="2">
        <v>57</v>
      </c>
    </row>
    <row r="46" spans="1:24" s="280" customFormat="1" x14ac:dyDescent="0.25">
      <c r="A46" s="359"/>
      <c r="B46" s="365"/>
      <c r="C46" s="365"/>
      <c r="D46" s="365"/>
      <c r="E46" s="365"/>
      <c r="F46" s="361"/>
      <c r="G46" s="371"/>
      <c r="H46" s="363"/>
      <c r="I46" s="373"/>
      <c r="J46" s="480"/>
      <c r="K46" s="483"/>
      <c r="L46" s="365"/>
      <c r="M46" s="369"/>
      <c r="N46" s="300" t="s">
        <v>606</v>
      </c>
      <c r="O46" s="361"/>
      <c r="P46" s="295">
        <v>3771.37</v>
      </c>
      <c r="Q46" s="296" t="s">
        <v>648</v>
      </c>
      <c r="R46" s="297"/>
      <c r="S46" s="295"/>
      <c r="T46" s="295"/>
      <c r="U46" s="363"/>
      <c r="V46" s="486"/>
      <c r="W46" s="369"/>
      <c r="X46" s="280">
        <v>57</v>
      </c>
    </row>
    <row r="47" spans="1:24" s="85" customFormat="1" ht="54" customHeight="1" x14ac:dyDescent="0.25">
      <c r="A47" s="358">
        <v>6</v>
      </c>
      <c r="B47" s="364" t="s">
        <v>56</v>
      </c>
      <c r="C47" s="364"/>
      <c r="D47" s="364"/>
      <c r="E47" s="364" t="s">
        <v>235</v>
      </c>
      <c r="F47" s="360" t="s">
        <v>217</v>
      </c>
      <c r="G47" s="370" t="s">
        <v>230</v>
      </c>
      <c r="H47" s="362">
        <v>460063</v>
      </c>
      <c r="I47" s="372">
        <f>IF(X47 = 58, H47 + SUM(S47:S71) - SUM(T47:T71) - SUM(P47:P71) - V47,0)</f>
        <v>51977.81</v>
      </c>
      <c r="J47" s="478">
        <v>2308119595</v>
      </c>
      <c r="K47" s="481" t="s">
        <v>146</v>
      </c>
      <c r="L47" s="364"/>
      <c r="M47" s="364" t="s">
        <v>214</v>
      </c>
      <c r="N47" s="298" t="s">
        <v>264</v>
      </c>
      <c r="O47" s="360" t="s">
        <v>231</v>
      </c>
      <c r="P47" s="289">
        <v>21504.21</v>
      </c>
      <c r="Q47" s="290" t="s">
        <v>263</v>
      </c>
      <c r="R47" s="291"/>
      <c r="S47" s="289"/>
      <c r="T47" s="289"/>
      <c r="U47" s="362"/>
      <c r="V47" s="484"/>
      <c r="W47" s="368"/>
      <c r="X47" s="85">
        <v>58</v>
      </c>
    </row>
    <row r="48" spans="1:24" x14ac:dyDescent="0.25">
      <c r="A48" s="374"/>
      <c r="B48" s="377"/>
      <c r="C48" s="377"/>
      <c r="D48" s="377"/>
      <c r="E48" s="377"/>
      <c r="F48" s="375"/>
      <c r="G48" s="477"/>
      <c r="H48" s="376"/>
      <c r="I48" s="383"/>
      <c r="J48" s="479"/>
      <c r="K48" s="482"/>
      <c r="L48" s="377"/>
      <c r="M48" s="377"/>
      <c r="N48" s="299" t="s">
        <v>267</v>
      </c>
      <c r="O48" s="375"/>
      <c r="P48" s="292">
        <v>17021.11</v>
      </c>
      <c r="Q48" s="293" t="s">
        <v>266</v>
      </c>
      <c r="R48" s="294"/>
      <c r="S48" s="292"/>
      <c r="T48" s="292"/>
      <c r="U48" s="376"/>
      <c r="V48" s="485"/>
      <c r="W48" s="379"/>
      <c r="X48" s="2">
        <v>58</v>
      </c>
    </row>
    <row r="49" spans="1:24" x14ac:dyDescent="0.25">
      <c r="A49" s="374"/>
      <c r="B49" s="377"/>
      <c r="C49" s="377"/>
      <c r="D49" s="377"/>
      <c r="E49" s="377"/>
      <c r="F49" s="375"/>
      <c r="G49" s="477"/>
      <c r="H49" s="376"/>
      <c r="I49" s="383"/>
      <c r="J49" s="479"/>
      <c r="K49" s="482"/>
      <c r="L49" s="377"/>
      <c r="M49" s="377"/>
      <c r="N49" s="299" t="s">
        <v>267</v>
      </c>
      <c r="O49" s="375"/>
      <c r="P49" s="292">
        <v>27235.8</v>
      </c>
      <c r="Q49" s="293" t="s">
        <v>266</v>
      </c>
      <c r="R49" s="294"/>
      <c r="S49" s="292"/>
      <c r="T49" s="292"/>
      <c r="U49" s="376"/>
      <c r="V49" s="485"/>
      <c r="W49" s="379"/>
      <c r="X49" s="2">
        <v>58</v>
      </c>
    </row>
    <row r="50" spans="1:24" x14ac:dyDescent="0.25">
      <c r="A50" s="374"/>
      <c r="B50" s="377"/>
      <c r="C50" s="377"/>
      <c r="D50" s="377"/>
      <c r="E50" s="377"/>
      <c r="F50" s="375"/>
      <c r="G50" s="477"/>
      <c r="H50" s="376"/>
      <c r="I50" s="383"/>
      <c r="J50" s="479"/>
      <c r="K50" s="482"/>
      <c r="L50" s="377"/>
      <c r="M50" s="377"/>
      <c r="N50" s="299" t="s">
        <v>304</v>
      </c>
      <c r="O50" s="375"/>
      <c r="P50" s="292">
        <v>20426.86</v>
      </c>
      <c r="Q50" s="293" t="s">
        <v>306</v>
      </c>
      <c r="R50" s="294"/>
      <c r="S50" s="292"/>
      <c r="T50" s="292"/>
      <c r="U50" s="376"/>
      <c r="V50" s="485"/>
      <c r="W50" s="379"/>
      <c r="X50" s="2">
        <v>58</v>
      </c>
    </row>
    <row r="51" spans="1:24" x14ac:dyDescent="0.25">
      <c r="A51" s="374"/>
      <c r="B51" s="377"/>
      <c r="C51" s="377"/>
      <c r="D51" s="377"/>
      <c r="E51" s="377"/>
      <c r="F51" s="375"/>
      <c r="G51" s="477"/>
      <c r="H51" s="376"/>
      <c r="I51" s="383"/>
      <c r="J51" s="479"/>
      <c r="K51" s="482"/>
      <c r="L51" s="377"/>
      <c r="M51" s="377"/>
      <c r="N51" s="299" t="s">
        <v>307</v>
      </c>
      <c r="O51" s="375"/>
      <c r="P51" s="292">
        <v>38404.03</v>
      </c>
      <c r="Q51" s="293" t="s">
        <v>315</v>
      </c>
      <c r="R51" s="294"/>
      <c r="S51" s="292"/>
      <c r="T51" s="292"/>
      <c r="U51" s="376"/>
      <c r="V51" s="485"/>
      <c r="W51" s="379"/>
      <c r="X51" s="2">
        <v>58</v>
      </c>
    </row>
    <row r="52" spans="1:24" x14ac:dyDescent="0.25">
      <c r="A52" s="374"/>
      <c r="B52" s="377"/>
      <c r="C52" s="377"/>
      <c r="D52" s="377"/>
      <c r="E52" s="377"/>
      <c r="F52" s="375"/>
      <c r="G52" s="477"/>
      <c r="H52" s="376"/>
      <c r="I52" s="383"/>
      <c r="J52" s="479"/>
      <c r="K52" s="482"/>
      <c r="L52" s="377"/>
      <c r="M52" s="377"/>
      <c r="N52" s="299" t="s">
        <v>304</v>
      </c>
      <c r="O52" s="375"/>
      <c r="P52" s="292">
        <v>36412.379999999997</v>
      </c>
      <c r="Q52" s="293" t="s">
        <v>315</v>
      </c>
      <c r="R52" s="294"/>
      <c r="S52" s="292"/>
      <c r="T52" s="292"/>
      <c r="U52" s="376"/>
      <c r="V52" s="485"/>
      <c r="W52" s="379"/>
      <c r="X52" s="2">
        <v>58</v>
      </c>
    </row>
    <row r="53" spans="1:24" x14ac:dyDescent="0.25">
      <c r="A53" s="374"/>
      <c r="B53" s="377"/>
      <c r="C53" s="377"/>
      <c r="D53" s="377"/>
      <c r="E53" s="377"/>
      <c r="F53" s="375"/>
      <c r="G53" s="477"/>
      <c r="H53" s="376"/>
      <c r="I53" s="383"/>
      <c r="J53" s="479"/>
      <c r="K53" s="482"/>
      <c r="L53" s="377"/>
      <c r="M53" s="377"/>
      <c r="N53" s="299" t="s">
        <v>344</v>
      </c>
      <c r="O53" s="375"/>
      <c r="P53" s="292">
        <v>27309.29</v>
      </c>
      <c r="Q53" s="293" t="s">
        <v>344</v>
      </c>
      <c r="R53" s="294"/>
      <c r="S53" s="292"/>
      <c r="T53" s="292"/>
      <c r="U53" s="376"/>
      <c r="V53" s="485"/>
      <c r="W53" s="379"/>
      <c r="X53" s="2">
        <v>58</v>
      </c>
    </row>
    <row r="54" spans="1:24" x14ac:dyDescent="0.25">
      <c r="A54" s="374"/>
      <c r="B54" s="377"/>
      <c r="C54" s="377"/>
      <c r="D54" s="377"/>
      <c r="E54" s="377"/>
      <c r="F54" s="375"/>
      <c r="G54" s="477"/>
      <c r="H54" s="376"/>
      <c r="I54" s="383"/>
      <c r="J54" s="479"/>
      <c r="K54" s="482"/>
      <c r="L54" s="377"/>
      <c r="M54" s="377"/>
      <c r="N54" s="299" t="s">
        <v>345</v>
      </c>
      <c r="O54" s="375"/>
      <c r="P54" s="292">
        <v>6478.89</v>
      </c>
      <c r="Q54" s="293" t="s">
        <v>350</v>
      </c>
      <c r="R54" s="294"/>
      <c r="S54" s="292"/>
      <c r="T54" s="292"/>
      <c r="U54" s="376"/>
      <c r="V54" s="485"/>
      <c r="W54" s="379"/>
      <c r="X54" s="2">
        <v>58</v>
      </c>
    </row>
    <row r="55" spans="1:24" x14ac:dyDescent="0.25">
      <c r="A55" s="374"/>
      <c r="B55" s="377"/>
      <c r="C55" s="377"/>
      <c r="D55" s="377"/>
      <c r="E55" s="377"/>
      <c r="F55" s="375"/>
      <c r="G55" s="477"/>
      <c r="H55" s="376"/>
      <c r="I55" s="383"/>
      <c r="J55" s="479"/>
      <c r="K55" s="482"/>
      <c r="L55" s="377"/>
      <c r="M55" s="377"/>
      <c r="N55" s="299" t="s">
        <v>344</v>
      </c>
      <c r="O55" s="375"/>
      <c r="P55" s="292">
        <v>27893.33</v>
      </c>
      <c r="Q55" s="293" t="s">
        <v>350</v>
      </c>
      <c r="R55" s="294"/>
      <c r="S55" s="292"/>
      <c r="T55" s="292"/>
      <c r="U55" s="376"/>
      <c r="V55" s="485"/>
      <c r="W55" s="379"/>
      <c r="X55" s="2">
        <v>58</v>
      </c>
    </row>
    <row r="56" spans="1:24" x14ac:dyDescent="0.25">
      <c r="A56" s="374"/>
      <c r="B56" s="377"/>
      <c r="C56" s="377"/>
      <c r="D56" s="377"/>
      <c r="E56" s="377"/>
      <c r="F56" s="375"/>
      <c r="G56" s="477"/>
      <c r="H56" s="376"/>
      <c r="I56" s="383"/>
      <c r="J56" s="479"/>
      <c r="K56" s="482"/>
      <c r="L56" s="377"/>
      <c r="M56" s="377"/>
      <c r="N56" s="299" t="s">
        <v>373</v>
      </c>
      <c r="O56" s="375"/>
      <c r="P56" s="292">
        <v>20920</v>
      </c>
      <c r="Q56" s="293" t="s">
        <v>372</v>
      </c>
      <c r="R56" s="294"/>
      <c r="S56" s="292"/>
      <c r="T56" s="292"/>
      <c r="U56" s="376"/>
      <c r="V56" s="485"/>
      <c r="W56" s="379"/>
      <c r="X56" s="2">
        <v>58</v>
      </c>
    </row>
    <row r="57" spans="1:24" x14ac:dyDescent="0.25">
      <c r="A57" s="374"/>
      <c r="B57" s="377"/>
      <c r="C57" s="377"/>
      <c r="D57" s="377"/>
      <c r="E57" s="377"/>
      <c r="F57" s="375"/>
      <c r="G57" s="477"/>
      <c r="H57" s="376"/>
      <c r="I57" s="383"/>
      <c r="J57" s="479"/>
      <c r="K57" s="482"/>
      <c r="L57" s="377"/>
      <c r="M57" s="377"/>
      <c r="N57" s="299" t="s">
        <v>371</v>
      </c>
      <c r="O57" s="375"/>
      <c r="P57" s="292">
        <v>270</v>
      </c>
      <c r="Q57" s="293" t="s">
        <v>380</v>
      </c>
      <c r="R57" s="294"/>
      <c r="S57" s="292"/>
      <c r="T57" s="292"/>
      <c r="U57" s="376"/>
      <c r="V57" s="485"/>
      <c r="W57" s="379"/>
      <c r="X57" s="2">
        <v>58</v>
      </c>
    </row>
    <row r="58" spans="1:24" x14ac:dyDescent="0.25">
      <c r="A58" s="374"/>
      <c r="B58" s="377"/>
      <c r="C58" s="377"/>
      <c r="D58" s="377"/>
      <c r="E58" s="377"/>
      <c r="F58" s="375"/>
      <c r="G58" s="477"/>
      <c r="H58" s="376"/>
      <c r="I58" s="383"/>
      <c r="J58" s="479"/>
      <c r="K58" s="482"/>
      <c r="L58" s="377"/>
      <c r="M58" s="377"/>
      <c r="N58" s="299" t="s">
        <v>373</v>
      </c>
      <c r="O58" s="375"/>
      <c r="P58" s="292">
        <v>15341.44</v>
      </c>
      <c r="Q58" s="293" t="s">
        <v>380</v>
      </c>
      <c r="R58" s="294"/>
      <c r="S58" s="292"/>
      <c r="T58" s="292"/>
      <c r="U58" s="376"/>
      <c r="V58" s="485"/>
      <c r="W58" s="379"/>
      <c r="X58" s="2">
        <v>58</v>
      </c>
    </row>
    <row r="59" spans="1:24" x14ac:dyDescent="0.25">
      <c r="A59" s="374"/>
      <c r="B59" s="377"/>
      <c r="C59" s="377"/>
      <c r="D59" s="377"/>
      <c r="E59" s="377"/>
      <c r="F59" s="375"/>
      <c r="G59" s="477"/>
      <c r="H59" s="376"/>
      <c r="I59" s="383"/>
      <c r="J59" s="479"/>
      <c r="K59" s="482"/>
      <c r="L59" s="377"/>
      <c r="M59" s="377"/>
      <c r="N59" s="299" t="s">
        <v>456</v>
      </c>
      <c r="O59" s="375"/>
      <c r="P59" s="292">
        <v>11506.08</v>
      </c>
      <c r="Q59" s="293" t="s">
        <v>455</v>
      </c>
      <c r="R59" s="294"/>
      <c r="S59" s="292"/>
      <c r="T59" s="292"/>
      <c r="U59" s="376"/>
      <c r="V59" s="485"/>
      <c r="W59" s="379"/>
      <c r="X59" s="2">
        <v>58</v>
      </c>
    </row>
    <row r="60" spans="1:24" x14ac:dyDescent="0.25">
      <c r="A60" s="374"/>
      <c r="B60" s="377"/>
      <c r="C60" s="377"/>
      <c r="D60" s="377"/>
      <c r="E60" s="377"/>
      <c r="F60" s="375"/>
      <c r="G60" s="477"/>
      <c r="H60" s="376"/>
      <c r="I60" s="383"/>
      <c r="J60" s="479"/>
      <c r="K60" s="482"/>
      <c r="L60" s="377"/>
      <c r="M60" s="377"/>
      <c r="N60" s="299" t="s">
        <v>460</v>
      </c>
      <c r="O60" s="375"/>
      <c r="P60" s="292">
        <v>1168</v>
      </c>
      <c r="Q60" s="293" t="s">
        <v>465</v>
      </c>
      <c r="R60" s="294"/>
      <c r="S60" s="292"/>
      <c r="T60" s="292"/>
      <c r="U60" s="376"/>
      <c r="V60" s="485"/>
      <c r="W60" s="379"/>
      <c r="X60" s="2">
        <v>58</v>
      </c>
    </row>
    <row r="61" spans="1:24" x14ac:dyDescent="0.25">
      <c r="A61" s="374"/>
      <c r="B61" s="377"/>
      <c r="C61" s="377"/>
      <c r="D61" s="377"/>
      <c r="E61" s="377"/>
      <c r="F61" s="375"/>
      <c r="G61" s="477"/>
      <c r="H61" s="376"/>
      <c r="I61" s="383"/>
      <c r="J61" s="479"/>
      <c r="K61" s="482"/>
      <c r="L61" s="377"/>
      <c r="M61" s="377"/>
      <c r="N61" s="299" t="s">
        <v>456</v>
      </c>
      <c r="O61" s="375"/>
      <c r="P61" s="292">
        <v>23631.14</v>
      </c>
      <c r="Q61" s="293" t="s">
        <v>465</v>
      </c>
      <c r="R61" s="294"/>
      <c r="S61" s="292"/>
      <c r="T61" s="292"/>
      <c r="U61" s="376"/>
      <c r="V61" s="485"/>
      <c r="W61" s="379"/>
      <c r="X61" s="2">
        <v>58</v>
      </c>
    </row>
    <row r="62" spans="1:24" x14ac:dyDescent="0.25">
      <c r="A62" s="374"/>
      <c r="B62" s="377"/>
      <c r="C62" s="377"/>
      <c r="D62" s="377"/>
      <c r="E62" s="377"/>
      <c r="F62" s="375"/>
      <c r="G62" s="477"/>
      <c r="H62" s="376"/>
      <c r="I62" s="383"/>
      <c r="J62" s="479"/>
      <c r="K62" s="482"/>
      <c r="L62" s="377"/>
      <c r="M62" s="377"/>
      <c r="N62" s="299" t="s">
        <v>505</v>
      </c>
      <c r="O62" s="375"/>
      <c r="P62" s="292">
        <v>17925.849999999999</v>
      </c>
      <c r="Q62" s="293" t="s">
        <v>508</v>
      </c>
      <c r="R62" s="294"/>
      <c r="S62" s="292"/>
      <c r="T62" s="292"/>
      <c r="U62" s="376"/>
      <c r="V62" s="485"/>
      <c r="W62" s="379"/>
      <c r="X62" s="2">
        <v>58</v>
      </c>
    </row>
    <row r="63" spans="1:24" x14ac:dyDescent="0.25">
      <c r="A63" s="374"/>
      <c r="B63" s="377"/>
      <c r="C63" s="377"/>
      <c r="D63" s="377"/>
      <c r="E63" s="377"/>
      <c r="F63" s="375"/>
      <c r="G63" s="477"/>
      <c r="H63" s="376"/>
      <c r="I63" s="383"/>
      <c r="J63" s="479"/>
      <c r="K63" s="482"/>
      <c r="L63" s="377"/>
      <c r="M63" s="377"/>
      <c r="N63" s="299" t="s">
        <v>470</v>
      </c>
      <c r="O63" s="375"/>
      <c r="P63" s="292">
        <v>11711.04</v>
      </c>
      <c r="Q63" s="293" t="s">
        <v>511</v>
      </c>
      <c r="R63" s="294"/>
      <c r="S63" s="292"/>
      <c r="T63" s="292"/>
      <c r="U63" s="376"/>
      <c r="V63" s="485"/>
      <c r="W63" s="379"/>
      <c r="X63" s="2">
        <v>58</v>
      </c>
    </row>
    <row r="64" spans="1:24" x14ac:dyDescent="0.25">
      <c r="A64" s="374"/>
      <c r="B64" s="377"/>
      <c r="C64" s="377"/>
      <c r="D64" s="377"/>
      <c r="E64" s="377"/>
      <c r="F64" s="375"/>
      <c r="G64" s="477"/>
      <c r="H64" s="376"/>
      <c r="I64" s="383"/>
      <c r="J64" s="479"/>
      <c r="K64" s="482"/>
      <c r="L64" s="377"/>
      <c r="M64" s="377"/>
      <c r="N64" s="299" t="s">
        <v>505</v>
      </c>
      <c r="O64" s="375"/>
      <c r="P64" s="292">
        <v>20769.71</v>
      </c>
      <c r="Q64" s="293" t="s">
        <v>511</v>
      </c>
      <c r="R64" s="294"/>
      <c r="S64" s="292"/>
      <c r="T64" s="292"/>
      <c r="U64" s="376"/>
      <c r="V64" s="485"/>
      <c r="W64" s="379"/>
      <c r="X64" s="2">
        <v>58</v>
      </c>
    </row>
    <row r="65" spans="1:24" x14ac:dyDescent="0.25">
      <c r="A65" s="374"/>
      <c r="B65" s="377"/>
      <c r="C65" s="377"/>
      <c r="D65" s="377"/>
      <c r="E65" s="377"/>
      <c r="F65" s="375"/>
      <c r="G65" s="477"/>
      <c r="H65" s="376"/>
      <c r="I65" s="383"/>
      <c r="J65" s="479"/>
      <c r="K65" s="482"/>
      <c r="L65" s="377"/>
      <c r="M65" s="377"/>
      <c r="N65" s="299" t="s">
        <v>470</v>
      </c>
      <c r="O65" s="375"/>
      <c r="P65" s="292">
        <v>270</v>
      </c>
      <c r="Q65" s="293" t="s">
        <v>512</v>
      </c>
      <c r="R65" s="294"/>
      <c r="S65" s="292"/>
      <c r="T65" s="292"/>
      <c r="U65" s="376"/>
      <c r="V65" s="485"/>
      <c r="W65" s="379"/>
      <c r="X65" s="2">
        <v>58</v>
      </c>
    </row>
    <row r="66" spans="1:24" x14ac:dyDescent="0.25">
      <c r="A66" s="374"/>
      <c r="B66" s="377"/>
      <c r="C66" s="377"/>
      <c r="D66" s="377"/>
      <c r="E66" s="377"/>
      <c r="F66" s="375"/>
      <c r="G66" s="477"/>
      <c r="H66" s="376"/>
      <c r="I66" s="383"/>
      <c r="J66" s="479"/>
      <c r="K66" s="482"/>
      <c r="L66" s="377"/>
      <c r="M66" s="377"/>
      <c r="N66" s="299" t="s">
        <v>565</v>
      </c>
      <c r="O66" s="375"/>
      <c r="P66" s="292">
        <v>15577.28</v>
      </c>
      <c r="Q66" s="293" t="s">
        <v>564</v>
      </c>
      <c r="R66" s="294"/>
      <c r="S66" s="292"/>
      <c r="T66" s="292"/>
      <c r="U66" s="376"/>
      <c r="V66" s="485"/>
      <c r="W66" s="379"/>
      <c r="X66" s="2">
        <v>58</v>
      </c>
    </row>
    <row r="67" spans="1:24" x14ac:dyDescent="0.25">
      <c r="A67" s="374"/>
      <c r="B67" s="377"/>
      <c r="C67" s="377"/>
      <c r="D67" s="377"/>
      <c r="E67" s="377"/>
      <c r="F67" s="375"/>
      <c r="G67" s="477"/>
      <c r="H67" s="376"/>
      <c r="I67" s="383"/>
      <c r="J67" s="479"/>
      <c r="K67" s="482"/>
      <c r="L67" s="377"/>
      <c r="M67" s="377"/>
      <c r="N67" s="299" t="s">
        <v>565</v>
      </c>
      <c r="O67" s="375"/>
      <c r="P67" s="292">
        <v>14004.55</v>
      </c>
      <c r="Q67" s="293" t="s">
        <v>566</v>
      </c>
      <c r="R67" s="294"/>
      <c r="S67" s="292"/>
      <c r="T67" s="292"/>
      <c r="U67" s="376"/>
      <c r="V67" s="485"/>
      <c r="W67" s="379"/>
      <c r="X67" s="2">
        <v>58</v>
      </c>
    </row>
    <row r="68" spans="1:24" x14ac:dyDescent="0.25">
      <c r="A68" s="374"/>
      <c r="B68" s="377"/>
      <c r="C68" s="377"/>
      <c r="D68" s="377"/>
      <c r="E68" s="377"/>
      <c r="F68" s="375"/>
      <c r="G68" s="477"/>
      <c r="H68" s="376"/>
      <c r="I68" s="383"/>
      <c r="J68" s="479"/>
      <c r="K68" s="482"/>
      <c r="L68" s="377"/>
      <c r="M68" s="377"/>
      <c r="N68" s="299" t="s">
        <v>608</v>
      </c>
      <c r="O68" s="375"/>
      <c r="P68" s="292">
        <v>10503.42</v>
      </c>
      <c r="Q68" s="293" t="s">
        <v>605</v>
      </c>
      <c r="R68" s="294"/>
      <c r="S68" s="292"/>
      <c r="T68" s="292"/>
      <c r="U68" s="376"/>
      <c r="V68" s="485"/>
      <c r="W68" s="379"/>
      <c r="X68" s="2">
        <v>58</v>
      </c>
    </row>
    <row r="69" spans="1:24" x14ac:dyDescent="0.25">
      <c r="A69" s="374"/>
      <c r="B69" s="377"/>
      <c r="C69" s="377"/>
      <c r="D69" s="377"/>
      <c r="E69" s="377"/>
      <c r="F69" s="375"/>
      <c r="G69" s="477"/>
      <c r="H69" s="376"/>
      <c r="I69" s="383"/>
      <c r="J69" s="479"/>
      <c r="K69" s="482"/>
      <c r="L69" s="377"/>
      <c r="M69" s="377"/>
      <c r="N69" s="299" t="s">
        <v>608</v>
      </c>
      <c r="O69" s="375"/>
      <c r="P69" s="292">
        <v>7509.07</v>
      </c>
      <c r="Q69" s="293" t="s">
        <v>612</v>
      </c>
      <c r="R69" s="294"/>
      <c r="S69" s="292"/>
      <c r="T69" s="292"/>
      <c r="U69" s="376"/>
      <c r="V69" s="485"/>
      <c r="W69" s="379"/>
      <c r="X69" s="2">
        <v>58</v>
      </c>
    </row>
    <row r="70" spans="1:24" s="280" customFormat="1" x14ac:dyDescent="0.25">
      <c r="A70" s="374"/>
      <c r="B70" s="377"/>
      <c r="C70" s="377"/>
      <c r="D70" s="377"/>
      <c r="E70" s="377"/>
      <c r="F70" s="375"/>
      <c r="G70" s="477"/>
      <c r="H70" s="376"/>
      <c r="I70" s="383"/>
      <c r="J70" s="479"/>
      <c r="K70" s="482"/>
      <c r="L70" s="377"/>
      <c r="M70" s="377"/>
      <c r="N70" s="301" t="s">
        <v>644</v>
      </c>
      <c r="O70" s="375"/>
      <c r="P70" s="302">
        <v>5631.8</v>
      </c>
      <c r="Q70" s="303" t="s">
        <v>644</v>
      </c>
      <c r="R70" s="304"/>
      <c r="S70" s="302"/>
      <c r="T70" s="302"/>
      <c r="U70" s="376"/>
      <c r="V70" s="485"/>
      <c r="W70" s="379"/>
      <c r="X70" s="280">
        <v>58</v>
      </c>
    </row>
    <row r="71" spans="1:24" s="280" customFormat="1" x14ac:dyDescent="0.25">
      <c r="A71" s="359"/>
      <c r="B71" s="365"/>
      <c r="C71" s="365"/>
      <c r="D71" s="365"/>
      <c r="E71" s="365"/>
      <c r="F71" s="361"/>
      <c r="G71" s="371"/>
      <c r="H71" s="363"/>
      <c r="I71" s="373"/>
      <c r="J71" s="480"/>
      <c r="K71" s="483"/>
      <c r="L71" s="365"/>
      <c r="M71" s="365"/>
      <c r="N71" s="300" t="s">
        <v>644</v>
      </c>
      <c r="O71" s="361"/>
      <c r="P71" s="295">
        <v>8659.91</v>
      </c>
      <c r="Q71" s="296" t="s">
        <v>651</v>
      </c>
      <c r="R71" s="297"/>
      <c r="S71" s="295"/>
      <c r="T71" s="295"/>
      <c r="U71" s="363"/>
      <c r="V71" s="486"/>
      <c r="W71" s="369"/>
      <c r="X71" s="280">
        <v>58</v>
      </c>
    </row>
    <row r="72" spans="1:24" s="85" customFormat="1" ht="54" customHeight="1" x14ac:dyDescent="0.25">
      <c r="A72" s="358">
        <v>7</v>
      </c>
      <c r="B72" s="364" t="s">
        <v>56</v>
      </c>
      <c r="C72" s="364"/>
      <c r="D72" s="364"/>
      <c r="E72" s="364" t="s">
        <v>233</v>
      </c>
      <c r="F72" s="360" t="s">
        <v>217</v>
      </c>
      <c r="G72" s="370" t="s">
        <v>232</v>
      </c>
      <c r="H72" s="362">
        <v>27331.200000000001</v>
      </c>
      <c r="I72" s="372">
        <f>IF(X72 = 59, H72 + SUM(S72:S79) - SUM(T72:T79) - SUM(P72:P79) - V72,0)</f>
        <v>9110.4000000000015</v>
      </c>
      <c r="J72" s="478">
        <v>2310163739</v>
      </c>
      <c r="K72" s="481" t="s">
        <v>151</v>
      </c>
      <c r="L72" s="364"/>
      <c r="M72" s="364" t="s">
        <v>214</v>
      </c>
      <c r="N72" s="298" t="s">
        <v>314</v>
      </c>
      <c r="O72" s="360" t="s">
        <v>234</v>
      </c>
      <c r="P72" s="289">
        <v>2277.6</v>
      </c>
      <c r="Q72" s="290" t="s">
        <v>317</v>
      </c>
      <c r="R72" s="291"/>
      <c r="S72" s="289"/>
      <c r="T72" s="289"/>
      <c r="U72" s="362"/>
      <c r="V72" s="484"/>
      <c r="W72" s="368"/>
      <c r="X72" s="85">
        <v>59</v>
      </c>
    </row>
    <row r="73" spans="1:24" x14ac:dyDescent="0.25">
      <c r="A73" s="374"/>
      <c r="B73" s="377"/>
      <c r="C73" s="377"/>
      <c r="D73" s="377"/>
      <c r="E73" s="377"/>
      <c r="F73" s="375"/>
      <c r="G73" s="477"/>
      <c r="H73" s="376"/>
      <c r="I73" s="383"/>
      <c r="J73" s="479"/>
      <c r="K73" s="482"/>
      <c r="L73" s="377"/>
      <c r="M73" s="377"/>
      <c r="N73" s="299" t="s">
        <v>345</v>
      </c>
      <c r="O73" s="375"/>
      <c r="P73" s="292">
        <v>2277.6</v>
      </c>
      <c r="Q73" s="293" t="s">
        <v>344</v>
      </c>
      <c r="R73" s="294"/>
      <c r="S73" s="292"/>
      <c r="T73" s="292"/>
      <c r="U73" s="376"/>
      <c r="V73" s="485"/>
      <c r="W73" s="379"/>
      <c r="X73" s="2">
        <v>59</v>
      </c>
    </row>
    <row r="74" spans="1:24" x14ac:dyDescent="0.25">
      <c r="A74" s="374"/>
      <c r="B74" s="377"/>
      <c r="C74" s="377"/>
      <c r="D74" s="377"/>
      <c r="E74" s="377"/>
      <c r="F74" s="375"/>
      <c r="G74" s="477"/>
      <c r="H74" s="376"/>
      <c r="I74" s="383"/>
      <c r="J74" s="479"/>
      <c r="K74" s="482"/>
      <c r="L74" s="377"/>
      <c r="M74" s="377"/>
      <c r="N74" s="299" t="s">
        <v>371</v>
      </c>
      <c r="O74" s="375"/>
      <c r="P74" s="292">
        <v>2277.6</v>
      </c>
      <c r="Q74" s="293" t="s">
        <v>372</v>
      </c>
      <c r="R74" s="294"/>
      <c r="S74" s="292"/>
      <c r="T74" s="292"/>
      <c r="U74" s="376"/>
      <c r="V74" s="485"/>
      <c r="W74" s="379"/>
      <c r="X74" s="2">
        <v>59</v>
      </c>
    </row>
    <row r="75" spans="1:24" x14ac:dyDescent="0.25">
      <c r="A75" s="374"/>
      <c r="B75" s="377"/>
      <c r="C75" s="377"/>
      <c r="D75" s="377"/>
      <c r="E75" s="377"/>
      <c r="F75" s="375"/>
      <c r="G75" s="477"/>
      <c r="H75" s="376"/>
      <c r="I75" s="383"/>
      <c r="J75" s="479"/>
      <c r="K75" s="482"/>
      <c r="L75" s="377"/>
      <c r="M75" s="377"/>
      <c r="N75" s="299" t="s">
        <v>459</v>
      </c>
      <c r="O75" s="375"/>
      <c r="P75" s="292">
        <v>2277.6</v>
      </c>
      <c r="Q75" s="293" t="s">
        <v>457</v>
      </c>
      <c r="R75" s="294"/>
      <c r="S75" s="292"/>
      <c r="T75" s="292"/>
      <c r="U75" s="376"/>
      <c r="V75" s="485"/>
      <c r="W75" s="379"/>
      <c r="X75" s="2">
        <v>59</v>
      </c>
    </row>
    <row r="76" spans="1:24" x14ac:dyDescent="0.25">
      <c r="A76" s="374"/>
      <c r="B76" s="377"/>
      <c r="C76" s="377"/>
      <c r="D76" s="377"/>
      <c r="E76" s="377"/>
      <c r="F76" s="375"/>
      <c r="G76" s="477"/>
      <c r="H76" s="376"/>
      <c r="I76" s="383"/>
      <c r="J76" s="479"/>
      <c r="K76" s="482"/>
      <c r="L76" s="377"/>
      <c r="M76" s="377"/>
      <c r="N76" s="299" t="s">
        <v>470</v>
      </c>
      <c r="O76" s="375"/>
      <c r="P76" s="292">
        <v>2277.6</v>
      </c>
      <c r="Q76" s="293" t="s">
        <v>510</v>
      </c>
      <c r="R76" s="294"/>
      <c r="S76" s="292"/>
      <c r="T76" s="292"/>
      <c r="U76" s="376"/>
      <c r="V76" s="485"/>
      <c r="W76" s="379"/>
      <c r="X76" s="2">
        <v>59</v>
      </c>
    </row>
    <row r="77" spans="1:24" x14ac:dyDescent="0.25">
      <c r="A77" s="374"/>
      <c r="B77" s="377"/>
      <c r="C77" s="377"/>
      <c r="D77" s="377"/>
      <c r="E77" s="377"/>
      <c r="F77" s="375"/>
      <c r="G77" s="477"/>
      <c r="H77" s="376"/>
      <c r="I77" s="383"/>
      <c r="J77" s="479"/>
      <c r="K77" s="482"/>
      <c r="L77" s="377"/>
      <c r="M77" s="377"/>
      <c r="N77" s="299" t="s">
        <v>562</v>
      </c>
      <c r="O77" s="375"/>
      <c r="P77" s="292">
        <v>2277.6</v>
      </c>
      <c r="Q77" s="293" t="s">
        <v>564</v>
      </c>
      <c r="R77" s="294"/>
      <c r="S77" s="292"/>
      <c r="T77" s="292"/>
      <c r="U77" s="376"/>
      <c r="V77" s="485"/>
      <c r="W77" s="379"/>
      <c r="X77" s="2">
        <v>59</v>
      </c>
    </row>
    <row r="78" spans="1:24" x14ac:dyDescent="0.25">
      <c r="A78" s="374"/>
      <c r="B78" s="377"/>
      <c r="C78" s="377"/>
      <c r="D78" s="377"/>
      <c r="E78" s="377"/>
      <c r="F78" s="375"/>
      <c r="G78" s="477"/>
      <c r="H78" s="376"/>
      <c r="I78" s="383"/>
      <c r="J78" s="479"/>
      <c r="K78" s="482"/>
      <c r="L78" s="377"/>
      <c r="M78" s="377"/>
      <c r="N78" s="299" t="s">
        <v>602</v>
      </c>
      <c r="O78" s="375"/>
      <c r="P78" s="292">
        <v>2277.6</v>
      </c>
      <c r="Q78" s="293" t="s">
        <v>605</v>
      </c>
      <c r="R78" s="294"/>
      <c r="S78" s="292"/>
      <c r="T78" s="292"/>
      <c r="U78" s="376"/>
      <c r="V78" s="485"/>
      <c r="W78" s="379"/>
      <c r="X78" s="2">
        <v>59</v>
      </c>
    </row>
    <row r="79" spans="1:24" s="280" customFormat="1" x14ac:dyDescent="0.25">
      <c r="A79" s="359"/>
      <c r="B79" s="365"/>
      <c r="C79" s="365"/>
      <c r="D79" s="365"/>
      <c r="E79" s="365"/>
      <c r="F79" s="361"/>
      <c r="G79" s="371"/>
      <c r="H79" s="363"/>
      <c r="I79" s="373"/>
      <c r="J79" s="480"/>
      <c r="K79" s="483"/>
      <c r="L79" s="365"/>
      <c r="M79" s="365"/>
      <c r="N79" s="300" t="s">
        <v>606</v>
      </c>
      <c r="O79" s="361"/>
      <c r="P79" s="295">
        <v>2277.6</v>
      </c>
      <c r="Q79" s="296" t="s">
        <v>645</v>
      </c>
      <c r="R79" s="297"/>
      <c r="S79" s="295"/>
      <c r="T79" s="295"/>
      <c r="U79" s="363"/>
      <c r="V79" s="486"/>
      <c r="W79" s="369"/>
      <c r="X79" s="280">
        <v>59</v>
      </c>
    </row>
    <row r="80" spans="1:24" s="85" customFormat="1" ht="54" customHeight="1" x14ac:dyDescent="0.25">
      <c r="A80" s="384">
        <v>8</v>
      </c>
      <c r="B80" s="390" t="s">
        <v>56</v>
      </c>
      <c r="C80" s="390"/>
      <c r="D80" s="390"/>
      <c r="E80" s="390" t="s">
        <v>225</v>
      </c>
      <c r="F80" s="386" t="s">
        <v>226</v>
      </c>
      <c r="G80" s="396" t="s">
        <v>227</v>
      </c>
      <c r="H80" s="388">
        <v>30012.16</v>
      </c>
      <c r="I80" s="398">
        <f>IF(X80 = 60, H80 + SUM(S80:S81) - SUM(T80:T81) - SUM(P80:P81) - V80,0)</f>
        <v>15006.08</v>
      </c>
      <c r="J80" s="509">
        <v>274062111</v>
      </c>
      <c r="K80" s="507" t="s">
        <v>160</v>
      </c>
      <c r="L80" s="390"/>
      <c r="M80" s="390" t="s">
        <v>228</v>
      </c>
      <c r="N80" s="246" t="s">
        <v>374</v>
      </c>
      <c r="O80" s="386" t="s">
        <v>229</v>
      </c>
      <c r="P80" s="242">
        <v>7503.04</v>
      </c>
      <c r="Q80" s="241" t="s">
        <v>372</v>
      </c>
      <c r="R80" s="240"/>
      <c r="S80" s="242"/>
      <c r="T80" s="242"/>
      <c r="U80" s="388"/>
      <c r="V80" s="511"/>
      <c r="W80" s="394"/>
      <c r="X80" s="85">
        <v>60</v>
      </c>
    </row>
    <row r="81" spans="1:24" x14ac:dyDescent="0.25">
      <c r="A81" s="385"/>
      <c r="B81" s="391"/>
      <c r="C81" s="391"/>
      <c r="D81" s="391"/>
      <c r="E81" s="391"/>
      <c r="F81" s="387"/>
      <c r="G81" s="397"/>
      <c r="H81" s="389"/>
      <c r="I81" s="399"/>
      <c r="J81" s="510"/>
      <c r="K81" s="508"/>
      <c r="L81" s="391"/>
      <c r="M81" s="391"/>
      <c r="N81" s="247" t="s">
        <v>514</v>
      </c>
      <c r="O81" s="387"/>
      <c r="P81" s="243">
        <v>7503.04</v>
      </c>
      <c r="Q81" s="244" t="s">
        <v>564</v>
      </c>
      <c r="R81" s="245"/>
      <c r="S81" s="243"/>
      <c r="T81" s="243"/>
      <c r="U81" s="389"/>
      <c r="V81" s="512"/>
      <c r="W81" s="395"/>
      <c r="X81" s="2">
        <v>60</v>
      </c>
    </row>
    <row r="82" spans="1:24" s="85" customFormat="1" ht="127.15" customHeight="1" x14ac:dyDescent="0.25">
      <c r="A82" s="358">
        <v>9</v>
      </c>
      <c r="B82" s="364" t="s">
        <v>56</v>
      </c>
      <c r="C82" s="364"/>
      <c r="D82" s="364"/>
      <c r="E82" s="364" t="s">
        <v>159</v>
      </c>
      <c r="F82" s="360" t="s">
        <v>236</v>
      </c>
      <c r="G82" s="370" t="s">
        <v>259</v>
      </c>
      <c r="H82" s="362">
        <v>114400</v>
      </c>
      <c r="I82" s="372">
        <f>IF(X82 = 61, H82 + SUM(S82:S97) - SUM(T82:T97) - SUM(P82:P97) - V82,0)</f>
        <v>50440</v>
      </c>
      <c r="J82" s="478">
        <v>2353017179</v>
      </c>
      <c r="K82" s="481" t="s">
        <v>166</v>
      </c>
      <c r="L82" s="364"/>
      <c r="M82" s="364" t="s">
        <v>214</v>
      </c>
      <c r="N82" s="298" t="s">
        <v>307</v>
      </c>
      <c r="O82" s="360" t="s">
        <v>260</v>
      </c>
      <c r="P82" s="289">
        <v>4800</v>
      </c>
      <c r="Q82" s="290" t="s">
        <v>314</v>
      </c>
      <c r="R82" s="291"/>
      <c r="S82" s="289"/>
      <c r="T82" s="289"/>
      <c r="U82" s="362"/>
      <c r="V82" s="484"/>
      <c r="W82" s="368"/>
      <c r="X82" s="85">
        <v>61</v>
      </c>
    </row>
    <row r="83" spans="1:24" x14ac:dyDescent="0.25">
      <c r="A83" s="374"/>
      <c r="B83" s="377"/>
      <c r="C83" s="377"/>
      <c r="D83" s="377"/>
      <c r="E83" s="377"/>
      <c r="F83" s="375"/>
      <c r="G83" s="477"/>
      <c r="H83" s="376"/>
      <c r="I83" s="383"/>
      <c r="J83" s="479"/>
      <c r="K83" s="482"/>
      <c r="L83" s="377"/>
      <c r="M83" s="377"/>
      <c r="N83" s="299" t="s">
        <v>307</v>
      </c>
      <c r="O83" s="375"/>
      <c r="P83" s="292">
        <v>5600</v>
      </c>
      <c r="Q83" s="293" t="s">
        <v>314</v>
      </c>
      <c r="R83" s="294"/>
      <c r="S83" s="292"/>
      <c r="T83" s="292"/>
      <c r="U83" s="376"/>
      <c r="V83" s="485"/>
      <c r="W83" s="379"/>
      <c r="X83" s="2">
        <v>61</v>
      </c>
    </row>
    <row r="84" spans="1:24" x14ac:dyDescent="0.25">
      <c r="A84" s="374"/>
      <c r="B84" s="377"/>
      <c r="C84" s="377"/>
      <c r="D84" s="377"/>
      <c r="E84" s="377"/>
      <c r="F84" s="375"/>
      <c r="G84" s="477"/>
      <c r="H84" s="376"/>
      <c r="I84" s="383"/>
      <c r="J84" s="479"/>
      <c r="K84" s="482"/>
      <c r="L84" s="377"/>
      <c r="M84" s="377"/>
      <c r="N84" s="299" t="s">
        <v>345</v>
      </c>
      <c r="O84" s="375"/>
      <c r="P84" s="292">
        <v>4560</v>
      </c>
      <c r="Q84" s="293" t="s">
        <v>349</v>
      </c>
      <c r="R84" s="294"/>
      <c r="S84" s="292"/>
      <c r="T84" s="292"/>
      <c r="U84" s="376"/>
      <c r="V84" s="485"/>
      <c r="W84" s="379"/>
      <c r="X84" s="2">
        <v>61</v>
      </c>
    </row>
    <row r="85" spans="1:24" x14ac:dyDescent="0.25">
      <c r="A85" s="374"/>
      <c r="B85" s="377"/>
      <c r="C85" s="377"/>
      <c r="D85" s="377"/>
      <c r="E85" s="377"/>
      <c r="F85" s="375"/>
      <c r="G85" s="477"/>
      <c r="H85" s="376"/>
      <c r="I85" s="383"/>
      <c r="J85" s="479"/>
      <c r="K85" s="482"/>
      <c r="L85" s="377"/>
      <c r="M85" s="377"/>
      <c r="N85" s="299" t="s">
        <v>345</v>
      </c>
      <c r="O85" s="375"/>
      <c r="P85" s="292">
        <v>5320</v>
      </c>
      <c r="Q85" s="293" t="s">
        <v>349</v>
      </c>
      <c r="R85" s="294"/>
      <c r="S85" s="292"/>
      <c r="T85" s="292"/>
      <c r="U85" s="376"/>
      <c r="V85" s="485"/>
      <c r="W85" s="379"/>
      <c r="X85" s="2">
        <v>61</v>
      </c>
    </row>
    <row r="86" spans="1:24" x14ac:dyDescent="0.25">
      <c r="A86" s="374"/>
      <c r="B86" s="377"/>
      <c r="C86" s="377"/>
      <c r="D86" s="377"/>
      <c r="E86" s="377"/>
      <c r="F86" s="375"/>
      <c r="G86" s="477"/>
      <c r="H86" s="376"/>
      <c r="I86" s="383"/>
      <c r="J86" s="479"/>
      <c r="K86" s="482"/>
      <c r="L86" s="377"/>
      <c r="M86" s="377"/>
      <c r="N86" s="299" t="s">
        <v>371</v>
      </c>
      <c r="O86" s="375"/>
      <c r="P86" s="292">
        <v>3840</v>
      </c>
      <c r="Q86" s="293" t="s">
        <v>376</v>
      </c>
      <c r="R86" s="294"/>
      <c r="S86" s="292"/>
      <c r="T86" s="292"/>
      <c r="U86" s="376"/>
      <c r="V86" s="485"/>
      <c r="W86" s="379"/>
      <c r="X86" s="2">
        <v>61</v>
      </c>
    </row>
    <row r="87" spans="1:24" x14ac:dyDescent="0.25">
      <c r="A87" s="374"/>
      <c r="B87" s="377"/>
      <c r="C87" s="377"/>
      <c r="D87" s="377"/>
      <c r="E87" s="377"/>
      <c r="F87" s="375"/>
      <c r="G87" s="477"/>
      <c r="H87" s="376"/>
      <c r="I87" s="383"/>
      <c r="J87" s="479"/>
      <c r="K87" s="482"/>
      <c r="L87" s="377"/>
      <c r="M87" s="377"/>
      <c r="N87" s="299" t="s">
        <v>371</v>
      </c>
      <c r="O87" s="375"/>
      <c r="P87" s="292">
        <v>4480</v>
      </c>
      <c r="Q87" s="293" t="s">
        <v>376</v>
      </c>
      <c r="R87" s="294"/>
      <c r="S87" s="292"/>
      <c r="T87" s="292"/>
      <c r="U87" s="376"/>
      <c r="V87" s="485"/>
      <c r="W87" s="379"/>
      <c r="X87" s="2">
        <v>61</v>
      </c>
    </row>
    <row r="88" spans="1:24" x14ac:dyDescent="0.25">
      <c r="A88" s="374"/>
      <c r="B88" s="377"/>
      <c r="C88" s="377"/>
      <c r="D88" s="377"/>
      <c r="E88" s="377"/>
      <c r="F88" s="375"/>
      <c r="G88" s="477"/>
      <c r="H88" s="376"/>
      <c r="I88" s="383"/>
      <c r="J88" s="479"/>
      <c r="K88" s="482"/>
      <c r="L88" s="377"/>
      <c r="M88" s="377"/>
      <c r="N88" s="299" t="s">
        <v>460</v>
      </c>
      <c r="O88" s="375"/>
      <c r="P88" s="292">
        <v>5640</v>
      </c>
      <c r="Q88" s="293" t="s">
        <v>464</v>
      </c>
      <c r="R88" s="294"/>
      <c r="S88" s="292"/>
      <c r="T88" s="292"/>
      <c r="U88" s="376"/>
      <c r="V88" s="485"/>
      <c r="W88" s="379"/>
      <c r="X88" s="2">
        <v>61</v>
      </c>
    </row>
    <row r="89" spans="1:24" x14ac:dyDescent="0.25">
      <c r="A89" s="374"/>
      <c r="B89" s="377"/>
      <c r="C89" s="377"/>
      <c r="D89" s="377"/>
      <c r="E89" s="377"/>
      <c r="F89" s="375"/>
      <c r="G89" s="477"/>
      <c r="H89" s="376"/>
      <c r="I89" s="383"/>
      <c r="J89" s="479"/>
      <c r="K89" s="482"/>
      <c r="L89" s="377"/>
      <c r="M89" s="377"/>
      <c r="N89" s="299" t="s">
        <v>460</v>
      </c>
      <c r="O89" s="375"/>
      <c r="P89" s="292">
        <v>6580</v>
      </c>
      <c r="Q89" s="293" t="s">
        <v>464</v>
      </c>
      <c r="R89" s="294"/>
      <c r="S89" s="292"/>
      <c r="T89" s="292"/>
      <c r="U89" s="376"/>
      <c r="V89" s="485"/>
      <c r="W89" s="379"/>
      <c r="X89" s="2">
        <v>61</v>
      </c>
    </row>
    <row r="90" spans="1:24" x14ac:dyDescent="0.25">
      <c r="A90" s="374"/>
      <c r="B90" s="377"/>
      <c r="C90" s="377"/>
      <c r="D90" s="377"/>
      <c r="E90" s="377"/>
      <c r="F90" s="375"/>
      <c r="G90" s="477"/>
      <c r="H90" s="376"/>
      <c r="I90" s="383"/>
      <c r="J90" s="479"/>
      <c r="K90" s="482"/>
      <c r="L90" s="377"/>
      <c r="M90" s="377"/>
      <c r="N90" s="299" t="s">
        <v>470</v>
      </c>
      <c r="O90" s="375"/>
      <c r="P90" s="292">
        <v>5400</v>
      </c>
      <c r="Q90" s="293" t="s">
        <v>509</v>
      </c>
      <c r="R90" s="294"/>
      <c r="S90" s="292"/>
      <c r="T90" s="292"/>
      <c r="U90" s="376"/>
      <c r="V90" s="485"/>
      <c r="W90" s="379"/>
      <c r="X90" s="2">
        <v>61</v>
      </c>
    </row>
    <row r="91" spans="1:24" x14ac:dyDescent="0.25">
      <c r="A91" s="374"/>
      <c r="B91" s="377"/>
      <c r="C91" s="377"/>
      <c r="D91" s="377"/>
      <c r="E91" s="377"/>
      <c r="F91" s="375"/>
      <c r="G91" s="477"/>
      <c r="H91" s="376"/>
      <c r="I91" s="383"/>
      <c r="J91" s="479"/>
      <c r="K91" s="482"/>
      <c r="L91" s="377"/>
      <c r="M91" s="377"/>
      <c r="N91" s="299" t="s">
        <v>470</v>
      </c>
      <c r="O91" s="375"/>
      <c r="P91" s="292">
        <v>6300</v>
      </c>
      <c r="Q91" s="293" t="s">
        <v>509</v>
      </c>
      <c r="R91" s="294"/>
      <c r="S91" s="292"/>
      <c r="T91" s="292"/>
      <c r="U91" s="376"/>
      <c r="V91" s="485"/>
      <c r="W91" s="379"/>
      <c r="X91" s="2">
        <v>61</v>
      </c>
    </row>
    <row r="92" spans="1:24" x14ac:dyDescent="0.25">
      <c r="A92" s="374"/>
      <c r="B92" s="377"/>
      <c r="C92" s="377"/>
      <c r="D92" s="377"/>
      <c r="E92" s="377"/>
      <c r="F92" s="375"/>
      <c r="G92" s="477"/>
      <c r="H92" s="376"/>
      <c r="I92" s="383"/>
      <c r="J92" s="479"/>
      <c r="K92" s="482"/>
      <c r="L92" s="377"/>
      <c r="M92" s="377"/>
      <c r="N92" s="299" t="s">
        <v>562</v>
      </c>
      <c r="O92" s="375"/>
      <c r="P92" s="292">
        <v>4200</v>
      </c>
      <c r="Q92" s="293" t="s">
        <v>564</v>
      </c>
      <c r="R92" s="294"/>
      <c r="S92" s="292"/>
      <c r="T92" s="292"/>
      <c r="U92" s="376"/>
      <c r="V92" s="485"/>
      <c r="W92" s="379"/>
      <c r="X92" s="2">
        <v>61</v>
      </c>
    </row>
    <row r="93" spans="1:24" x14ac:dyDescent="0.25">
      <c r="A93" s="374"/>
      <c r="B93" s="377"/>
      <c r="C93" s="377"/>
      <c r="D93" s="377"/>
      <c r="E93" s="377"/>
      <c r="F93" s="375"/>
      <c r="G93" s="477"/>
      <c r="H93" s="376"/>
      <c r="I93" s="383"/>
      <c r="J93" s="479"/>
      <c r="K93" s="482"/>
      <c r="L93" s="377"/>
      <c r="M93" s="377"/>
      <c r="N93" s="299" t="s">
        <v>562</v>
      </c>
      <c r="O93" s="375"/>
      <c r="P93" s="292">
        <v>4900</v>
      </c>
      <c r="Q93" s="293" t="s">
        <v>564</v>
      </c>
      <c r="R93" s="294"/>
      <c r="S93" s="292"/>
      <c r="T93" s="292"/>
      <c r="U93" s="376"/>
      <c r="V93" s="485"/>
      <c r="W93" s="379"/>
      <c r="X93" s="2">
        <v>61</v>
      </c>
    </row>
    <row r="94" spans="1:24" x14ac:dyDescent="0.25">
      <c r="A94" s="374"/>
      <c r="B94" s="377"/>
      <c r="C94" s="377"/>
      <c r="D94" s="377"/>
      <c r="E94" s="377"/>
      <c r="F94" s="375"/>
      <c r="G94" s="477"/>
      <c r="H94" s="376"/>
      <c r="I94" s="383"/>
      <c r="J94" s="479"/>
      <c r="K94" s="482"/>
      <c r="L94" s="377"/>
      <c r="M94" s="377"/>
      <c r="N94" s="299" t="s">
        <v>602</v>
      </c>
      <c r="O94" s="375"/>
      <c r="P94" s="292">
        <v>720</v>
      </c>
      <c r="Q94" s="293" t="s">
        <v>604</v>
      </c>
      <c r="R94" s="294"/>
      <c r="S94" s="292"/>
      <c r="T94" s="292"/>
      <c r="U94" s="376"/>
      <c r="V94" s="485"/>
      <c r="W94" s="379"/>
      <c r="X94" s="2">
        <v>61</v>
      </c>
    </row>
    <row r="95" spans="1:24" x14ac:dyDescent="0.25">
      <c r="A95" s="374"/>
      <c r="B95" s="377"/>
      <c r="C95" s="377"/>
      <c r="D95" s="377"/>
      <c r="E95" s="377"/>
      <c r="F95" s="375"/>
      <c r="G95" s="477"/>
      <c r="H95" s="376"/>
      <c r="I95" s="383"/>
      <c r="J95" s="479"/>
      <c r="K95" s="482"/>
      <c r="L95" s="377"/>
      <c r="M95" s="377"/>
      <c r="N95" s="299" t="s">
        <v>602</v>
      </c>
      <c r="O95" s="375"/>
      <c r="P95" s="292">
        <v>840</v>
      </c>
      <c r="Q95" s="293" t="s">
        <v>604</v>
      </c>
      <c r="R95" s="294"/>
      <c r="S95" s="292"/>
      <c r="T95" s="292"/>
      <c r="U95" s="376"/>
      <c r="V95" s="485"/>
      <c r="W95" s="379"/>
      <c r="X95" s="2">
        <v>61</v>
      </c>
    </row>
    <row r="96" spans="1:24" s="280" customFormat="1" x14ac:dyDescent="0.25">
      <c r="A96" s="374"/>
      <c r="B96" s="377"/>
      <c r="C96" s="377"/>
      <c r="D96" s="377"/>
      <c r="E96" s="377"/>
      <c r="F96" s="375"/>
      <c r="G96" s="477"/>
      <c r="H96" s="376"/>
      <c r="I96" s="383"/>
      <c r="J96" s="479"/>
      <c r="K96" s="482"/>
      <c r="L96" s="377"/>
      <c r="M96" s="377"/>
      <c r="N96" s="301" t="s">
        <v>606</v>
      </c>
      <c r="O96" s="375"/>
      <c r="P96" s="302">
        <v>360</v>
      </c>
      <c r="Q96" s="303" t="s">
        <v>650</v>
      </c>
      <c r="R96" s="304"/>
      <c r="S96" s="302"/>
      <c r="T96" s="302"/>
      <c r="U96" s="376"/>
      <c r="V96" s="485"/>
      <c r="W96" s="379"/>
      <c r="X96" s="280">
        <v>61</v>
      </c>
    </row>
    <row r="97" spans="1:24" s="280" customFormat="1" x14ac:dyDescent="0.25">
      <c r="A97" s="359"/>
      <c r="B97" s="365"/>
      <c r="C97" s="365"/>
      <c r="D97" s="365"/>
      <c r="E97" s="365"/>
      <c r="F97" s="361"/>
      <c r="G97" s="371"/>
      <c r="H97" s="363"/>
      <c r="I97" s="373"/>
      <c r="J97" s="480"/>
      <c r="K97" s="483"/>
      <c r="L97" s="365"/>
      <c r="M97" s="365"/>
      <c r="N97" s="300" t="s">
        <v>606</v>
      </c>
      <c r="O97" s="361"/>
      <c r="P97" s="295">
        <v>420</v>
      </c>
      <c r="Q97" s="296" t="s">
        <v>650</v>
      </c>
      <c r="R97" s="297"/>
      <c r="S97" s="295"/>
      <c r="T97" s="295"/>
      <c r="U97" s="363"/>
      <c r="V97" s="486"/>
      <c r="W97" s="369"/>
      <c r="X97" s="280">
        <v>61</v>
      </c>
    </row>
    <row r="98" spans="1:24" s="85" customFormat="1" ht="72" customHeight="1" x14ac:dyDescent="0.25">
      <c r="A98" s="437">
        <v>10</v>
      </c>
      <c r="B98" s="434" t="s">
        <v>56</v>
      </c>
      <c r="C98" s="434"/>
      <c r="D98" s="434"/>
      <c r="E98" s="434" t="s">
        <v>248</v>
      </c>
      <c r="F98" s="440" t="s">
        <v>236</v>
      </c>
      <c r="G98" s="469" t="s">
        <v>184</v>
      </c>
      <c r="H98" s="465">
        <v>598920</v>
      </c>
      <c r="I98" s="471">
        <f>IF(X98 = 62, H98 + SUM(S98:S102) - SUM(T98:T102) - SUM(P98:P102) - V98,0)</f>
        <v>4.3655745685100555E-11</v>
      </c>
      <c r="J98" s="600">
        <v>235300578903</v>
      </c>
      <c r="K98" s="603" t="s">
        <v>148</v>
      </c>
      <c r="L98" s="434"/>
      <c r="M98" s="434" t="s">
        <v>249</v>
      </c>
      <c r="N98" s="223" t="s">
        <v>307</v>
      </c>
      <c r="O98" s="440" t="s">
        <v>296</v>
      </c>
      <c r="P98" s="219">
        <v>101430</v>
      </c>
      <c r="Q98" s="218" t="s">
        <v>309</v>
      </c>
      <c r="R98" s="217"/>
      <c r="S98" s="219"/>
      <c r="T98" s="219"/>
      <c r="U98" s="465" t="s">
        <v>520</v>
      </c>
      <c r="V98" s="606">
        <v>51970.8</v>
      </c>
      <c r="W98" s="462"/>
      <c r="X98" s="85">
        <v>62</v>
      </c>
    </row>
    <row r="99" spans="1:24" x14ac:dyDescent="0.25">
      <c r="A99" s="438"/>
      <c r="B99" s="435"/>
      <c r="C99" s="435"/>
      <c r="D99" s="435"/>
      <c r="E99" s="435"/>
      <c r="F99" s="441"/>
      <c r="G99" s="475"/>
      <c r="H99" s="473"/>
      <c r="I99" s="476"/>
      <c r="J99" s="601"/>
      <c r="K99" s="604"/>
      <c r="L99" s="435"/>
      <c r="M99" s="435"/>
      <c r="N99" s="228" t="s">
        <v>345</v>
      </c>
      <c r="O99" s="441"/>
      <c r="P99" s="225">
        <v>107950.5</v>
      </c>
      <c r="Q99" s="226" t="s">
        <v>347</v>
      </c>
      <c r="R99" s="227"/>
      <c r="S99" s="225"/>
      <c r="T99" s="225"/>
      <c r="U99" s="473"/>
      <c r="V99" s="607"/>
      <c r="W99" s="463"/>
      <c r="X99" s="2">
        <v>62</v>
      </c>
    </row>
    <row r="100" spans="1:24" x14ac:dyDescent="0.25">
      <c r="A100" s="438"/>
      <c r="B100" s="435"/>
      <c r="C100" s="435"/>
      <c r="D100" s="435"/>
      <c r="E100" s="435"/>
      <c r="F100" s="441"/>
      <c r="G100" s="475"/>
      <c r="H100" s="473"/>
      <c r="I100" s="476"/>
      <c r="J100" s="601"/>
      <c r="K100" s="604"/>
      <c r="L100" s="435"/>
      <c r="M100" s="435"/>
      <c r="N100" s="228" t="s">
        <v>371</v>
      </c>
      <c r="O100" s="441"/>
      <c r="P100" s="225">
        <v>103555.2</v>
      </c>
      <c r="Q100" s="226" t="s">
        <v>379</v>
      </c>
      <c r="R100" s="227"/>
      <c r="S100" s="225"/>
      <c r="T100" s="225"/>
      <c r="U100" s="473"/>
      <c r="V100" s="607"/>
      <c r="W100" s="463"/>
      <c r="X100" s="2">
        <v>62</v>
      </c>
    </row>
    <row r="101" spans="1:24" x14ac:dyDescent="0.25">
      <c r="A101" s="438"/>
      <c r="B101" s="435"/>
      <c r="C101" s="435"/>
      <c r="D101" s="435"/>
      <c r="E101" s="435"/>
      <c r="F101" s="441"/>
      <c r="G101" s="475"/>
      <c r="H101" s="473"/>
      <c r="I101" s="476"/>
      <c r="J101" s="601"/>
      <c r="K101" s="604"/>
      <c r="L101" s="435"/>
      <c r="M101" s="435"/>
      <c r="N101" s="228" t="s">
        <v>461</v>
      </c>
      <c r="O101" s="441"/>
      <c r="P101" s="225">
        <v>111090</v>
      </c>
      <c r="Q101" s="226" t="s">
        <v>462</v>
      </c>
      <c r="R101" s="227"/>
      <c r="S101" s="225"/>
      <c r="T101" s="225"/>
      <c r="U101" s="473"/>
      <c r="V101" s="607"/>
      <c r="W101" s="463"/>
      <c r="X101" s="2">
        <v>62</v>
      </c>
    </row>
    <row r="102" spans="1:24" x14ac:dyDescent="0.25">
      <c r="A102" s="439"/>
      <c r="B102" s="436"/>
      <c r="C102" s="436"/>
      <c r="D102" s="436"/>
      <c r="E102" s="436"/>
      <c r="F102" s="442"/>
      <c r="G102" s="470"/>
      <c r="H102" s="466"/>
      <c r="I102" s="472"/>
      <c r="J102" s="602"/>
      <c r="K102" s="605"/>
      <c r="L102" s="436"/>
      <c r="M102" s="436"/>
      <c r="N102" s="224" t="s">
        <v>470</v>
      </c>
      <c r="O102" s="442"/>
      <c r="P102" s="220">
        <v>122923.5</v>
      </c>
      <c r="Q102" s="221" t="s">
        <v>509</v>
      </c>
      <c r="R102" s="222"/>
      <c r="S102" s="220"/>
      <c r="T102" s="220"/>
      <c r="U102" s="466"/>
      <c r="V102" s="608"/>
      <c r="W102" s="464"/>
      <c r="X102" s="2">
        <v>62</v>
      </c>
    </row>
    <row r="103" spans="1:24" s="85" customFormat="1" ht="72" customHeight="1" x14ac:dyDescent="0.25">
      <c r="A103" s="400">
        <v>11</v>
      </c>
      <c r="B103" s="406" t="s">
        <v>56</v>
      </c>
      <c r="C103" s="406"/>
      <c r="D103" s="406"/>
      <c r="E103" s="406" t="s">
        <v>277</v>
      </c>
      <c r="F103" s="402" t="s">
        <v>283</v>
      </c>
      <c r="G103" s="412" t="s">
        <v>299</v>
      </c>
      <c r="H103" s="404">
        <v>540855.12</v>
      </c>
      <c r="I103" s="414">
        <f>IF(X103 = 63, H103 + SUM(S103:S118) - SUM(T103:T118) - SUM(P103:P118) - V103,0)</f>
        <v>8.7311491370201111E-11</v>
      </c>
      <c r="J103" s="538">
        <v>2353020735</v>
      </c>
      <c r="K103" s="540" t="s">
        <v>286</v>
      </c>
      <c r="L103" s="406"/>
      <c r="M103" s="406" t="s">
        <v>300</v>
      </c>
      <c r="N103" s="163" t="s">
        <v>307</v>
      </c>
      <c r="O103" s="402" t="s">
        <v>288</v>
      </c>
      <c r="P103" s="156">
        <v>3418.85</v>
      </c>
      <c r="Q103" s="155" t="s">
        <v>313</v>
      </c>
      <c r="R103" s="154" t="s">
        <v>361</v>
      </c>
      <c r="S103" s="156">
        <v>3999.24</v>
      </c>
      <c r="T103" s="156"/>
      <c r="U103" s="404" t="s">
        <v>521</v>
      </c>
      <c r="V103" s="517">
        <v>133339.26999999999</v>
      </c>
      <c r="W103" s="410"/>
      <c r="X103" s="85">
        <v>63</v>
      </c>
    </row>
    <row r="104" spans="1:24" x14ac:dyDescent="0.25">
      <c r="A104" s="513"/>
      <c r="B104" s="516"/>
      <c r="C104" s="516"/>
      <c r="D104" s="516"/>
      <c r="E104" s="516"/>
      <c r="F104" s="514"/>
      <c r="G104" s="536"/>
      <c r="H104" s="515"/>
      <c r="I104" s="537"/>
      <c r="J104" s="539"/>
      <c r="K104" s="541"/>
      <c r="L104" s="516"/>
      <c r="M104" s="516"/>
      <c r="N104" s="164" t="s">
        <v>316</v>
      </c>
      <c r="O104" s="514"/>
      <c r="P104" s="157">
        <v>5033.3100000000004</v>
      </c>
      <c r="Q104" s="158" t="s">
        <v>313</v>
      </c>
      <c r="R104" s="159"/>
      <c r="S104" s="157"/>
      <c r="T104" s="157"/>
      <c r="U104" s="515"/>
      <c r="V104" s="518"/>
      <c r="W104" s="535"/>
      <c r="X104" s="2">
        <v>63</v>
      </c>
    </row>
    <row r="105" spans="1:24" x14ac:dyDescent="0.25">
      <c r="A105" s="513"/>
      <c r="B105" s="516"/>
      <c r="C105" s="516"/>
      <c r="D105" s="516"/>
      <c r="E105" s="516"/>
      <c r="F105" s="514"/>
      <c r="G105" s="536"/>
      <c r="H105" s="515"/>
      <c r="I105" s="537"/>
      <c r="J105" s="539"/>
      <c r="K105" s="541"/>
      <c r="L105" s="516"/>
      <c r="M105" s="516"/>
      <c r="N105" s="164" t="s">
        <v>312</v>
      </c>
      <c r="O105" s="514"/>
      <c r="P105" s="157">
        <v>21396.01</v>
      </c>
      <c r="Q105" s="158" t="s">
        <v>314</v>
      </c>
      <c r="R105" s="159"/>
      <c r="S105" s="157"/>
      <c r="T105" s="157"/>
      <c r="U105" s="515"/>
      <c r="V105" s="518"/>
      <c r="W105" s="535"/>
      <c r="X105" s="2">
        <v>63</v>
      </c>
    </row>
    <row r="106" spans="1:24" x14ac:dyDescent="0.25">
      <c r="A106" s="513"/>
      <c r="B106" s="516"/>
      <c r="C106" s="516"/>
      <c r="D106" s="516"/>
      <c r="E106" s="516"/>
      <c r="F106" s="514"/>
      <c r="G106" s="536"/>
      <c r="H106" s="515"/>
      <c r="I106" s="537"/>
      <c r="J106" s="539"/>
      <c r="K106" s="541"/>
      <c r="L106" s="516"/>
      <c r="M106" s="516"/>
      <c r="N106" s="164" t="s">
        <v>312</v>
      </c>
      <c r="O106" s="514"/>
      <c r="P106" s="157">
        <v>1365.73</v>
      </c>
      <c r="Q106" s="158" t="s">
        <v>314</v>
      </c>
      <c r="R106" s="159"/>
      <c r="S106" s="157"/>
      <c r="T106" s="157"/>
      <c r="U106" s="515"/>
      <c r="V106" s="518"/>
      <c r="W106" s="535"/>
      <c r="X106" s="2">
        <v>63</v>
      </c>
    </row>
    <row r="107" spans="1:24" x14ac:dyDescent="0.25">
      <c r="A107" s="513"/>
      <c r="B107" s="516"/>
      <c r="C107" s="516"/>
      <c r="D107" s="516"/>
      <c r="E107" s="516"/>
      <c r="F107" s="514"/>
      <c r="G107" s="536"/>
      <c r="H107" s="515"/>
      <c r="I107" s="537"/>
      <c r="J107" s="539"/>
      <c r="K107" s="541"/>
      <c r="L107" s="516"/>
      <c r="M107" s="516"/>
      <c r="N107" s="164" t="s">
        <v>307</v>
      </c>
      <c r="O107" s="514"/>
      <c r="P107" s="157">
        <v>53560.87</v>
      </c>
      <c r="Q107" s="158" t="s">
        <v>314</v>
      </c>
      <c r="R107" s="159"/>
      <c r="S107" s="157"/>
      <c r="T107" s="157"/>
      <c r="U107" s="515"/>
      <c r="V107" s="518"/>
      <c r="W107" s="535"/>
      <c r="X107" s="2">
        <v>63</v>
      </c>
    </row>
    <row r="108" spans="1:24" x14ac:dyDescent="0.25">
      <c r="A108" s="513"/>
      <c r="B108" s="516"/>
      <c r="C108" s="516"/>
      <c r="D108" s="516"/>
      <c r="E108" s="516"/>
      <c r="F108" s="514"/>
      <c r="G108" s="536"/>
      <c r="H108" s="515"/>
      <c r="I108" s="537"/>
      <c r="J108" s="539"/>
      <c r="K108" s="541"/>
      <c r="L108" s="516"/>
      <c r="M108" s="516"/>
      <c r="N108" s="164" t="s">
        <v>316</v>
      </c>
      <c r="O108" s="514"/>
      <c r="P108" s="157">
        <v>78853.5</v>
      </c>
      <c r="Q108" s="158" t="s">
        <v>314</v>
      </c>
      <c r="R108" s="159"/>
      <c r="S108" s="157"/>
      <c r="T108" s="157"/>
      <c r="U108" s="515"/>
      <c r="V108" s="518"/>
      <c r="W108" s="535"/>
      <c r="X108" s="2">
        <v>63</v>
      </c>
    </row>
    <row r="109" spans="1:24" x14ac:dyDescent="0.25">
      <c r="A109" s="513"/>
      <c r="B109" s="516"/>
      <c r="C109" s="516"/>
      <c r="D109" s="516"/>
      <c r="E109" s="516"/>
      <c r="F109" s="514"/>
      <c r="G109" s="536"/>
      <c r="H109" s="515"/>
      <c r="I109" s="537"/>
      <c r="J109" s="539"/>
      <c r="K109" s="541"/>
      <c r="L109" s="516"/>
      <c r="M109" s="516"/>
      <c r="N109" s="164" t="s">
        <v>315</v>
      </c>
      <c r="O109" s="514"/>
      <c r="P109" s="157">
        <v>64258.87</v>
      </c>
      <c r="Q109" s="158" t="s">
        <v>344</v>
      </c>
      <c r="R109" s="159"/>
      <c r="S109" s="157"/>
      <c r="T109" s="157"/>
      <c r="U109" s="515"/>
      <c r="V109" s="518"/>
      <c r="W109" s="535"/>
      <c r="X109" s="2">
        <v>63</v>
      </c>
    </row>
    <row r="110" spans="1:24" x14ac:dyDescent="0.25">
      <c r="A110" s="513"/>
      <c r="B110" s="516"/>
      <c r="C110" s="516"/>
      <c r="D110" s="516"/>
      <c r="E110" s="516"/>
      <c r="F110" s="514"/>
      <c r="G110" s="536"/>
      <c r="H110" s="515"/>
      <c r="I110" s="537"/>
      <c r="J110" s="539"/>
      <c r="K110" s="541"/>
      <c r="L110" s="516"/>
      <c r="M110" s="516"/>
      <c r="N110" s="164" t="s">
        <v>315</v>
      </c>
      <c r="O110" s="514"/>
      <c r="P110" s="157">
        <v>4101.72</v>
      </c>
      <c r="Q110" s="158" t="s">
        <v>344</v>
      </c>
      <c r="R110" s="159"/>
      <c r="S110" s="157"/>
      <c r="T110" s="157"/>
      <c r="U110" s="515"/>
      <c r="V110" s="518"/>
      <c r="W110" s="535"/>
      <c r="X110" s="2">
        <v>63</v>
      </c>
    </row>
    <row r="111" spans="1:24" x14ac:dyDescent="0.25">
      <c r="A111" s="513"/>
      <c r="B111" s="516"/>
      <c r="C111" s="516"/>
      <c r="D111" s="516"/>
      <c r="E111" s="516"/>
      <c r="F111" s="514"/>
      <c r="G111" s="536"/>
      <c r="H111" s="515"/>
      <c r="I111" s="537"/>
      <c r="J111" s="539"/>
      <c r="K111" s="541"/>
      <c r="L111" s="516"/>
      <c r="M111" s="516"/>
      <c r="N111" s="164" t="s">
        <v>346</v>
      </c>
      <c r="O111" s="514"/>
      <c r="P111" s="157">
        <v>22033.64</v>
      </c>
      <c r="Q111" s="158" t="s">
        <v>357</v>
      </c>
      <c r="R111" s="159"/>
      <c r="S111" s="157"/>
      <c r="T111" s="157"/>
      <c r="U111" s="515"/>
      <c r="V111" s="518"/>
      <c r="W111" s="535"/>
      <c r="X111" s="2">
        <v>63</v>
      </c>
    </row>
    <row r="112" spans="1:24" x14ac:dyDescent="0.25">
      <c r="A112" s="513"/>
      <c r="B112" s="516"/>
      <c r="C112" s="516"/>
      <c r="D112" s="516"/>
      <c r="E112" s="516"/>
      <c r="F112" s="514"/>
      <c r="G112" s="536"/>
      <c r="H112" s="515"/>
      <c r="I112" s="537"/>
      <c r="J112" s="539"/>
      <c r="K112" s="541"/>
      <c r="L112" s="516"/>
      <c r="M112" s="516"/>
      <c r="N112" s="164" t="s">
        <v>346</v>
      </c>
      <c r="O112" s="514"/>
      <c r="P112" s="157">
        <v>1406.43</v>
      </c>
      <c r="Q112" s="158" t="s">
        <v>357</v>
      </c>
      <c r="R112" s="159"/>
      <c r="S112" s="157"/>
      <c r="T112" s="157"/>
      <c r="U112" s="515"/>
      <c r="V112" s="518"/>
      <c r="W112" s="535"/>
      <c r="X112" s="2">
        <v>63</v>
      </c>
    </row>
    <row r="113" spans="1:24" x14ac:dyDescent="0.25">
      <c r="A113" s="513"/>
      <c r="B113" s="516"/>
      <c r="C113" s="516"/>
      <c r="D113" s="516"/>
      <c r="E113" s="516"/>
      <c r="F113" s="514"/>
      <c r="G113" s="536"/>
      <c r="H113" s="515"/>
      <c r="I113" s="537"/>
      <c r="J113" s="539"/>
      <c r="K113" s="541"/>
      <c r="L113" s="516"/>
      <c r="M113" s="516"/>
      <c r="N113" s="164" t="s">
        <v>345</v>
      </c>
      <c r="O113" s="514"/>
      <c r="P113" s="157">
        <v>39320.480000000003</v>
      </c>
      <c r="Q113" s="158" t="s">
        <v>357</v>
      </c>
      <c r="R113" s="159"/>
      <c r="S113" s="157"/>
      <c r="T113" s="157"/>
      <c r="U113" s="515"/>
      <c r="V113" s="518"/>
      <c r="W113" s="535"/>
      <c r="X113" s="2">
        <v>63</v>
      </c>
    </row>
    <row r="114" spans="1:24" x14ac:dyDescent="0.25">
      <c r="A114" s="513"/>
      <c r="B114" s="516"/>
      <c r="C114" s="516"/>
      <c r="D114" s="516"/>
      <c r="E114" s="516"/>
      <c r="F114" s="514"/>
      <c r="G114" s="536"/>
      <c r="H114" s="515"/>
      <c r="I114" s="537"/>
      <c r="J114" s="539"/>
      <c r="K114" s="541"/>
      <c r="L114" s="516"/>
      <c r="M114" s="516"/>
      <c r="N114" s="164" t="s">
        <v>345</v>
      </c>
      <c r="O114" s="514"/>
      <c r="P114" s="157">
        <v>2509.87</v>
      </c>
      <c r="Q114" s="158" t="s">
        <v>357</v>
      </c>
      <c r="R114" s="159"/>
      <c r="S114" s="157"/>
      <c r="T114" s="157"/>
      <c r="U114" s="515"/>
      <c r="V114" s="518"/>
      <c r="W114" s="535"/>
      <c r="X114" s="2">
        <v>63</v>
      </c>
    </row>
    <row r="115" spans="1:24" x14ac:dyDescent="0.25">
      <c r="A115" s="513"/>
      <c r="B115" s="516"/>
      <c r="C115" s="516"/>
      <c r="D115" s="516"/>
      <c r="E115" s="516"/>
      <c r="F115" s="514"/>
      <c r="G115" s="536"/>
      <c r="H115" s="515"/>
      <c r="I115" s="537"/>
      <c r="J115" s="539"/>
      <c r="K115" s="541"/>
      <c r="L115" s="516"/>
      <c r="M115" s="516"/>
      <c r="N115" s="164" t="s">
        <v>357</v>
      </c>
      <c r="O115" s="514"/>
      <c r="P115" s="157">
        <v>61540.42</v>
      </c>
      <c r="Q115" s="158" t="s">
        <v>354</v>
      </c>
      <c r="R115" s="159"/>
      <c r="S115" s="157"/>
      <c r="T115" s="157"/>
      <c r="U115" s="515"/>
      <c r="V115" s="518"/>
      <c r="W115" s="535"/>
      <c r="X115" s="2">
        <v>63</v>
      </c>
    </row>
    <row r="116" spans="1:24" x14ac:dyDescent="0.25">
      <c r="A116" s="513"/>
      <c r="B116" s="516"/>
      <c r="C116" s="516"/>
      <c r="D116" s="516"/>
      <c r="E116" s="516"/>
      <c r="F116" s="514"/>
      <c r="G116" s="536"/>
      <c r="H116" s="515"/>
      <c r="I116" s="537"/>
      <c r="J116" s="539"/>
      <c r="K116" s="541"/>
      <c r="L116" s="516"/>
      <c r="M116" s="516"/>
      <c r="N116" s="164" t="s">
        <v>357</v>
      </c>
      <c r="O116" s="514"/>
      <c r="P116" s="157">
        <v>3928.19</v>
      </c>
      <c r="Q116" s="158" t="s">
        <v>354</v>
      </c>
      <c r="R116" s="159"/>
      <c r="S116" s="157"/>
      <c r="T116" s="157"/>
      <c r="U116" s="515"/>
      <c r="V116" s="518"/>
      <c r="W116" s="535"/>
      <c r="X116" s="2">
        <v>63</v>
      </c>
    </row>
    <row r="117" spans="1:24" x14ac:dyDescent="0.25">
      <c r="A117" s="513"/>
      <c r="B117" s="516"/>
      <c r="C117" s="516"/>
      <c r="D117" s="516"/>
      <c r="E117" s="516"/>
      <c r="F117" s="514"/>
      <c r="G117" s="536"/>
      <c r="H117" s="515"/>
      <c r="I117" s="537"/>
      <c r="J117" s="539"/>
      <c r="K117" s="541"/>
      <c r="L117" s="516"/>
      <c r="M117" s="516"/>
      <c r="N117" s="164" t="s">
        <v>383</v>
      </c>
      <c r="O117" s="514"/>
      <c r="P117" s="157">
        <v>45859.91</v>
      </c>
      <c r="Q117" s="158" t="s">
        <v>378</v>
      </c>
      <c r="R117" s="159"/>
      <c r="S117" s="157"/>
      <c r="T117" s="157"/>
      <c r="U117" s="515"/>
      <c r="V117" s="518"/>
      <c r="W117" s="535"/>
      <c r="X117" s="2">
        <v>63</v>
      </c>
    </row>
    <row r="118" spans="1:24" x14ac:dyDescent="0.25">
      <c r="A118" s="401"/>
      <c r="B118" s="407"/>
      <c r="C118" s="407"/>
      <c r="D118" s="407"/>
      <c r="E118" s="407"/>
      <c r="F118" s="403"/>
      <c r="G118" s="413"/>
      <c r="H118" s="405"/>
      <c r="I118" s="415"/>
      <c r="J118" s="598"/>
      <c r="K118" s="599"/>
      <c r="L118" s="407"/>
      <c r="M118" s="407"/>
      <c r="N118" s="165" t="s">
        <v>383</v>
      </c>
      <c r="O118" s="403"/>
      <c r="P118" s="160">
        <v>2927.29</v>
      </c>
      <c r="Q118" s="161" t="s">
        <v>378</v>
      </c>
      <c r="R118" s="162"/>
      <c r="S118" s="160"/>
      <c r="T118" s="160"/>
      <c r="U118" s="405"/>
      <c r="V118" s="519"/>
      <c r="W118" s="411"/>
      <c r="X118" s="2">
        <v>63</v>
      </c>
    </row>
    <row r="119" spans="1:24" s="85" customFormat="1" ht="72" customHeight="1" x14ac:dyDescent="0.25">
      <c r="A119" s="400">
        <v>12</v>
      </c>
      <c r="B119" s="406" t="s">
        <v>56</v>
      </c>
      <c r="C119" s="406"/>
      <c r="D119" s="406"/>
      <c r="E119" s="406" t="s">
        <v>297</v>
      </c>
      <c r="F119" s="402" t="s">
        <v>283</v>
      </c>
      <c r="G119" s="412" t="s">
        <v>301</v>
      </c>
      <c r="H119" s="404">
        <v>179400</v>
      </c>
      <c r="I119" s="414">
        <f>IF(X119 = 65, H119 + SUM(S119:S126) - SUM(T119:T126) - SUM(P119:P126) - V119,0)</f>
        <v>0</v>
      </c>
      <c r="J119" s="538">
        <v>2353020735</v>
      </c>
      <c r="K119" s="540" t="s">
        <v>286</v>
      </c>
      <c r="L119" s="406"/>
      <c r="M119" s="406" t="s">
        <v>300</v>
      </c>
      <c r="N119" s="163" t="s">
        <v>307</v>
      </c>
      <c r="O119" s="402" t="s">
        <v>288</v>
      </c>
      <c r="P119" s="156">
        <v>18900</v>
      </c>
      <c r="Q119" s="155" t="s">
        <v>313</v>
      </c>
      <c r="R119" s="154"/>
      <c r="S119" s="156"/>
      <c r="T119" s="156"/>
      <c r="U119" s="404" t="s">
        <v>521</v>
      </c>
      <c r="V119" s="517">
        <v>41725</v>
      </c>
      <c r="W119" s="410"/>
      <c r="X119" s="85">
        <v>65</v>
      </c>
    </row>
    <row r="120" spans="1:24" x14ac:dyDescent="0.25">
      <c r="A120" s="513"/>
      <c r="B120" s="516"/>
      <c r="C120" s="516"/>
      <c r="D120" s="516"/>
      <c r="E120" s="516"/>
      <c r="F120" s="514"/>
      <c r="G120" s="536"/>
      <c r="H120" s="515"/>
      <c r="I120" s="537"/>
      <c r="J120" s="539"/>
      <c r="K120" s="541"/>
      <c r="L120" s="516"/>
      <c r="M120" s="516"/>
      <c r="N120" s="164" t="s">
        <v>316</v>
      </c>
      <c r="O120" s="514"/>
      <c r="P120" s="157">
        <v>27825</v>
      </c>
      <c r="Q120" s="158" t="s">
        <v>313</v>
      </c>
      <c r="R120" s="159"/>
      <c r="S120" s="157"/>
      <c r="T120" s="157"/>
      <c r="U120" s="515"/>
      <c r="V120" s="518"/>
      <c r="W120" s="535"/>
      <c r="X120" s="2">
        <v>65</v>
      </c>
    </row>
    <row r="121" spans="1:24" x14ac:dyDescent="0.25">
      <c r="A121" s="513"/>
      <c r="B121" s="516"/>
      <c r="C121" s="516"/>
      <c r="D121" s="516"/>
      <c r="E121" s="516"/>
      <c r="F121" s="514"/>
      <c r="G121" s="536"/>
      <c r="H121" s="515"/>
      <c r="I121" s="537"/>
      <c r="J121" s="539"/>
      <c r="K121" s="541"/>
      <c r="L121" s="516"/>
      <c r="M121" s="516"/>
      <c r="N121" s="164" t="s">
        <v>312</v>
      </c>
      <c r="O121" s="514"/>
      <c r="P121" s="157">
        <v>7550</v>
      </c>
      <c r="Q121" s="158" t="s">
        <v>314</v>
      </c>
      <c r="R121" s="159"/>
      <c r="S121" s="157"/>
      <c r="T121" s="157"/>
      <c r="U121" s="515"/>
      <c r="V121" s="518"/>
      <c r="W121" s="535"/>
      <c r="X121" s="2">
        <v>65</v>
      </c>
    </row>
    <row r="122" spans="1:24" x14ac:dyDescent="0.25">
      <c r="A122" s="513"/>
      <c r="B122" s="516"/>
      <c r="C122" s="516"/>
      <c r="D122" s="516"/>
      <c r="E122" s="516"/>
      <c r="F122" s="514"/>
      <c r="G122" s="536"/>
      <c r="H122" s="515"/>
      <c r="I122" s="537"/>
      <c r="J122" s="539"/>
      <c r="K122" s="541"/>
      <c r="L122" s="516"/>
      <c r="M122" s="516"/>
      <c r="N122" s="164" t="s">
        <v>315</v>
      </c>
      <c r="O122" s="514"/>
      <c r="P122" s="157">
        <v>22675</v>
      </c>
      <c r="Q122" s="158" t="s">
        <v>344</v>
      </c>
      <c r="R122" s="159"/>
      <c r="S122" s="157"/>
      <c r="T122" s="157"/>
      <c r="U122" s="515"/>
      <c r="V122" s="518"/>
      <c r="W122" s="535"/>
      <c r="X122" s="2">
        <v>65</v>
      </c>
    </row>
    <row r="123" spans="1:24" x14ac:dyDescent="0.25">
      <c r="A123" s="513"/>
      <c r="B123" s="516"/>
      <c r="C123" s="516"/>
      <c r="D123" s="516"/>
      <c r="E123" s="516"/>
      <c r="F123" s="514"/>
      <c r="G123" s="536"/>
      <c r="H123" s="515"/>
      <c r="I123" s="537"/>
      <c r="J123" s="539"/>
      <c r="K123" s="541"/>
      <c r="L123" s="516"/>
      <c r="M123" s="516"/>
      <c r="N123" s="164" t="s">
        <v>345</v>
      </c>
      <c r="O123" s="514"/>
      <c r="P123" s="157">
        <v>13875</v>
      </c>
      <c r="Q123" s="158" t="s">
        <v>355</v>
      </c>
      <c r="R123" s="159"/>
      <c r="S123" s="157"/>
      <c r="T123" s="157"/>
      <c r="U123" s="515"/>
      <c r="V123" s="518"/>
      <c r="W123" s="535"/>
      <c r="X123" s="2">
        <v>65</v>
      </c>
    </row>
    <row r="124" spans="1:24" x14ac:dyDescent="0.25">
      <c r="A124" s="513"/>
      <c r="B124" s="516"/>
      <c r="C124" s="516"/>
      <c r="D124" s="516"/>
      <c r="E124" s="516"/>
      <c r="F124" s="514"/>
      <c r="G124" s="536"/>
      <c r="H124" s="515"/>
      <c r="I124" s="537"/>
      <c r="J124" s="539"/>
      <c r="K124" s="541"/>
      <c r="L124" s="516"/>
      <c r="M124" s="516"/>
      <c r="N124" s="164" t="s">
        <v>346</v>
      </c>
      <c r="O124" s="514"/>
      <c r="P124" s="157">
        <v>7775</v>
      </c>
      <c r="Q124" s="158" t="s">
        <v>350</v>
      </c>
      <c r="R124" s="159"/>
      <c r="S124" s="157"/>
      <c r="T124" s="157"/>
      <c r="U124" s="515"/>
      <c r="V124" s="518"/>
      <c r="W124" s="535"/>
      <c r="X124" s="2">
        <v>65</v>
      </c>
    </row>
    <row r="125" spans="1:24" x14ac:dyDescent="0.25">
      <c r="A125" s="513"/>
      <c r="B125" s="516"/>
      <c r="C125" s="516"/>
      <c r="D125" s="516"/>
      <c r="E125" s="516"/>
      <c r="F125" s="514"/>
      <c r="G125" s="536"/>
      <c r="H125" s="515"/>
      <c r="I125" s="537"/>
      <c r="J125" s="539"/>
      <c r="K125" s="541"/>
      <c r="L125" s="516"/>
      <c r="M125" s="516"/>
      <c r="N125" s="164" t="s">
        <v>357</v>
      </c>
      <c r="O125" s="514"/>
      <c r="P125" s="157">
        <v>23325</v>
      </c>
      <c r="Q125" s="158" t="s">
        <v>354</v>
      </c>
      <c r="R125" s="159"/>
      <c r="S125" s="157"/>
      <c r="T125" s="157"/>
      <c r="U125" s="515"/>
      <c r="V125" s="518"/>
      <c r="W125" s="535"/>
      <c r="X125" s="2">
        <v>65</v>
      </c>
    </row>
    <row r="126" spans="1:24" x14ac:dyDescent="0.25">
      <c r="A126" s="401"/>
      <c r="B126" s="407"/>
      <c r="C126" s="407"/>
      <c r="D126" s="407"/>
      <c r="E126" s="407"/>
      <c r="F126" s="403"/>
      <c r="G126" s="413"/>
      <c r="H126" s="405"/>
      <c r="I126" s="415"/>
      <c r="J126" s="598"/>
      <c r="K126" s="599"/>
      <c r="L126" s="407"/>
      <c r="M126" s="407"/>
      <c r="N126" s="165" t="s">
        <v>383</v>
      </c>
      <c r="O126" s="403"/>
      <c r="P126" s="160">
        <v>15750</v>
      </c>
      <c r="Q126" s="161" t="s">
        <v>377</v>
      </c>
      <c r="R126" s="162"/>
      <c r="S126" s="160"/>
      <c r="T126" s="160"/>
      <c r="U126" s="405"/>
      <c r="V126" s="519"/>
      <c r="W126" s="411"/>
      <c r="X126" s="2">
        <v>65</v>
      </c>
    </row>
    <row r="127" spans="1:24" s="85" customFormat="1" ht="87.6" customHeight="1" x14ac:dyDescent="0.25">
      <c r="A127" s="437">
        <v>13</v>
      </c>
      <c r="B127" s="434" t="s">
        <v>56</v>
      </c>
      <c r="C127" s="434"/>
      <c r="D127" s="434"/>
      <c r="E127" s="434" t="s">
        <v>298</v>
      </c>
      <c r="F127" s="440" t="s">
        <v>283</v>
      </c>
      <c r="G127" s="469" t="s">
        <v>302</v>
      </c>
      <c r="H127" s="465">
        <v>66360</v>
      </c>
      <c r="I127" s="471">
        <f>IF(X127 = 66, H127 + SUM(S127:S136) - SUM(T127:T136) - SUM(P127:P136) - V127,0)</f>
        <v>0</v>
      </c>
      <c r="J127" s="600">
        <v>2353020735</v>
      </c>
      <c r="K127" s="603" t="s">
        <v>286</v>
      </c>
      <c r="L127" s="434"/>
      <c r="M127" s="434" t="s">
        <v>287</v>
      </c>
      <c r="N127" s="223" t="s">
        <v>307</v>
      </c>
      <c r="O127" s="440" t="s">
        <v>288</v>
      </c>
      <c r="P127" s="219">
        <v>4572</v>
      </c>
      <c r="Q127" s="218" t="s">
        <v>311</v>
      </c>
      <c r="R127" s="217"/>
      <c r="S127" s="219"/>
      <c r="T127" s="219"/>
      <c r="U127" s="465" t="s">
        <v>517</v>
      </c>
      <c r="V127" s="606">
        <v>29534</v>
      </c>
      <c r="W127" s="462"/>
      <c r="X127" s="85">
        <v>66</v>
      </c>
    </row>
    <row r="128" spans="1:24" x14ac:dyDescent="0.25">
      <c r="A128" s="438"/>
      <c r="B128" s="435"/>
      <c r="C128" s="435"/>
      <c r="D128" s="435"/>
      <c r="E128" s="435"/>
      <c r="F128" s="441"/>
      <c r="G128" s="475"/>
      <c r="H128" s="473"/>
      <c r="I128" s="476"/>
      <c r="J128" s="601"/>
      <c r="K128" s="604"/>
      <c r="L128" s="435"/>
      <c r="M128" s="435"/>
      <c r="N128" s="228" t="s">
        <v>307</v>
      </c>
      <c r="O128" s="441"/>
      <c r="P128" s="225">
        <v>4010</v>
      </c>
      <c r="Q128" s="226" t="s">
        <v>311</v>
      </c>
      <c r="R128" s="227"/>
      <c r="S128" s="225"/>
      <c r="T128" s="225"/>
      <c r="U128" s="473"/>
      <c r="V128" s="607"/>
      <c r="W128" s="463"/>
      <c r="X128" s="2">
        <v>66</v>
      </c>
    </row>
    <row r="129" spans="1:24" x14ac:dyDescent="0.25">
      <c r="A129" s="438"/>
      <c r="B129" s="435"/>
      <c r="C129" s="435"/>
      <c r="D129" s="435"/>
      <c r="E129" s="435"/>
      <c r="F129" s="441"/>
      <c r="G129" s="475"/>
      <c r="H129" s="473"/>
      <c r="I129" s="476"/>
      <c r="J129" s="601"/>
      <c r="K129" s="604"/>
      <c r="L129" s="435"/>
      <c r="M129" s="435"/>
      <c r="N129" s="228" t="s">
        <v>345</v>
      </c>
      <c r="O129" s="441"/>
      <c r="P129" s="225">
        <v>4494</v>
      </c>
      <c r="Q129" s="226" t="s">
        <v>355</v>
      </c>
      <c r="R129" s="227"/>
      <c r="S129" s="225"/>
      <c r="T129" s="225"/>
      <c r="U129" s="473"/>
      <c r="V129" s="607"/>
      <c r="W129" s="463"/>
      <c r="X129" s="2">
        <v>66</v>
      </c>
    </row>
    <row r="130" spans="1:24" x14ac:dyDescent="0.25">
      <c r="A130" s="438"/>
      <c r="B130" s="435"/>
      <c r="C130" s="435"/>
      <c r="D130" s="435"/>
      <c r="E130" s="435"/>
      <c r="F130" s="441"/>
      <c r="G130" s="475"/>
      <c r="H130" s="473"/>
      <c r="I130" s="476"/>
      <c r="J130" s="601"/>
      <c r="K130" s="604"/>
      <c r="L130" s="435"/>
      <c r="M130" s="435"/>
      <c r="N130" s="228" t="s">
        <v>345</v>
      </c>
      <c r="O130" s="441"/>
      <c r="P130" s="225">
        <v>2610</v>
      </c>
      <c r="Q130" s="226" t="s">
        <v>355</v>
      </c>
      <c r="R130" s="227"/>
      <c r="S130" s="225"/>
      <c r="T130" s="225"/>
      <c r="U130" s="473"/>
      <c r="V130" s="607"/>
      <c r="W130" s="463"/>
      <c r="X130" s="2">
        <v>66</v>
      </c>
    </row>
    <row r="131" spans="1:24" x14ac:dyDescent="0.25">
      <c r="A131" s="438"/>
      <c r="B131" s="435"/>
      <c r="C131" s="435"/>
      <c r="D131" s="435"/>
      <c r="E131" s="435"/>
      <c r="F131" s="441"/>
      <c r="G131" s="475"/>
      <c r="H131" s="473"/>
      <c r="I131" s="476"/>
      <c r="J131" s="601"/>
      <c r="K131" s="604"/>
      <c r="L131" s="435"/>
      <c r="M131" s="435"/>
      <c r="N131" s="228" t="s">
        <v>383</v>
      </c>
      <c r="O131" s="441"/>
      <c r="P131" s="225">
        <v>4554</v>
      </c>
      <c r="Q131" s="226" t="s">
        <v>376</v>
      </c>
      <c r="R131" s="227"/>
      <c r="S131" s="225"/>
      <c r="T131" s="225"/>
      <c r="U131" s="473"/>
      <c r="V131" s="607"/>
      <c r="W131" s="463"/>
      <c r="X131" s="2">
        <v>66</v>
      </c>
    </row>
    <row r="132" spans="1:24" x14ac:dyDescent="0.25">
      <c r="A132" s="438"/>
      <c r="B132" s="435"/>
      <c r="C132" s="435"/>
      <c r="D132" s="435"/>
      <c r="E132" s="435"/>
      <c r="F132" s="441"/>
      <c r="G132" s="475"/>
      <c r="H132" s="473"/>
      <c r="I132" s="476"/>
      <c r="J132" s="601"/>
      <c r="K132" s="604"/>
      <c r="L132" s="435"/>
      <c r="M132" s="435"/>
      <c r="N132" s="228" t="s">
        <v>383</v>
      </c>
      <c r="O132" s="441"/>
      <c r="P132" s="225">
        <v>2530</v>
      </c>
      <c r="Q132" s="226" t="s">
        <v>376</v>
      </c>
      <c r="R132" s="227"/>
      <c r="S132" s="225"/>
      <c r="T132" s="225"/>
      <c r="U132" s="473"/>
      <c r="V132" s="607"/>
      <c r="W132" s="463"/>
      <c r="X132" s="2">
        <v>66</v>
      </c>
    </row>
    <row r="133" spans="1:24" x14ac:dyDescent="0.25">
      <c r="A133" s="438"/>
      <c r="B133" s="435"/>
      <c r="C133" s="435"/>
      <c r="D133" s="435"/>
      <c r="E133" s="435"/>
      <c r="F133" s="441"/>
      <c r="G133" s="475"/>
      <c r="H133" s="473"/>
      <c r="I133" s="476"/>
      <c r="J133" s="601"/>
      <c r="K133" s="604"/>
      <c r="L133" s="435"/>
      <c r="M133" s="435"/>
      <c r="N133" s="228" t="s">
        <v>459</v>
      </c>
      <c r="O133" s="441"/>
      <c r="P133" s="225">
        <v>5730</v>
      </c>
      <c r="Q133" s="226" t="s">
        <v>463</v>
      </c>
      <c r="R133" s="227"/>
      <c r="S133" s="225"/>
      <c r="T133" s="225"/>
      <c r="U133" s="473"/>
      <c r="V133" s="607"/>
      <c r="W133" s="463"/>
      <c r="X133" s="2">
        <v>66</v>
      </c>
    </row>
    <row r="134" spans="1:24" x14ac:dyDescent="0.25">
      <c r="A134" s="438"/>
      <c r="B134" s="435"/>
      <c r="C134" s="435"/>
      <c r="D134" s="435"/>
      <c r="E134" s="435"/>
      <c r="F134" s="441"/>
      <c r="G134" s="475"/>
      <c r="H134" s="473"/>
      <c r="I134" s="476"/>
      <c r="J134" s="601"/>
      <c r="K134" s="604"/>
      <c r="L134" s="435"/>
      <c r="M134" s="435"/>
      <c r="N134" s="228" t="s">
        <v>459</v>
      </c>
      <c r="O134" s="441"/>
      <c r="P134" s="225">
        <v>3080</v>
      </c>
      <c r="Q134" s="226" t="s">
        <v>463</v>
      </c>
      <c r="R134" s="227"/>
      <c r="S134" s="225"/>
      <c r="T134" s="225"/>
      <c r="U134" s="473"/>
      <c r="V134" s="607"/>
      <c r="W134" s="463"/>
      <c r="X134" s="2">
        <v>66</v>
      </c>
    </row>
    <row r="135" spans="1:24" x14ac:dyDescent="0.25">
      <c r="A135" s="438"/>
      <c r="B135" s="435"/>
      <c r="C135" s="435"/>
      <c r="D135" s="435"/>
      <c r="E135" s="435"/>
      <c r="F135" s="441"/>
      <c r="G135" s="475"/>
      <c r="H135" s="473"/>
      <c r="I135" s="476"/>
      <c r="J135" s="601"/>
      <c r="K135" s="604"/>
      <c r="L135" s="435"/>
      <c r="M135" s="435"/>
      <c r="N135" s="228" t="s">
        <v>467</v>
      </c>
      <c r="O135" s="441"/>
      <c r="P135" s="225">
        <v>3366</v>
      </c>
      <c r="Q135" s="226" t="s">
        <v>509</v>
      </c>
      <c r="R135" s="227"/>
      <c r="S135" s="225"/>
      <c r="T135" s="225"/>
      <c r="U135" s="473"/>
      <c r="V135" s="607"/>
      <c r="W135" s="463"/>
      <c r="X135" s="2">
        <v>66</v>
      </c>
    </row>
    <row r="136" spans="1:24" x14ac:dyDescent="0.25">
      <c r="A136" s="439"/>
      <c r="B136" s="436"/>
      <c r="C136" s="436"/>
      <c r="D136" s="436"/>
      <c r="E136" s="436"/>
      <c r="F136" s="442"/>
      <c r="G136" s="470"/>
      <c r="H136" s="466"/>
      <c r="I136" s="472"/>
      <c r="J136" s="602"/>
      <c r="K136" s="605"/>
      <c r="L136" s="436"/>
      <c r="M136" s="436"/>
      <c r="N136" s="224" t="s">
        <v>467</v>
      </c>
      <c r="O136" s="442"/>
      <c r="P136" s="220">
        <v>1880</v>
      </c>
      <c r="Q136" s="221" t="s">
        <v>509</v>
      </c>
      <c r="R136" s="222"/>
      <c r="S136" s="220"/>
      <c r="T136" s="220"/>
      <c r="U136" s="466"/>
      <c r="V136" s="608"/>
      <c r="W136" s="464"/>
      <c r="X136" s="2">
        <v>66</v>
      </c>
    </row>
    <row r="137" spans="1:24" s="85" customFormat="1" ht="93.75" x14ac:dyDescent="0.25">
      <c r="A137" s="116">
        <v>14</v>
      </c>
      <c r="B137" s="112" t="s">
        <v>56</v>
      </c>
      <c r="C137" s="112"/>
      <c r="D137" s="112"/>
      <c r="E137" s="98" t="s">
        <v>251</v>
      </c>
      <c r="F137" s="121" t="s">
        <v>252</v>
      </c>
      <c r="G137" s="99" t="s">
        <v>253</v>
      </c>
      <c r="H137" s="113">
        <v>9000</v>
      </c>
      <c r="I137" s="118">
        <f>IF(X137 = 67, H137 + SUM(S137:S137) - SUM(T137:T137) - SUM(P137:P137) - V137,0)</f>
        <v>0</v>
      </c>
      <c r="J137" s="119">
        <v>2335015365</v>
      </c>
      <c r="K137" s="120" t="s">
        <v>154</v>
      </c>
      <c r="L137" s="112"/>
      <c r="M137" s="112" t="s">
        <v>254</v>
      </c>
      <c r="N137" s="121" t="s">
        <v>310</v>
      </c>
      <c r="O137" s="102" t="s">
        <v>255</v>
      </c>
      <c r="P137" s="113">
        <v>9000</v>
      </c>
      <c r="Q137" s="117" t="s">
        <v>314</v>
      </c>
      <c r="R137" s="112"/>
      <c r="S137" s="113"/>
      <c r="T137" s="113"/>
      <c r="U137" s="113"/>
      <c r="V137" s="114"/>
      <c r="W137" s="115"/>
      <c r="X137" s="85">
        <v>67</v>
      </c>
    </row>
    <row r="138" spans="1:24" s="85" customFormat="1" ht="75" x14ac:dyDescent="0.25">
      <c r="A138" s="116">
        <v>15</v>
      </c>
      <c r="B138" s="112" t="s">
        <v>56</v>
      </c>
      <c r="C138" s="112"/>
      <c r="D138" s="112"/>
      <c r="E138" s="112" t="s">
        <v>295</v>
      </c>
      <c r="F138" s="121" t="s">
        <v>256</v>
      </c>
      <c r="G138" s="99" t="s">
        <v>257</v>
      </c>
      <c r="H138" s="100">
        <v>5849</v>
      </c>
      <c r="I138" s="118">
        <f>IF(X138 = 68, H138 + SUM(S138:S138) - SUM(T138:T138) - SUM(P138:P138) - V138,0)</f>
        <v>0</v>
      </c>
      <c r="J138" s="101">
        <v>235002152355</v>
      </c>
      <c r="K138" s="120" t="s">
        <v>194</v>
      </c>
      <c r="L138" s="112"/>
      <c r="M138" s="98" t="s">
        <v>258</v>
      </c>
      <c r="N138" s="121" t="s">
        <v>305</v>
      </c>
      <c r="O138" s="102" t="s">
        <v>250</v>
      </c>
      <c r="P138" s="113">
        <v>5849</v>
      </c>
      <c r="Q138" s="117" t="s">
        <v>304</v>
      </c>
      <c r="R138" s="112"/>
      <c r="S138" s="113"/>
      <c r="T138" s="113"/>
      <c r="U138" s="113"/>
      <c r="V138" s="114"/>
      <c r="W138" s="115"/>
      <c r="X138" s="85">
        <v>68</v>
      </c>
    </row>
    <row r="139" spans="1:24" s="85" customFormat="1" ht="56.25" x14ac:dyDescent="0.25">
      <c r="A139" s="135">
        <v>16</v>
      </c>
      <c r="B139" s="137" t="s">
        <v>56</v>
      </c>
      <c r="C139" s="137"/>
      <c r="D139" s="137"/>
      <c r="E139" s="137" t="s">
        <v>322</v>
      </c>
      <c r="F139" s="142" t="s">
        <v>323</v>
      </c>
      <c r="G139" s="140" t="s">
        <v>327</v>
      </c>
      <c r="H139" s="136">
        <v>3000</v>
      </c>
      <c r="I139" s="141">
        <f>IF(X139 = 69, H139 + SUM(S139:S139) - SUM(T139:T139) - SUM(P139:P139) - V139,0)</f>
        <v>0</v>
      </c>
      <c r="J139" s="143">
        <v>2311187588</v>
      </c>
      <c r="K139" s="144" t="s">
        <v>324</v>
      </c>
      <c r="L139" s="137"/>
      <c r="M139" s="137" t="s">
        <v>325</v>
      </c>
      <c r="N139" s="142" t="s">
        <v>351</v>
      </c>
      <c r="O139" s="102" t="s">
        <v>326</v>
      </c>
      <c r="P139" s="136">
        <v>3000</v>
      </c>
      <c r="Q139" s="140" t="s">
        <v>350</v>
      </c>
      <c r="R139" s="137"/>
      <c r="S139" s="136"/>
      <c r="T139" s="136"/>
      <c r="U139" s="136"/>
      <c r="V139" s="145"/>
      <c r="W139" s="139"/>
      <c r="X139" s="85">
        <v>69</v>
      </c>
    </row>
    <row r="140" spans="1:24" s="85" customFormat="1" ht="58.15" customHeight="1" x14ac:dyDescent="0.25">
      <c r="A140" s="450">
        <v>17</v>
      </c>
      <c r="B140" s="423" t="s">
        <v>56</v>
      </c>
      <c r="C140" s="423"/>
      <c r="D140" s="423"/>
      <c r="E140" s="423" t="s">
        <v>277</v>
      </c>
      <c r="F140" s="428" t="s">
        <v>362</v>
      </c>
      <c r="G140" s="459" t="s">
        <v>299</v>
      </c>
      <c r="H140" s="431">
        <v>341975.03999999998</v>
      </c>
      <c r="I140" s="456">
        <f>IF(X140 = 70, H140 + SUM(S140:S149) - SUM(T140:T149) - SUM(P140:P149) - V140,0)</f>
        <v>-5.0931703299283981E-11</v>
      </c>
      <c r="J140" s="592">
        <v>2353020735</v>
      </c>
      <c r="K140" s="595" t="s">
        <v>286</v>
      </c>
      <c r="L140" s="423"/>
      <c r="M140" s="423" t="s">
        <v>363</v>
      </c>
      <c r="N140" s="194" t="s">
        <v>376</v>
      </c>
      <c r="O140" s="428" t="s">
        <v>288</v>
      </c>
      <c r="P140" s="187">
        <v>45641.53</v>
      </c>
      <c r="Q140" s="186" t="s">
        <v>384</v>
      </c>
      <c r="R140" s="185"/>
      <c r="S140" s="187"/>
      <c r="T140" s="187"/>
      <c r="U140" s="431" t="s">
        <v>522</v>
      </c>
      <c r="V140" s="589">
        <v>64023.13</v>
      </c>
      <c r="W140" s="447"/>
      <c r="X140" s="85">
        <v>70</v>
      </c>
    </row>
    <row r="141" spans="1:24" x14ac:dyDescent="0.25">
      <c r="A141" s="451"/>
      <c r="B141" s="424"/>
      <c r="C141" s="424"/>
      <c r="D141" s="424"/>
      <c r="E141" s="424"/>
      <c r="F141" s="429"/>
      <c r="G141" s="460"/>
      <c r="H141" s="432"/>
      <c r="I141" s="457"/>
      <c r="J141" s="593"/>
      <c r="K141" s="596"/>
      <c r="L141" s="424"/>
      <c r="M141" s="424"/>
      <c r="N141" s="195" t="s">
        <v>376</v>
      </c>
      <c r="O141" s="429"/>
      <c r="P141" s="188">
        <v>2913.35</v>
      </c>
      <c r="Q141" s="189" t="s">
        <v>384</v>
      </c>
      <c r="R141" s="190"/>
      <c r="S141" s="188"/>
      <c r="T141" s="188"/>
      <c r="U141" s="432"/>
      <c r="V141" s="590"/>
      <c r="W141" s="448"/>
      <c r="X141" s="2">
        <v>70</v>
      </c>
    </row>
    <row r="142" spans="1:24" x14ac:dyDescent="0.25">
      <c r="A142" s="451"/>
      <c r="B142" s="424"/>
      <c r="C142" s="424"/>
      <c r="D142" s="424"/>
      <c r="E142" s="424"/>
      <c r="F142" s="429"/>
      <c r="G142" s="460"/>
      <c r="H142" s="432"/>
      <c r="I142" s="457"/>
      <c r="J142" s="593"/>
      <c r="K142" s="596"/>
      <c r="L142" s="424"/>
      <c r="M142" s="424"/>
      <c r="N142" s="195" t="s">
        <v>381</v>
      </c>
      <c r="O142" s="429"/>
      <c r="P142" s="188">
        <v>5808.11</v>
      </c>
      <c r="Q142" s="189" t="s">
        <v>457</v>
      </c>
      <c r="R142" s="190"/>
      <c r="S142" s="188"/>
      <c r="T142" s="188"/>
      <c r="U142" s="432"/>
      <c r="V142" s="590"/>
      <c r="W142" s="448"/>
      <c r="X142" s="2">
        <v>70</v>
      </c>
    </row>
    <row r="143" spans="1:24" x14ac:dyDescent="0.25">
      <c r="A143" s="451"/>
      <c r="B143" s="424"/>
      <c r="C143" s="424"/>
      <c r="D143" s="424"/>
      <c r="E143" s="424"/>
      <c r="F143" s="429"/>
      <c r="G143" s="460"/>
      <c r="H143" s="432"/>
      <c r="I143" s="457"/>
      <c r="J143" s="593"/>
      <c r="K143" s="596"/>
      <c r="L143" s="424"/>
      <c r="M143" s="424"/>
      <c r="N143" s="195" t="s">
        <v>381</v>
      </c>
      <c r="O143" s="429"/>
      <c r="P143" s="188">
        <v>90991.89</v>
      </c>
      <c r="Q143" s="189" t="s">
        <v>457</v>
      </c>
      <c r="R143" s="190"/>
      <c r="S143" s="188"/>
      <c r="T143" s="188"/>
      <c r="U143" s="432"/>
      <c r="V143" s="590"/>
      <c r="W143" s="448"/>
      <c r="X143" s="2">
        <v>70</v>
      </c>
    </row>
    <row r="144" spans="1:24" x14ac:dyDescent="0.25">
      <c r="A144" s="451"/>
      <c r="B144" s="424"/>
      <c r="C144" s="424"/>
      <c r="D144" s="424"/>
      <c r="E144" s="424"/>
      <c r="F144" s="429"/>
      <c r="G144" s="460"/>
      <c r="H144" s="432"/>
      <c r="I144" s="457"/>
      <c r="J144" s="593"/>
      <c r="K144" s="596"/>
      <c r="L144" s="424"/>
      <c r="M144" s="424"/>
      <c r="N144" s="195" t="s">
        <v>459</v>
      </c>
      <c r="O144" s="429"/>
      <c r="P144" s="188">
        <v>31311.89</v>
      </c>
      <c r="Q144" s="189" t="s">
        <v>463</v>
      </c>
      <c r="R144" s="190"/>
      <c r="S144" s="188"/>
      <c r="T144" s="188"/>
      <c r="U144" s="432"/>
      <c r="V144" s="590"/>
      <c r="W144" s="448"/>
      <c r="X144" s="2">
        <v>70</v>
      </c>
    </row>
    <row r="145" spans="1:24" x14ac:dyDescent="0.25">
      <c r="A145" s="451"/>
      <c r="B145" s="424"/>
      <c r="C145" s="424"/>
      <c r="D145" s="424"/>
      <c r="E145" s="424"/>
      <c r="F145" s="429"/>
      <c r="G145" s="460"/>
      <c r="H145" s="432"/>
      <c r="I145" s="457"/>
      <c r="J145" s="593"/>
      <c r="K145" s="596"/>
      <c r="L145" s="424"/>
      <c r="M145" s="424"/>
      <c r="N145" s="195" t="s">
        <v>459</v>
      </c>
      <c r="O145" s="429"/>
      <c r="P145" s="188">
        <v>1998.67</v>
      </c>
      <c r="Q145" s="189" t="s">
        <v>463</v>
      </c>
      <c r="R145" s="190"/>
      <c r="S145" s="188"/>
      <c r="T145" s="188"/>
      <c r="U145" s="432"/>
      <c r="V145" s="590"/>
      <c r="W145" s="448"/>
      <c r="X145" s="2">
        <v>70</v>
      </c>
    </row>
    <row r="146" spans="1:24" x14ac:dyDescent="0.25">
      <c r="A146" s="451"/>
      <c r="B146" s="424"/>
      <c r="C146" s="424"/>
      <c r="D146" s="424"/>
      <c r="E146" s="424"/>
      <c r="F146" s="429"/>
      <c r="G146" s="460"/>
      <c r="H146" s="432"/>
      <c r="I146" s="457"/>
      <c r="J146" s="593"/>
      <c r="K146" s="596"/>
      <c r="L146" s="424"/>
      <c r="M146" s="424"/>
      <c r="N146" s="195" t="s">
        <v>462</v>
      </c>
      <c r="O146" s="429"/>
      <c r="P146" s="188">
        <v>32256.639999999999</v>
      </c>
      <c r="Q146" s="189" t="s">
        <v>465</v>
      </c>
      <c r="R146" s="190"/>
      <c r="S146" s="188"/>
      <c r="T146" s="188"/>
      <c r="U146" s="432"/>
      <c r="V146" s="590"/>
      <c r="W146" s="448"/>
      <c r="X146" s="2">
        <v>70</v>
      </c>
    </row>
    <row r="147" spans="1:24" x14ac:dyDescent="0.25">
      <c r="A147" s="451"/>
      <c r="B147" s="424"/>
      <c r="C147" s="424"/>
      <c r="D147" s="424"/>
      <c r="E147" s="424"/>
      <c r="F147" s="429"/>
      <c r="G147" s="460"/>
      <c r="H147" s="432"/>
      <c r="I147" s="457"/>
      <c r="J147" s="593"/>
      <c r="K147" s="596"/>
      <c r="L147" s="424"/>
      <c r="M147" s="424"/>
      <c r="N147" s="195" t="s">
        <v>462</v>
      </c>
      <c r="O147" s="429"/>
      <c r="P147" s="188">
        <v>2058.98</v>
      </c>
      <c r="Q147" s="189" t="s">
        <v>465</v>
      </c>
      <c r="R147" s="190"/>
      <c r="S147" s="188"/>
      <c r="T147" s="188"/>
      <c r="U147" s="432"/>
      <c r="V147" s="590"/>
      <c r="W147" s="448"/>
      <c r="X147" s="2">
        <v>70</v>
      </c>
    </row>
    <row r="148" spans="1:24" x14ac:dyDescent="0.25">
      <c r="A148" s="451"/>
      <c r="B148" s="424"/>
      <c r="C148" s="424"/>
      <c r="D148" s="424"/>
      <c r="E148" s="424"/>
      <c r="F148" s="429"/>
      <c r="G148" s="460"/>
      <c r="H148" s="432"/>
      <c r="I148" s="457"/>
      <c r="J148" s="593"/>
      <c r="K148" s="596"/>
      <c r="L148" s="424"/>
      <c r="M148" s="424"/>
      <c r="N148" s="195" t="s">
        <v>467</v>
      </c>
      <c r="O148" s="429"/>
      <c r="P148" s="188">
        <v>61072.52</v>
      </c>
      <c r="Q148" s="189" t="s">
        <v>470</v>
      </c>
      <c r="R148" s="190"/>
      <c r="S148" s="188"/>
      <c r="T148" s="188"/>
      <c r="U148" s="432"/>
      <c r="V148" s="590"/>
      <c r="W148" s="448"/>
      <c r="X148" s="2">
        <v>70</v>
      </c>
    </row>
    <row r="149" spans="1:24" x14ac:dyDescent="0.25">
      <c r="A149" s="452"/>
      <c r="B149" s="425"/>
      <c r="C149" s="425"/>
      <c r="D149" s="425"/>
      <c r="E149" s="425"/>
      <c r="F149" s="430"/>
      <c r="G149" s="461"/>
      <c r="H149" s="433"/>
      <c r="I149" s="458"/>
      <c r="J149" s="594"/>
      <c r="K149" s="597"/>
      <c r="L149" s="425"/>
      <c r="M149" s="425"/>
      <c r="N149" s="196" t="s">
        <v>467</v>
      </c>
      <c r="O149" s="430"/>
      <c r="P149" s="191">
        <v>3898.33</v>
      </c>
      <c r="Q149" s="192" t="s">
        <v>470</v>
      </c>
      <c r="R149" s="193"/>
      <c r="S149" s="191"/>
      <c r="T149" s="191"/>
      <c r="U149" s="433"/>
      <c r="V149" s="591"/>
      <c r="W149" s="449"/>
      <c r="X149" s="2">
        <v>70</v>
      </c>
    </row>
    <row r="150" spans="1:24" s="85" customFormat="1" ht="60.6" customHeight="1" x14ac:dyDescent="0.25">
      <c r="A150" s="450">
        <v>18</v>
      </c>
      <c r="B150" s="423" t="s">
        <v>56</v>
      </c>
      <c r="C150" s="423"/>
      <c r="D150" s="423"/>
      <c r="E150" s="423" t="s">
        <v>297</v>
      </c>
      <c r="F150" s="428" t="s">
        <v>362</v>
      </c>
      <c r="G150" s="459" t="s">
        <v>301</v>
      </c>
      <c r="H150" s="431">
        <v>110400</v>
      </c>
      <c r="I150" s="456">
        <f>IF(X150 = 71, H150 + SUM(S150:S154) - SUM(T150:T154) - SUM(P150:P154) - V150,0)</f>
        <v>0</v>
      </c>
      <c r="J150" s="592">
        <v>2353020735</v>
      </c>
      <c r="K150" s="595" t="s">
        <v>286</v>
      </c>
      <c r="L150" s="423"/>
      <c r="M150" s="423" t="s">
        <v>363</v>
      </c>
      <c r="N150" s="194" t="s">
        <v>376</v>
      </c>
      <c r="O150" s="428" t="s">
        <v>288</v>
      </c>
      <c r="P150" s="187">
        <v>15675</v>
      </c>
      <c r="Q150" s="186" t="s">
        <v>384</v>
      </c>
      <c r="R150" s="185"/>
      <c r="S150" s="187"/>
      <c r="T150" s="187"/>
      <c r="U150" s="431" t="s">
        <v>522</v>
      </c>
      <c r="V150" s="589">
        <v>17350</v>
      </c>
      <c r="W150" s="447"/>
      <c r="X150" s="85">
        <v>71</v>
      </c>
    </row>
    <row r="151" spans="1:24" x14ac:dyDescent="0.25">
      <c r="A151" s="451"/>
      <c r="B151" s="424"/>
      <c r="C151" s="424"/>
      <c r="D151" s="424"/>
      <c r="E151" s="424"/>
      <c r="F151" s="429"/>
      <c r="G151" s="460"/>
      <c r="H151" s="432"/>
      <c r="I151" s="457"/>
      <c r="J151" s="593"/>
      <c r="K151" s="596"/>
      <c r="L151" s="424"/>
      <c r="M151" s="424"/>
      <c r="N151" s="195" t="s">
        <v>381</v>
      </c>
      <c r="O151" s="429"/>
      <c r="P151" s="188">
        <v>31250</v>
      </c>
      <c r="Q151" s="189" t="s">
        <v>457</v>
      </c>
      <c r="R151" s="190"/>
      <c r="S151" s="188"/>
      <c r="T151" s="188"/>
      <c r="U151" s="432"/>
      <c r="V151" s="590"/>
      <c r="W151" s="448"/>
      <c r="X151" s="2">
        <v>71</v>
      </c>
    </row>
    <row r="152" spans="1:24" x14ac:dyDescent="0.25">
      <c r="A152" s="451"/>
      <c r="B152" s="424"/>
      <c r="C152" s="424"/>
      <c r="D152" s="424"/>
      <c r="E152" s="424"/>
      <c r="F152" s="429"/>
      <c r="G152" s="460"/>
      <c r="H152" s="432"/>
      <c r="I152" s="457"/>
      <c r="J152" s="593"/>
      <c r="K152" s="596"/>
      <c r="L152" s="424"/>
      <c r="M152" s="424"/>
      <c r="N152" s="195" t="s">
        <v>459</v>
      </c>
      <c r="O152" s="429"/>
      <c r="P152" s="188">
        <v>11600</v>
      </c>
      <c r="Q152" s="189" t="s">
        <v>464</v>
      </c>
      <c r="R152" s="190"/>
      <c r="S152" s="188"/>
      <c r="T152" s="188"/>
      <c r="U152" s="432"/>
      <c r="V152" s="590"/>
      <c r="W152" s="448"/>
      <c r="X152" s="2">
        <v>71</v>
      </c>
    </row>
    <row r="153" spans="1:24" x14ac:dyDescent="0.25">
      <c r="A153" s="451"/>
      <c r="B153" s="424"/>
      <c r="C153" s="424"/>
      <c r="D153" s="424"/>
      <c r="E153" s="424"/>
      <c r="F153" s="429"/>
      <c r="G153" s="460"/>
      <c r="H153" s="432"/>
      <c r="I153" s="457"/>
      <c r="J153" s="593"/>
      <c r="K153" s="596"/>
      <c r="L153" s="424"/>
      <c r="M153" s="424"/>
      <c r="N153" s="195" t="s">
        <v>462</v>
      </c>
      <c r="O153" s="429"/>
      <c r="P153" s="188">
        <v>11950</v>
      </c>
      <c r="Q153" s="189" t="s">
        <v>465</v>
      </c>
      <c r="R153" s="190"/>
      <c r="S153" s="188"/>
      <c r="T153" s="188"/>
      <c r="U153" s="432"/>
      <c r="V153" s="590"/>
      <c r="W153" s="448"/>
      <c r="X153" s="2">
        <v>71</v>
      </c>
    </row>
    <row r="154" spans="1:24" x14ac:dyDescent="0.25">
      <c r="A154" s="452"/>
      <c r="B154" s="425"/>
      <c r="C154" s="425"/>
      <c r="D154" s="425"/>
      <c r="E154" s="425"/>
      <c r="F154" s="430"/>
      <c r="G154" s="461"/>
      <c r="H154" s="433"/>
      <c r="I154" s="458"/>
      <c r="J154" s="594"/>
      <c r="K154" s="597"/>
      <c r="L154" s="425"/>
      <c r="M154" s="425"/>
      <c r="N154" s="196" t="s">
        <v>467</v>
      </c>
      <c r="O154" s="430"/>
      <c r="P154" s="191">
        <v>22575</v>
      </c>
      <c r="Q154" s="192" t="s">
        <v>470</v>
      </c>
      <c r="R154" s="193"/>
      <c r="S154" s="191"/>
      <c r="T154" s="191"/>
      <c r="U154" s="433"/>
      <c r="V154" s="591"/>
      <c r="W154" s="449"/>
      <c r="X154" s="2">
        <v>71</v>
      </c>
    </row>
    <row r="155" spans="1:24" s="85" customFormat="1" ht="75" x14ac:dyDescent="0.25">
      <c r="A155" s="175">
        <v>19</v>
      </c>
      <c r="B155" s="176" t="s">
        <v>56</v>
      </c>
      <c r="C155" s="176"/>
      <c r="D155" s="176"/>
      <c r="E155" s="176" t="s">
        <v>399</v>
      </c>
      <c r="F155" s="181" t="s">
        <v>400</v>
      </c>
      <c r="G155" s="177" t="s">
        <v>401</v>
      </c>
      <c r="H155" s="178">
        <v>15000</v>
      </c>
      <c r="I155" s="179">
        <f>IF(X155 = 72, H155 + SUM(S155:S155) - SUM(T155:T155) - SUM(P155:P155) - V155,0)</f>
        <v>0</v>
      </c>
      <c r="J155" s="182">
        <v>235002152355</v>
      </c>
      <c r="K155" s="120" t="s">
        <v>194</v>
      </c>
      <c r="L155" s="176"/>
      <c r="M155" s="98" t="s">
        <v>402</v>
      </c>
      <c r="N155" s="181" t="s">
        <v>463</v>
      </c>
      <c r="O155" s="102" t="s">
        <v>250</v>
      </c>
      <c r="P155" s="178">
        <v>15000</v>
      </c>
      <c r="Q155" s="177" t="s">
        <v>464</v>
      </c>
      <c r="R155" s="176"/>
      <c r="S155" s="178"/>
      <c r="T155" s="178"/>
      <c r="U155" s="178"/>
      <c r="V155" s="183"/>
      <c r="W155" s="174"/>
      <c r="X155" s="85">
        <v>72</v>
      </c>
    </row>
    <row r="156" spans="1:24" s="85" customFormat="1" ht="112.5" x14ac:dyDescent="0.25">
      <c r="A156" s="175">
        <v>20</v>
      </c>
      <c r="B156" s="176" t="s">
        <v>56</v>
      </c>
      <c r="C156" s="176"/>
      <c r="D156" s="176"/>
      <c r="E156" s="176" t="s">
        <v>403</v>
      </c>
      <c r="F156" s="181" t="s">
        <v>404</v>
      </c>
      <c r="G156" s="177" t="s">
        <v>405</v>
      </c>
      <c r="H156" s="178">
        <v>30730</v>
      </c>
      <c r="I156" s="179">
        <f>IF(X156 = 73, H156 + SUM(S156:S156) - SUM(T156:T156) - SUM(P156:P156) - V156,0)</f>
        <v>0</v>
      </c>
      <c r="J156" s="182">
        <v>2636040789</v>
      </c>
      <c r="K156" s="184" t="s">
        <v>406</v>
      </c>
      <c r="L156" s="176"/>
      <c r="M156" s="176" t="s">
        <v>407</v>
      </c>
      <c r="N156" s="181" t="s">
        <v>467</v>
      </c>
      <c r="O156" s="102" t="s">
        <v>408</v>
      </c>
      <c r="P156" s="178">
        <v>30730</v>
      </c>
      <c r="Q156" s="177" t="s">
        <v>466</v>
      </c>
      <c r="R156" s="176"/>
      <c r="S156" s="178"/>
      <c r="T156" s="178"/>
      <c r="U156" s="178"/>
      <c r="V156" s="183"/>
      <c r="W156" s="174"/>
      <c r="X156" s="85">
        <v>73</v>
      </c>
    </row>
    <row r="157" spans="1:24" s="85" customFormat="1" ht="93.75" x14ac:dyDescent="0.25">
      <c r="A157" s="175">
        <v>21</v>
      </c>
      <c r="B157" s="176" t="s">
        <v>56</v>
      </c>
      <c r="C157" s="176"/>
      <c r="D157" s="176"/>
      <c r="E157" s="176" t="s">
        <v>423</v>
      </c>
      <c r="F157" s="181" t="s">
        <v>424</v>
      </c>
      <c r="G157" s="177" t="s">
        <v>425</v>
      </c>
      <c r="H157" s="178">
        <v>237856.35</v>
      </c>
      <c r="I157" s="179">
        <f>IF(X157 = 74, H157 + SUM(S157:S157) - SUM(T157:T157) - SUM(P157:P157) - V157,0)</f>
        <v>0</v>
      </c>
      <c r="J157" s="182">
        <v>7116151604</v>
      </c>
      <c r="K157" s="184" t="s">
        <v>426</v>
      </c>
      <c r="L157" s="176"/>
      <c r="M157" s="176" t="s">
        <v>427</v>
      </c>
      <c r="N157" s="181" t="s">
        <v>559</v>
      </c>
      <c r="O157" s="102" t="s">
        <v>428</v>
      </c>
      <c r="P157" s="178">
        <v>237856.35</v>
      </c>
      <c r="Q157" s="177" t="s">
        <v>560</v>
      </c>
      <c r="R157" s="176"/>
      <c r="S157" s="178"/>
      <c r="T157" s="178"/>
      <c r="U157" s="178"/>
      <c r="V157" s="183"/>
      <c r="W157" s="174"/>
      <c r="X157" s="85">
        <v>74</v>
      </c>
    </row>
    <row r="158" spans="1:24" s="85" customFormat="1" ht="75" x14ac:dyDescent="0.25">
      <c r="A158" s="175">
        <v>22</v>
      </c>
      <c r="B158" s="176" t="s">
        <v>56</v>
      </c>
      <c r="C158" s="176"/>
      <c r="D158" s="176"/>
      <c r="E158" s="176" t="s">
        <v>435</v>
      </c>
      <c r="F158" s="181" t="s">
        <v>436</v>
      </c>
      <c r="G158" s="177" t="s">
        <v>437</v>
      </c>
      <c r="H158" s="178">
        <v>15400</v>
      </c>
      <c r="I158" s="179">
        <f>IF(X158 = 75, H158 + SUM(S158:S158) - SUM(T158:T158) - SUM(P158:P158) - V158,0)</f>
        <v>0</v>
      </c>
      <c r="J158" s="182">
        <v>235002152355</v>
      </c>
      <c r="K158" s="184" t="s">
        <v>194</v>
      </c>
      <c r="L158" s="176"/>
      <c r="M158" s="176" t="s">
        <v>438</v>
      </c>
      <c r="N158" s="181" t="s">
        <v>467</v>
      </c>
      <c r="O158" s="102" t="s">
        <v>250</v>
      </c>
      <c r="P158" s="178">
        <v>15400</v>
      </c>
      <c r="Q158" s="177" t="s">
        <v>469</v>
      </c>
      <c r="R158" s="176"/>
      <c r="S158" s="178"/>
      <c r="T158" s="178"/>
      <c r="U158" s="178"/>
      <c r="V158" s="183"/>
      <c r="W158" s="174"/>
      <c r="X158" s="85">
        <v>75</v>
      </c>
    </row>
    <row r="159" spans="1:24" s="85" customFormat="1" ht="54.6" customHeight="1" x14ac:dyDescent="0.25">
      <c r="A159" s="175">
        <v>23</v>
      </c>
      <c r="B159" s="176" t="s">
        <v>56</v>
      </c>
      <c r="C159" s="176"/>
      <c r="D159" s="176"/>
      <c r="E159" s="176" t="s">
        <v>439</v>
      </c>
      <c r="F159" s="181" t="s">
        <v>440</v>
      </c>
      <c r="G159" s="177" t="s">
        <v>227</v>
      </c>
      <c r="H159" s="178">
        <v>7000</v>
      </c>
      <c r="I159" s="179">
        <f>IF(X159 = 76, H159 + SUM(S159:S159) - SUM(T159:T159) - SUM(P159:P159) - V159,0)</f>
        <v>0</v>
      </c>
      <c r="J159" s="182">
        <v>2353018870</v>
      </c>
      <c r="K159" s="184" t="s">
        <v>160</v>
      </c>
      <c r="L159" s="176"/>
      <c r="M159" s="176" t="s">
        <v>441</v>
      </c>
      <c r="N159" s="181" t="s">
        <v>506</v>
      </c>
      <c r="O159" s="181" t="s">
        <v>234</v>
      </c>
      <c r="P159" s="178">
        <v>7000</v>
      </c>
      <c r="Q159" s="177" t="s">
        <v>505</v>
      </c>
      <c r="R159" s="176"/>
      <c r="S159" s="178"/>
      <c r="T159" s="178"/>
      <c r="U159" s="178"/>
      <c r="V159" s="183"/>
      <c r="W159" s="174"/>
      <c r="X159" s="85">
        <v>76</v>
      </c>
    </row>
    <row r="160" spans="1:24" s="85" customFormat="1" ht="74.45" customHeight="1" x14ac:dyDescent="0.25">
      <c r="A160" s="175">
        <v>24</v>
      </c>
      <c r="B160" s="176" t="s">
        <v>56</v>
      </c>
      <c r="C160" s="176"/>
      <c r="D160" s="176"/>
      <c r="E160" s="176" t="s">
        <v>442</v>
      </c>
      <c r="F160" s="181" t="s">
        <v>416</v>
      </c>
      <c r="G160" s="177" t="s">
        <v>443</v>
      </c>
      <c r="H160" s="178">
        <v>75337.5</v>
      </c>
      <c r="I160" s="179">
        <f>IF(X160 = 77, H160 + SUM(S160:S160) - SUM(T160:T160) - SUM(P160:P160) - V160,0)</f>
        <v>0</v>
      </c>
      <c r="J160" s="182">
        <v>2353020735</v>
      </c>
      <c r="K160" s="184" t="s">
        <v>286</v>
      </c>
      <c r="L160" s="176"/>
      <c r="M160" s="176" t="s">
        <v>444</v>
      </c>
      <c r="N160" s="181" t="s">
        <v>513</v>
      </c>
      <c r="O160" s="153" t="s">
        <v>288</v>
      </c>
      <c r="P160" s="178">
        <v>64575</v>
      </c>
      <c r="Q160" s="177" t="s">
        <v>514</v>
      </c>
      <c r="R160" s="176"/>
      <c r="S160" s="178"/>
      <c r="T160" s="178"/>
      <c r="U160" s="178" t="s">
        <v>523</v>
      </c>
      <c r="V160" s="183">
        <v>10762.5</v>
      </c>
      <c r="W160" s="174"/>
      <c r="X160" s="85">
        <v>77</v>
      </c>
    </row>
    <row r="161" spans="1:24" s="85" customFormat="1" ht="67.150000000000006" customHeight="1" x14ac:dyDescent="0.25">
      <c r="A161" s="437">
        <v>25</v>
      </c>
      <c r="B161" s="434" t="s">
        <v>56</v>
      </c>
      <c r="C161" s="434"/>
      <c r="D161" s="434"/>
      <c r="E161" s="434" t="s">
        <v>445</v>
      </c>
      <c r="F161" s="440" t="s">
        <v>446</v>
      </c>
      <c r="G161" s="469" t="s">
        <v>447</v>
      </c>
      <c r="H161" s="465">
        <v>26910</v>
      </c>
      <c r="I161" s="471">
        <f>IF(X161 = 78, H161 + SUM(S161:S162) - SUM(T161:T162) - SUM(P161:P162) - V161,0)</f>
        <v>0</v>
      </c>
      <c r="J161" s="600">
        <v>2353020735</v>
      </c>
      <c r="K161" s="603" t="s">
        <v>286</v>
      </c>
      <c r="L161" s="434"/>
      <c r="M161" s="434" t="s">
        <v>444</v>
      </c>
      <c r="N161" s="223" t="s">
        <v>513</v>
      </c>
      <c r="O161" s="440" t="s">
        <v>288</v>
      </c>
      <c r="P161" s="219">
        <v>16146</v>
      </c>
      <c r="Q161" s="218" t="s">
        <v>514</v>
      </c>
      <c r="R161" s="217"/>
      <c r="S161" s="219"/>
      <c r="T161" s="219"/>
      <c r="U161" s="465"/>
      <c r="V161" s="606"/>
      <c r="W161" s="462"/>
      <c r="X161" s="85">
        <v>78</v>
      </c>
    </row>
    <row r="162" spans="1:24" x14ac:dyDescent="0.25">
      <c r="A162" s="439"/>
      <c r="B162" s="436"/>
      <c r="C162" s="436"/>
      <c r="D162" s="436"/>
      <c r="E162" s="436"/>
      <c r="F162" s="442"/>
      <c r="G162" s="470"/>
      <c r="H162" s="466"/>
      <c r="I162" s="472"/>
      <c r="J162" s="602"/>
      <c r="K162" s="605"/>
      <c r="L162" s="436"/>
      <c r="M162" s="436"/>
      <c r="N162" s="224" t="s">
        <v>513</v>
      </c>
      <c r="O162" s="442"/>
      <c r="P162" s="220">
        <v>10764</v>
      </c>
      <c r="Q162" s="221" t="s">
        <v>514</v>
      </c>
      <c r="R162" s="222"/>
      <c r="S162" s="220"/>
      <c r="T162" s="220"/>
      <c r="U162" s="466"/>
      <c r="V162" s="608"/>
      <c r="W162" s="464"/>
      <c r="X162" s="2">
        <v>78</v>
      </c>
    </row>
    <row r="163" spans="1:24" s="85" customFormat="1" ht="56.25" x14ac:dyDescent="0.25">
      <c r="A163" s="207">
        <v>26</v>
      </c>
      <c r="B163" s="208" t="s">
        <v>56</v>
      </c>
      <c r="C163" s="208"/>
      <c r="D163" s="208"/>
      <c r="E163" s="208" t="s">
        <v>489</v>
      </c>
      <c r="F163" s="213" t="s">
        <v>490</v>
      </c>
      <c r="G163" s="209" t="s">
        <v>491</v>
      </c>
      <c r="H163" s="210">
        <v>995</v>
      </c>
      <c r="I163" s="211">
        <f>IF(X163 = 79, H163 + SUM(S163:S163) - SUM(T163:T163) - SUM(P163:P163) - V163,0)</f>
        <v>0</v>
      </c>
      <c r="J163" s="214">
        <v>2310132554</v>
      </c>
      <c r="K163" s="215" t="s">
        <v>492</v>
      </c>
      <c r="L163" s="208"/>
      <c r="M163" s="208" t="s">
        <v>493</v>
      </c>
      <c r="N163" s="213" t="s">
        <v>571</v>
      </c>
      <c r="O163" s="153" t="s">
        <v>494</v>
      </c>
      <c r="P163" s="210">
        <v>995</v>
      </c>
      <c r="Q163" s="209" t="s">
        <v>572</v>
      </c>
      <c r="R163" s="208"/>
      <c r="S163" s="210"/>
      <c r="T163" s="210"/>
      <c r="U163" s="210"/>
      <c r="V163" s="216"/>
      <c r="W163" s="203"/>
      <c r="X163" s="85">
        <v>79</v>
      </c>
    </row>
    <row r="164" spans="1:24" s="85" customFormat="1" ht="90" customHeight="1" x14ac:dyDescent="0.25">
      <c r="A164" s="358">
        <v>27</v>
      </c>
      <c r="B164" s="364" t="s">
        <v>56</v>
      </c>
      <c r="C164" s="364"/>
      <c r="D164" s="364"/>
      <c r="E164" s="364" t="s">
        <v>502</v>
      </c>
      <c r="F164" s="360" t="s">
        <v>503</v>
      </c>
      <c r="G164" s="370" t="s">
        <v>184</v>
      </c>
      <c r="H164" s="362">
        <v>598920</v>
      </c>
      <c r="I164" s="372">
        <f>IF(X164 = 80, H164 + SUM(S164:S166) - SUM(T164:T166) - SUM(P164:P166) - V164,0)</f>
        <v>481770</v>
      </c>
      <c r="J164" s="478">
        <v>235300578903</v>
      </c>
      <c r="K164" s="481" t="s">
        <v>148</v>
      </c>
      <c r="L164" s="364"/>
      <c r="M164" s="364" t="s">
        <v>504</v>
      </c>
      <c r="N164" s="298" t="s">
        <v>562</v>
      </c>
      <c r="O164" s="360" t="s">
        <v>296</v>
      </c>
      <c r="P164" s="289">
        <v>92977.5</v>
      </c>
      <c r="Q164" s="290" t="s">
        <v>561</v>
      </c>
      <c r="R164" s="291"/>
      <c r="S164" s="289"/>
      <c r="T164" s="289"/>
      <c r="U164" s="362"/>
      <c r="V164" s="484"/>
      <c r="W164" s="368"/>
      <c r="X164" s="85">
        <v>80</v>
      </c>
    </row>
    <row r="165" spans="1:24" x14ac:dyDescent="0.25">
      <c r="A165" s="374"/>
      <c r="B165" s="377"/>
      <c r="C165" s="377"/>
      <c r="D165" s="377"/>
      <c r="E165" s="377"/>
      <c r="F165" s="375"/>
      <c r="G165" s="477"/>
      <c r="H165" s="376"/>
      <c r="I165" s="383"/>
      <c r="J165" s="479"/>
      <c r="K165" s="482"/>
      <c r="L165" s="377"/>
      <c r="M165" s="377"/>
      <c r="N165" s="299" t="s">
        <v>602</v>
      </c>
      <c r="O165" s="375"/>
      <c r="P165" s="292">
        <v>13447.5</v>
      </c>
      <c r="Q165" s="293" t="s">
        <v>613</v>
      </c>
      <c r="R165" s="294"/>
      <c r="S165" s="292"/>
      <c r="T165" s="292"/>
      <c r="U165" s="376"/>
      <c r="V165" s="485"/>
      <c r="W165" s="379"/>
      <c r="X165" s="2">
        <v>80</v>
      </c>
    </row>
    <row r="166" spans="1:24" s="280" customFormat="1" x14ac:dyDescent="0.25">
      <c r="A166" s="359"/>
      <c r="B166" s="365"/>
      <c r="C166" s="365"/>
      <c r="D166" s="365"/>
      <c r="E166" s="365"/>
      <c r="F166" s="361"/>
      <c r="G166" s="371"/>
      <c r="H166" s="363"/>
      <c r="I166" s="373"/>
      <c r="J166" s="480"/>
      <c r="K166" s="483"/>
      <c r="L166" s="365"/>
      <c r="M166" s="365"/>
      <c r="N166" s="300" t="s">
        <v>606</v>
      </c>
      <c r="O166" s="361"/>
      <c r="P166" s="295">
        <v>10725</v>
      </c>
      <c r="Q166" s="296" t="s">
        <v>649</v>
      </c>
      <c r="R166" s="297"/>
      <c r="S166" s="295"/>
      <c r="T166" s="295"/>
      <c r="U166" s="363"/>
      <c r="V166" s="486"/>
      <c r="W166" s="369"/>
      <c r="X166" s="280">
        <v>80</v>
      </c>
    </row>
    <row r="167" spans="1:24" s="85" customFormat="1" ht="112.5" x14ac:dyDescent="0.25">
      <c r="A167" s="230">
        <v>28</v>
      </c>
      <c r="B167" s="231" t="s">
        <v>56</v>
      </c>
      <c r="C167" s="231"/>
      <c r="D167" s="231"/>
      <c r="E167" s="231" t="s">
        <v>525</v>
      </c>
      <c r="F167" s="238" t="s">
        <v>526</v>
      </c>
      <c r="G167" s="232" t="s">
        <v>405</v>
      </c>
      <c r="H167" s="233">
        <v>30600</v>
      </c>
      <c r="I167" s="234">
        <f>IF(X167 = 81, H167 + SUM(S167:S167) - SUM(T167:T167) - SUM(P167:P167) - V167,0)</f>
        <v>0</v>
      </c>
      <c r="J167" s="235">
        <v>2636040789</v>
      </c>
      <c r="K167" s="236" t="s">
        <v>406</v>
      </c>
      <c r="L167" s="231"/>
      <c r="M167" s="231" t="s">
        <v>527</v>
      </c>
      <c r="N167" s="238" t="s">
        <v>567</v>
      </c>
      <c r="O167" s="102" t="s">
        <v>408</v>
      </c>
      <c r="P167" s="233">
        <v>30600</v>
      </c>
      <c r="Q167" s="232" t="s">
        <v>568</v>
      </c>
      <c r="R167" s="231"/>
      <c r="S167" s="233"/>
      <c r="T167" s="233"/>
      <c r="U167" s="233"/>
      <c r="V167" s="237"/>
      <c r="W167" s="229"/>
      <c r="X167" s="85">
        <v>81</v>
      </c>
    </row>
    <row r="168" spans="1:24" s="85" customFormat="1" ht="75" x14ac:dyDescent="0.25">
      <c r="A168" s="230">
        <v>29</v>
      </c>
      <c r="B168" s="231" t="s">
        <v>56</v>
      </c>
      <c r="C168" s="231"/>
      <c r="D168" s="231"/>
      <c r="E168" s="231" t="s">
        <v>528</v>
      </c>
      <c r="F168" s="238" t="s">
        <v>529</v>
      </c>
      <c r="G168" s="232" t="s">
        <v>530</v>
      </c>
      <c r="H168" s="233">
        <v>80000</v>
      </c>
      <c r="I168" s="234">
        <f>IF(X168 = 82, H168 + SUM(S168:S168) - SUM(T168:T168) - SUM(P168:P168) - V168,0)</f>
        <v>0</v>
      </c>
      <c r="J168" s="235">
        <v>235002152355</v>
      </c>
      <c r="K168" s="236" t="s">
        <v>194</v>
      </c>
      <c r="L168" s="231"/>
      <c r="M168" s="231" t="s">
        <v>531</v>
      </c>
      <c r="N168" s="238" t="s">
        <v>560</v>
      </c>
      <c r="O168" s="102" t="s">
        <v>250</v>
      </c>
      <c r="P168" s="233">
        <v>80000</v>
      </c>
      <c r="Q168" s="232" t="s">
        <v>570</v>
      </c>
      <c r="R168" s="231"/>
      <c r="S168" s="233"/>
      <c r="T168" s="233"/>
      <c r="U168" s="233"/>
      <c r="V168" s="237"/>
      <c r="W168" s="229"/>
      <c r="X168" s="85">
        <v>82</v>
      </c>
    </row>
    <row r="169" spans="1:24" s="85" customFormat="1" ht="75" x14ac:dyDescent="0.25">
      <c r="A169" s="230">
        <v>30</v>
      </c>
      <c r="B169" s="231" t="s">
        <v>56</v>
      </c>
      <c r="C169" s="231"/>
      <c r="D169" s="231"/>
      <c r="E169" s="231" t="s">
        <v>555</v>
      </c>
      <c r="F169" s="238" t="s">
        <v>534</v>
      </c>
      <c r="G169" s="232" t="s">
        <v>530</v>
      </c>
      <c r="H169" s="233">
        <v>26770</v>
      </c>
      <c r="I169" s="234">
        <f>IF(X169 = 83, H169 + SUM(S169:S169) - SUM(T169:T169) - SUM(P169:P169) - V169,0)</f>
        <v>0</v>
      </c>
      <c r="J169" s="235">
        <v>235002152355</v>
      </c>
      <c r="K169" s="236" t="s">
        <v>194</v>
      </c>
      <c r="L169" s="231"/>
      <c r="M169" s="231" t="s">
        <v>556</v>
      </c>
      <c r="N169" s="238" t="s">
        <v>566</v>
      </c>
      <c r="O169" s="102" t="s">
        <v>250</v>
      </c>
      <c r="P169" s="233">
        <v>26770</v>
      </c>
      <c r="Q169" s="232" t="s">
        <v>575</v>
      </c>
      <c r="R169" s="231"/>
      <c r="S169" s="233"/>
      <c r="T169" s="233"/>
      <c r="U169" s="233"/>
      <c r="V169" s="237"/>
      <c r="W169" s="229"/>
      <c r="X169" s="85">
        <v>83</v>
      </c>
    </row>
    <row r="170" spans="1:24" s="85" customFormat="1" ht="75" x14ac:dyDescent="0.25">
      <c r="A170" s="230">
        <v>31</v>
      </c>
      <c r="B170" s="231" t="s">
        <v>56</v>
      </c>
      <c r="C170" s="231"/>
      <c r="D170" s="231"/>
      <c r="E170" s="231" t="s">
        <v>557</v>
      </c>
      <c r="F170" s="238" t="s">
        <v>534</v>
      </c>
      <c r="G170" s="232" t="s">
        <v>558</v>
      </c>
      <c r="H170" s="233">
        <v>62143.65</v>
      </c>
      <c r="I170" s="234">
        <f>IF(X170 = 84, H170 + SUM(S170:S170) - SUM(T170:T170) - SUM(P170:P170) - V170,0)</f>
        <v>0</v>
      </c>
      <c r="J170" s="235">
        <v>235002152355</v>
      </c>
      <c r="K170" s="236" t="s">
        <v>194</v>
      </c>
      <c r="L170" s="231"/>
      <c r="M170" s="231" t="s">
        <v>556</v>
      </c>
      <c r="N170" s="238" t="s">
        <v>566</v>
      </c>
      <c r="O170" s="102" t="s">
        <v>250</v>
      </c>
      <c r="P170" s="233">
        <v>62143.65</v>
      </c>
      <c r="Q170" s="232" t="s">
        <v>602</v>
      </c>
      <c r="R170" s="231"/>
      <c r="S170" s="233"/>
      <c r="T170" s="233"/>
      <c r="U170" s="233"/>
      <c r="V170" s="237"/>
      <c r="W170" s="229"/>
      <c r="X170" s="85">
        <v>84</v>
      </c>
    </row>
    <row r="171" spans="1:24" s="85" customFormat="1" ht="73.900000000000006" customHeight="1" x14ac:dyDescent="0.25">
      <c r="A171" s="270">
        <v>32</v>
      </c>
      <c r="B171" s="271" t="s">
        <v>56</v>
      </c>
      <c r="C171" s="271"/>
      <c r="D171" s="271"/>
      <c r="E171" s="271" t="s">
        <v>298</v>
      </c>
      <c r="F171" s="276" t="s">
        <v>635</v>
      </c>
      <c r="G171" s="272" t="s">
        <v>636</v>
      </c>
      <c r="H171" s="273">
        <v>79040</v>
      </c>
      <c r="I171" s="274">
        <f>IF(X171 = 85, H171 + SUM(S171:S171) - SUM(T171:T171) - SUM(P171:P171) - V171,0)</f>
        <v>79040</v>
      </c>
      <c r="J171" s="277">
        <v>2353020735</v>
      </c>
      <c r="K171" s="278" t="s">
        <v>286</v>
      </c>
      <c r="L171" s="271"/>
      <c r="M171" s="271" t="s">
        <v>637</v>
      </c>
      <c r="N171" s="276"/>
      <c r="O171" s="276" t="s">
        <v>288</v>
      </c>
      <c r="P171" s="273"/>
      <c r="Q171" s="272"/>
      <c r="R171" s="271"/>
      <c r="S171" s="273"/>
      <c r="T171" s="273"/>
      <c r="U171" s="273"/>
      <c r="V171" s="279"/>
      <c r="W171" s="269"/>
      <c r="X171" s="85">
        <v>85</v>
      </c>
    </row>
    <row r="172" spans="1:24" s="85" customFormat="1" ht="62.45" customHeight="1" x14ac:dyDescent="0.25">
      <c r="A172" s="270">
        <v>33</v>
      </c>
      <c r="B172" s="271" t="s">
        <v>56</v>
      </c>
      <c r="C172" s="271"/>
      <c r="D172" s="271"/>
      <c r="E172" s="271" t="s">
        <v>641</v>
      </c>
      <c r="F172" s="276" t="s">
        <v>635</v>
      </c>
      <c r="G172" s="272" t="s">
        <v>643</v>
      </c>
      <c r="H172" s="273">
        <v>44525.599999999999</v>
      </c>
      <c r="I172" s="274">
        <f>IF(X172 = 86, H172 + SUM(S172:S172) - SUM(T172:T172) - SUM(P172:P172) - V172,0)</f>
        <v>44525.599999999999</v>
      </c>
      <c r="J172" s="277">
        <v>2353020735</v>
      </c>
      <c r="K172" s="278" t="s">
        <v>286</v>
      </c>
      <c r="L172" s="271"/>
      <c r="M172" s="271" t="s">
        <v>637</v>
      </c>
      <c r="N172" s="276"/>
      <c r="O172" s="276" t="s">
        <v>288</v>
      </c>
      <c r="P172" s="273"/>
      <c r="Q172" s="272"/>
      <c r="R172" s="271"/>
      <c r="S172" s="273"/>
      <c r="T172" s="273"/>
      <c r="U172" s="273"/>
      <c r="V172" s="279"/>
      <c r="W172" s="269"/>
      <c r="X172" s="85">
        <v>86</v>
      </c>
    </row>
    <row r="173" spans="1:24" s="85" customFormat="1" ht="65.45" customHeight="1" x14ac:dyDescent="0.25">
      <c r="A173" s="487">
        <v>34</v>
      </c>
      <c r="B173" s="493" t="s">
        <v>56</v>
      </c>
      <c r="C173" s="493"/>
      <c r="D173" s="493"/>
      <c r="E173" s="493" t="s">
        <v>282</v>
      </c>
      <c r="F173" s="489" t="s">
        <v>635</v>
      </c>
      <c r="G173" s="499" t="s">
        <v>642</v>
      </c>
      <c r="H173" s="491">
        <v>6360.8</v>
      </c>
      <c r="I173" s="501">
        <f>IF(X173 = 87, H173 + SUM(S173:S174) - SUM(T173:T174) - SUM(P173:P174) - V173,0)</f>
        <v>6360.8</v>
      </c>
      <c r="J173" s="503">
        <v>2353020735</v>
      </c>
      <c r="K173" s="505" t="s">
        <v>286</v>
      </c>
      <c r="L173" s="493"/>
      <c r="M173" s="493" t="s">
        <v>637</v>
      </c>
      <c r="N173" s="287"/>
      <c r="O173" s="489" t="s">
        <v>288</v>
      </c>
      <c r="P173" s="281"/>
      <c r="Q173" s="282"/>
      <c r="R173" s="283"/>
      <c r="S173" s="281"/>
      <c r="T173" s="281"/>
      <c r="U173" s="491"/>
      <c r="V173" s="495"/>
      <c r="W173" s="497"/>
      <c r="X173" s="85">
        <v>87</v>
      </c>
    </row>
    <row r="174" spans="1:24" s="280" customFormat="1" x14ac:dyDescent="0.25">
      <c r="A174" s="488"/>
      <c r="B174" s="494"/>
      <c r="C174" s="494"/>
      <c r="D174" s="494"/>
      <c r="E174" s="494"/>
      <c r="F174" s="490"/>
      <c r="G174" s="500"/>
      <c r="H174" s="492"/>
      <c r="I174" s="502"/>
      <c r="J174" s="504"/>
      <c r="K174" s="506"/>
      <c r="L174" s="494"/>
      <c r="M174" s="494"/>
      <c r="N174" s="288"/>
      <c r="O174" s="490"/>
      <c r="P174" s="284"/>
      <c r="Q174" s="285"/>
      <c r="R174" s="286"/>
      <c r="S174" s="284"/>
      <c r="T174" s="284"/>
      <c r="U174" s="492"/>
      <c r="V174" s="496"/>
      <c r="W174" s="498"/>
      <c r="X174" s="280">
        <v>87</v>
      </c>
    </row>
    <row r="175" spans="1:24" ht="18" x14ac:dyDescent="0.3">
      <c r="X175" s="2">
        <v>88</v>
      </c>
    </row>
  </sheetData>
  <sheetProtection algorithmName="SHA-512" hashValue="Zc9mQ5C3MiTXKGplTr5B1zKBLTVFvLk5RaD+7EytO/BKcgI33xgQqOmYu+ON2yc3iYd1jJt/k+I7Bk7o43A0Mw==" saltValue="1UjpgEOqVs2gdS3qFfzH3A==" spinCount="100000" sheet="1" objects="1" scenarios="1" formatCells="0" formatColumns="0" formatRows="0"/>
  <mergeCells count="309">
    <mergeCell ref="W161:W162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L161:L162"/>
    <mergeCell ref="M161:M162"/>
    <mergeCell ref="A161:A162"/>
    <mergeCell ref="O161:O162"/>
    <mergeCell ref="U161:U162"/>
    <mergeCell ref="B161:B162"/>
    <mergeCell ref="V161:V162"/>
    <mergeCell ref="C161:C162"/>
    <mergeCell ref="D98:D102"/>
    <mergeCell ref="E98:E102"/>
    <mergeCell ref="F98:F102"/>
    <mergeCell ref="G98:G102"/>
    <mergeCell ref="H98:H102"/>
    <mergeCell ref="I98:I102"/>
    <mergeCell ref="J98:J102"/>
    <mergeCell ref="K98:K102"/>
    <mergeCell ref="L98:L102"/>
    <mergeCell ref="M98:M102"/>
    <mergeCell ref="A127:A136"/>
    <mergeCell ref="B127:B136"/>
    <mergeCell ref="C127:C136"/>
    <mergeCell ref="A98:A102"/>
    <mergeCell ref="B98:B102"/>
    <mergeCell ref="W127:W136"/>
    <mergeCell ref="M127:M136"/>
    <mergeCell ref="W103:W118"/>
    <mergeCell ref="W119:W126"/>
    <mergeCell ref="W98:W102"/>
    <mergeCell ref="D127:D136"/>
    <mergeCell ref="E127:E136"/>
    <mergeCell ref="F127:F136"/>
    <mergeCell ref="G127:G136"/>
    <mergeCell ref="H127:H136"/>
    <mergeCell ref="I127:I136"/>
    <mergeCell ref="J127:J136"/>
    <mergeCell ref="K127:K136"/>
    <mergeCell ref="L127:L136"/>
    <mergeCell ref="O127:O136"/>
    <mergeCell ref="U127:U136"/>
    <mergeCell ref="V127:V136"/>
    <mergeCell ref="O98:O102"/>
    <mergeCell ref="U98:U102"/>
    <mergeCell ref="V98:V102"/>
    <mergeCell ref="V119:V126"/>
    <mergeCell ref="C98:C102"/>
    <mergeCell ref="D103:D118"/>
    <mergeCell ref="E103:E118"/>
    <mergeCell ref="F103:F118"/>
    <mergeCell ref="G103:G118"/>
    <mergeCell ref="H103:H118"/>
    <mergeCell ref="I103:I118"/>
    <mergeCell ref="U119:U126"/>
    <mergeCell ref="J103:J118"/>
    <mergeCell ref="K103:K118"/>
    <mergeCell ref="L103:L118"/>
    <mergeCell ref="M103:M118"/>
    <mergeCell ref="A119:A126"/>
    <mergeCell ref="J150:J154"/>
    <mergeCell ref="K150:K154"/>
    <mergeCell ref="L150:L154"/>
    <mergeCell ref="M150:M154"/>
    <mergeCell ref="A140:A149"/>
    <mergeCell ref="O140:O149"/>
    <mergeCell ref="U140:U149"/>
    <mergeCell ref="B140:B149"/>
    <mergeCell ref="I150:I154"/>
    <mergeCell ref="M140:M149"/>
    <mergeCell ref="B119:B126"/>
    <mergeCell ref="C119:C126"/>
    <mergeCell ref="D119:D126"/>
    <mergeCell ref="E119:E126"/>
    <mergeCell ref="F119:F126"/>
    <mergeCell ref="G119:G126"/>
    <mergeCell ref="H119:H126"/>
    <mergeCell ref="I119:I126"/>
    <mergeCell ref="J119:J126"/>
    <mergeCell ref="K119:K126"/>
    <mergeCell ref="L119:L126"/>
    <mergeCell ref="M119:M126"/>
    <mergeCell ref="O119:O126"/>
    <mergeCell ref="W140:W149"/>
    <mergeCell ref="A150:A154"/>
    <mergeCell ref="O150:O154"/>
    <mergeCell ref="U150:U154"/>
    <mergeCell ref="B150:B154"/>
    <mergeCell ref="V150:V154"/>
    <mergeCell ref="C150:C154"/>
    <mergeCell ref="W150:W154"/>
    <mergeCell ref="D140:D149"/>
    <mergeCell ref="E140:E149"/>
    <mergeCell ref="F140:F149"/>
    <mergeCell ref="G140:G149"/>
    <mergeCell ref="H140:H149"/>
    <mergeCell ref="I140:I149"/>
    <mergeCell ref="J140:J149"/>
    <mergeCell ref="K140:K149"/>
    <mergeCell ref="L140:L149"/>
    <mergeCell ref="D150:D154"/>
    <mergeCell ref="E150:E154"/>
    <mergeCell ref="F150:F154"/>
    <mergeCell ref="G150:G154"/>
    <mergeCell ref="H150:H154"/>
    <mergeCell ref="S2:U2"/>
    <mergeCell ref="F2:G2"/>
    <mergeCell ref="N2:O2"/>
    <mergeCell ref="A23:A25"/>
    <mergeCell ref="O23:O25"/>
    <mergeCell ref="U23:U25"/>
    <mergeCell ref="B23:B25"/>
    <mergeCell ref="H23:H25"/>
    <mergeCell ref="I23:I25"/>
    <mergeCell ref="J23:J25"/>
    <mergeCell ref="K23:K25"/>
    <mergeCell ref="L23:L25"/>
    <mergeCell ref="M23:M25"/>
    <mergeCell ref="A9:A22"/>
    <mergeCell ref="B9:B22"/>
    <mergeCell ref="C9:C22"/>
    <mergeCell ref="G26:G30"/>
    <mergeCell ref="H26:H30"/>
    <mergeCell ref="I26:I30"/>
    <mergeCell ref="J26:J30"/>
    <mergeCell ref="K26:K30"/>
    <mergeCell ref="L26:L30"/>
    <mergeCell ref="M26:M30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V80:V81"/>
    <mergeCell ref="A103:A118"/>
    <mergeCell ref="O103:O118"/>
    <mergeCell ref="U103:U118"/>
    <mergeCell ref="B103:B118"/>
    <mergeCell ref="V103:V118"/>
    <mergeCell ref="C103:C118"/>
    <mergeCell ref="W23:W25"/>
    <mergeCell ref="V23:V25"/>
    <mergeCell ref="C23:C25"/>
    <mergeCell ref="D23:D25"/>
    <mergeCell ref="E23:E25"/>
    <mergeCell ref="F23:F25"/>
    <mergeCell ref="G23:G25"/>
    <mergeCell ref="A26:A30"/>
    <mergeCell ref="O26:O30"/>
    <mergeCell ref="U26:U30"/>
    <mergeCell ref="B26:B30"/>
    <mergeCell ref="V26:V30"/>
    <mergeCell ref="C26:C30"/>
    <mergeCell ref="W26:W30"/>
    <mergeCell ref="D26:D30"/>
    <mergeCell ref="E26:E30"/>
    <mergeCell ref="F26:F30"/>
    <mergeCell ref="W164:W166"/>
    <mergeCell ref="A72:A79"/>
    <mergeCell ref="O72:O79"/>
    <mergeCell ref="U72:U79"/>
    <mergeCell ref="B72:B79"/>
    <mergeCell ref="V72:V79"/>
    <mergeCell ref="C72:C79"/>
    <mergeCell ref="W72:W79"/>
    <mergeCell ref="K80:K81"/>
    <mergeCell ref="L80:L81"/>
    <mergeCell ref="M80:M81"/>
    <mergeCell ref="W80:W81"/>
    <mergeCell ref="A80:A81"/>
    <mergeCell ref="C80:C81"/>
    <mergeCell ref="D80:D81"/>
    <mergeCell ref="E80:E81"/>
    <mergeCell ref="F80:F81"/>
    <mergeCell ref="G80:G81"/>
    <mergeCell ref="H80:H81"/>
    <mergeCell ref="I80:I81"/>
    <mergeCell ref="J80:J81"/>
    <mergeCell ref="O80:O81"/>
    <mergeCell ref="U80:U81"/>
    <mergeCell ref="B80:B81"/>
    <mergeCell ref="A47:A71"/>
    <mergeCell ref="O47:O71"/>
    <mergeCell ref="U47:U71"/>
    <mergeCell ref="B47:B71"/>
    <mergeCell ref="V47:V71"/>
    <mergeCell ref="C47:C71"/>
    <mergeCell ref="W47:W71"/>
    <mergeCell ref="A173:A174"/>
    <mergeCell ref="O173:O174"/>
    <mergeCell ref="U173:U174"/>
    <mergeCell ref="B173:B174"/>
    <mergeCell ref="V173:V174"/>
    <mergeCell ref="C173:C174"/>
    <mergeCell ref="W173:W174"/>
    <mergeCell ref="D173:D174"/>
    <mergeCell ref="E173:E174"/>
    <mergeCell ref="F173:F174"/>
    <mergeCell ref="G173:G174"/>
    <mergeCell ref="H173:H174"/>
    <mergeCell ref="I173:I174"/>
    <mergeCell ref="J173:J174"/>
    <mergeCell ref="K173:K174"/>
    <mergeCell ref="L173:L174"/>
    <mergeCell ref="M173:M174"/>
    <mergeCell ref="D72:D79"/>
    <mergeCell ref="E72:E79"/>
    <mergeCell ref="F72:F79"/>
    <mergeCell ref="G72:G79"/>
    <mergeCell ref="H72:H79"/>
    <mergeCell ref="I72:I79"/>
    <mergeCell ref="J72:J79"/>
    <mergeCell ref="K72:K79"/>
    <mergeCell ref="L72:L79"/>
    <mergeCell ref="M72:M79"/>
    <mergeCell ref="A31:A38"/>
    <mergeCell ref="O31:O38"/>
    <mergeCell ref="U31:U38"/>
    <mergeCell ref="B31:B38"/>
    <mergeCell ref="V31:V38"/>
    <mergeCell ref="C31:C38"/>
    <mergeCell ref="W31:W38"/>
    <mergeCell ref="D31:D38"/>
    <mergeCell ref="E31:E38"/>
    <mergeCell ref="F31:F38"/>
    <mergeCell ref="G31:G38"/>
    <mergeCell ref="H31:H38"/>
    <mergeCell ref="I31:I38"/>
    <mergeCell ref="J31:J38"/>
    <mergeCell ref="K31:K38"/>
    <mergeCell ref="L31:L38"/>
    <mergeCell ref="M31:M38"/>
    <mergeCell ref="A39:A46"/>
    <mergeCell ref="O39:O46"/>
    <mergeCell ref="U39:U46"/>
    <mergeCell ref="B39:B46"/>
    <mergeCell ref="V39:V46"/>
    <mergeCell ref="C39:C46"/>
    <mergeCell ref="W39:W46"/>
    <mergeCell ref="D39:D46"/>
    <mergeCell ref="E39:E46"/>
    <mergeCell ref="F39:F46"/>
    <mergeCell ref="G39:G46"/>
    <mergeCell ref="H39:H46"/>
    <mergeCell ref="I39:I46"/>
    <mergeCell ref="J39:J46"/>
    <mergeCell ref="K39:K46"/>
    <mergeCell ref="L39:L46"/>
    <mergeCell ref="M39:M46"/>
    <mergeCell ref="M164:M166"/>
    <mergeCell ref="A82:A97"/>
    <mergeCell ref="O82:O97"/>
    <mergeCell ref="U82:U97"/>
    <mergeCell ref="B82:B97"/>
    <mergeCell ref="V82:V97"/>
    <mergeCell ref="C82:C97"/>
    <mergeCell ref="D164:D166"/>
    <mergeCell ref="E164:E166"/>
    <mergeCell ref="F164:F166"/>
    <mergeCell ref="G164:G166"/>
    <mergeCell ref="H164:H166"/>
    <mergeCell ref="I164:I166"/>
    <mergeCell ref="J164:J166"/>
    <mergeCell ref="K164:K166"/>
    <mergeCell ref="L164:L166"/>
    <mergeCell ref="A164:A166"/>
    <mergeCell ref="O164:O166"/>
    <mergeCell ref="U164:U166"/>
    <mergeCell ref="B164:B166"/>
    <mergeCell ref="V164:V166"/>
    <mergeCell ref="C164:C166"/>
    <mergeCell ref="V140:V149"/>
    <mergeCell ref="C140:C149"/>
    <mergeCell ref="W82:W97"/>
    <mergeCell ref="D82:D97"/>
    <mergeCell ref="E82:E97"/>
    <mergeCell ref="F82:F97"/>
    <mergeCell ref="G82:G97"/>
    <mergeCell ref="H82:H97"/>
    <mergeCell ref="I82:I97"/>
    <mergeCell ref="J82:J97"/>
    <mergeCell ref="K82:K97"/>
    <mergeCell ref="L82:L97"/>
    <mergeCell ref="M82:M97"/>
    <mergeCell ref="M47:M71"/>
    <mergeCell ref="D47:D71"/>
    <mergeCell ref="E47:E71"/>
    <mergeCell ref="F47:F71"/>
    <mergeCell ref="G47:G71"/>
    <mergeCell ref="H47:H71"/>
    <mergeCell ref="I47:I71"/>
    <mergeCell ref="J47:J71"/>
    <mergeCell ref="K47:K71"/>
    <mergeCell ref="L47:L71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8"/>
  <sheetViews>
    <sheetView showGridLines="0" topLeftCell="F1" zoomScale="50" zoomScaleNormal="50" workbookViewId="0">
      <pane ySplit="8" topLeftCell="A9" activePane="bottomLeft" state="frozen"/>
      <selection pane="bottomLeft" activeCell="N18" sqref="N18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569" t="s">
        <v>24</v>
      </c>
      <c r="F2" s="570"/>
      <c r="G2" s="80">
        <f>SUM(G9:G9999)</f>
        <v>1889780.05</v>
      </c>
      <c r="L2" s="648" t="s">
        <v>137</v>
      </c>
      <c r="M2" s="649"/>
      <c r="N2" s="69">
        <f>SUM(N9:N9999)</f>
        <v>1593506.53</v>
      </c>
      <c r="P2" s="68"/>
      <c r="Q2" s="417" t="s">
        <v>45</v>
      </c>
      <c r="R2" s="418"/>
      <c r="S2" s="419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650">
        <v>1</v>
      </c>
      <c r="B9" s="636"/>
      <c r="C9" s="636"/>
      <c r="D9" s="636" t="s">
        <v>191</v>
      </c>
      <c r="E9" s="656">
        <v>44925</v>
      </c>
      <c r="F9" s="653" t="s">
        <v>192</v>
      </c>
      <c r="G9" s="624">
        <v>1097939</v>
      </c>
      <c r="H9" s="630">
        <f>IF(V9 = 4, G9 + SUM(Q9:Q13) - SUM(R9:R13) - SUM(N9:N13) - T9,0)</f>
        <v>296273.52000000014</v>
      </c>
      <c r="I9" s="633">
        <v>2312054894</v>
      </c>
      <c r="J9" s="636" t="s">
        <v>149</v>
      </c>
      <c r="K9" s="636" t="s">
        <v>223</v>
      </c>
      <c r="L9" s="204" t="s">
        <v>307</v>
      </c>
      <c r="M9" s="636" t="s">
        <v>224</v>
      </c>
      <c r="N9" s="198">
        <v>383959.73</v>
      </c>
      <c r="O9" s="204" t="s">
        <v>346</v>
      </c>
      <c r="P9" s="197"/>
      <c r="Q9" s="198"/>
      <c r="R9" s="198"/>
      <c r="S9" s="653"/>
      <c r="T9" s="624"/>
      <c r="U9" s="627"/>
      <c r="V9" s="85">
        <v>4</v>
      </c>
    </row>
    <row r="10" spans="1:22" x14ac:dyDescent="0.25">
      <c r="A10" s="651"/>
      <c r="B10" s="637"/>
      <c r="C10" s="637"/>
      <c r="D10" s="637"/>
      <c r="E10" s="657"/>
      <c r="F10" s="654"/>
      <c r="G10" s="625"/>
      <c r="H10" s="631"/>
      <c r="I10" s="634"/>
      <c r="J10" s="637"/>
      <c r="K10" s="637"/>
      <c r="L10" s="205" t="s">
        <v>345</v>
      </c>
      <c r="M10" s="637"/>
      <c r="N10" s="199">
        <v>76695.94</v>
      </c>
      <c r="O10" s="205" t="s">
        <v>354</v>
      </c>
      <c r="P10" s="200"/>
      <c r="Q10" s="199"/>
      <c r="R10" s="199"/>
      <c r="S10" s="654"/>
      <c r="T10" s="625"/>
      <c r="U10" s="628"/>
      <c r="V10" s="2">
        <v>4</v>
      </c>
    </row>
    <row r="11" spans="1:22" x14ac:dyDescent="0.25">
      <c r="A11" s="651"/>
      <c r="B11" s="637"/>
      <c r="C11" s="637"/>
      <c r="D11" s="637"/>
      <c r="E11" s="657"/>
      <c r="F11" s="654"/>
      <c r="G11" s="625"/>
      <c r="H11" s="631"/>
      <c r="I11" s="634"/>
      <c r="J11" s="637"/>
      <c r="K11" s="637"/>
      <c r="L11" s="205" t="s">
        <v>345</v>
      </c>
      <c r="M11" s="637"/>
      <c r="N11" s="199">
        <v>160000</v>
      </c>
      <c r="O11" s="205" t="s">
        <v>372</v>
      </c>
      <c r="P11" s="200"/>
      <c r="Q11" s="199"/>
      <c r="R11" s="199"/>
      <c r="S11" s="654"/>
      <c r="T11" s="625"/>
      <c r="U11" s="628"/>
      <c r="V11" s="2">
        <v>4</v>
      </c>
    </row>
    <row r="12" spans="1:22" x14ac:dyDescent="0.25">
      <c r="A12" s="651"/>
      <c r="B12" s="637"/>
      <c r="C12" s="637"/>
      <c r="D12" s="637"/>
      <c r="E12" s="657"/>
      <c r="F12" s="654"/>
      <c r="G12" s="625"/>
      <c r="H12" s="631"/>
      <c r="I12" s="634"/>
      <c r="J12" s="637"/>
      <c r="K12" s="637"/>
      <c r="L12" s="205" t="s">
        <v>371</v>
      </c>
      <c r="M12" s="637"/>
      <c r="N12" s="199">
        <v>134512.32999999999</v>
      </c>
      <c r="O12" s="205" t="s">
        <v>381</v>
      </c>
      <c r="P12" s="200"/>
      <c r="Q12" s="199"/>
      <c r="R12" s="199"/>
      <c r="S12" s="654"/>
      <c r="T12" s="625"/>
      <c r="U12" s="628"/>
      <c r="V12" s="2">
        <v>4</v>
      </c>
    </row>
    <row r="13" spans="1:22" x14ac:dyDescent="0.25">
      <c r="A13" s="652"/>
      <c r="B13" s="638"/>
      <c r="C13" s="638"/>
      <c r="D13" s="638"/>
      <c r="E13" s="658"/>
      <c r="F13" s="655"/>
      <c r="G13" s="626"/>
      <c r="H13" s="632"/>
      <c r="I13" s="635"/>
      <c r="J13" s="638"/>
      <c r="K13" s="638"/>
      <c r="L13" s="206" t="s">
        <v>460</v>
      </c>
      <c r="M13" s="638"/>
      <c r="N13" s="201">
        <v>46497.48</v>
      </c>
      <c r="O13" s="206" t="s">
        <v>464</v>
      </c>
      <c r="P13" s="202"/>
      <c r="Q13" s="201"/>
      <c r="R13" s="201"/>
      <c r="S13" s="655"/>
      <c r="T13" s="626"/>
      <c r="U13" s="629"/>
      <c r="V13" s="2">
        <v>4</v>
      </c>
    </row>
    <row r="14" spans="1:22" s="85" customFormat="1" ht="90" customHeight="1" x14ac:dyDescent="0.25">
      <c r="A14" s="621">
        <v>2</v>
      </c>
      <c r="B14" s="618"/>
      <c r="C14" s="618"/>
      <c r="D14" s="618" t="s">
        <v>485</v>
      </c>
      <c r="E14" s="645" t="s">
        <v>486</v>
      </c>
      <c r="F14" s="639" t="s">
        <v>473</v>
      </c>
      <c r="G14" s="609">
        <v>791841.05</v>
      </c>
      <c r="H14" s="612">
        <f>IF(V14 = 5, G14 + SUM(Q14:Q17) - SUM(R14:R17) - SUM(N14:N17) - T14,0)</f>
        <v>0</v>
      </c>
      <c r="I14" s="615">
        <v>7715995942</v>
      </c>
      <c r="J14" s="618" t="s">
        <v>475</v>
      </c>
      <c r="K14" s="618" t="s">
        <v>487</v>
      </c>
      <c r="L14" s="264" t="s">
        <v>609</v>
      </c>
      <c r="M14" s="618" t="s">
        <v>488</v>
      </c>
      <c r="N14" s="261">
        <v>357461.5</v>
      </c>
      <c r="O14" s="264" t="s">
        <v>604</v>
      </c>
      <c r="P14" s="260"/>
      <c r="Q14" s="261"/>
      <c r="R14" s="261"/>
      <c r="S14" s="639"/>
      <c r="T14" s="609"/>
      <c r="U14" s="642"/>
      <c r="V14" s="85">
        <v>5</v>
      </c>
    </row>
    <row r="15" spans="1:22" x14ac:dyDescent="0.25">
      <c r="A15" s="622"/>
      <c r="B15" s="619"/>
      <c r="C15" s="619"/>
      <c r="D15" s="619"/>
      <c r="E15" s="646"/>
      <c r="F15" s="640"/>
      <c r="G15" s="610"/>
      <c r="H15" s="613"/>
      <c r="I15" s="616"/>
      <c r="J15" s="619"/>
      <c r="K15" s="619"/>
      <c r="L15" s="266" t="s">
        <v>610</v>
      </c>
      <c r="M15" s="619"/>
      <c r="N15" s="267">
        <v>31204.25</v>
      </c>
      <c r="O15" s="266" t="s">
        <v>611</v>
      </c>
      <c r="P15" s="268"/>
      <c r="Q15" s="267"/>
      <c r="R15" s="267"/>
      <c r="S15" s="640"/>
      <c r="T15" s="610"/>
      <c r="U15" s="643"/>
      <c r="V15" s="2">
        <v>5</v>
      </c>
    </row>
    <row r="16" spans="1:22" x14ac:dyDescent="0.25">
      <c r="A16" s="622"/>
      <c r="B16" s="619"/>
      <c r="C16" s="619"/>
      <c r="D16" s="619"/>
      <c r="E16" s="646"/>
      <c r="F16" s="640"/>
      <c r="G16" s="610"/>
      <c r="H16" s="613"/>
      <c r="I16" s="616"/>
      <c r="J16" s="619"/>
      <c r="K16" s="619"/>
      <c r="L16" s="266" t="s">
        <v>574</v>
      </c>
      <c r="M16" s="619"/>
      <c r="N16" s="267">
        <v>268555.09999999998</v>
      </c>
      <c r="O16" s="266" t="s">
        <v>611</v>
      </c>
      <c r="P16" s="268"/>
      <c r="Q16" s="267"/>
      <c r="R16" s="267"/>
      <c r="S16" s="640"/>
      <c r="T16" s="610"/>
      <c r="U16" s="643"/>
      <c r="V16" s="2">
        <v>5</v>
      </c>
    </row>
    <row r="17" spans="1:22" x14ac:dyDescent="0.25">
      <c r="A17" s="623"/>
      <c r="B17" s="620"/>
      <c r="C17" s="620"/>
      <c r="D17" s="620"/>
      <c r="E17" s="647"/>
      <c r="F17" s="641"/>
      <c r="G17" s="611"/>
      <c r="H17" s="614"/>
      <c r="I17" s="617"/>
      <c r="J17" s="620"/>
      <c r="K17" s="620"/>
      <c r="L17" s="265" t="s">
        <v>608</v>
      </c>
      <c r="M17" s="620"/>
      <c r="N17" s="262">
        <v>134620.20000000001</v>
      </c>
      <c r="O17" s="265" t="s">
        <v>611</v>
      </c>
      <c r="P17" s="263"/>
      <c r="Q17" s="262"/>
      <c r="R17" s="262"/>
      <c r="S17" s="641"/>
      <c r="T17" s="611"/>
      <c r="U17" s="644"/>
      <c r="V17" s="2">
        <v>5</v>
      </c>
    </row>
    <row r="18" spans="1:22" ht="18" x14ac:dyDescent="0.3">
      <c r="V18" s="2">
        <v>6</v>
      </c>
    </row>
  </sheetData>
  <sheetProtection algorithmName="SHA-512" hashValue="DB+l2c2D2vFRf6Sz5J83d2XtJ5dRbEIwxKrFyDgiIfrN7uHCJlOU3AZhom5Ccv4a7RYNXcVZxLkZh84sfLr4BQ==" saltValue="MQU/nx4Vhg+wNE+aFKxQCg==" spinCount="100000" sheet="1" objects="1" scenarios="1" formatCells="0" formatColumns="0" formatRows="0"/>
  <mergeCells count="33">
    <mergeCell ref="Q2:S2"/>
    <mergeCell ref="E2:F2"/>
    <mergeCell ref="L2:M2"/>
    <mergeCell ref="A9:A13"/>
    <mergeCell ref="M9:M13"/>
    <mergeCell ref="S9:S13"/>
    <mergeCell ref="B9:B13"/>
    <mergeCell ref="C9:C13"/>
    <mergeCell ref="D9:D13"/>
    <mergeCell ref="E9:E13"/>
    <mergeCell ref="F9:F13"/>
    <mergeCell ref="G9:G13"/>
    <mergeCell ref="A14:A17"/>
    <mergeCell ref="M14:M17"/>
    <mergeCell ref="T9:T13"/>
    <mergeCell ref="U9:U13"/>
    <mergeCell ref="H9:H13"/>
    <mergeCell ref="I9:I13"/>
    <mergeCell ref="J9:J13"/>
    <mergeCell ref="K9:K13"/>
    <mergeCell ref="S14:S17"/>
    <mergeCell ref="B14:B17"/>
    <mergeCell ref="T14:T17"/>
    <mergeCell ref="C14:C17"/>
    <mergeCell ref="U14:U17"/>
    <mergeCell ref="D14:D17"/>
    <mergeCell ref="E14:E17"/>
    <mergeCell ref="F14:F17"/>
    <mergeCell ref="G14:G17"/>
    <mergeCell ref="H14:H17"/>
    <mergeCell ref="I14:I17"/>
    <mergeCell ref="J14:J17"/>
    <mergeCell ref="K14:K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569" t="s">
        <v>139</v>
      </c>
      <c r="F2" s="570"/>
      <c r="G2" s="82">
        <f>SUM(G9:G9999)</f>
        <v>0</v>
      </c>
      <c r="O2" s="569" t="s">
        <v>24</v>
      </c>
      <c r="P2" s="570"/>
      <c r="Q2" s="80">
        <f>SUM(Q9:Q9999)</f>
        <v>0</v>
      </c>
      <c r="T2" s="417" t="s">
        <v>137</v>
      </c>
      <c r="U2" s="419"/>
      <c r="V2" s="69">
        <f>SUM(V9:V9999)</f>
        <v>0</v>
      </c>
      <c r="X2" s="68"/>
      <c r="Y2" s="417" t="s">
        <v>45</v>
      </c>
      <c r="Z2" s="418"/>
      <c r="AA2" s="419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zKXvEWIklAL0/7R7WUOvEqY1/wqm54nqBNrR0hNl41TYp8OXH74OTXuvZ3+mFvh591pAATDzWIUrfSe/2X0hJg==" saltValue="/eAIxuMdupj4/n9ttsfSO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569" t="s">
        <v>139</v>
      </c>
      <c r="F2" s="570"/>
      <c r="G2" s="82">
        <f>SUM(G9:G9999)</f>
        <v>0</v>
      </c>
      <c r="H2" s="10"/>
      <c r="O2" s="569" t="s">
        <v>24</v>
      </c>
      <c r="P2" s="570"/>
      <c r="Q2" s="80">
        <f>SUM(Q9:Q9999)</f>
        <v>0</v>
      </c>
      <c r="T2" s="417" t="s">
        <v>137</v>
      </c>
      <c r="U2" s="419"/>
      <c r="V2" s="69">
        <f>SUM(V9:V9999)</f>
        <v>0</v>
      </c>
      <c r="X2" s="68"/>
      <c r="Y2" s="417" t="s">
        <v>45</v>
      </c>
      <c r="Z2" s="418"/>
      <c r="AA2" s="419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cteu+TUoGFp6/eDQKx97n4oZBMajku/DoYRNTsY0uMZBP1jBp8NcmVg02q0McAxKqV4WUQnMXUyfr29UgsFIjg==" saltValue="onka398dJm7oHr4lx0Fii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37"/>
  <sheetViews>
    <sheetView showGridLines="0" tabSelected="1" topLeftCell="H1" zoomScale="50" zoomScaleNormal="50" workbookViewId="0">
      <pane ySplit="8" topLeftCell="A20" activePane="bottomLeft" state="frozen"/>
      <selection pane="bottomLeft" activeCell="V29" sqref="V29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569" t="s">
        <v>139</v>
      </c>
      <c r="F2" s="570"/>
      <c r="G2" s="82">
        <f>SUM(G9:G10001)</f>
        <v>2451970.1799999997</v>
      </c>
      <c r="H2" s="10"/>
      <c r="O2" s="569" t="s">
        <v>24</v>
      </c>
      <c r="P2" s="570"/>
      <c r="Q2" s="80">
        <f>SUM(Q9:Q10001)</f>
        <v>2326002.34</v>
      </c>
      <c r="T2" s="417" t="s">
        <v>137</v>
      </c>
      <c r="U2" s="419"/>
      <c r="V2" s="69">
        <f>SUM(V9:V10001)</f>
        <v>1242131.4300000002</v>
      </c>
      <c r="X2" s="68"/>
      <c r="Y2" s="417" t="s">
        <v>45</v>
      </c>
      <c r="Z2" s="418"/>
      <c r="AA2" s="419"/>
      <c r="AB2" s="70">
        <f>SUM(AB9:AB10001)</f>
        <v>8112</v>
      </c>
    </row>
    <row r="4" spans="1:30" ht="39.950000000000003" customHeight="1" x14ac:dyDescent="0.3">
      <c r="P4" s="416"/>
      <c r="Q4" s="416"/>
      <c r="R4" s="416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689">
        <v>1</v>
      </c>
      <c r="B9" s="674"/>
      <c r="C9" s="674" t="s">
        <v>161</v>
      </c>
      <c r="D9" s="674"/>
      <c r="E9" s="674" t="s">
        <v>162</v>
      </c>
      <c r="F9" s="674" t="s">
        <v>163</v>
      </c>
      <c r="G9" s="677">
        <v>624240</v>
      </c>
      <c r="H9" s="680">
        <f>IF(AD9 = 1, G9 - Q9,0)</f>
        <v>66540</v>
      </c>
      <c r="I9" s="677"/>
      <c r="J9" s="677"/>
      <c r="K9" s="674"/>
      <c r="L9" s="674"/>
      <c r="M9" s="674" t="s">
        <v>167</v>
      </c>
      <c r="N9" s="683" t="s">
        <v>168</v>
      </c>
      <c r="O9" s="686">
        <v>2308080429</v>
      </c>
      <c r="P9" s="674" t="s">
        <v>169</v>
      </c>
      <c r="Q9" s="677">
        <v>557700</v>
      </c>
      <c r="R9" s="680">
        <f>IF(AD9 = 1, Q9 + SUM(Y9:Y17) - SUM(Z9:Z17) - SUM(V9:V17) - AB9,0)</f>
        <v>0</v>
      </c>
      <c r="S9" s="674" t="s">
        <v>171</v>
      </c>
      <c r="T9" s="109" t="s">
        <v>165</v>
      </c>
      <c r="U9" s="674" t="s">
        <v>170</v>
      </c>
      <c r="V9" s="104">
        <v>52728</v>
      </c>
      <c r="W9" s="109" t="s">
        <v>172</v>
      </c>
      <c r="X9" s="103"/>
      <c r="Y9" s="104"/>
      <c r="Z9" s="104"/>
      <c r="AA9" s="674" t="s">
        <v>303</v>
      </c>
      <c r="AB9" s="677">
        <v>8112</v>
      </c>
      <c r="AC9" s="671"/>
      <c r="AD9" s="85">
        <v>1</v>
      </c>
    </row>
    <row r="10" spans="1:30" x14ac:dyDescent="0.25">
      <c r="A10" s="690"/>
      <c r="B10" s="675"/>
      <c r="C10" s="675"/>
      <c r="D10" s="675"/>
      <c r="E10" s="675"/>
      <c r="F10" s="675"/>
      <c r="G10" s="678"/>
      <c r="H10" s="681"/>
      <c r="I10" s="678"/>
      <c r="J10" s="678"/>
      <c r="K10" s="675"/>
      <c r="L10" s="675"/>
      <c r="M10" s="675"/>
      <c r="N10" s="684"/>
      <c r="O10" s="687"/>
      <c r="P10" s="675"/>
      <c r="Q10" s="678"/>
      <c r="R10" s="681"/>
      <c r="S10" s="675"/>
      <c r="T10" s="110" t="s">
        <v>173</v>
      </c>
      <c r="U10" s="675"/>
      <c r="V10" s="105">
        <v>62868</v>
      </c>
      <c r="W10" s="110" t="s">
        <v>175</v>
      </c>
      <c r="X10" s="106"/>
      <c r="Y10" s="105"/>
      <c r="Z10" s="105"/>
      <c r="AA10" s="675"/>
      <c r="AB10" s="678"/>
      <c r="AC10" s="672"/>
      <c r="AD10" s="2">
        <v>1</v>
      </c>
    </row>
    <row r="11" spans="1:30" x14ac:dyDescent="0.25">
      <c r="A11" s="690"/>
      <c r="B11" s="675"/>
      <c r="C11" s="675"/>
      <c r="D11" s="675"/>
      <c r="E11" s="675"/>
      <c r="F11" s="675"/>
      <c r="G11" s="678"/>
      <c r="H11" s="681"/>
      <c r="I11" s="678"/>
      <c r="J11" s="678"/>
      <c r="K11" s="675"/>
      <c r="L11" s="675"/>
      <c r="M11" s="675"/>
      <c r="N11" s="684"/>
      <c r="O11" s="687"/>
      <c r="P11" s="675"/>
      <c r="Q11" s="678"/>
      <c r="R11" s="681"/>
      <c r="S11" s="675"/>
      <c r="T11" s="110" t="s">
        <v>178</v>
      </c>
      <c r="U11" s="675"/>
      <c r="V11" s="105">
        <v>60840</v>
      </c>
      <c r="W11" s="110" t="s">
        <v>177</v>
      </c>
      <c r="X11" s="106"/>
      <c r="Y11" s="105"/>
      <c r="Z11" s="105"/>
      <c r="AA11" s="675"/>
      <c r="AB11" s="678"/>
      <c r="AC11" s="672"/>
      <c r="AD11" s="2">
        <v>1</v>
      </c>
    </row>
    <row r="12" spans="1:30" x14ac:dyDescent="0.25">
      <c r="A12" s="690"/>
      <c r="B12" s="675"/>
      <c r="C12" s="675"/>
      <c r="D12" s="675"/>
      <c r="E12" s="675"/>
      <c r="F12" s="675"/>
      <c r="G12" s="678"/>
      <c r="H12" s="681"/>
      <c r="I12" s="678"/>
      <c r="J12" s="678"/>
      <c r="K12" s="675"/>
      <c r="L12" s="675"/>
      <c r="M12" s="675"/>
      <c r="N12" s="684"/>
      <c r="O12" s="687"/>
      <c r="P12" s="675"/>
      <c r="Q12" s="678"/>
      <c r="R12" s="681"/>
      <c r="S12" s="675"/>
      <c r="T12" s="110" t="s">
        <v>179</v>
      </c>
      <c r="U12" s="675"/>
      <c r="V12" s="105">
        <v>62868</v>
      </c>
      <c r="W12" s="110" t="s">
        <v>180</v>
      </c>
      <c r="X12" s="106"/>
      <c r="Y12" s="105"/>
      <c r="Z12" s="105"/>
      <c r="AA12" s="675"/>
      <c r="AB12" s="678"/>
      <c r="AC12" s="672"/>
      <c r="AD12" s="2">
        <v>1</v>
      </c>
    </row>
    <row r="13" spans="1:30" x14ac:dyDescent="0.25">
      <c r="A13" s="690"/>
      <c r="B13" s="675"/>
      <c r="C13" s="675"/>
      <c r="D13" s="675"/>
      <c r="E13" s="675"/>
      <c r="F13" s="675"/>
      <c r="G13" s="678"/>
      <c r="H13" s="681"/>
      <c r="I13" s="678"/>
      <c r="J13" s="678"/>
      <c r="K13" s="675"/>
      <c r="L13" s="675"/>
      <c r="M13" s="675"/>
      <c r="N13" s="684"/>
      <c r="O13" s="687"/>
      <c r="P13" s="675"/>
      <c r="Q13" s="678"/>
      <c r="R13" s="681"/>
      <c r="S13" s="675"/>
      <c r="T13" s="110" t="s">
        <v>183</v>
      </c>
      <c r="U13" s="675"/>
      <c r="V13" s="105">
        <v>62868</v>
      </c>
      <c r="W13" s="110" t="s">
        <v>182</v>
      </c>
      <c r="X13" s="106"/>
      <c r="Y13" s="105"/>
      <c r="Z13" s="105"/>
      <c r="AA13" s="675"/>
      <c r="AB13" s="678"/>
      <c r="AC13" s="672"/>
      <c r="AD13" s="2">
        <v>1</v>
      </c>
    </row>
    <row r="14" spans="1:30" x14ac:dyDescent="0.25">
      <c r="A14" s="690"/>
      <c r="B14" s="675"/>
      <c r="C14" s="675"/>
      <c r="D14" s="675"/>
      <c r="E14" s="675"/>
      <c r="F14" s="675"/>
      <c r="G14" s="678"/>
      <c r="H14" s="681"/>
      <c r="I14" s="678"/>
      <c r="J14" s="678"/>
      <c r="K14" s="675"/>
      <c r="L14" s="675"/>
      <c r="M14" s="675"/>
      <c r="N14" s="684"/>
      <c r="O14" s="687"/>
      <c r="P14" s="675"/>
      <c r="Q14" s="678"/>
      <c r="R14" s="681"/>
      <c r="S14" s="675"/>
      <c r="T14" s="110" t="s">
        <v>187</v>
      </c>
      <c r="U14" s="675"/>
      <c r="V14" s="105">
        <v>60840</v>
      </c>
      <c r="W14" s="110" t="s">
        <v>188</v>
      </c>
      <c r="X14" s="106"/>
      <c r="Y14" s="105"/>
      <c r="Z14" s="105"/>
      <c r="AA14" s="675"/>
      <c r="AB14" s="678"/>
      <c r="AC14" s="672"/>
      <c r="AD14" s="2">
        <v>1</v>
      </c>
    </row>
    <row r="15" spans="1:30" x14ac:dyDescent="0.25">
      <c r="A15" s="690"/>
      <c r="B15" s="675"/>
      <c r="C15" s="675"/>
      <c r="D15" s="675"/>
      <c r="E15" s="675"/>
      <c r="F15" s="675"/>
      <c r="G15" s="678"/>
      <c r="H15" s="681"/>
      <c r="I15" s="678"/>
      <c r="J15" s="678"/>
      <c r="K15" s="675"/>
      <c r="L15" s="675"/>
      <c r="M15" s="675"/>
      <c r="N15" s="684"/>
      <c r="O15" s="687"/>
      <c r="P15" s="675"/>
      <c r="Q15" s="678"/>
      <c r="R15" s="681"/>
      <c r="S15" s="675"/>
      <c r="T15" s="110" t="s">
        <v>196</v>
      </c>
      <c r="U15" s="675"/>
      <c r="V15" s="105">
        <v>62868</v>
      </c>
      <c r="W15" s="110" t="s">
        <v>195</v>
      </c>
      <c r="X15" s="106"/>
      <c r="Y15" s="105"/>
      <c r="Z15" s="105"/>
      <c r="AA15" s="675"/>
      <c r="AB15" s="678"/>
      <c r="AC15" s="672"/>
      <c r="AD15" s="2">
        <v>1</v>
      </c>
    </row>
    <row r="16" spans="1:30" x14ac:dyDescent="0.25">
      <c r="A16" s="690"/>
      <c r="B16" s="675"/>
      <c r="C16" s="675"/>
      <c r="D16" s="675"/>
      <c r="E16" s="675"/>
      <c r="F16" s="675"/>
      <c r="G16" s="678"/>
      <c r="H16" s="681"/>
      <c r="I16" s="678"/>
      <c r="J16" s="678"/>
      <c r="K16" s="675"/>
      <c r="L16" s="675"/>
      <c r="M16" s="675"/>
      <c r="N16" s="684"/>
      <c r="O16" s="687"/>
      <c r="P16" s="675"/>
      <c r="Q16" s="678"/>
      <c r="R16" s="681"/>
      <c r="S16" s="675"/>
      <c r="T16" s="110" t="s">
        <v>202</v>
      </c>
      <c r="U16" s="675"/>
      <c r="V16" s="105">
        <v>60840</v>
      </c>
      <c r="W16" s="110" t="s">
        <v>201</v>
      </c>
      <c r="X16" s="106"/>
      <c r="Y16" s="105"/>
      <c r="Z16" s="105"/>
      <c r="AA16" s="675"/>
      <c r="AB16" s="678"/>
      <c r="AC16" s="672"/>
      <c r="AD16" s="2">
        <v>1</v>
      </c>
    </row>
    <row r="17" spans="1:30" x14ac:dyDescent="0.25">
      <c r="A17" s="691"/>
      <c r="B17" s="676"/>
      <c r="C17" s="676"/>
      <c r="D17" s="676"/>
      <c r="E17" s="676"/>
      <c r="F17" s="676"/>
      <c r="G17" s="679"/>
      <c r="H17" s="682"/>
      <c r="I17" s="679"/>
      <c r="J17" s="679"/>
      <c r="K17" s="676"/>
      <c r="L17" s="676"/>
      <c r="M17" s="676"/>
      <c r="N17" s="685"/>
      <c r="O17" s="688"/>
      <c r="P17" s="676"/>
      <c r="Q17" s="679"/>
      <c r="R17" s="682"/>
      <c r="S17" s="676"/>
      <c r="T17" s="111" t="s">
        <v>262</v>
      </c>
      <c r="U17" s="676"/>
      <c r="V17" s="107">
        <v>62868</v>
      </c>
      <c r="W17" s="111" t="s">
        <v>261</v>
      </c>
      <c r="X17" s="108"/>
      <c r="Y17" s="107"/>
      <c r="Z17" s="107"/>
      <c r="AA17" s="676"/>
      <c r="AB17" s="679"/>
      <c r="AC17" s="673"/>
      <c r="AD17" s="2">
        <v>1</v>
      </c>
    </row>
    <row r="18" spans="1:30" s="85" customFormat="1" ht="72" customHeight="1" x14ac:dyDescent="0.25">
      <c r="A18" s="358">
        <v>2</v>
      </c>
      <c r="B18" s="364"/>
      <c r="C18" s="364" t="s">
        <v>205</v>
      </c>
      <c r="D18" s="364"/>
      <c r="E18" s="364" t="s">
        <v>206</v>
      </c>
      <c r="F18" s="364" t="s">
        <v>163</v>
      </c>
      <c r="G18" s="362">
        <v>742848</v>
      </c>
      <c r="H18" s="372">
        <f>IF(AD18 = 3, G18 - Q18,0)</f>
        <v>59427.839999999967</v>
      </c>
      <c r="I18" s="362"/>
      <c r="J18" s="362"/>
      <c r="K18" s="364"/>
      <c r="L18" s="364"/>
      <c r="M18" s="364" t="s">
        <v>206</v>
      </c>
      <c r="N18" s="360" t="s">
        <v>200</v>
      </c>
      <c r="O18" s="668">
        <v>2304067057</v>
      </c>
      <c r="P18" s="364" t="s">
        <v>207</v>
      </c>
      <c r="Q18" s="362">
        <v>683420.16000000003</v>
      </c>
      <c r="R18" s="372">
        <f>IF(AD18 = 3, Q18 + SUM(Y18:Y25) - SUM(Z18:Z25) - SUM(V18:V25) - AB18,0)</f>
        <v>114683.52000000002</v>
      </c>
      <c r="S18" s="364" t="s">
        <v>208</v>
      </c>
      <c r="T18" s="298" t="s">
        <v>307</v>
      </c>
      <c r="U18" s="364" t="s">
        <v>209</v>
      </c>
      <c r="V18" s="289">
        <v>72554.880000000005</v>
      </c>
      <c r="W18" s="298" t="s">
        <v>313</v>
      </c>
      <c r="X18" s="291"/>
      <c r="Y18" s="289"/>
      <c r="Z18" s="289"/>
      <c r="AA18" s="364"/>
      <c r="AB18" s="362"/>
      <c r="AC18" s="368"/>
      <c r="AD18" s="85">
        <v>3</v>
      </c>
    </row>
    <row r="19" spans="1:30" x14ac:dyDescent="0.25">
      <c r="A19" s="374"/>
      <c r="B19" s="377"/>
      <c r="C19" s="377"/>
      <c r="D19" s="377"/>
      <c r="E19" s="377"/>
      <c r="F19" s="377"/>
      <c r="G19" s="376"/>
      <c r="H19" s="383"/>
      <c r="I19" s="376"/>
      <c r="J19" s="376"/>
      <c r="K19" s="377"/>
      <c r="L19" s="377"/>
      <c r="M19" s="377"/>
      <c r="N19" s="375"/>
      <c r="O19" s="669"/>
      <c r="P19" s="377"/>
      <c r="Q19" s="376"/>
      <c r="R19" s="383"/>
      <c r="S19" s="377"/>
      <c r="T19" s="299" t="s">
        <v>346</v>
      </c>
      <c r="U19" s="377"/>
      <c r="V19" s="292">
        <v>65533.440000000002</v>
      </c>
      <c r="W19" s="299" t="s">
        <v>349</v>
      </c>
      <c r="X19" s="294"/>
      <c r="Y19" s="292"/>
      <c r="Z19" s="292"/>
      <c r="AA19" s="377"/>
      <c r="AB19" s="376"/>
      <c r="AC19" s="379"/>
      <c r="AD19" s="2">
        <v>3</v>
      </c>
    </row>
    <row r="20" spans="1:30" x14ac:dyDescent="0.25">
      <c r="A20" s="374"/>
      <c r="B20" s="377"/>
      <c r="C20" s="377"/>
      <c r="D20" s="377"/>
      <c r="E20" s="377"/>
      <c r="F20" s="377"/>
      <c r="G20" s="376"/>
      <c r="H20" s="383"/>
      <c r="I20" s="376"/>
      <c r="J20" s="376"/>
      <c r="K20" s="377"/>
      <c r="L20" s="377"/>
      <c r="M20" s="377"/>
      <c r="N20" s="375"/>
      <c r="O20" s="669"/>
      <c r="P20" s="377"/>
      <c r="Q20" s="376"/>
      <c r="R20" s="383"/>
      <c r="S20" s="377"/>
      <c r="T20" s="299" t="s">
        <v>377</v>
      </c>
      <c r="U20" s="377"/>
      <c r="V20" s="292">
        <v>72554.880000000005</v>
      </c>
      <c r="W20" s="299" t="s">
        <v>376</v>
      </c>
      <c r="X20" s="294"/>
      <c r="Y20" s="292"/>
      <c r="Z20" s="292"/>
      <c r="AA20" s="377"/>
      <c r="AB20" s="376"/>
      <c r="AC20" s="379"/>
      <c r="AD20" s="2">
        <v>3</v>
      </c>
    </row>
    <row r="21" spans="1:30" x14ac:dyDescent="0.25">
      <c r="A21" s="374"/>
      <c r="B21" s="377"/>
      <c r="C21" s="377"/>
      <c r="D21" s="377"/>
      <c r="E21" s="377"/>
      <c r="F21" s="377"/>
      <c r="G21" s="376"/>
      <c r="H21" s="383"/>
      <c r="I21" s="376"/>
      <c r="J21" s="376"/>
      <c r="K21" s="377"/>
      <c r="L21" s="377"/>
      <c r="M21" s="377"/>
      <c r="N21" s="375"/>
      <c r="O21" s="669"/>
      <c r="P21" s="377"/>
      <c r="Q21" s="376"/>
      <c r="R21" s="383"/>
      <c r="S21" s="377"/>
      <c r="T21" s="299" t="s">
        <v>455</v>
      </c>
      <c r="U21" s="377"/>
      <c r="V21" s="292">
        <v>70214.399999999994</v>
      </c>
      <c r="W21" s="299" t="s">
        <v>468</v>
      </c>
      <c r="X21" s="294"/>
      <c r="Y21" s="292"/>
      <c r="Z21" s="292"/>
      <c r="AA21" s="377"/>
      <c r="AB21" s="376"/>
      <c r="AC21" s="379"/>
      <c r="AD21" s="2">
        <v>3</v>
      </c>
    </row>
    <row r="22" spans="1:30" x14ac:dyDescent="0.25">
      <c r="A22" s="374"/>
      <c r="B22" s="377"/>
      <c r="C22" s="377"/>
      <c r="D22" s="377"/>
      <c r="E22" s="377"/>
      <c r="F22" s="377"/>
      <c r="G22" s="376"/>
      <c r="H22" s="383"/>
      <c r="I22" s="376"/>
      <c r="J22" s="376"/>
      <c r="K22" s="377"/>
      <c r="L22" s="377"/>
      <c r="M22" s="377"/>
      <c r="N22" s="375"/>
      <c r="O22" s="669"/>
      <c r="P22" s="377"/>
      <c r="Q22" s="376"/>
      <c r="R22" s="383"/>
      <c r="S22" s="377"/>
      <c r="T22" s="299" t="s">
        <v>507</v>
      </c>
      <c r="U22" s="377"/>
      <c r="V22" s="292">
        <v>72554.880000000005</v>
      </c>
      <c r="W22" s="299" t="s">
        <v>509</v>
      </c>
      <c r="X22" s="294"/>
      <c r="Y22" s="292"/>
      <c r="Z22" s="292"/>
      <c r="AA22" s="377"/>
      <c r="AB22" s="376"/>
      <c r="AC22" s="379"/>
      <c r="AD22" s="2">
        <v>3</v>
      </c>
    </row>
    <row r="23" spans="1:30" x14ac:dyDescent="0.25">
      <c r="A23" s="374"/>
      <c r="B23" s="377"/>
      <c r="C23" s="377"/>
      <c r="D23" s="377"/>
      <c r="E23" s="377"/>
      <c r="F23" s="377"/>
      <c r="G23" s="376"/>
      <c r="H23" s="383"/>
      <c r="I23" s="376"/>
      <c r="J23" s="376"/>
      <c r="K23" s="377"/>
      <c r="L23" s="377"/>
      <c r="M23" s="377"/>
      <c r="N23" s="375"/>
      <c r="O23" s="669"/>
      <c r="P23" s="377"/>
      <c r="Q23" s="376"/>
      <c r="R23" s="383"/>
      <c r="S23" s="377"/>
      <c r="T23" s="299" t="s">
        <v>559</v>
      </c>
      <c r="U23" s="377"/>
      <c r="V23" s="292">
        <v>70214.399999999994</v>
      </c>
      <c r="W23" s="299" t="s">
        <v>564</v>
      </c>
      <c r="X23" s="294"/>
      <c r="Y23" s="292"/>
      <c r="Z23" s="292"/>
      <c r="AA23" s="377"/>
      <c r="AB23" s="376"/>
      <c r="AC23" s="379"/>
      <c r="AD23" s="2">
        <v>3</v>
      </c>
    </row>
    <row r="24" spans="1:30" x14ac:dyDescent="0.25">
      <c r="A24" s="374"/>
      <c r="B24" s="377"/>
      <c r="C24" s="377"/>
      <c r="D24" s="377"/>
      <c r="E24" s="377"/>
      <c r="F24" s="377"/>
      <c r="G24" s="376"/>
      <c r="H24" s="383"/>
      <c r="I24" s="376"/>
      <c r="J24" s="376"/>
      <c r="K24" s="377"/>
      <c r="L24" s="377"/>
      <c r="M24" s="377"/>
      <c r="N24" s="375"/>
      <c r="O24" s="669"/>
      <c r="P24" s="377"/>
      <c r="Q24" s="376"/>
      <c r="R24" s="383"/>
      <c r="S24" s="377"/>
      <c r="T24" s="299" t="s">
        <v>603</v>
      </c>
      <c r="U24" s="377"/>
      <c r="V24" s="292">
        <v>72554.880000000005</v>
      </c>
      <c r="W24" s="299" t="s">
        <v>605</v>
      </c>
      <c r="X24" s="294"/>
      <c r="Y24" s="292"/>
      <c r="Z24" s="292"/>
      <c r="AA24" s="377"/>
      <c r="AB24" s="376"/>
      <c r="AC24" s="379"/>
      <c r="AD24" s="2">
        <v>3</v>
      </c>
    </row>
    <row r="25" spans="1:30" s="280" customFormat="1" x14ac:dyDescent="0.25">
      <c r="A25" s="359"/>
      <c r="B25" s="365"/>
      <c r="C25" s="365"/>
      <c r="D25" s="365"/>
      <c r="E25" s="365"/>
      <c r="F25" s="365"/>
      <c r="G25" s="363"/>
      <c r="H25" s="373"/>
      <c r="I25" s="363"/>
      <c r="J25" s="363"/>
      <c r="K25" s="365"/>
      <c r="L25" s="365"/>
      <c r="M25" s="365"/>
      <c r="N25" s="361"/>
      <c r="O25" s="670"/>
      <c r="P25" s="365"/>
      <c r="Q25" s="363"/>
      <c r="R25" s="373"/>
      <c r="S25" s="365"/>
      <c r="T25" s="300" t="s">
        <v>647</v>
      </c>
      <c r="U25" s="365"/>
      <c r="V25" s="295">
        <v>72554.880000000005</v>
      </c>
      <c r="W25" s="300" t="s">
        <v>648</v>
      </c>
      <c r="X25" s="297"/>
      <c r="Y25" s="295"/>
      <c r="Z25" s="295"/>
      <c r="AA25" s="365"/>
      <c r="AB25" s="363"/>
      <c r="AC25" s="369"/>
      <c r="AD25" s="280">
        <v>3</v>
      </c>
    </row>
    <row r="26" spans="1:30" s="85" customFormat="1" ht="92.45" customHeight="1" x14ac:dyDescent="0.25">
      <c r="A26" s="487">
        <v>3</v>
      </c>
      <c r="B26" s="493"/>
      <c r="C26" s="493" t="s">
        <v>620</v>
      </c>
      <c r="D26" s="493"/>
      <c r="E26" s="493" t="s">
        <v>618</v>
      </c>
      <c r="F26" s="493" t="s">
        <v>619</v>
      </c>
      <c r="G26" s="491">
        <v>1084882.18</v>
      </c>
      <c r="H26" s="501">
        <f>IF(AD26 = 4, G26 - Q26,0)</f>
        <v>0</v>
      </c>
      <c r="I26" s="491"/>
      <c r="J26" s="491"/>
      <c r="K26" s="493"/>
      <c r="L26" s="493"/>
      <c r="M26" s="493" t="s">
        <v>621</v>
      </c>
      <c r="N26" s="489" t="s">
        <v>617</v>
      </c>
      <c r="O26" s="664">
        <v>2353020735</v>
      </c>
      <c r="P26" s="493" t="s">
        <v>286</v>
      </c>
      <c r="Q26" s="491">
        <v>1084882.18</v>
      </c>
      <c r="R26" s="501">
        <f>IF(AD26 = 4, Q26 + SUM(Y26:Y28) - SUM(Z26:Z28) - SUM(V26:V28) - AB26,0)</f>
        <v>961075.3899999999</v>
      </c>
      <c r="S26" s="493" t="s">
        <v>622</v>
      </c>
      <c r="T26" s="287" t="s">
        <v>653</v>
      </c>
      <c r="U26" s="493" t="s">
        <v>209</v>
      </c>
      <c r="V26" s="281">
        <v>87552.43</v>
      </c>
      <c r="W26" s="287" t="s">
        <v>656</v>
      </c>
      <c r="X26" s="283"/>
      <c r="Y26" s="281"/>
      <c r="Z26" s="281"/>
      <c r="AA26" s="493"/>
      <c r="AB26" s="491"/>
      <c r="AC26" s="497"/>
      <c r="AD26" s="85">
        <v>4</v>
      </c>
    </row>
    <row r="27" spans="1:30" s="280" customFormat="1" x14ac:dyDescent="0.25">
      <c r="A27" s="667"/>
      <c r="B27" s="660"/>
      <c r="C27" s="660"/>
      <c r="D27" s="660"/>
      <c r="E27" s="660"/>
      <c r="F27" s="660"/>
      <c r="G27" s="661"/>
      <c r="H27" s="662"/>
      <c r="I27" s="661"/>
      <c r="J27" s="661"/>
      <c r="K27" s="660"/>
      <c r="L27" s="660"/>
      <c r="M27" s="660"/>
      <c r="N27" s="663"/>
      <c r="O27" s="665"/>
      <c r="P27" s="660"/>
      <c r="Q27" s="661"/>
      <c r="R27" s="662"/>
      <c r="S27" s="660"/>
      <c r="T27" s="305" t="s">
        <v>653</v>
      </c>
      <c r="U27" s="660"/>
      <c r="V27" s="306">
        <v>5588.57</v>
      </c>
      <c r="W27" s="305" t="s">
        <v>656</v>
      </c>
      <c r="X27" s="307"/>
      <c r="Y27" s="306"/>
      <c r="Z27" s="306"/>
      <c r="AA27" s="660"/>
      <c r="AB27" s="661"/>
      <c r="AC27" s="659"/>
      <c r="AD27" s="280">
        <v>4</v>
      </c>
    </row>
    <row r="28" spans="1:30" s="280" customFormat="1" x14ac:dyDescent="0.25">
      <c r="A28" s="488"/>
      <c r="B28" s="494"/>
      <c r="C28" s="494"/>
      <c r="D28" s="494"/>
      <c r="E28" s="494"/>
      <c r="F28" s="494"/>
      <c r="G28" s="492"/>
      <c r="H28" s="502"/>
      <c r="I28" s="492"/>
      <c r="J28" s="492"/>
      <c r="K28" s="494"/>
      <c r="L28" s="494"/>
      <c r="M28" s="494"/>
      <c r="N28" s="490"/>
      <c r="O28" s="666"/>
      <c r="P28" s="494"/>
      <c r="Q28" s="492"/>
      <c r="R28" s="502"/>
      <c r="S28" s="494"/>
      <c r="T28" s="288" t="s">
        <v>653</v>
      </c>
      <c r="U28" s="494"/>
      <c r="V28" s="284">
        <v>30665.79</v>
      </c>
      <c r="W28" s="288" t="s">
        <v>656</v>
      </c>
      <c r="X28" s="286"/>
      <c r="Y28" s="284"/>
      <c r="Z28" s="284"/>
      <c r="AA28" s="494"/>
      <c r="AB28" s="492"/>
      <c r="AC28" s="498"/>
      <c r="AD28" s="280">
        <v>4</v>
      </c>
    </row>
    <row r="29" spans="1:30" ht="18" x14ac:dyDescent="0.3">
      <c r="M29" s="3"/>
      <c r="AD29" s="2">
        <v>5</v>
      </c>
    </row>
    <row r="30" spans="1:30" ht="18" x14ac:dyDescent="0.3">
      <c r="M30" s="3"/>
    </row>
    <row r="31" spans="1:30" ht="18" x14ac:dyDescent="0.3">
      <c r="M31" s="3"/>
    </row>
    <row r="32" spans="1:30" ht="18" x14ac:dyDescent="0.3">
      <c r="M32" s="3"/>
    </row>
    <row r="33" spans="13:13" ht="18" x14ac:dyDescent="0.3">
      <c r="M33" s="3"/>
    </row>
    <row r="34" spans="13:13" ht="18" x14ac:dyDescent="0.3">
      <c r="M34" s="3"/>
    </row>
    <row r="35" spans="13:13" ht="18" x14ac:dyDescent="0.3">
      <c r="M35" s="3"/>
    </row>
    <row r="36" spans="13:13" ht="18" x14ac:dyDescent="0.3">
      <c r="M36" s="3"/>
    </row>
    <row r="37" spans="13:13" ht="18" x14ac:dyDescent="0.3">
      <c r="M37" s="3"/>
    </row>
  </sheetData>
  <sheetProtection algorithmName="SHA-512" hashValue="8NXgfTgqMUsWDgO4rM62fKYPS4tC1ucBfJNTUIE7ELQjJFbKjsWtgs5dpsn3hNMrUoHauPGdPFtHWy9W8djawg==" saltValue="bD/9ttGqrxCEn9yeRCSgLA==" spinCount="100000" sheet="1" objects="1" scenarios="1" formatCells="0" formatColumns="0" formatRows="0"/>
  <mergeCells count="74">
    <mergeCell ref="A9:A17"/>
    <mergeCell ref="U9:U17"/>
    <mergeCell ref="AA9:AA17"/>
    <mergeCell ref="B9:B17"/>
    <mergeCell ref="AB9:AB17"/>
    <mergeCell ref="C9:C17"/>
    <mergeCell ref="S9:S17"/>
    <mergeCell ref="P4:R4"/>
    <mergeCell ref="E2:F2"/>
    <mergeCell ref="O2:P2"/>
    <mergeCell ref="Y2:AA2"/>
    <mergeCell ref="T2:U2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A18:A25"/>
    <mergeCell ref="U18:U25"/>
    <mergeCell ref="AA18:AA25"/>
    <mergeCell ref="B18:B25"/>
    <mergeCell ref="AB18:AB25"/>
    <mergeCell ref="C18:C25"/>
    <mergeCell ref="S18:S25"/>
    <mergeCell ref="AC18:AC25"/>
    <mergeCell ref="D18:D25"/>
    <mergeCell ref="E18:E25"/>
    <mergeCell ref="F18:F25"/>
    <mergeCell ref="G18:G25"/>
    <mergeCell ref="H18:H25"/>
    <mergeCell ref="I18:I25"/>
    <mergeCell ref="J18:J25"/>
    <mergeCell ref="K18:K25"/>
    <mergeCell ref="L18:L25"/>
    <mergeCell ref="M18:M25"/>
    <mergeCell ref="N18:N25"/>
    <mergeCell ref="O18:O25"/>
    <mergeCell ref="P18:P25"/>
    <mergeCell ref="Q18:Q25"/>
    <mergeCell ref="R18:R25"/>
    <mergeCell ref="A26:A28"/>
    <mergeCell ref="U26:U28"/>
    <mergeCell ref="AA26:AA28"/>
    <mergeCell ref="B26:B28"/>
    <mergeCell ref="AB26:AB28"/>
    <mergeCell ref="C26:C28"/>
    <mergeCell ref="S26:S28"/>
    <mergeCell ref="AC26:AC28"/>
    <mergeCell ref="D26:D28"/>
    <mergeCell ref="E26:E28"/>
    <mergeCell ref="F26:F28"/>
    <mergeCell ref="G26:G28"/>
    <mergeCell ref="H26:H28"/>
    <mergeCell ref="I26:I28"/>
    <mergeCell ref="J26:J28"/>
    <mergeCell ref="K26:K28"/>
    <mergeCell ref="L26:L28"/>
    <mergeCell ref="M26:M28"/>
    <mergeCell ref="N26:N28"/>
    <mergeCell ref="O26:O28"/>
    <mergeCell ref="P26:P28"/>
    <mergeCell ref="Q26:Q28"/>
    <mergeCell ref="R26:R2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118</v>
      </c>
      <c r="B1" s="47">
        <v>41</v>
      </c>
      <c r="C1" s="47">
        <v>9</v>
      </c>
      <c r="D1" s="694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695"/>
      <c r="E2" s="32"/>
      <c r="F2" s="62">
        <v>89</v>
      </c>
      <c r="G2" s="66">
        <v>87</v>
      </c>
      <c r="H2" s="65">
        <v>5</v>
      </c>
      <c r="I2" s="64">
        <v>0</v>
      </c>
      <c r="J2" s="63">
        <v>0</v>
      </c>
      <c r="K2" s="67">
        <v>4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174</v>
      </c>
      <c r="B4" s="44">
        <v>34</v>
      </c>
      <c r="C4" s="44">
        <v>9</v>
      </c>
      <c r="D4" s="696" t="s">
        <v>102</v>
      </c>
      <c r="E4" s="32"/>
      <c r="F4" s="62">
        <v>90</v>
      </c>
      <c r="G4" s="66">
        <v>88</v>
      </c>
      <c r="H4" s="65">
        <v>6</v>
      </c>
      <c r="I4" s="64">
        <v>0</v>
      </c>
      <c r="J4" s="63">
        <v>0</v>
      </c>
      <c r="K4" s="67">
        <v>5</v>
      </c>
    </row>
    <row r="5" spans="1:11" x14ac:dyDescent="0.25">
      <c r="A5" s="43" t="s">
        <v>89</v>
      </c>
      <c r="B5" s="44" t="s">
        <v>88</v>
      </c>
      <c r="C5" s="44" t="s">
        <v>87</v>
      </c>
      <c r="D5" s="697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17</v>
      </c>
      <c r="B7" s="46">
        <v>2</v>
      </c>
      <c r="C7" s="46">
        <v>9</v>
      </c>
      <c r="D7" s="698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699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700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701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702" t="s">
        <v>49</v>
      </c>
      <c r="E13" s="32"/>
      <c r="F13" s="32"/>
      <c r="G13" s="32"/>
    </row>
    <row r="14" spans="1:11" ht="31.5" x14ac:dyDescent="0.25">
      <c r="A14" s="39" t="s">
        <v>96</v>
      </c>
      <c r="B14" s="40" t="s">
        <v>97</v>
      </c>
      <c r="C14" s="40" t="s">
        <v>98</v>
      </c>
      <c r="D14" s="703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28</v>
      </c>
      <c r="B16" s="38">
        <v>3</v>
      </c>
      <c r="C16" s="38">
        <v>9</v>
      </c>
      <c r="D16" s="692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693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2023-10-04T10:42:33Z</dcterms:modified>
</cp:coreProperties>
</file>