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47C243C-A8A3-4FDD-9E7D-1AF0BC072F43}" xr6:coauthVersionLast="36" xr6:coauthVersionMax="36" xr10:uidLastSave="{00000000-0000-0000-0000-000000000000}"/>
  <workbookProtection workbookPassword="EB34" lockStructure="1"/>
  <bookViews>
    <workbookView xWindow="-108" yWindow="-108" windowWidth="23256" windowHeight="12576" activeTab="3" xr2:uid="{00000000-000D-0000-FFFF-FFFF00000000}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G2" i="19" l="1"/>
  <c r="N2" i="19"/>
  <c r="T2" i="19"/>
  <c r="H2" i="31"/>
  <c r="P2" i="31"/>
  <c r="V2" i="31"/>
  <c r="I9" i="27"/>
  <c r="H2" i="27"/>
  <c r="P2" i="27"/>
  <c r="V2" i="27"/>
  <c r="G2" i="20"/>
  <c r="Q2" i="20"/>
  <c r="V2" i="20"/>
  <c r="AB2" i="20"/>
  <c r="H30" i="20"/>
  <c r="R30" i="20"/>
  <c r="G2" i="17"/>
  <c r="Q2" i="17"/>
  <c r="V2" i="17"/>
  <c r="AB2" i="17"/>
  <c r="G2" i="22"/>
  <c r="Q2" i="22"/>
  <c r="V2" i="22"/>
  <c r="AB2" i="22"/>
  <c r="H10" i="17"/>
  <c r="R10" i="17"/>
  <c r="H9" i="17"/>
  <c r="R9" i="17"/>
  <c r="H15" i="19"/>
  <c r="H13" i="19"/>
  <c r="I33" i="31"/>
  <c r="I9" i="31"/>
  <c r="I31" i="27"/>
  <c r="I79" i="31"/>
  <c r="I43" i="27"/>
  <c r="I27" i="31"/>
  <c r="I105" i="31"/>
  <c r="I91" i="31"/>
  <c r="I23" i="27"/>
  <c r="I17" i="27"/>
  <c r="I29" i="27"/>
  <c r="I70" i="27"/>
  <c r="I69" i="27"/>
  <c r="I68" i="27"/>
  <c r="H37" i="20"/>
  <c r="R37" i="20"/>
  <c r="I144" i="31"/>
  <c r="I128" i="31"/>
  <c r="I152" i="31"/>
  <c r="I122" i="31"/>
  <c r="I110" i="31"/>
  <c r="I132" i="31"/>
  <c r="H36" i="20"/>
  <c r="R36" i="20"/>
  <c r="I67" i="27"/>
  <c r="I66" i="27"/>
  <c r="I164" i="31"/>
  <c r="I65" i="27"/>
  <c r="I64" i="27"/>
  <c r="I163" i="31"/>
  <c r="I162" i="31"/>
  <c r="I63" i="27"/>
  <c r="I59" i="27"/>
  <c r="H9" i="19"/>
  <c r="I62" i="27"/>
  <c r="I161" i="31"/>
  <c r="I160" i="31"/>
  <c r="I159" i="31"/>
  <c r="I158" i="31"/>
  <c r="I61" i="27"/>
  <c r="H9" i="20"/>
  <c r="R9" i="20"/>
  <c r="I43" i="31"/>
  <c r="I73" i="31"/>
  <c r="I61" i="31"/>
  <c r="I97" i="31"/>
  <c r="I50" i="27" l="1"/>
  <c r="I58" i="27"/>
  <c r="I157" i="31"/>
  <c r="I57" i="27"/>
  <c r="I56" i="27"/>
  <c r="I55" i="27"/>
  <c r="I54" i="27"/>
  <c r="I53" i="27"/>
  <c r="I156" i="31"/>
  <c r="I52" i="27"/>
  <c r="I49" i="27"/>
  <c r="I48" i="27" l="1"/>
  <c r="H16" i="19"/>
  <c r="I39" i="31"/>
  <c r="I47" i="27"/>
  <c r="I109" i="31"/>
  <c r="I42" i="27"/>
  <c r="I41" i="27"/>
  <c r="I104" i="31"/>
  <c r="I103" i="31"/>
  <c r="I40" i="27" l="1"/>
  <c r="I39" i="27"/>
  <c r="I38" i="27" l="1"/>
  <c r="I37" i="27"/>
  <c r="I42" i="31"/>
  <c r="I41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<sst xmlns="http://schemas.openxmlformats.org/spreadsheetml/2006/main" count="1427" uniqueCount="548">
  <si>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</si>
  <si>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</si>
  <si>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</si>
  <si>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</si>
  <si>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</si>
  <si>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</si>
  <si>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</si>
  <si>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</si>
  <si>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</si>
  <si>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</si>
  <si>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</si>
  <si>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</si>
  <si>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</si>
  <si>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</si>
  <si>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</si>
  <si>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</si>
  <si>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</si>
  <si>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</si>
  <si>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</si>
  <si>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</si>
  <si>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</si>
  <si>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</si>
  <si>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</si>
  <si>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</si>
  <si>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</si>
  <si>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</si>
  <si>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</si>
  <si>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</si>
  <si>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</si>
  <si>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</si>
  <si>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</si>
  <si>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</si>
  <si>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</si>
  <si>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</si>
  <si>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</si>
  <si>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</si>
  <si>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</si>
  <si>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</si>
  <si>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</si>
  <si>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</si>
  <si>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</si>
  <si>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</si>
  <si>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</si>
  <si>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</si>
  <si>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</si>
  <si>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</si>
  <si>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</si>
  <si>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</si>
  <si>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</si>
  <si>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</si>
  <si>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</si>
  <si>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</si>
  <si>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</si>
  <si>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</si>
  <si>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</si>
  <si>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</si>
  <si>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</si>
  <si>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</si>
  <si>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</si>
  <si>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</si>
  <si>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</si>
  <si>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</si>
  <si>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</si>
  <si>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</si>
  <si>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</si>
  <si>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</si>
  <si>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</si>
  <si>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</si>
  <si>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</si>
  <si>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</si>
  <si>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</si>
  <si>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</si>
  <si>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</si>
  <si>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</si>
  <si>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</si>
  <si>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</si>
  <si>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</si>
  <si>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</si>
  <si>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</si>
  <si>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</si>
  <si>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</si>
  <si>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</si>
  <si>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</si>
  <si>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</si>
  <si>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</si>
  <si>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</si>
  <si>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</si>
  <si>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</si>
  <si>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</si>
  <si>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</si>
  <si>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</si>
  <si>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</si>
  <si>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</si>
  <si>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</si>
  <si>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</si>
  <si>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</si>
  <si>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</si>
  <si>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</si>
  <si>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</si>
  <si>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</si>
  <si>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</si>
  <si>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</si>
  <si>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</si>
  <si>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</si>
  <si>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</si>
  <si>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</si>
  <si>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</si>
  <si>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</si>
  <si>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</si>
  <si>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</si>
  <si>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</si>
  <si>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</si>
  <si>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</si>
  <si>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</si>
  <si>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</si>
  <si>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</si>
  <si>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</si>
  <si>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</si>
  <si>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</si>
  <si>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</si>
  <si>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</si>
  <si>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</si>
  <si>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</si>
  <si>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</si>
  <si>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</si>
  <si>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</si>
  <si>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</si>
  <si>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</si>
  <si>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</si>
  <si>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</si>
  <si>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</si>
  <si>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</si>
  <si>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</si>
  <si>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</si>
  <si>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</si>
  <si>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</si>
  <si>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</si>
  <si>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</si>
  <si>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</si>
  <si>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</si>
  <si>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</si>
  <si>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</si>
  <si>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</si>
  <si>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</si>
  <si>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</si>
  <si>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</si>
  <si>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</si>
  <si>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</si>
  <si>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</si>
  <si>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ФГКУ "УВО ВНГ России по Краснодарскому краю"</t>
  </si>
  <si>
    <t>ООО "Сигнал"</t>
  </si>
  <si>
    <t>ПАО "Ростелеком"</t>
  </si>
  <si>
    <t>ООО "Дезинфекция"</t>
  </si>
  <si>
    <t>№ 1770</t>
  </si>
  <si>
    <t>Поставка тепловой энергии</t>
  </si>
  <si>
    <t>ООО ЧОО "ЛЕГИОН"</t>
  </si>
  <si>
    <t>В течение не более, чем 7 рабочих дней с даты подписания заказчиком документа о приемке</t>
  </si>
  <si>
    <t>Услуги связи</t>
  </si>
  <si>
    <t>7707049388</t>
  </si>
  <si>
    <t>№ 19576/ТМ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</si>
  <si>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</si>
  <si>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</si>
  <si>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</si>
  <si>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</si>
  <si>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</si>
  <si>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</si>
  <si>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30% до 10 числа месяца, 40% до 25 числа месяца, остальное-до 18 числа месяца</t>
  </si>
  <si>
    <t>№ 23070500354</t>
  </si>
  <si>
    <t>2353002302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</si>
  <si>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</si>
  <si>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</si>
  <si>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</si>
  <si>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</si>
  <si>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</si>
  <si>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</si>
  <si>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</si>
  <si>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</si>
  <si>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</si>
  <si>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</si>
  <si>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</si>
  <si>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</si>
  <si>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</si>
  <si>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</si>
  <si>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МБОУ СОШ № 14</t>
  </si>
  <si>
    <t xml:space="preserve">Оказание услуг по организации питания </t>
  </si>
  <si>
    <t>01.12.2023г.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</si>
  <si>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</si>
  <si>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</si>
  <si>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</si>
  <si>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</si>
  <si>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</si>
  <si>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</si>
  <si>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</si>
  <si>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</si>
  <si>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</si>
  <si>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</si>
  <si>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</si>
  <si>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</si>
  <si>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</si>
  <si>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</si>
  <si>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</si>
  <si>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</si>
  <si>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</si>
  <si>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</si>
  <si>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</si>
  <si>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</si>
  <si>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</si>
  <si>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</si>
  <si>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</si>
  <si>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</si>
  <si>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</si>
  <si>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</si>
  <si>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</si>
  <si>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</si>
  <si>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</si>
  <si>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</si>
  <si>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</si>
  <si>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</si>
  <si>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</si>
  <si>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</si>
  <si>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</si>
  <si>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</si>
  <si>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</si>
  <si>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</si>
  <si>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</si>
  <si>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</si>
  <si>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</si>
  <si>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</si>
  <si>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</si>
  <si>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</si>
  <si>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</si>
  <si>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</si>
  <si>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</si>
  <si>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</si>
  <si>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</si>
  <si>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</si>
  <si>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</si>
  <si>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</si>
  <si>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</si>
  <si>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</si>
  <si>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</si>
  <si>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</si>
  <si>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</si>
  <si>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</si>
  <si>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</si>
  <si>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</si>
  <si>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</si>
  <si>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</si>
  <si>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</si>
  <si>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</si>
  <si>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</si>
  <si>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</si>
  <si>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</si>
  <si>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</si>
  <si>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</si>
  <si>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</si>
  <si>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</si>
  <si>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</si>
  <si>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</si>
  <si>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</si>
  <si>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</si>
  <si>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</si>
  <si>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</si>
  <si>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</si>
  <si>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</si>
  <si>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</si>
  <si>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</si>
  <si>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</si>
  <si>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</si>
  <si>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</si>
  <si>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</si>
  <si>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</si>
  <si>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</si>
  <si>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</si>
  <si>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</si>
  <si>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</si>
  <si>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</si>
  <si>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</si>
  <si>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</si>
  <si>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</si>
  <si>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</si>
  <si>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</si>
  <si>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</si>
  <si>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</si>
  <si>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</si>
  <si>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</si>
  <si>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</si>
  <si>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</si>
  <si>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</si>
  <si>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</si>
  <si>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</si>
  <si>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</si>
  <si>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</si>
  <si>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</si>
  <si>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</si>
  <si>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</si>
  <si>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</si>
  <si>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</si>
  <si>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</si>
  <si>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</si>
  <si>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</si>
  <si>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</si>
  <si>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</si>
  <si>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</si>
  <si>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</si>
  <si>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</si>
  <si>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</si>
  <si>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</si>
  <si>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</si>
  <si>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</si>
  <si>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</si>
  <si>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</si>
  <si>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</si>
  <si>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</si>
  <si>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</si>
  <si>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</si>
  <si>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</si>
  <si>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</si>
  <si>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</si>
  <si>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</si>
  <si>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</si>
  <si>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</si>
  <si>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</si>
  <si>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</si>
  <si>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</si>
  <si>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</si>
  <si>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</si>
  <si>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</si>
  <si>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</si>
  <si>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</si>
  <si>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</si>
  <si>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</si>
  <si>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</si>
  <si>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</si>
  <si>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</si>
  <si>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</si>
  <si>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</si>
  <si>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</si>
  <si>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</si>
  <si>
    <t>№ 01-04/2024</t>
  </si>
  <si>
    <t>01.04.2024г.</t>
  </si>
  <si>
    <t>с 01.04.2024г. по 31.12.2024г.</t>
  </si>
  <si>
    <t>№ 328</t>
  </si>
  <si>
    <t>08.04.2024г.</t>
  </si>
  <si>
    <t>Приобретение тахографа и услуги по активации и настройке тахографа</t>
  </si>
  <si>
    <t>с 08.04.2024г. по 31.12.2024г.</t>
  </si>
  <si>
    <t>в течение 10 (десяти) рабочих дней с момента подписания "Покупателем" ("Заказчиком") Акта выполненных работ и товарной накладной, а так же предоставления "Поставщиком" ("Исполнителем") счета на оплату.</t>
  </si>
  <si>
    <t>№ К048108/24</t>
  </si>
  <si>
    <t>09.04.2024г.</t>
  </si>
  <si>
    <t>Услуги по неисключительному праву использования программы Контур.Диадок</t>
  </si>
  <si>
    <t>6663003127</t>
  </si>
  <si>
    <t>АО "ПФ "СКБ Контур"</t>
  </si>
  <si>
    <t>с 09.04.2024г. по 09.04.2025г.</t>
  </si>
  <si>
    <t>в течение 10 (десяти) рабочих дней с даты подписания Сторонами акта сдачи-приемки оказанных услуг и предоставления Исполнителем документа на оплату.</t>
  </si>
  <si>
    <t>№  14</t>
  </si>
  <si>
    <t>04.04.2024г.</t>
  </si>
  <si>
    <t>Услуги по ремонту мясорубки</t>
  </si>
  <si>
    <t>ИП Рысин А.В.</t>
  </si>
  <si>
    <t>с 04.04.2024г. по 31.12.2024г.</t>
  </si>
  <si>
    <t>в течении 10 рабочих дней с даты подписания Заказчиком акта о выполненных работах (оказанных услугах) и представления Исполнителем документа на оплату.</t>
  </si>
  <si>
    <t>Дополнительное соглашение № 1 от 21.03.2024г.</t>
  </si>
  <si>
    <t>№ 14 И</t>
  </si>
  <si>
    <t>с 01.04.2024г. по 24.05.2024г.</t>
  </si>
  <si>
    <t>Услуги по организации горячего питания (5-11 кл.)</t>
  </si>
  <si>
    <t>№ 94</t>
  </si>
  <si>
    <t>15.04.2024г.</t>
  </si>
  <si>
    <t>Услуги по проверке и очистке вентиляции</t>
  </si>
  <si>
    <t>с 15.04.2024г. по 22.04.2024г.</t>
  </si>
  <si>
    <t>в течение 10 рабочих дней с момента выставления счета и подписания Акта о приемке выполненных работ</t>
  </si>
  <si>
    <t>№ 14-Л</t>
  </si>
  <si>
    <t>10.04.2024г.</t>
  </si>
  <si>
    <t>с 27.05.2024г. по 16.06.2024г.</t>
  </si>
  <si>
    <t>Услуги по организации горячего питания 1-4 кл.(стоимость питания)</t>
  </si>
  <si>
    <t>Услуги по организации горячего питания 1-4 кл.(стоимость услуги)</t>
  </si>
  <si>
    <t>№ 17-04/2024</t>
  </si>
  <si>
    <t>17.04.2024г.</t>
  </si>
  <si>
    <t>№ 1027</t>
  </si>
  <si>
    <t>18.04.2024г.</t>
  </si>
  <si>
    <t>с 17.04.2024г. по 27.04.2024г.</t>
  </si>
  <si>
    <t>Услуги по подготовке журнала движения отходов</t>
  </si>
  <si>
    <t>2353023292</t>
  </si>
  <si>
    <t>ООО "Экопроект"</t>
  </si>
  <si>
    <t>с 18.04.2024г. по 31.12.2024г.</t>
  </si>
  <si>
    <t>в течение 7 дней с момента подписания Заказчиком документа и оказания услуг Исполнителем</t>
  </si>
  <si>
    <t xml:space="preserve">№ 20 </t>
  </si>
  <si>
    <t>Услуги по поставке учебно-педагогической документации</t>
  </si>
  <si>
    <t>ООО "Краснодарский учколлектор"</t>
  </si>
  <si>
    <t>с 10.04.2024г. по 12.08.2024г.</t>
  </si>
  <si>
    <t>в течение 10 (десяти) рабочих дней с момента подписания Сторонами документов</t>
  </si>
  <si>
    <t>25.04.2024г.</t>
  </si>
  <si>
    <t>№ 25-04/2024-1</t>
  </si>
  <si>
    <t>с 25.04.2024г. по 05.05.2024г.</t>
  </si>
  <si>
    <t>№ 73/24</t>
  </si>
  <si>
    <t>№ 73-1/24</t>
  </si>
  <si>
    <t>Услуги по проведению медосмотров работников</t>
  </si>
  <si>
    <t>2353006498</t>
  </si>
  <si>
    <t>ГБУЗ "Тимашевская ЦРБ" МЗ КК</t>
  </si>
  <si>
    <t>с 04.04.2024г. по 28.12.2024г.</t>
  </si>
  <si>
    <t>в течение 7 рабочих дней с даты подписания обеими сторонами Акта об оказании услуг</t>
  </si>
  <si>
    <t>01 апреля 2024г.</t>
  </si>
  <si>
    <t>16 апреля 2024г.</t>
  </si>
  <si>
    <t>02 апреля 2024г.</t>
  </si>
  <si>
    <t>31 марта 2024г.</t>
  </si>
  <si>
    <t>29 марта 2024г.</t>
  </si>
  <si>
    <t>05 апреля 2024г.</t>
  </si>
  <si>
    <t>10 апреля 2024г.</t>
  </si>
  <si>
    <t>08 апреля 2024г.</t>
  </si>
  <si>
    <t>11 апреля 2024г.</t>
  </si>
  <si>
    <t>12 апреля 2024г.</t>
  </si>
  <si>
    <t>18 апреля 2024г.</t>
  </si>
  <si>
    <t>23 апреля 2024г.</t>
  </si>
  <si>
    <t>17 апреля 2024г.</t>
  </si>
  <si>
    <t>27 апреля 2024г.</t>
  </si>
  <si>
    <t>25 апреля 2024г.</t>
  </si>
  <si>
    <t>Дополнительное соглашение № 2 от 15.04.2024г.</t>
  </si>
  <si>
    <t>№ 20/24</t>
  </si>
  <si>
    <t>Услуги по ассенизации</t>
  </si>
  <si>
    <t>2333011443</t>
  </si>
  <si>
    <t>ООО "Водоканал"</t>
  </si>
  <si>
    <t>с 25.04.2024г. по 31.12.2024г.</t>
  </si>
  <si>
    <t>в течение 10 рабочих дней с момента принятия услуг от Исполнителя</t>
  </si>
  <si>
    <t>22 марта 2024г.</t>
  </si>
  <si>
    <t>28 марта 2024г.</t>
  </si>
  <si>
    <t>24 апреля 2024г.</t>
  </si>
  <si>
    <t>19 апреля 2024г.</t>
  </si>
  <si>
    <t>26 апреля 2024г.</t>
  </si>
  <si>
    <t>№ 143</t>
  </si>
  <si>
    <t>13.05.2024г.</t>
  </si>
  <si>
    <t>2335015884</t>
  </si>
  <si>
    <t>ЧОУ ДПО Учебный центр "Кореновский"</t>
  </si>
  <si>
    <t xml:space="preserve">с 13.05.2024г. по 17.05.2024г. </t>
  </si>
  <si>
    <t>в течение 10 рабочих дней с момента подписания акта оказанных услуг</t>
  </si>
  <si>
    <t>№ АТ00-14</t>
  </si>
  <si>
    <t>15.05.2024г.</t>
  </si>
  <si>
    <t>Услуги по выдаче сартификатов ключей проверки электронных подписей</t>
  </si>
  <si>
    <t>ООО "АйТи Мониторинг"</t>
  </si>
  <si>
    <t>в течение 10 (десяти) рабочих дней с даты подписания акта выполненных работ Заказчиком и получения документов на оплату от Исполнителя</t>
  </si>
  <si>
    <t>с 15.05.2024г. по 15.05.2025г.</t>
  </si>
  <si>
    <t>№ 19</t>
  </si>
  <si>
    <t>20.05.2024г.</t>
  </si>
  <si>
    <t>Услуги по техническому обслуживанию и ремонту  транспортных средств</t>
  </si>
  <si>
    <t>ИП Аполонов А.А.</t>
  </si>
  <si>
    <t>с 20.05.2024г. по 31.12.2024г.</t>
  </si>
  <si>
    <t>в течение 10 (десяти) рабочих дней с момента подписания акта выполненных работ Заказчиком и получения документов на оплату от Исполнителя</t>
  </si>
  <si>
    <t>№ 14/23/К</t>
  </si>
  <si>
    <t>22.05.2024г.</t>
  </si>
  <si>
    <t>Услуги по профилактической дезинсекции открытой территории школы</t>
  </si>
  <si>
    <t>с 22.05.2024г. по 31.08.2024г.</t>
  </si>
  <si>
    <t>с 01.07.2024г. по 31.12.2024г.</t>
  </si>
  <si>
    <t>Дополнительное соглашение № 1 от 24.05.2024г.</t>
  </si>
  <si>
    <t>№ 28-05/2024</t>
  </si>
  <si>
    <t>28.05.2024г.</t>
  </si>
  <si>
    <t>с 28.05.2024г. по 07.06.2024г.</t>
  </si>
  <si>
    <t>Соглашение о расторжении б/н от 03.05.2024г.</t>
  </si>
  <si>
    <t>30 апреля 2024г.</t>
  </si>
  <si>
    <t>03 мая 2024г.</t>
  </si>
  <si>
    <t>02 мая 2024г.</t>
  </si>
  <si>
    <t>01 мая 2024г.</t>
  </si>
  <si>
    <t>16 мая 2024г.</t>
  </si>
  <si>
    <t>08 мая 2024г.</t>
  </si>
  <si>
    <t>13 мая 2024г.</t>
  </si>
  <si>
    <t>15 мая 2024г.</t>
  </si>
  <si>
    <t>15 апреля 2024г.</t>
  </si>
  <si>
    <t>17 мая 2024г.</t>
  </si>
  <si>
    <t>20 мая 2024г.</t>
  </si>
  <si>
    <t>24 мая 2024г.</t>
  </si>
  <si>
    <t>28 мая 2024г.</t>
  </si>
  <si>
    <t>25 мая 2024г.</t>
  </si>
  <si>
    <t>31 мая 2024г.</t>
  </si>
  <si>
    <t>23 мая 2024г.</t>
  </si>
  <si>
    <t>5348/220</t>
  </si>
  <si>
    <t>03.06.2024г.</t>
  </si>
  <si>
    <t>Услуги по поставке периодических печатных изданий</t>
  </si>
  <si>
    <t>7724490000</t>
  </si>
  <si>
    <t>АО "Почта России"</t>
  </si>
  <si>
    <t>с 01.07.2024г. по 30.12.2024г.</t>
  </si>
  <si>
    <t>авансовый платеж в размере 100% перечисляется на расчетный счет Поставщика в течение 7 рабочих дней с даты заключения настоящего Контракта</t>
  </si>
  <si>
    <t>№ 14/1-Л</t>
  </si>
  <si>
    <t>21.05.2024г.</t>
  </si>
  <si>
    <t>31.05.2024г.</t>
  </si>
  <si>
    <t>24.05.2024г.</t>
  </si>
  <si>
    <t>Услуги по организации питания в летнем лагере</t>
  </si>
  <si>
    <t>Услуги по приготовлению питания в летнем лагере</t>
  </si>
  <si>
    <t>Дополнительное соглашение № 3 от 15.05.2024г.</t>
  </si>
  <si>
    <t>102/24</t>
  </si>
  <si>
    <t>102-1/24</t>
  </si>
  <si>
    <t>с 03.06.2024г. по 28.12.2024г.</t>
  </si>
  <si>
    <t>№ 20</t>
  </si>
  <si>
    <t>18.06.2024г.</t>
  </si>
  <si>
    <t>с 18.06.2024г. по 31.12.2024г.</t>
  </si>
  <si>
    <t>25.06.2024г.</t>
  </si>
  <si>
    <t>Экскурсионные услуги</t>
  </si>
  <si>
    <t>2353016418</t>
  </si>
  <si>
    <t>МРО Православный  Приход храма Вознесения Господня г.Тимашевска КК Ейской Епархии Русской Православной Церкви (Московский Патриархат)</t>
  </si>
  <si>
    <t>с 25.06.2024г. по 31.12.2024г.</t>
  </si>
  <si>
    <t>не позднее 10 календарных дней с момента подписания Заказчиком документа о приемке услуг и предоставления Исполнителем документов на оплату</t>
  </si>
  <si>
    <t>№ 1/2024/16</t>
  </si>
  <si>
    <t>21.06.2024г.</t>
  </si>
  <si>
    <t>Услуги по показу музейных коллекций с экскурсионным обслживанием</t>
  </si>
  <si>
    <t>2310052884</t>
  </si>
  <si>
    <t>ГБУК КК "КГИАМЗ им.Е.Д.Фелицына"</t>
  </si>
  <si>
    <t>с 21.06.2024г. по 30.09.2024г.</t>
  </si>
  <si>
    <t>30% предоплаты в течение 5 (пяти) рабочих дней со дня получения счета а оплату.Окончательный расчет в течение 5 (пяти) рабочих дней с момента подписания Заказчиком акта оказанных услуг.</t>
  </si>
  <si>
    <t>05 июня 2024г.</t>
  </si>
  <si>
    <t xml:space="preserve">ООО "Тимашевское ПРТ райпо" </t>
  </si>
  <si>
    <t>03 июня 2024г.</t>
  </si>
  <si>
    <t>04 июня 2024г.</t>
  </si>
  <si>
    <t>10 июня 2024г.</t>
  </si>
  <si>
    <t>18 июня 2024г.</t>
  </si>
  <si>
    <t>01 июня 2024г.</t>
  </si>
  <si>
    <t>19 июня 2024г.</t>
  </si>
  <si>
    <t>21 июня 2024г.</t>
  </si>
  <si>
    <t>17 июня 2024г.</t>
  </si>
  <si>
    <t>13 июня2024г.</t>
  </si>
  <si>
    <t>02 июня 2024г.</t>
  </si>
  <si>
    <t>243235301532623530100100150008010244</t>
  </si>
  <si>
    <t>27 июня 2024г.</t>
  </si>
  <si>
    <t>08183000199240001890001</t>
  </si>
  <si>
    <t>с 27.06.2024г. по 25.09.2024г.</t>
  </si>
  <si>
    <t>30 июня 2024г.</t>
  </si>
  <si>
    <t>Дополнительное соглашение № 4 от 14.06.2024г.</t>
  </si>
  <si>
    <t>0818300019924000189</t>
  </si>
  <si>
    <t>243235301532623530100100160015629244</t>
  </si>
  <si>
    <t>0818300019924000193</t>
  </si>
  <si>
    <t>08183000199240001930001</t>
  </si>
  <si>
    <t>с 02.09.2024г. по 24.12.2024г.</t>
  </si>
  <si>
    <t>№ 27</t>
  </si>
  <si>
    <t>01.07.2024г.</t>
  </si>
  <si>
    <t>235300578903</t>
  </si>
  <si>
    <t>с 01.07.2024г. по 30.11.2024г.</t>
  </si>
  <si>
    <t>в течение 10 рабочих дней с даты получения от Поставщика документов о поставке товара и счета на оплату</t>
  </si>
  <si>
    <t>№СП013784/24</t>
  </si>
  <si>
    <t>Сертификат-электронный документ</t>
  </si>
  <si>
    <t>6673240328</t>
  </si>
  <si>
    <t>ООО "Сертум -Про"</t>
  </si>
  <si>
    <t>10.072024г. по 31.12.2024г.</t>
  </si>
  <si>
    <t>в течение 10 рабочих дней после подписания акта сдачи или УПД и получения документов на оплату</t>
  </si>
  <si>
    <t>№К211985/24</t>
  </si>
  <si>
    <t>Неисключительное право использования системы и услуги технической поддержки</t>
  </si>
  <si>
    <t>"СКБ "Контур"</t>
  </si>
  <si>
    <t>18.07.2024г. по 31.12.2024г.</t>
  </si>
  <si>
    <t xml:space="preserve">в течение 10 рабочих дней после подписания акта сдачи </t>
  </si>
  <si>
    <t>01 июля 2024 г.</t>
  </si>
  <si>
    <t>2304067057</t>
  </si>
  <si>
    <t>ООО ЧОО "Легион"</t>
  </si>
  <si>
    <t>в срок не более 7 рабочих дней с даты подписания заказчиком документа о приемке</t>
  </si>
  <si>
    <t>с 27.06.2024 г. по 25.09.2024 г.</t>
  </si>
  <si>
    <t>c 01.01.2024 г. по 26.06.2024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</si>
</sst>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8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4" fontId="1" fillId="0" borderId="32" xfId="0" applyNumberFormat="1" applyFont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 applyProtection="1">
      <alignment horizontal="center" vertical="center" wrapText="1"/>
      <protection locked="0"/>
    </xf>
    <xf numFmtId="4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Border="1" applyAlignment="1" applyProtection="1">
      <alignment horizontal="center" vertical="center" wrapText="1"/>
      <protection locked="0"/>
    </xf>
    <xf numFmtId="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1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1" xr:uid="{00000000-0005-0000-0000-000005000000}"/>
    <cellStyle name="Обычный 4" xfId="4" xr:uid="{00000000-0005-0000-0000-000006000000}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">
    <tabColor rgb="FFFFFF00"/>
  </sheetPr>
  <dimension ref="A1:W20"/>
  <sheetViews>
    <sheetView showGridLines="0" zoomScale="70" zoomScaleNormal="70" workbookViewId="0">
      <selection activeCell="D13" sqref="D13:F13"/>
    </sheetView>
  </sheetViews>
  <sheetFormatPr defaultColWidth="0" defaultRowHeight="14.4" x14ac:dyDescent="0.3"/>
  <cols>
    <col min="1" max="2" width="9.109375" style="8" customWidth="1"/>
    <col min="3" max="3" width="25.33203125" style="8" customWidth="1"/>
    <col min="4" max="5" width="9.109375" style="8" customWidth="1"/>
    <col min="6" max="6" width="11.6640625" style="8" customWidth="1"/>
    <col min="7" max="7" width="19" style="8" customWidth="1"/>
    <col min="8" max="8" width="6.5546875" style="8" customWidth="1"/>
    <col min="9" max="9" width="5.5546875" style="8" customWidth="1"/>
    <col min="10" max="10" width="15" style="8" customWidth="1"/>
    <col min="11" max="11" width="14.88671875" style="8" customWidth="1"/>
    <col min="12" max="12" width="21.33203125" style="8" customWidth="1"/>
    <col min="13" max="13" width="10.109375" style="8" customWidth="1"/>
    <col min="14" max="14" width="17.109375" style="8" bestFit="1" customWidth="1"/>
    <col min="15" max="22" width="9.109375" style="8" hidden="1" customWidth="1"/>
    <col min="23" max="23" width="30.6640625" style="8" hidden="1" customWidth="1"/>
    <col min="24" max="16384" width="9.109375" style="8" hidden="1"/>
  </cols>
  <sheetData>
    <row r="1" spans="1:14" ht="27" customHeight="1" thickBot="1" x14ac:dyDescent="0.35">
      <c r="A1" s="263" t="s">
        <v>141</v>
      </c>
      <c r="B1" s="264"/>
      <c r="C1" s="264"/>
      <c r="D1" s="264"/>
      <c r="E1" s="263" t="s">
        <v>183</v>
      </c>
      <c r="F1" s="264"/>
      <c r="G1" s="264"/>
      <c r="H1" s="264"/>
      <c r="I1" s="264"/>
      <c r="J1" s="264"/>
      <c r="K1" s="264"/>
      <c r="L1" s="264"/>
      <c r="M1" s="264"/>
      <c r="N1" s="265"/>
    </row>
    <row r="3" spans="1:14" ht="15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5">
      <c r="A4" s="299" t="s">
        <v>25</v>
      </c>
      <c r="B4" s="300"/>
      <c r="C4" s="4">
        <v>10752974.029999999</v>
      </c>
      <c r="D4" s="5"/>
      <c r="E4" s="301" t="s">
        <v>140</v>
      </c>
      <c r="F4" s="302"/>
      <c r="G4" s="303"/>
      <c r="H4" s="304">
        <v>2000000</v>
      </c>
      <c r="I4" s="305"/>
      <c r="J4" s="306"/>
      <c r="K4" s="17"/>
      <c r="L4" s="81" t="s">
        <v>55</v>
      </c>
      <c r="M4" s="301">
        <v>4962082.2699999996</v>
      </c>
      <c r="N4" s="303"/>
    </row>
    <row r="5" spans="1:14" ht="30.75" customHeight="1" thickBot="1" x14ac:dyDescent="0.35">
      <c r="A5" s="299" t="s">
        <v>26</v>
      </c>
      <c r="B5" s="300"/>
      <c r="C5" s="6">
        <f>C4-G15+J15</f>
        <v>2251883.4099999992</v>
      </c>
      <c r="D5" s="5"/>
      <c r="E5" s="301" t="s">
        <v>53</v>
      </c>
      <c r="F5" s="302"/>
      <c r="G5" s="303"/>
      <c r="H5" s="294">
        <f>H4-G12</f>
        <v>821009.69</v>
      </c>
      <c r="I5" s="295"/>
      <c r="J5" s="296"/>
      <c r="K5" s="17"/>
      <c r="L5" s="81" t="s">
        <v>54</v>
      </c>
      <c r="M5" s="297">
        <f>M4-G13</f>
        <v>2061090.5899999994</v>
      </c>
      <c r="N5" s="298"/>
    </row>
    <row r="6" spans="1:14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" thickBot="1" x14ac:dyDescent="0.35"/>
    <row r="8" spans="1:14" ht="72" customHeight="1" thickBot="1" x14ac:dyDescent="0.35">
      <c r="A8" s="307" t="s">
        <v>27</v>
      </c>
      <c r="B8" s="308"/>
      <c r="C8" s="309"/>
      <c r="D8" s="307" t="s">
        <v>28</v>
      </c>
      <c r="E8" s="308"/>
      <c r="F8" s="309"/>
      <c r="G8" s="310" t="s">
        <v>29</v>
      </c>
      <c r="H8" s="311"/>
      <c r="I8" s="312"/>
      <c r="J8" s="310" t="s">
        <v>142</v>
      </c>
      <c r="K8" s="311"/>
      <c r="L8" s="312"/>
      <c r="M8" s="307" t="s">
        <v>30</v>
      </c>
      <c r="N8" s="309"/>
    </row>
    <row r="9" spans="1:14" ht="41.25" customHeight="1" thickBot="1" x14ac:dyDescent="0.35">
      <c r="A9" s="285" t="s">
        <v>31</v>
      </c>
      <c r="B9" s="286"/>
      <c r="C9" s="287"/>
      <c r="D9" s="284">
        <f>'Состоявшиеся аукционы'!G2</f>
        <v>0</v>
      </c>
      <c r="E9" s="284"/>
      <c r="F9" s="284"/>
      <c r="G9" s="284">
        <f>'Состоявшиеся аукционы'!Q2</f>
        <v>0</v>
      </c>
      <c r="H9" s="284"/>
      <c r="I9" s="284"/>
      <c r="J9" s="281">
        <f>'Состоявшиеся аукционы'!AB2</f>
        <v>0</v>
      </c>
      <c r="K9" s="282"/>
      <c r="L9" s="283"/>
      <c r="M9" s="284">
        <f t="shared" ref="M9:M15" si="0">D9-G9</f>
        <v>0</v>
      </c>
      <c r="N9" s="284"/>
    </row>
    <row r="10" spans="1:14" ht="78.75" customHeight="1" thickBot="1" x14ac:dyDescent="0.35">
      <c r="A10" s="285" t="s">
        <v>49</v>
      </c>
      <c r="B10" s="286"/>
      <c r="C10" s="287"/>
      <c r="D10" s="284">
        <f>'Несостоявшиеся аукционы'!G2</f>
        <v>0</v>
      </c>
      <c r="E10" s="284"/>
      <c r="F10" s="284"/>
      <c r="G10" s="284">
        <f>'Несостоявшиеся аукционы'!Q2</f>
        <v>0</v>
      </c>
      <c r="H10" s="284"/>
      <c r="I10" s="284"/>
      <c r="J10" s="281">
        <f>'Несостоявшиеся аукционы'!AB2</f>
        <v>0</v>
      </c>
      <c r="K10" s="282"/>
      <c r="L10" s="283"/>
      <c r="M10" s="284">
        <f t="shared" si="0"/>
        <v>0</v>
      </c>
      <c r="N10" s="284"/>
    </row>
    <row r="11" spans="1:14" ht="40.5" customHeight="1" thickBot="1" x14ac:dyDescent="0.35">
      <c r="A11" s="285" t="s">
        <v>83</v>
      </c>
      <c r="B11" s="286"/>
      <c r="C11" s="287"/>
      <c r="D11" s="281">
        <f>'Иные конкурентные закупки'!G2</f>
        <v>3760827</v>
      </c>
      <c r="E11" s="282"/>
      <c r="F11" s="283"/>
      <c r="G11" s="281">
        <f>'Иные конкурентные закупки'!Q2</f>
        <v>2379074.91</v>
      </c>
      <c r="H11" s="282"/>
      <c r="I11" s="283"/>
      <c r="J11" s="281">
        <f>'Иные конкурентные закупки'!AB2</f>
        <v>73610.350000000006</v>
      </c>
      <c r="K11" s="282"/>
      <c r="L11" s="283"/>
      <c r="M11" s="281">
        <f t="shared" si="0"/>
        <v>1381752.0899999999</v>
      </c>
      <c r="N11" s="283"/>
    </row>
    <row r="12" spans="1:14" ht="54.75" customHeight="1" thickBot="1" x14ac:dyDescent="0.35">
      <c r="A12" s="288" t="s">
        <v>50</v>
      </c>
      <c r="B12" s="289"/>
      <c r="C12" s="290"/>
      <c r="D12" s="284">
        <f>'Ед. поставщик п.4 ч.1'!H2</f>
        <v>1178990.31</v>
      </c>
      <c r="E12" s="284"/>
      <c r="F12" s="284"/>
      <c r="G12" s="284">
        <f>D12</f>
        <v>1178990.31</v>
      </c>
      <c r="H12" s="284"/>
      <c r="I12" s="284"/>
      <c r="J12" s="281">
        <f>'Ед. поставщик п.4 ч.1'!V2</f>
        <v>0</v>
      </c>
      <c r="K12" s="282"/>
      <c r="L12" s="283"/>
      <c r="M12" s="284">
        <f t="shared" si="0"/>
        <v>0</v>
      </c>
      <c r="N12" s="284"/>
    </row>
    <row r="13" spans="1:14" ht="45.75" customHeight="1" thickBot="1" x14ac:dyDescent="0.35">
      <c r="A13" s="288" t="s">
        <v>51</v>
      </c>
      <c r="B13" s="289"/>
      <c r="C13" s="290"/>
      <c r="D13" s="284">
        <f>'Ед. поставщик п.5 ч.1'!H2</f>
        <v>2900991.68</v>
      </c>
      <c r="E13" s="284"/>
      <c r="F13" s="284"/>
      <c r="G13" s="284">
        <f>D13</f>
        <v>2900991.68</v>
      </c>
      <c r="H13" s="284"/>
      <c r="I13" s="284"/>
      <c r="J13" s="281">
        <f>'Ед. поставщик п.5 ч.1'!V2</f>
        <v>260267.68999999997</v>
      </c>
      <c r="K13" s="282"/>
      <c r="L13" s="283"/>
      <c r="M13" s="284">
        <f t="shared" si="0"/>
        <v>0</v>
      </c>
      <c r="N13" s="284"/>
    </row>
    <row r="14" spans="1:14" ht="45.75" customHeight="1" thickBot="1" x14ac:dyDescent="0.35">
      <c r="A14" s="278" t="s">
        <v>52</v>
      </c>
      <c r="B14" s="279"/>
      <c r="C14" s="280"/>
      <c r="D14" s="281">
        <f>'Ед.поставщик за искл. п.4,5 ч.1'!G2</f>
        <v>2375911.7600000002</v>
      </c>
      <c r="E14" s="282"/>
      <c r="F14" s="283"/>
      <c r="G14" s="281">
        <f>D14</f>
        <v>2375911.7600000002</v>
      </c>
      <c r="H14" s="282"/>
      <c r="I14" s="283"/>
      <c r="J14" s="281">
        <f>'Ед.поставщик за искл. п.4,5 ч.1'!T2</f>
        <v>0</v>
      </c>
      <c r="K14" s="282"/>
      <c r="L14" s="283"/>
      <c r="M14" s="284">
        <f t="shared" si="0"/>
        <v>0</v>
      </c>
      <c r="N14" s="284"/>
    </row>
    <row r="15" spans="1:14" ht="21.6" thickBot="1" x14ac:dyDescent="0.35">
      <c r="A15" s="291" t="s">
        <v>143</v>
      </c>
      <c r="B15" s="292"/>
      <c r="C15" s="293"/>
      <c r="D15" s="284">
        <f>SUM(D9:D14)</f>
        <v>10216720.75</v>
      </c>
      <c r="E15" s="284"/>
      <c r="F15" s="284"/>
      <c r="G15" s="281">
        <f>SUM(G9:G14)</f>
        <v>8834968.6600000001</v>
      </c>
      <c r="H15" s="282"/>
      <c r="I15" s="283"/>
      <c r="J15" s="281">
        <f>SUM(J9:J14)</f>
        <v>333878.03999999998</v>
      </c>
      <c r="K15" s="282"/>
      <c r="L15" s="283"/>
      <c r="M15" s="284">
        <f t="shared" si="0"/>
        <v>1381752.0899999999</v>
      </c>
      <c r="N15" s="284"/>
    </row>
    <row r="18" spans="1:12" ht="15" thickBot="1" x14ac:dyDescent="0.35"/>
    <row r="19" spans="1:12" ht="23.25" customHeight="1" x14ac:dyDescent="0.3">
      <c r="A19" s="266" t="s">
        <v>35</v>
      </c>
      <c r="B19" s="267"/>
      <c r="C19" s="268"/>
      <c r="D19" s="272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5640315.9399999995</v>
      </c>
      <c r="E19" s="273"/>
      <c r="F19" s="273"/>
      <c r="G19" s="274"/>
      <c r="I19" s="15"/>
      <c r="J19" s="15"/>
      <c r="K19" s="15"/>
      <c r="L19" s="15"/>
    </row>
    <row r="20" spans="1:12" ht="24" customHeight="1" thickBot="1" x14ac:dyDescent="0.35">
      <c r="A20" s="269"/>
      <c r="B20" s="270"/>
      <c r="C20" s="271"/>
      <c r="D20" s="275"/>
      <c r="E20" s="276"/>
      <c r="F20" s="276"/>
      <c r="G20" s="277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rgb="FFFF0000"/>
    <pageSetUpPr fitToPage="1"/>
  </sheetPr>
  <dimension ref="A1:X71"/>
  <sheetViews>
    <sheetView showGridLines="0" topLeftCell="H1" zoomScale="60" zoomScaleNormal="60" workbookViewId="0">
      <pane ySplit="8" topLeftCell="A30" activePane="bottomLeft" state="frozen"/>
      <selection activeCell="I1" sqref="I1"/>
      <selection pane="bottomLeft" activeCell="Q14" sqref="Q14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4.6640625" style="11" customWidth="1"/>
    <col min="6" max="6" width="27.5546875" style="3" customWidth="1"/>
    <col min="7" max="7" width="49.109375" style="3" customWidth="1"/>
    <col min="8" max="8" width="26.88671875" style="10" customWidth="1"/>
    <col min="9" max="9" width="21.88671875" style="10" customWidth="1"/>
    <col min="10" max="10" width="33.5546875" style="3" customWidth="1"/>
    <col min="11" max="12" width="28.33203125" style="3" customWidth="1"/>
    <col min="13" max="13" width="34.88671875" style="3" customWidth="1"/>
    <col min="14" max="14" width="26.88671875" style="11" customWidth="1"/>
    <col min="15" max="15" width="28.88671875" style="3" customWidth="1"/>
    <col min="16" max="16" width="24" style="26" customWidth="1"/>
    <col min="17" max="17" width="24" style="11" bestFit="1" customWidth="1"/>
    <col min="18" max="18" width="23.44140625" style="2" customWidth="1"/>
    <col min="19" max="20" width="23.6640625" style="2" customWidth="1"/>
    <col min="21" max="21" width="24.5546875" style="11" customWidth="1"/>
    <col min="22" max="22" width="25.5546875" style="26" customWidth="1"/>
    <col min="23" max="23" width="17.664062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A2" s="68"/>
      <c r="B2" s="68"/>
      <c r="C2" s="68"/>
      <c r="D2" s="68"/>
      <c r="E2" s="68"/>
      <c r="F2" s="10"/>
      <c r="G2" s="83" t="s">
        <v>24</v>
      </c>
      <c r="H2" s="80">
        <f>SUM(H9:H10001)</f>
        <v>1178990.31</v>
      </c>
      <c r="K2" s="377"/>
      <c r="L2" s="377"/>
      <c r="M2" s="377"/>
      <c r="N2" s="378" t="s">
        <v>137</v>
      </c>
      <c r="O2" s="380"/>
      <c r="P2" s="69">
        <f>SUM(P9:P10001)</f>
        <v>406591.65</v>
      </c>
      <c r="R2" s="68"/>
      <c r="S2" s="378" t="s">
        <v>45</v>
      </c>
      <c r="T2" s="379"/>
      <c r="U2" s="380"/>
      <c r="V2" s="70">
        <f>SUM(V9:V10001)</f>
        <v>0</v>
      </c>
    </row>
    <row r="3" spans="1:24" x14ac:dyDescent="0.3">
      <c r="A3" s="377"/>
      <c r="B3" s="377"/>
      <c r="C3" s="377"/>
      <c r="D3" s="377"/>
      <c r="E3" s="377"/>
      <c r="N3" s="68"/>
    </row>
    <row r="4" spans="1:24" ht="39.9" customHeight="1" x14ac:dyDescent="0.3">
      <c r="J4" s="381"/>
      <c r="K4" s="381"/>
      <c r="M4" s="381"/>
      <c r="N4" s="381"/>
      <c r="O4" s="381"/>
      <c r="P4" s="381"/>
    </row>
    <row r="6" spans="1:24" ht="159" customHeight="1" x14ac:dyDescent="0.3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17.6" customHeight="1" x14ac:dyDescent="0.3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0" customHeight="1" x14ac:dyDescent="0.3">
      <c r="A9" s="313">
        <v>1</v>
      </c>
      <c r="B9" s="322" t="s">
        <v>56</v>
      </c>
      <c r="C9" s="322"/>
      <c r="D9" s="322"/>
      <c r="E9" s="331" t="s">
        <v>186</v>
      </c>
      <c r="F9" s="316" t="s">
        <v>187</v>
      </c>
      <c r="G9" s="322" t="s">
        <v>157</v>
      </c>
      <c r="H9" s="319">
        <v>11865.51</v>
      </c>
      <c r="I9" s="334">
        <f>IF(X9 = 101, H9 + SUM(S9:S16) - SUM(T9:T16) - SUM(P9:P16) - V9,0)</f>
        <v>6084.6600000000008</v>
      </c>
      <c r="J9" s="322" t="s">
        <v>158</v>
      </c>
      <c r="K9" s="322" t="s">
        <v>151</v>
      </c>
      <c r="L9" s="322"/>
      <c r="M9" s="322" t="s">
        <v>188</v>
      </c>
      <c r="N9" s="258" t="s">
        <v>257</v>
      </c>
      <c r="O9" s="316" t="s">
        <v>189</v>
      </c>
      <c r="P9" s="249">
        <v>792.59</v>
      </c>
      <c r="Q9" s="250" t="s">
        <v>270</v>
      </c>
      <c r="R9" s="251"/>
      <c r="S9" s="249"/>
      <c r="T9" s="249"/>
      <c r="U9" s="319"/>
      <c r="V9" s="325"/>
      <c r="W9" s="328"/>
      <c r="X9" s="85">
        <v>101</v>
      </c>
    </row>
    <row r="10" spans="1:24" x14ac:dyDescent="0.3">
      <c r="A10" s="314"/>
      <c r="B10" s="323"/>
      <c r="C10" s="323"/>
      <c r="D10" s="323"/>
      <c r="E10" s="332"/>
      <c r="F10" s="317"/>
      <c r="G10" s="323"/>
      <c r="H10" s="320"/>
      <c r="I10" s="335"/>
      <c r="J10" s="323"/>
      <c r="K10" s="323"/>
      <c r="L10" s="323"/>
      <c r="M10" s="323"/>
      <c r="N10" s="259" t="s">
        <v>312</v>
      </c>
      <c r="O10" s="317"/>
      <c r="P10" s="252">
        <v>828.84</v>
      </c>
      <c r="Q10" s="253" t="s">
        <v>316</v>
      </c>
      <c r="R10" s="254"/>
      <c r="S10" s="252"/>
      <c r="T10" s="252"/>
      <c r="U10" s="320"/>
      <c r="V10" s="326"/>
      <c r="W10" s="329"/>
      <c r="X10" s="2">
        <v>101</v>
      </c>
    </row>
    <row r="11" spans="1:24" x14ac:dyDescent="0.3">
      <c r="A11" s="314"/>
      <c r="B11" s="323"/>
      <c r="C11" s="323"/>
      <c r="D11" s="323"/>
      <c r="E11" s="332"/>
      <c r="F11" s="317"/>
      <c r="G11" s="323"/>
      <c r="H11" s="320"/>
      <c r="I11" s="335"/>
      <c r="J11" s="323"/>
      <c r="K11" s="323"/>
      <c r="L11" s="323"/>
      <c r="M11" s="323"/>
      <c r="N11" s="259" t="s">
        <v>402</v>
      </c>
      <c r="O11" s="317"/>
      <c r="P11" s="252">
        <v>933.02</v>
      </c>
      <c r="Q11" s="253" t="s">
        <v>404</v>
      </c>
      <c r="R11" s="254"/>
      <c r="S11" s="252"/>
      <c r="T11" s="252"/>
      <c r="U11" s="320"/>
      <c r="V11" s="326"/>
      <c r="W11" s="329"/>
      <c r="X11" s="2">
        <v>101</v>
      </c>
    </row>
    <row r="12" spans="1:24" x14ac:dyDescent="0.3">
      <c r="A12" s="314"/>
      <c r="B12" s="323"/>
      <c r="C12" s="323"/>
      <c r="D12" s="323"/>
      <c r="E12" s="332"/>
      <c r="F12" s="317"/>
      <c r="G12" s="323"/>
      <c r="H12" s="320"/>
      <c r="I12" s="335"/>
      <c r="J12" s="323"/>
      <c r="K12" s="323"/>
      <c r="L12" s="323"/>
      <c r="M12" s="323"/>
      <c r="N12" s="259" t="s">
        <v>454</v>
      </c>
      <c r="O12" s="317"/>
      <c r="P12" s="252">
        <v>829.27</v>
      </c>
      <c r="Q12" s="253" t="s">
        <v>460</v>
      </c>
      <c r="R12" s="254"/>
      <c r="S12" s="252"/>
      <c r="T12" s="252"/>
      <c r="U12" s="320"/>
      <c r="V12" s="326"/>
      <c r="W12" s="329"/>
      <c r="X12" s="2">
        <v>101</v>
      </c>
    </row>
    <row r="13" spans="1:24" x14ac:dyDescent="0.3">
      <c r="A13" s="314"/>
      <c r="B13" s="323"/>
      <c r="C13" s="323"/>
      <c r="D13" s="323"/>
      <c r="E13" s="332"/>
      <c r="F13" s="317"/>
      <c r="G13" s="323"/>
      <c r="H13" s="320"/>
      <c r="I13" s="335"/>
      <c r="J13" s="323"/>
      <c r="K13" s="323"/>
      <c r="L13" s="323"/>
      <c r="M13" s="323"/>
      <c r="N13" s="253">
        <v>45473</v>
      </c>
      <c r="O13" s="317"/>
      <c r="P13" s="252">
        <v>761.56</v>
      </c>
      <c r="Q13" s="253">
        <v>45489</v>
      </c>
      <c r="R13" s="254"/>
      <c r="S13" s="252"/>
      <c r="T13" s="252"/>
      <c r="U13" s="320"/>
      <c r="V13" s="326"/>
      <c r="W13" s="329"/>
      <c r="X13" s="2">
        <v>101</v>
      </c>
    </row>
    <row r="14" spans="1:24" x14ac:dyDescent="0.3">
      <c r="A14" s="314"/>
      <c r="B14" s="323"/>
      <c r="C14" s="323"/>
      <c r="D14" s="323"/>
      <c r="E14" s="332"/>
      <c r="F14" s="317"/>
      <c r="G14" s="323"/>
      <c r="H14" s="320"/>
      <c r="I14" s="335"/>
      <c r="J14" s="323"/>
      <c r="K14" s="323"/>
      <c r="L14" s="323"/>
      <c r="M14" s="323"/>
      <c r="N14" s="253">
        <v>45473</v>
      </c>
      <c r="O14" s="317"/>
      <c r="P14" s="252">
        <v>72.069999999999993</v>
      </c>
      <c r="Q14" s="253">
        <v>45489</v>
      </c>
      <c r="R14" s="254"/>
      <c r="S14" s="252"/>
      <c r="T14" s="252"/>
      <c r="U14" s="320"/>
      <c r="V14" s="326"/>
      <c r="W14" s="329"/>
      <c r="X14" s="2">
        <v>101</v>
      </c>
    </row>
    <row r="15" spans="1:24" s="248" customFormat="1" x14ac:dyDescent="0.3">
      <c r="A15" s="314"/>
      <c r="B15" s="323"/>
      <c r="C15" s="323"/>
      <c r="D15" s="323"/>
      <c r="E15" s="332"/>
      <c r="F15" s="317"/>
      <c r="G15" s="323"/>
      <c r="H15" s="320"/>
      <c r="I15" s="335"/>
      <c r="J15" s="323"/>
      <c r="K15" s="323"/>
      <c r="L15" s="323"/>
      <c r="M15" s="323"/>
      <c r="N15" s="261">
        <v>45443</v>
      </c>
      <c r="O15" s="317"/>
      <c r="P15" s="260">
        <v>789.2</v>
      </c>
      <c r="Q15" s="261">
        <v>45471</v>
      </c>
      <c r="R15" s="262"/>
      <c r="S15" s="260"/>
      <c r="T15" s="260"/>
      <c r="U15" s="320"/>
      <c r="V15" s="326"/>
      <c r="W15" s="329"/>
      <c r="X15" s="248">
        <v>101</v>
      </c>
    </row>
    <row r="16" spans="1:24" s="248" customFormat="1" x14ac:dyDescent="0.3">
      <c r="A16" s="315"/>
      <c r="B16" s="324"/>
      <c r="C16" s="324"/>
      <c r="D16" s="324"/>
      <c r="E16" s="333"/>
      <c r="F16" s="318"/>
      <c r="G16" s="324"/>
      <c r="H16" s="321"/>
      <c r="I16" s="336"/>
      <c r="J16" s="324"/>
      <c r="K16" s="324"/>
      <c r="L16" s="324"/>
      <c r="M16" s="324"/>
      <c r="N16" s="255">
        <v>45504</v>
      </c>
      <c r="O16" s="318"/>
      <c r="P16" s="256">
        <v>774.3</v>
      </c>
      <c r="Q16" s="255">
        <v>45510</v>
      </c>
      <c r="R16" s="257"/>
      <c r="S16" s="256"/>
      <c r="T16" s="256"/>
      <c r="U16" s="321"/>
      <c r="V16" s="327"/>
      <c r="W16" s="330"/>
      <c r="X16" s="248">
        <v>101</v>
      </c>
    </row>
    <row r="17" spans="1:24" s="85" customFormat="1" ht="104.4" customHeight="1" x14ac:dyDescent="0.3">
      <c r="A17" s="337">
        <v>2</v>
      </c>
      <c r="B17" s="346" t="s">
        <v>56</v>
      </c>
      <c r="C17" s="346"/>
      <c r="D17" s="346"/>
      <c r="E17" s="352" t="s">
        <v>192</v>
      </c>
      <c r="F17" s="340" t="s">
        <v>190</v>
      </c>
      <c r="G17" s="346" t="s">
        <v>193</v>
      </c>
      <c r="H17" s="343">
        <v>36000</v>
      </c>
      <c r="I17" s="355">
        <f>IF(X17 = 102, H17 + SUM(S17:S22) - SUM(T17:T22) - SUM(P17:P22) - V17,0)</f>
        <v>18000</v>
      </c>
      <c r="J17" s="346" t="s">
        <v>168</v>
      </c>
      <c r="K17" s="346" t="s">
        <v>150</v>
      </c>
      <c r="L17" s="346"/>
      <c r="M17" s="346" t="s">
        <v>188</v>
      </c>
      <c r="N17" s="235" t="s">
        <v>257</v>
      </c>
      <c r="O17" s="340" t="s">
        <v>194</v>
      </c>
      <c r="P17" s="226">
        <v>3000</v>
      </c>
      <c r="Q17" s="225" t="s">
        <v>262</v>
      </c>
      <c r="R17" s="224"/>
      <c r="S17" s="226"/>
      <c r="T17" s="226"/>
      <c r="U17" s="343"/>
      <c r="V17" s="349"/>
      <c r="W17" s="358"/>
      <c r="X17" s="85">
        <v>102</v>
      </c>
    </row>
    <row r="18" spans="1:24" x14ac:dyDescent="0.3">
      <c r="A18" s="338"/>
      <c r="B18" s="347"/>
      <c r="C18" s="347"/>
      <c r="D18" s="347"/>
      <c r="E18" s="353"/>
      <c r="F18" s="341"/>
      <c r="G18" s="347"/>
      <c r="H18" s="344"/>
      <c r="I18" s="356"/>
      <c r="J18" s="347"/>
      <c r="K18" s="347"/>
      <c r="L18" s="347"/>
      <c r="M18" s="347"/>
      <c r="N18" s="236" t="s">
        <v>312</v>
      </c>
      <c r="O18" s="341"/>
      <c r="P18" s="229">
        <v>3000</v>
      </c>
      <c r="Q18" s="230" t="s">
        <v>316</v>
      </c>
      <c r="R18" s="231"/>
      <c r="S18" s="229"/>
      <c r="T18" s="229"/>
      <c r="U18" s="344"/>
      <c r="V18" s="350"/>
      <c r="W18" s="359"/>
      <c r="X18" s="2">
        <v>102</v>
      </c>
    </row>
    <row r="19" spans="1:24" x14ac:dyDescent="0.3">
      <c r="A19" s="338"/>
      <c r="B19" s="347"/>
      <c r="C19" s="347"/>
      <c r="D19" s="347"/>
      <c r="E19" s="353"/>
      <c r="F19" s="341"/>
      <c r="G19" s="347"/>
      <c r="H19" s="344"/>
      <c r="I19" s="356"/>
      <c r="J19" s="347"/>
      <c r="K19" s="347"/>
      <c r="L19" s="347"/>
      <c r="M19" s="347"/>
      <c r="N19" s="236" t="s">
        <v>402</v>
      </c>
      <c r="O19" s="341"/>
      <c r="P19" s="229">
        <v>3000</v>
      </c>
      <c r="Q19" s="230" t="s">
        <v>404</v>
      </c>
      <c r="R19" s="231"/>
      <c r="S19" s="229"/>
      <c r="T19" s="229"/>
      <c r="U19" s="344"/>
      <c r="V19" s="350"/>
      <c r="W19" s="359"/>
      <c r="X19" s="2">
        <v>102</v>
      </c>
    </row>
    <row r="20" spans="1:24" x14ac:dyDescent="0.3">
      <c r="A20" s="338"/>
      <c r="B20" s="347"/>
      <c r="C20" s="347"/>
      <c r="D20" s="347"/>
      <c r="E20" s="353"/>
      <c r="F20" s="341"/>
      <c r="G20" s="347"/>
      <c r="H20" s="344"/>
      <c r="I20" s="356"/>
      <c r="J20" s="347"/>
      <c r="K20" s="347"/>
      <c r="L20" s="347"/>
      <c r="M20" s="347"/>
      <c r="N20" s="236" t="s">
        <v>454</v>
      </c>
      <c r="O20" s="341"/>
      <c r="P20" s="229">
        <v>3000</v>
      </c>
      <c r="Q20" s="230" t="s">
        <v>455</v>
      </c>
      <c r="R20" s="231"/>
      <c r="S20" s="229"/>
      <c r="T20" s="229"/>
      <c r="U20" s="344"/>
      <c r="V20" s="350"/>
      <c r="W20" s="359"/>
      <c r="X20" s="2">
        <v>102</v>
      </c>
    </row>
    <row r="21" spans="1:24" x14ac:dyDescent="0.3">
      <c r="A21" s="338"/>
      <c r="B21" s="347"/>
      <c r="C21" s="347"/>
      <c r="D21" s="347"/>
      <c r="E21" s="353"/>
      <c r="F21" s="341"/>
      <c r="G21" s="347"/>
      <c r="H21" s="344"/>
      <c r="I21" s="356"/>
      <c r="J21" s="347"/>
      <c r="K21" s="347"/>
      <c r="L21" s="347"/>
      <c r="M21" s="347"/>
      <c r="N21" s="236" t="s">
        <v>468</v>
      </c>
      <c r="O21" s="341"/>
      <c r="P21" s="229">
        <v>3000</v>
      </c>
      <c r="Q21" s="230" t="s">
        <v>506</v>
      </c>
      <c r="R21" s="231"/>
      <c r="S21" s="229"/>
      <c r="T21" s="229"/>
      <c r="U21" s="344"/>
      <c r="V21" s="350"/>
      <c r="W21" s="359"/>
      <c r="X21" s="2">
        <v>102</v>
      </c>
    </row>
    <row r="22" spans="1:24" x14ac:dyDescent="0.3">
      <c r="A22" s="339"/>
      <c r="B22" s="348"/>
      <c r="C22" s="348"/>
      <c r="D22" s="348"/>
      <c r="E22" s="354"/>
      <c r="F22" s="342"/>
      <c r="G22" s="348"/>
      <c r="H22" s="345"/>
      <c r="I22" s="357"/>
      <c r="J22" s="348"/>
      <c r="K22" s="348"/>
      <c r="L22" s="348"/>
      <c r="M22" s="348"/>
      <c r="N22" s="233">
        <v>45473</v>
      </c>
      <c r="O22" s="342"/>
      <c r="P22" s="232">
        <v>3000</v>
      </c>
      <c r="Q22" s="233">
        <v>45476</v>
      </c>
      <c r="R22" s="234"/>
      <c r="S22" s="232"/>
      <c r="T22" s="232"/>
      <c r="U22" s="345"/>
      <c r="V22" s="351"/>
      <c r="W22" s="360"/>
      <c r="X22" s="2">
        <v>102</v>
      </c>
    </row>
    <row r="23" spans="1:24" s="85" customFormat="1" ht="108" customHeight="1" x14ac:dyDescent="0.3">
      <c r="A23" s="337">
        <v>3</v>
      </c>
      <c r="B23" s="346" t="s">
        <v>56</v>
      </c>
      <c r="C23" s="346"/>
      <c r="D23" s="346"/>
      <c r="E23" s="352" t="s">
        <v>195</v>
      </c>
      <c r="F23" s="340" t="s">
        <v>190</v>
      </c>
      <c r="G23" s="346" t="s">
        <v>196</v>
      </c>
      <c r="H23" s="343">
        <v>24000</v>
      </c>
      <c r="I23" s="355">
        <f>IF(X23 = 103, H23 + SUM(S23:S28) - SUM(T23:T28) - SUM(P23:P28) - V23,0)</f>
        <v>12000</v>
      </c>
      <c r="J23" s="346" t="s">
        <v>168</v>
      </c>
      <c r="K23" s="346" t="s">
        <v>150</v>
      </c>
      <c r="L23" s="346"/>
      <c r="M23" s="346" t="s">
        <v>188</v>
      </c>
      <c r="N23" s="235" t="s">
        <v>257</v>
      </c>
      <c r="O23" s="340" t="s">
        <v>194</v>
      </c>
      <c r="P23" s="226">
        <v>2000</v>
      </c>
      <c r="Q23" s="225" t="s">
        <v>262</v>
      </c>
      <c r="R23" s="224"/>
      <c r="S23" s="226"/>
      <c r="T23" s="226"/>
      <c r="U23" s="343"/>
      <c r="V23" s="349"/>
      <c r="W23" s="358"/>
      <c r="X23" s="85">
        <v>103</v>
      </c>
    </row>
    <row r="24" spans="1:24" x14ac:dyDescent="0.3">
      <c r="A24" s="338"/>
      <c r="B24" s="347"/>
      <c r="C24" s="347"/>
      <c r="D24" s="347"/>
      <c r="E24" s="353"/>
      <c r="F24" s="341"/>
      <c r="G24" s="347"/>
      <c r="H24" s="344"/>
      <c r="I24" s="356"/>
      <c r="J24" s="347"/>
      <c r="K24" s="347"/>
      <c r="L24" s="347"/>
      <c r="M24" s="347"/>
      <c r="N24" s="236" t="s">
        <v>312</v>
      </c>
      <c r="O24" s="341"/>
      <c r="P24" s="229">
        <v>2000</v>
      </c>
      <c r="Q24" s="230" t="s">
        <v>316</v>
      </c>
      <c r="R24" s="231"/>
      <c r="S24" s="229"/>
      <c r="T24" s="229"/>
      <c r="U24" s="344"/>
      <c r="V24" s="350"/>
      <c r="W24" s="359"/>
      <c r="X24" s="2">
        <v>103</v>
      </c>
    </row>
    <row r="25" spans="1:24" x14ac:dyDescent="0.3">
      <c r="A25" s="338"/>
      <c r="B25" s="347"/>
      <c r="C25" s="347"/>
      <c r="D25" s="347"/>
      <c r="E25" s="353"/>
      <c r="F25" s="341"/>
      <c r="G25" s="347"/>
      <c r="H25" s="344"/>
      <c r="I25" s="356"/>
      <c r="J25" s="347"/>
      <c r="K25" s="347"/>
      <c r="L25" s="347"/>
      <c r="M25" s="347"/>
      <c r="N25" s="236" t="s">
        <v>402</v>
      </c>
      <c r="O25" s="341"/>
      <c r="P25" s="229">
        <v>2000</v>
      </c>
      <c r="Q25" s="230" t="s">
        <v>404</v>
      </c>
      <c r="R25" s="231"/>
      <c r="S25" s="229"/>
      <c r="T25" s="229"/>
      <c r="U25" s="344"/>
      <c r="V25" s="350"/>
      <c r="W25" s="359"/>
      <c r="X25" s="2">
        <v>103</v>
      </c>
    </row>
    <row r="26" spans="1:24" x14ac:dyDescent="0.3">
      <c r="A26" s="338"/>
      <c r="B26" s="347"/>
      <c r="C26" s="347"/>
      <c r="D26" s="347"/>
      <c r="E26" s="353"/>
      <c r="F26" s="341"/>
      <c r="G26" s="347"/>
      <c r="H26" s="344"/>
      <c r="I26" s="356"/>
      <c r="J26" s="347"/>
      <c r="K26" s="347"/>
      <c r="L26" s="347"/>
      <c r="M26" s="347"/>
      <c r="N26" s="236" t="s">
        <v>454</v>
      </c>
      <c r="O26" s="341"/>
      <c r="P26" s="229">
        <v>2000</v>
      </c>
      <c r="Q26" s="230" t="s">
        <v>455</v>
      </c>
      <c r="R26" s="231"/>
      <c r="S26" s="229"/>
      <c r="T26" s="229"/>
      <c r="U26" s="344"/>
      <c r="V26" s="350"/>
      <c r="W26" s="359"/>
      <c r="X26" s="2">
        <v>103</v>
      </c>
    </row>
    <row r="27" spans="1:24" x14ac:dyDescent="0.3">
      <c r="A27" s="338"/>
      <c r="B27" s="347"/>
      <c r="C27" s="347"/>
      <c r="D27" s="347"/>
      <c r="E27" s="353"/>
      <c r="F27" s="341"/>
      <c r="G27" s="347"/>
      <c r="H27" s="344"/>
      <c r="I27" s="356"/>
      <c r="J27" s="347"/>
      <c r="K27" s="347"/>
      <c r="L27" s="347"/>
      <c r="M27" s="347"/>
      <c r="N27" s="236" t="s">
        <v>468</v>
      </c>
      <c r="O27" s="341"/>
      <c r="P27" s="229">
        <v>2000</v>
      </c>
      <c r="Q27" s="230" t="s">
        <v>506</v>
      </c>
      <c r="R27" s="231"/>
      <c r="S27" s="229"/>
      <c r="T27" s="229"/>
      <c r="U27" s="344"/>
      <c r="V27" s="350"/>
      <c r="W27" s="359"/>
      <c r="X27" s="2">
        <v>103</v>
      </c>
    </row>
    <row r="28" spans="1:24" x14ac:dyDescent="0.3">
      <c r="A28" s="339"/>
      <c r="B28" s="348"/>
      <c r="C28" s="348"/>
      <c r="D28" s="348"/>
      <c r="E28" s="354"/>
      <c r="F28" s="342"/>
      <c r="G28" s="348"/>
      <c r="H28" s="345"/>
      <c r="I28" s="357"/>
      <c r="J28" s="348"/>
      <c r="K28" s="348"/>
      <c r="L28" s="348"/>
      <c r="M28" s="348"/>
      <c r="N28" s="233">
        <v>45473</v>
      </c>
      <c r="O28" s="342"/>
      <c r="P28" s="232">
        <v>2000</v>
      </c>
      <c r="Q28" s="233">
        <v>45476</v>
      </c>
      <c r="R28" s="234"/>
      <c r="S28" s="232"/>
      <c r="T28" s="232"/>
      <c r="U28" s="345"/>
      <c r="V28" s="351"/>
      <c r="W28" s="360"/>
      <c r="X28" s="2">
        <v>103</v>
      </c>
    </row>
    <row r="29" spans="1:24" s="85" customFormat="1" ht="94.8" customHeight="1" x14ac:dyDescent="0.3">
      <c r="A29" s="337">
        <v>4</v>
      </c>
      <c r="B29" s="346" t="s">
        <v>56</v>
      </c>
      <c r="C29" s="346"/>
      <c r="D29" s="346"/>
      <c r="E29" s="352" t="s">
        <v>217</v>
      </c>
      <c r="F29" s="340" t="s">
        <v>212</v>
      </c>
      <c r="G29" s="346" t="s">
        <v>216</v>
      </c>
      <c r="H29" s="343">
        <v>7200</v>
      </c>
      <c r="I29" s="355">
        <f>IF(X29 = 104, H29 + SUM(S29:S30) - SUM(T29:T30) - SUM(P29:P30) - V29,0)</f>
        <v>3600</v>
      </c>
      <c r="J29" s="346" t="s">
        <v>169</v>
      </c>
      <c r="K29" s="346" t="s">
        <v>170</v>
      </c>
      <c r="L29" s="346"/>
      <c r="M29" s="346" t="s">
        <v>188</v>
      </c>
      <c r="N29" s="235" t="s">
        <v>402</v>
      </c>
      <c r="O29" s="340" t="s">
        <v>218</v>
      </c>
      <c r="P29" s="226">
        <v>1800</v>
      </c>
      <c r="Q29" s="225" t="s">
        <v>404</v>
      </c>
      <c r="R29" s="224"/>
      <c r="S29" s="226"/>
      <c r="T29" s="226"/>
      <c r="U29" s="343"/>
      <c r="V29" s="349"/>
      <c r="W29" s="358"/>
      <c r="X29" s="85">
        <v>104</v>
      </c>
    </row>
    <row r="30" spans="1:24" x14ac:dyDescent="0.3">
      <c r="A30" s="339"/>
      <c r="B30" s="348"/>
      <c r="C30" s="348"/>
      <c r="D30" s="348"/>
      <c r="E30" s="354"/>
      <c r="F30" s="342"/>
      <c r="G30" s="348"/>
      <c r="H30" s="345"/>
      <c r="I30" s="357"/>
      <c r="J30" s="348"/>
      <c r="K30" s="348"/>
      <c r="L30" s="348"/>
      <c r="M30" s="348"/>
      <c r="N30" s="233">
        <v>45473</v>
      </c>
      <c r="O30" s="342"/>
      <c r="P30" s="232">
        <v>1800</v>
      </c>
      <c r="Q30" s="233">
        <v>45475</v>
      </c>
      <c r="R30" s="234"/>
      <c r="S30" s="232"/>
      <c r="T30" s="232"/>
      <c r="U30" s="345"/>
      <c r="V30" s="351"/>
      <c r="W30" s="360"/>
      <c r="X30" s="2">
        <v>104</v>
      </c>
    </row>
    <row r="31" spans="1:24" s="85" customFormat="1" ht="76.8" customHeight="1" x14ac:dyDescent="0.3">
      <c r="A31" s="337">
        <v>5</v>
      </c>
      <c r="B31" s="346" t="s">
        <v>56</v>
      </c>
      <c r="C31" s="346"/>
      <c r="D31" s="346"/>
      <c r="E31" s="352" t="s">
        <v>219</v>
      </c>
      <c r="F31" s="340" t="s">
        <v>220</v>
      </c>
      <c r="G31" s="346" t="s">
        <v>221</v>
      </c>
      <c r="H31" s="343">
        <v>72000</v>
      </c>
      <c r="I31" s="355">
        <f>IF(X31 = 105, H31 + SUM(S31:S36) - SUM(T31:T36) - SUM(P31:P36) - V31,0)</f>
        <v>36000</v>
      </c>
      <c r="J31" s="346" t="s">
        <v>222</v>
      </c>
      <c r="K31" s="346" t="s">
        <v>223</v>
      </c>
      <c r="L31" s="346"/>
      <c r="M31" s="346" t="s">
        <v>188</v>
      </c>
      <c r="N31" s="235" t="s">
        <v>257</v>
      </c>
      <c r="O31" s="340" t="s">
        <v>172</v>
      </c>
      <c r="P31" s="226">
        <v>6000</v>
      </c>
      <c r="Q31" s="225" t="s">
        <v>270</v>
      </c>
      <c r="R31" s="224"/>
      <c r="S31" s="226"/>
      <c r="T31" s="226"/>
      <c r="U31" s="343"/>
      <c r="V31" s="349"/>
      <c r="W31" s="358"/>
      <c r="X31" s="85">
        <v>105</v>
      </c>
    </row>
    <row r="32" spans="1:24" x14ac:dyDescent="0.3">
      <c r="A32" s="338"/>
      <c r="B32" s="347"/>
      <c r="C32" s="347"/>
      <c r="D32" s="347"/>
      <c r="E32" s="353"/>
      <c r="F32" s="341"/>
      <c r="G32" s="347"/>
      <c r="H32" s="344"/>
      <c r="I32" s="356"/>
      <c r="J32" s="347"/>
      <c r="K32" s="347"/>
      <c r="L32" s="347"/>
      <c r="M32" s="347"/>
      <c r="N32" s="236" t="s">
        <v>312</v>
      </c>
      <c r="O32" s="341"/>
      <c r="P32" s="229">
        <v>6000</v>
      </c>
      <c r="Q32" s="230" t="s">
        <v>313</v>
      </c>
      <c r="R32" s="231"/>
      <c r="S32" s="229"/>
      <c r="T32" s="229"/>
      <c r="U32" s="344"/>
      <c r="V32" s="350"/>
      <c r="W32" s="359"/>
      <c r="X32" s="2">
        <v>105</v>
      </c>
    </row>
    <row r="33" spans="1:24" x14ac:dyDescent="0.3">
      <c r="A33" s="338"/>
      <c r="B33" s="347"/>
      <c r="C33" s="347"/>
      <c r="D33" s="347"/>
      <c r="E33" s="353"/>
      <c r="F33" s="341"/>
      <c r="G33" s="347"/>
      <c r="H33" s="344"/>
      <c r="I33" s="356"/>
      <c r="J33" s="347"/>
      <c r="K33" s="347"/>
      <c r="L33" s="347"/>
      <c r="M33" s="347"/>
      <c r="N33" s="236" t="s">
        <v>402</v>
      </c>
      <c r="O33" s="341"/>
      <c r="P33" s="229">
        <v>6000</v>
      </c>
      <c r="Q33" s="230" t="s">
        <v>405</v>
      </c>
      <c r="R33" s="231"/>
      <c r="S33" s="229"/>
      <c r="T33" s="229"/>
      <c r="U33" s="344"/>
      <c r="V33" s="350"/>
      <c r="W33" s="359"/>
      <c r="X33" s="2">
        <v>105</v>
      </c>
    </row>
    <row r="34" spans="1:24" x14ac:dyDescent="0.3">
      <c r="A34" s="338"/>
      <c r="B34" s="347"/>
      <c r="C34" s="347"/>
      <c r="D34" s="347"/>
      <c r="E34" s="353"/>
      <c r="F34" s="341"/>
      <c r="G34" s="347"/>
      <c r="H34" s="344"/>
      <c r="I34" s="356"/>
      <c r="J34" s="347"/>
      <c r="K34" s="347"/>
      <c r="L34" s="347"/>
      <c r="M34" s="347"/>
      <c r="N34" s="236" t="s">
        <v>454</v>
      </c>
      <c r="O34" s="341"/>
      <c r="P34" s="229">
        <v>6000</v>
      </c>
      <c r="Q34" s="230" t="s">
        <v>461</v>
      </c>
      <c r="R34" s="231"/>
      <c r="S34" s="229"/>
      <c r="T34" s="229"/>
      <c r="U34" s="344"/>
      <c r="V34" s="350"/>
      <c r="W34" s="359"/>
      <c r="X34" s="2">
        <v>105</v>
      </c>
    </row>
    <row r="35" spans="1:24" x14ac:dyDescent="0.3">
      <c r="A35" s="338"/>
      <c r="B35" s="347"/>
      <c r="C35" s="347"/>
      <c r="D35" s="347"/>
      <c r="E35" s="353"/>
      <c r="F35" s="341"/>
      <c r="G35" s="347"/>
      <c r="H35" s="344"/>
      <c r="I35" s="356"/>
      <c r="J35" s="347"/>
      <c r="K35" s="347"/>
      <c r="L35" s="347"/>
      <c r="M35" s="347"/>
      <c r="N35" s="236" t="s">
        <v>468</v>
      </c>
      <c r="O35" s="341"/>
      <c r="P35" s="229">
        <v>6000</v>
      </c>
      <c r="Q35" s="230" t="s">
        <v>507</v>
      </c>
      <c r="R35" s="231"/>
      <c r="S35" s="229"/>
      <c r="T35" s="229"/>
      <c r="U35" s="344"/>
      <c r="V35" s="350"/>
      <c r="W35" s="359"/>
      <c r="X35" s="2">
        <v>105</v>
      </c>
    </row>
    <row r="36" spans="1:24" x14ac:dyDescent="0.3">
      <c r="A36" s="339"/>
      <c r="B36" s="348"/>
      <c r="C36" s="348"/>
      <c r="D36" s="348"/>
      <c r="E36" s="354"/>
      <c r="F36" s="342"/>
      <c r="G36" s="348"/>
      <c r="H36" s="345"/>
      <c r="I36" s="357"/>
      <c r="J36" s="348"/>
      <c r="K36" s="348"/>
      <c r="L36" s="348"/>
      <c r="M36" s="348"/>
      <c r="N36" s="233">
        <v>45473</v>
      </c>
      <c r="O36" s="342"/>
      <c r="P36" s="232">
        <v>6000</v>
      </c>
      <c r="Q36" s="233">
        <v>45484</v>
      </c>
      <c r="R36" s="234"/>
      <c r="S36" s="232"/>
      <c r="T36" s="232"/>
      <c r="U36" s="345"/>
      <c r="V36" s="351"/>
      <c r="W36" s="360"/>
      <c r="X36" s="2">
        <v>105</v>
      </c>
    </row>
    <row r="37" spans="1:24" s="85" customFormat="1" ht="76.8" customHeight="1" x14ac:dyDescent="0.3">
      <c r="A37" s="96">
        <v>6</v>
      </c>
      <c r="B37" s="97" t="s">
        <v>56</v>
      </c>
      <c r="C37" s="97"/>
      <c r="D37" s="97"/>
      <c r="E37" s="98" t="s">
        <v>234</v>
      </c>
      <c r="F37" s="103" t="s">
        <v>220</v>
      </c>
      <c r="G37" s="97" t="s">
        <v>235</v>
      </c>
      <c r="H37" s="99">
        <v>8000</v>
      </c>
      <c r="I37" s="100">
        <f>IF(X37 = 107, H37 + SUM(S37:S37) - SUM(T37:T37) - SUM(P37:P37) - V37,0)</f>
        <v>0</v>
      </c>
      <c r="J37" s="97" t="s">
        <v>174</v>
      </c>
      <c r="K37" s="97" t="s">
        <v>175</v>
      </c>
      <c r="L37" s="97"/>
      <c r="M37" s="97" t="s">
        <v>236</v>
      </c>
      <c r="N37" s="103" t="s">
        <v>266</v>
      </c>
      <c r="O37" s="103" t="s">
        <v>305</v>
      </c>
      <c r="P37" s="99">
        <v>8000</v>
      </c>
      <c r="Q37" s="98" t="s">
        <v>268</v>
      </c>
      <c r="R37" s="97"/>
      <c r="S37" s="99"/>
      <c r="T37" s="99"/>
      <c r="U37" s="99"/>
      <c r="V37" s="102"/>
      <c r="W37" s="101"/>
      <c r="X37" s="85">
        <v>107</v>
      </c>
    </row>
    <row r="38" spans="1:24" s="85" customFormat="1" ht="126" x14ac:dyDescent="0.3">
      <c r="A38" s="96">
        <v>7</v>
      </c>
      <c r="B38" s="97" t="s">
        <v>56</v>
      </c>
      <c r="C38" s="97"/>
      <c r="D38" s="97"/>
      <c r="E38" s="98" t="s">
        <v>237</v>
      </c>
      <c r="F38" s="103" t="s">
        <v>238</v>
      </c>
      <c r="G38" s="97" t="s">
        <v>239</v>
      </c>
      <c r="H38" s="99">
        <v>14450</v>
      </c>
      <c r="I38" s="100">
        <f>IF(X38 = 108, H38 + SUM(S38:S38) - SUM(T38:T38) - SUM(P38:P38) - V38,0)</f>
        <v>0</v>
      </c>
      <c r="J38" s="97" t="s">
        <v>240</v>
      </c>
      <c r="K38" s="97" t="s">
        <v>241</v>
      </c>
      <c r="L38" s="97"/>
      <c r="M38" s="97" t="s">
        <v>242</v>
      </c>
      <c r="N38" s="103" t="s">
        <v>267</v>
      </c>
      <c r="O38" s="103" t="s">
        <v>243</v>
      </c>
      <c r="P38" s="99">
        <v>14450</v>
      </c>
      <c r="Q38" s="98" t="s">
        <v>266</v>
      </c>
      <c r="R38" s="97"/>
      <c r="S38" s="99"/>
      <c r="T38" s="99"/>
      <c r="U38" s="99"/>
      <c r="V38" s="102"/>
      <c r="W38" s="101"/>
      <c r="X38" s="85">
        <v>108</v>
      </c>
    </row>
    <row r="39" spans="1:24" s="85" customFormat="1" ht="72" x14ac:dyDescent="0.3">
      <c r="A39" s="96">
        <v>8</v>
      </c>
      <c r="B39" s="97" t="s">
        <v>56</v>
      </c>
      <c r="C39" s="97"/>
      <c r="D39" s="97"/>
      <c r="E39" s="98" t="s">
        <v>244</v>
      </c>
      <c r="F39" s="103" t="s">
        <v>245</v>
      </c>
      <c r="G39" s="97" t="s">
        <v>246</v>
      </c>
      <c r="H39" s="99">
        <v>3230</v>
      </c>
      <c r="I39" s="100">
        <f>IF(X39 = 109, H39 + SUM(S39:S39) - SUM(T39:T39) - SUM(P39:P39) - V39,0)</f>
        <v>0</v>
      </c>
      <c r="J39" s="97" t="s">
        <v>168</v>
      </c>
      <c r="K39" s="97" t="s">
        <v>150</v>
      </c>
      <c r="L39" s="97"/>
      <c r="M39" s="97" t="s">
        <v>247</v>
      </c>
      <c r="N39" s="103" t="s">
        <v>261</v>
      </c>
      <c r="O39" s="103" t="s">
        <v>218</v>
      </c>
      <c r="P39" s="99">
        <v>3230</v>
      </c>
      <c r="Q39" s="98" t="s">
        <v>269</v>
      </c>
      <c r="R39" s="97"/>
      <c r="S39" s="99"/>
      <c r="T39" s="99"/>
      <c r="U39" s="99"/>
      <c r="V39" s="102"/>
      <c r="W39" s="101"/>
      <c r="X39" s="85">
        <v>109</v>
      </c>
    </row>
    <row r="40" spans="1:24" s="85" customFormat="1" ht="126" x14ac:dyDescent="0.3">
      <c r="A40" s="104">
        <v>9</v>
      </c>
      <c r="B40" s="105" t="s">
        <v>56</v>
      </c>
      <c r="C40" s="105"/>
      <c r="D40" s="105"/>
      <c r="E40" s="109" t="s">
        <v>254</v>
      </c>
      <c r="F40" s="110" t="s">
        <v>253</v>
      </c>
      <c r="G40" s="105" t="s">
        <v>239</v>
      </c>
      <c r="H40" s="106">
        <v>17300</v>
      </c>
      <c r="I40" s="107">
        <f>IF(X40 = 111, H40 + SUM(S40:S40) - SUM(T40:T40) - SUM(P40:P40) - V40,0)</f>
        <v>0</v>
      </c>
      <c r="J40" s="105" t="s">
        <v>240</v>
      </c>
      <c r="K40" s="105" t="s">
        <v>241</v>
      </c>
      <c r="L40" s="105"/>
      <c r="M40" s="105" t="s">
        <v>255</v>
      </c>
      <c r="N40" s="110" t="s">
        <v>262</v>
      </c>
      <c r="O40" s="110" t="s">
        <v>243</v>
      </c>
      <c r="P40" s="106">
        <v>17300</v>
      </c>
      <c r="Q40" s="109" t="s">
        <v>270</v>
      </c>
      <c r="R40" s="105"/>
      <c r="S40" s="106"/>
      <c r="T40" s="106"/>
      <c r="U40" s="106"/>
      <c r="V40" s="111"/>
      <c r="W40" s="108"/>
      <c r="X40" s="85">
        <v>111</v>
      </c>
    </row>
    <row r="41" spans="1:24" s="85" customFormat="1" ht="126" x14ac:dyDescent="0.3">
      <c r="A41" s="113">
        <v>10</v>
      </c>
      <c r="B41" s="114" t="s">
        <v>56</v>
      </c>
      <c r="C41" s="114"/>
      <c r="D41" s="114"/>
      <c r="E41" s="115" t="s">
        <v>275</v>
      </c>
      <c r="F41" s="121" t="s">
        <v>276</v>
      </c>
      <c r="G41" s="114" t="s">
        <v>239</v>
      </c>
      <c r="H41" s="116">
        <v>5800</v>
      </c>
      <c r="I41" s="117">
        <f>IF(X41 = 112, H41 + SUM(S41:S41) - SUM(T41:T41) - SUM(P41:P41) - V41,0)</f>
        <v>0</v>
      </c>
      <c r="J41" s="114" t="s">
        <v>240</v>
      </c>
      <c r="K41" s="114" t="s">
        <v>241</v>
      </c>
      <c r="L41" s="114"/>
      <c r="M41" s="114" t="s">
        <v>282</v>
      </c>
      <c r="N41" s="121" t="s">
        <v>272</v>
      </c>
      <c r="O41" s="121" t="s">
        <v>243</v>
      </c>
      <c r="P41" s="116">
        <v>5800</v>
      </c>
      <c r="Q41" s="115" t="s">
        <v>314</v>
      </c>
      <c r="R41" s="114"/>
      <c r="S41" s="116"/>
      <c r="T41" s="116"/>
      <c r="U41" s="116"/>
      <c r="V41" s="122"/>
      <c r="W41" s="112"/>
      <c r="X41" s="85">
        <v>112</v>
      </c>
    </row>
    <row r="42" spans="1:24" s="85" customFormat="1" ht="144" x14ac:dyDescent="0.3">
      <c r="A42" s="113">
        <v>11</v>
      </c>
      <c r="B42" s="114" t="s">
        <v>56</v>
      </c>
      <c r="C42" s="114"/>
      <c r="D42" s="114"/>
      <c r="E42" s="115" t="s">
        <v>283</v>
      </c>
      <c r="F42" s="121" t="s">
        <v>276</v>
      </c>
      <c r="G42" s="114" t="s">
        <v>284</v>
      </c>
      <c r="H42" s="116">
        <v>3500</v>
      </c>
      <c r="I42" s="117">
        <f>IF(X42 = 113, H42 + SUM(S42:S42) - SUM(T42:T42) - SUM(P42:P42) - V42,0)</f>
        <v>0</v>
      </c>
      <c r="J42" s="114" t="s">
        <v>285</v>
      </c>
      <c r="K42" s="114" t="s">
        <v>286</v>
      </c>
      <c r="L42" s="114"/>
      <c r="M42" s="114" t="s">
        <v>282</v>
      </c>
      <c r="N42" s="121" t="s">
        <v>319</v>
      </c>
      <c r="O42" s="121" t="s">
        <v>287</v>
      </c>
      <c r="P42" s="116">
        <v>3500</v>
      </c>
      <c r="Q42" s="115" t="s">
        <v>318</v>
      </c>
      <c r="R42" s="114"/>
      <c r="S42" s="116"/>
      <c r="T42" s="116"/>
      <c r="U42" s="116"/>
      <c r="V42" s="122"/>
      <c r="W42" s="112"/>
      <c r="X42" s="85">
        <v>113</v>
      </c>
    </row>
    <row r="43" spans="1:24" s="85" customFormat="1" ht="123.6" customHeight="1" x14ac:dyDescent="0.3">
      <c r="A43" s="337">
        <v>12</v>
      </c>
      <c r="B43" s="346" t="s">
        <v>56</v>
      </c>
      <c r="C43" s="346"/>
      <c r="D43" s="346"/>
      <c r="E43" s="352" t="s">
        <v>301</v>
      </c>
      <c r="F43" s="340" t="s">
        <v>296</v>
      </c>
      <c r="G43" s="346" t="s">
        <v>303</v>
      </c>
      <c r="H43" s="343">
        <v>6348</v>
      </c>
      <c r="I43" s="355">
        <f>IF(X43 = 114, H43 + SUM(S43:S46) - SUM(T43:T46) - SUM(P43:P46) - V43,0)</f>
        <v>4026</v>
      </c>
      <c r="J43" s="346" t="s">
        <v>304</v>
      </c>
      <c r="K43" s="346" t="s">
        <v>302</v>
      </c>
      <c r="L43" s="346"/>
      <c r="M43" s="346" t="s">
        <v>299</v>
      </c>
      <c r="N43" s="235" t="s">
        <v>402</v>
      </c>
      <c r="O43" s="340" t="s">
        <v>307</v>
      </c>
      <c r="P43" s="226">
        <v>1566</v>
      </c>
      <c r="Q43" s="225" t="s">
        <v>405</v>
      </c>
      <c r="R43" s="224"/>
      <c r="S43" s="226"/>
      <c r="T43" s="226"/>
      <c r="U43" s="343"/>
      <c r="V43" s="349"/>
      <c r="W43" s="358"/>
      <c r="X43" s="85">
        <v>114</v>
      </c>
    </row>
    <row r="44" spans="1:24" x14ac:dyDescent="0.3">
      <c r="A44" s="338"/>
      <c r="B44" s="347"/>
      <c r="C44" s="347"/>
      <c r="D44" s="347"/>
      <c r="E44" s="353"/>
      <c r="F44" s="341"/>
      <c r="G44" s="347"/>
      <c r="H44" s="344"/>
      <c r="I44" s="356"/>
      <c r="J44" s="347"/>
      <c r="K44" s="347"/>
      <c r="L44" s="347"/>
      <c r="M44" s="347"/>
      <c r="N44" s="236" t="s">
        <v>454</v>
      </c>
      <c r="O44" s="341"/>
      <c r="P44" s="229">
        <v>252</v>
      </c>
      <c r="Q44" s="230" t="s">
        <v>458</v>
      </c>
      <c r="R44" s="231"/>
      <c r="S44" s="229"/>
      <c r="T44" s="229"/>
      <c r="U44" s="344"/>
      <c r="V44" s="350"/>
      <c r="W44" s="359"/>
      <c r="X44" s="2">
        <v>114</v>
      </c>
    </row>
    <row r="45" spans="1:24" x14ac:dyDescent="0.3">
      <c r="A45" s="338"/>
      <c r="B45" s="347"/>
      <c r="C45" s="347"/>
      <c r="D45" s="347"/>
      <c r="E45" s="353"/>
      <c r="F45" s="341"/>
      <c r="G45" s="347"/>
      <c r="H45" s="344"/>
      <c r="I45" s="356"/>
      <c r="J45" s="347"/>
      <c r="K45" s="347"/>
      <c r="L45" s="347"/>
      <c r="M45" s="347"/>
      <c r="N45" s="236" t="s">
        <v>468</v>
      </c>
      <c r="O45" s="341"/>
      <c r="P45" s="229">
        <v>252</v>
      </c>
      <c r="Q45" s="230" t="s">
        <v>508</v>
      </c>
      <c r="R45" s="231"/>
      <c r="S45" s="229"/>
      <c r="T45" s="229"/>
      <c r="U45" s="344"/>
      <c r="V45" s="350"/>
      <c r="W45" s="359"/>
      <c r="X45" s="2">
        <v>114</v>
      </c>
    </row>
    <row r="46" spans="1:24" x14ac:dyDescent="0.3">
      <c r="A46" s="339"/>
      <c r="B46" s="348"/>
      <c r="C46" s="348"/>
      <c r="D46" s="348"/>
      <c r="E46" s="354"/>
      <c r="F46" s="342"/>
      <c r="G46" s="348"/>
      <c r="H46" s="345"/>
      <c r="I46" s="357"/>
      <c r="J46" s="348"/>
      <c r="K46" s="348"/>
      <c r="L46" s="348"/>
      <c r="M46" s="348"/>
      <c r="N46" s="233">
        <v>45473</v>
      </c>
      <c r="O46" s="342"/>
      <c r="P46" s="232">
        <v>252</v>
      </c>
      <c r="Q46" s="233">
        <v>45482</v>
      </c>
      <c r="R46" s="234"/>
      <c r="S46" s="232"/>
      <c r="T46" s="232"/>
      <c r="U46" s="345"/>
      <c r="V46" s="351"/>
      <c r="W46" s="360"/>
      <c r="X46" s="2">
        <v>114</v>
      </c>
    </row>
    <row r="47" spans="1:24" s="85" customFormat="1" ht="147.6" customHeight="1" x14ac:dyDescent="0.3">
      <c r="A47" s="113">
        <v>13</v>
      </c>
      <c r="B47" s="114" t="s">
        <v>56</v>
      </c>
      <c r="C47" s="114"/>
      <c r="D47" s="114"/>
      <c r="E47" s="115" t="s">
        <v>306</v>
      </c>
      <c r="F47" s="121" t="s">
        <v>296</v>
      </c>
      <c r="G47" s="114" t="s">
        <v>239</v>
      </c>
      <c r="H47" s="116">
        <v>14280</v>
      </c>
      <c r="I47" s="117">
        <f>IF(X47 = 115, H47 + SUM(S47:S47) - SUM(T47:T47) - SUM(P47:P47) - V47,0)</f>
        <v>0</v>
      </c>
      <c r="J47" s="114" t="s">
        <v>240</v>
      </c>
      <c r="K47" s="114" t="s">
        <v>241</v>
      </c>
      <c r="L47" s="114"/>
      <c r="M47" s="114" t="s">
        <v>299</v>
      </c>
      <c r="N47" s="121" t="s">
        <v>315</v>
      </c>
      <c r="O47" s="121" t="s">
        <v>243</v>
      </c>
      <c r="P47" s="116">
        <v>14280</v>
      </c>
      <c r="Q47" s="115" t="s">
        <v>314</v>
      </c>
      <c r="R47" s="114"/>
      <c r="S47" s="116"/>
      <c r="T47" s="116"/>
      <c r="U47" s="116"/>
      <c r="V47" s="122"/>
      <c r="W47" s="112"/>
      <c r="X47" s="85">
        <v>115</v>
      </c>
    </row>
    <row r="48" spans="1:24" s="85" customFormat="1" ht="108" x14ac:dyDescent="0.3">
      <c r="A48" s="140">
        <v>14</v>
      </c>
      <c r="B48" s="141" t="s">
        <v>56</v>
      </c>
      <c r="C48" s="141"/>
      <c r="D48" s="141"/>
      <c r="E48" s="142" t="s">
        <v>332</v>
      </c>
      <c r="F48" s="146" t="s">
        <v>333</v>
      </c>
      <c r="G48" s="141" t="s">
        <v>334</v>
      </c>
      <c r="H48" s="143">
        <v>23544.3</v>
      </c>
      <c r="I48" s="144">
        <f>IF(X48 = 116, H48 + SUM(S48:S48) - SUM(T48:T48) - SUM(P48:P48) - V48,0)</f>
        <v>0</v>
      </c>
      <c r="J48" s="141" t="s">
        <v>335</v>
      </c>
      <c r="K48" s="141" t="s">
        <v>336</v>
      </c>
      <c r="L48" s="141"/>
      <c r="M48" s="141" t="s">
        <v>337</v>
      </c>
      <c r="N48" s="146" t="s">
        <v>424</v>
      </c>
      <c r="O48" s="146" t="s">
        <v>338</v>
      </c>
      <c r="P48" s="143">
        <v>23544.3</v>
      </c>
      <c r="Q48" s="142" t="s">
        <v>459</v>
      </c>
      <c r="R48" s="141"/>
      <c r="S48" s="143"/>
      <c r="T48" s="143"/>
      <c r="U48" s="143"/>
      <c r="V48" s="145"/>
      <c r="W48" s="139"/>
      <c r="X48" s="85">
        <v>116</v>
      </c>
    </row>
    <row r="49" spans="1:24" s="85" customFormat="1" ht="126" x14ac:dyDescent="0.3">
      <c r="A49" s="140">
        <v>15</v>
      </c>
      <c r="B49" s="141" t="s">
        <v>56</v>
      </c>
      <c r="C49" s="141"/>
      <c r="D49" s="141"/>
      <c r="E49" s="142" t="s">
        <v>339</v>
      </c>
      <c r="F49" s="146" t="s">
        <v>340</v>
      </c>
      <c r="G49" s="141" t="s">
        <v>239</v>
      </c>
      <c r="H49" s="143">
        <v>19500</v>
      </c>
      <c r="I49" s="144">
        <f>IF(X49 = 117, H49 + SUM(S49:S49) - SUM(T49:T49) - SUM(P49:P49) - V49,0)</f>
        <v>0</v>
      </c>
      <c r="J49" s="141" t="s">
        <v>240</v>
      </c>
      <c r="K49" s="141" t="s">
        <v>241</v>
      </c>
      <c r="L49" s="141"/>
      <c r="M49" s="141" t="s">
        <v>341</v>
      </c>
      <c r="N49" s="146" t="s">
        <v>399</v>
      </c>
      <c r="O49" s="146" t="s">
        <v>243</v>
      </c>
      <c r="P49" s="143">
        <v>19500</v>
      </c>
      <c r="Q49" s="142" t="s">
        <v>407</v>
      </c>
      <c r="R49" s="141"/>
      <c r="S49" s="143"/>
      <c r="T49" s="143"/>
      <c r="U49" s="143"/>
      <c r="V49" s="145"/>
      <c r="W49" s="139"/>
      <c r="X49" s="85">
        <v>117</v>
      </c>
    </row>
    <row r="50" spans="1:24" s="85" customFormat="1" ht="198" customHeight="1" x14ac:dyDescent="0.3">
      <c r="A50" s="382">
        <v>16</v>
      </c>
      <c r="B50" s="388" t="s">
        <v>56</v>
      </c>
      <c r="C50" s="388"/>
      <c r="D50" s="388"/>
      <c r="E50" s="394" t="s">
        <v>342</v>
      </c>
      <c r="F50" s="384" t="s">
        <v>343</v>
      </c>
      <c r="G50" s="388" t="s">
        <v>344</v>
      </c>
      <c r="H50" s="386">
        <v>52000</v>
      </c>
      <c r="I50" s="396">
        <f>IF(X50 = 118, H50 + SUM(S50:S51) - SUM(T50:T51) - SUM(P50:P51) - V50,0)</f>
        <v>0</v>
      </c>
      <c r="J50" s="388" t="s">
        <v>169</v>
      </c>
      <c r="K50" s="388" t="s">
        <v>170</v>
      </c>
      <c r="L50" s="388"/>
      <c r="M50" s="388" t="s">
        <v>345</v>
      </c>
      <c r="N50" s="156" t="s">
        <v>406</v>
      </c>
      <c r="O50" s="384" t="s">
        <v>346</v>
      </c>
      <c r="P50" s="152">
        <v>4000</v>
      </c>
      <c r="Q50" s="151" t="s">
        <v>405</v>
      </c>
      <c r="R50" s="150"/>
      <c r="S50" s="152"/>
      <c r="T50" s="152"/>
      <c r="U50" s="386"/>
      <c r="V50" s="390"/>
      <c r="W50" s="392"/>
      <c r="X50" s="85">
        <v>118</v>
      </c>
    </row>
    <row r="51" spans="1:24" x14ac:dyDescent="0.3">
      <c r="A51" s="383"/>
      <c r="B51" s="389"/>
      <c r="C51" s="389"/>
      <c r="D51" s="389"/>
      <c r="E51" s="395"/>
      <c r="F51" s="385"/>
      <c r="G51" s="389"/>
      <c r="H51" s="387"/>
      <c r="I51" s="397"/>
      <c r="J51" s="389"/>
      <c r="K51" s="389"/>
      <c r="L51" s="389"/>
      <c r="M51" s="389"/>
      <c r="N51" s="157" t="s">
        <v>406</v>
      </c>
      <c r="O51" s="385"/>
      <c r="P51" s="153">
        <v>48000</v>
      </c>
      <c r="Q51" s="154" t="s">
        <v>405</v>
      </c>
      <c r="R51" s="155"/>
      <c r="S51" s="153"/>
      <c r="T51" s="153"/>
      <c r="U51" s="387"/>
      <c r="V51" s="391"/>
      <c r="W51" s="393"/>
      <c r="X51" s="2">
        <v>118</v>
      </c>
    </row>
    <row r="52" spans="1:24" s="85" customFormat="1" ht="144" x14ac:dyDescent="0.3">
      <c r="A52" s="140">
        <v>17</v>
      </c>
      <c r="B52" s="141" t="s">
        <v>56</v>
      </c>
      <c r="C52" s="141"/>
      <c r="D52" s="141"/>
      <c r="E52" s="142" t="s">
        <v>347</v>
      </c>
      <c r="F52" s="146" t="s">
        <v>348</v>
      </c>
      <c r="G52" s="141" t="s">
        <v>349</v>
      </c>
      <c r="H52" s="143">
        <v>1900</v>
      </c>
      <c r="I52" s="144">
        <f>IF(X52 = 119, H52 + SUM(S52:S52) - SUM(T52:T52) - SUM(P52:P52) - V52,0)</f>
        <v>0</v>
      </c>
      <c r="J52" s="141" t="s">
        <v>350</v>
      </c>
      <c r="K52" s="141" t="s">
        <v>351</v>
      </c>
      <c r="L52" s="141"/>
      <c r="M52" s="141" t="s">
        <v>352</v>
      </c>
      <c r="N52" s="146" t="s">
        <v>405</v>
      </c>
      <c r="O52" s="146" t="s">
        <v>353</v>
      </c>
      <c r="P52" s="143">
        <v>1900</v>
      </c>
      <c r="Q52" s="142" t="s">
        <v>400</v>
      </c>
      <c r="R52" s="141"/>
      <c r="S52" s="143"/>
      <c r="T52" s="143"/>
      <c r="U52" s="143"/>
      <c r="V52" s="145"/>
      <c r="W52" s="139"/>
      <c r="X52" s="85">
        <v>119</v>
      </c>
    </row>
    <row r="53" spans="1:24" s="85" customFormat="1" ht="108" x14ac:dyDescent="0.3">
      <c r="A53" s="140">
        <v>18</v>
      </c>
      <c r="B53" s="141" t="s">
        <v>56</v>
      </c>
      <c r="C53" s="141"/>
      <c r="D53" s="141"/>
      <c r="E53" s="142" t="s">
        <v>364</v>
      </c>
      <c r="F53" s="146" t="s">
        <v>365</v>
      </c>
      <c r="G53" s="141" t="s">
        <v>366</v>
      </c>
      <c r="H53" s="143">
        <v>4500</v>
      </c>
      <c r="I53" s="144">
        <f>IF(X53 = 120, H53 + SUM(S53:S53) - SUM(T53:T53) - SUM(P53:P53) - V53,0)</f>
        <v>0</v>
      </c>
      <c r="J53" s="141" t="s">
        <v>168</v>
      </c>
      <c r="K53" s="141" t="s">
        <v>150</v>
      </c>
      <c r="L53" s="141"/>
      <c r="M53" s="141" t="s">
        <v>367</v>
      </c>
      <c r="N53" s="146" t="s">
        <v>400</v>
      </c>
      <c r="O53" s="146" t="s">
        <v>368</v>
      </c>
      <c r="P53" s="143">
        <v>4500</v>
      </c>
      <c r="Q53" s="142" t="s">
        <v>409</v>
      </c>
      <c r="R53" s="141"/>
      <c r="S53" s="143"/>
      <c r="T53" s="143"/>
      <c r="U53" s="143"/>
      <c r="V53" s="145"/>
      <c r="W53" s="139"/>
      <c r="X53" s="85">
        <v>120</v>
      </c>
    </row>
    <row r="54" spans="1:24" s="85" customFormat="1" ht="126" x14ac:dyDescent="0.3">
      <c r="A54" s="140">
        <v>19</v>
      </c>
      <c r="B54" s="141" t="s">
        <v>56</v>
      </c>
      <c r="C54" s="141"/>
      <c r="D54" s="141"/>
      <c r="E54" s="142" t="s">
        <v>374</v>
      </c>
      <c r="F54" s="146" t="s">
        <v>375</v>
      </c>
      <c r="G54" s="141" t="s">
        <v>239</v>
      </c>
      <c r="H54" s="143">
        <v>7920</v>
      </c>
      <c r="I54" s="144">
        <f>IF(X54 = 121, H54 + SUM(S54:S54) - SUM(T54:T54) - SUM(P54:P54) - V54,0)</f>
        <v>0</v>
      </c>
      <c r="J54" s="141" t="s">
        <v>240</v>
      </c>
      <c r="K54" s="141" t="s">
        <v>241</v>
      </c>
      <c r="L54" s="141"/>
      <c r="M54" s="141" t="s">
        <v>378</v>
      </c>
      <c r="N54" s="146" t="s">
        <v>411</v>
      </c>
      <c r="O54" s="146" t="s">
        <v>243</v>
      </c>
      <c r="P54" s="143">
        <v>7920</v>
      </c>
      <c r="Q54" s="142" t="s">
        <v>410</v>
      </c>
      <c r="R54" s="141"/>
      <c r="S54" s="143"/>
      <c r="T54" s="143"/>
      <c r="U54" s="143"/>
      <c r="V54" s="145"/>
      <c r="W54" s="139"/>
      <c r="X54" s="85">
        <v>121</v>
      </c>
    </row>
    <row r="55" spans="1:24" s="85" customFormat="1" ht="90" x14ac:dyDescent="0.3">
      <c r="A55" s="140">
        <v>20</v>
      </c>
      <c r="B55" s="141" t="s">
        <v>56</v>
      </c>
      <c r="C55" s="141"/>
      <c r="D55" s="141"/>
      <c r="E55" s="142" t="s">
        <v>376</v>
      </c>
      <c r="F55" s="146" t="s">
        <v>377</v>
      </c>
      <c r="G55" s="141" t="s">
        <v>379</v>
      </c>
      <c r="H55" s="143">
        <v>3000</v>
      </c>
      <c r="I55" s="144">
        <f>IF(X55 = 122, H55 + SUM(S55:S55) - SUM(T55:T55) - SUM(P55:P55) - V55,0)</f>
        <v>0</v>
      </c>
      <c r="J55" s="141" t="s">
        <v>380</v>
      </c>
      <c r="K55" s="141" t="s">
        <v>381</v>
      </c>
      <c r="L55" s="141"/>
      <c r="M55" s="141" t="s">
        <v>382</v>
      </c>
      <c r="N55" s="146" t="s">
        <v>409</v>
      </c>
      <c r="O55" s="146" t="s">
        <v>383</v>
      </c>
      <c r="P55" s="143">
        <v>3000</v>
      </c>
      <c r="Q55" s="142" t="s">
        <v>410</v>
      </c>
      <c r="R55" s="141"/>
      <c r="S55" s="143"/>
      <c r="T55" s="143"/>
      <c r="U55" s="143"/>
      <c r="V55" s="145"/>
      <c r="W55" s="139"/>
      <c r="X55" s="85">
        <v>122</v>
      </c>
    </row>
    <row r="56" spans="1:24" s="85" customFormat="1" ht="72" x14ac:dyDescent="0.3">
      <c r="A56" s="140">
        <v>21</v>
      </c>
      <c r="B56" s="141" t="s">
        <v>56</v>
      </c>
      <c r="C56" s="141"/>
      <c r="D56" s="141"/>
      <c r="E56" s="142" t="s">
        <v>392</v>
      </c>
      <c r="F56" s="146" t="s">
        <v>355</v>
      </c>
      <c r="G56" s="141" t="s">
        <v>394</v>
      </c>
      <c r="H56" s="143">
        <v>65311</v>
      </c>
      <c r="I56" s="144">
        <f>IF(X56 = 123, H56 + SUM(S56:S56) - SUM(T56:T56) - SUM(P56:P56) - V56,0)</f>
        <v>0</v>
      </c>
      <c r="J56" s="141" t="s">
        <v>395</v>
      </c>
      <c r="K56" s="141" t="s">
        <v>396</v>
      </c>
      <c r="L56" s="141"/>
      <c r="M56" s="141" t="s">
        <v>397</v>
      </c>
      <c r="N56" s="146" t="s">
        <v>465</v>
      </c>
      <c r="O56" s="146" t="s">
        <v>398</v>
      </c>
      <c r="P56" s="143">
        <v>68346</v>
      </c>
      <c r="Q56" s="142" t="s">
        <v>468</v>
      </c>
      <c r="R56" s="141" t="s">
        <v>449</v>
      </c>
      <c r="S56" s="143">
        <v>3035</v>
      </c>
      <c r="T56" s="143"/>
      <c r="U56" s="143"/>
      <c r="V56" s="145"/>
      <c r="W56" s="139"/>
      <c r="X56" s="85">
        <v>123</v>
      </c>
    </row>
    <row r="57" spans="1:24" s="85" customFormat="1" ht="72" x14ac:dyDescent="0.3">
      <c r="A57" s="140">
        <v>22</v>
      </c>
      <c r="B57" s="141" t="s">
        <v>56</v>
      </c>
      <c r="C57" s="141"/>
      <c r="D57" s="141"/>
      <c r="E57" s="142" t="s">
        <v>393</v>
      </c>
      <c r="F57" s="146" t="s">
        <v>355</v>
      </c>
      <c r="G57" s="141" t="s">
        <v>394</v>
      </c>
      <c r="H57" s="143">
        <v>4243</v>
      </c>
      <c r="I57" s="144">
        <f>IF(X57 = 124, H57 + SUM(S57:S57) - SUM(T57:T57) - SUM(P57:P57) - V57,0)</f>
        <v>0</v>
      </c>
      <c r="J57" s="141" t="s">
        <v>395</v>
      </c>
      <c r="K57" s="141" t="s">
        <v>396</v>
      </c>
      <c r="L57" s="141"/>
      <c r="M57" s="141" t="s">
        <v>397</v>
      </c>
      <c r="N57" s="146" t="s">
        <v>465</v>
      </c>
      <c r="O57" s="146" t="s">
        <v>398</v>
      </c>
      <c r="P57" s="143">
        <v>4243</v>
      </c>
      <c r="Q57" s="142" t="s">
        <v>468</v>
      </c>
      <c r="R57" s="141"/>
      <c r="S57" s="143"/>
      <c r="T57" s="143"/>
      <c r="U57" s="143"/>
      <c r="V57" s="145"/>
      <c r="W57" s="139"/>
      <c r="X57" s="85">
        <v>124</v>
      </c>
    </row>
    <row r="58" spans="1:24" s="85" customFormat="1" ht="150" customHeight="1" x14ac:dyDescent="0.3">
      <c r="A58" s="140">
        <v>23</v>
      </c>
      <c r="B58" s="141" t="s">
        <v>56</v>
      </c>
      <c r="C58" s="141"/>
      <c r="D58" s="141"/>
      <c r="E58" s="142" t="s">
        <v>390</v>
      </c>
      <c r="F58" s="146" t="s">
        <v>389</v>
      </c>
      <c r="G58" s="141" t="s">
        <v>239</v>
      </c>
      <c r="H58" s="143">
        <v>2500</v>
      </c>
      <c r="I58" s="144">
        <f>IF(X58 = 126, H58 + SUM(S58:S58) - SUM(T58:T58) - SUM(P58:P58) - V58,0)</f>
        <v>0</v>
      </c>
      <c r="J58" s="141" t="s">
        <v>240</v>
      </c>
      <c r="K58" s="141" t="s">
        <v>241</v>
      </c>
      <c r="L58" s="141"/>
      <c r="M58" s="141" t="s">
        <v>391</v>
      </c>
      <c r="N58" s="146" t="s">
        <v>413</v>
      </c>
      <c r="O58" s="146" t="s">
        <v>243</v>
      </c>
      <c r="P58" s="143">
        <v>2500</v>
      </c>
      <c r="Q58" s="142" t="s">
        <v>412</v>
      </c>
      <c r="R58" s="141"/>
      <c r="S58" s="143"/>
      <c r="T58" s="143"/>
      <c r="U58" s="143"/>
      <c r="V58" s="145"/>
      <c r="W58" s="139"/>
      <c r="X58" s="85">
        <v>126</v>
      </c>
    </row>
    <row r="59" spans="1:24" s="85" customFormat="1" ht="72" customHeight="1" x14ac:dyDescent="0.3">
      <c r="A59" s="361">
        <v>24</v>
      </c>
      <c r="B59" s="367" t="s">
        <v>56</v>
      </c>
      <c r="C59" s="367"/>
      <c r="D59" s="367"/>
      <c r="E59" s="373" t="s">
        <v>415</v>
      </c>
      <c r="F59" s="363" t="s">
        <v>389</v>
      </c>
      <c r="G59" s="367" t="s">
        <v>416</v>
      </c>
      <c r="H59" s="365">
        <v>12904</v>
      </c>
      <c r="I59" s="375">
        <f>IF(X59 = 127, H59 + SUM(S59:S60) - SUM(T59:T60) - SUM(P59:P60) - V59,0)</f>
        <v>0</v>
      </c>
      <c r="J59" s="367" t="s">
        <v>417</v>
      </c>
      <c r="K59" s="367" t="s">
        <v>418</v>
      </c>
      <c r="L59" s="367"/>
      <c r="M59" s="367" t="s">
        <v>419</v>
      </c>
      <c r="N59" s="189" t="s">
        <v>425</v>
      </c>
      <c r="O59" s="363" t="s">
        <v>420</v>
      </c>
      <c r="P59" s="183">
        <v>3784</v>
      </c>
      <c r="Q59" s="182" t="s">
        <v>463</v>
      </c>
      <c r="R59" s="181"/>
      <c r="S59" s="183"/>
      <c r="T59" s="183"/>
      <c r="U59" s="365"/>
      <c r="V59" s="369"/>
      <c r="W59" s="371"/>
      <c r="X59" s="85">
        <v>127</v>
      </c>
    </row>
    <row r="60" spans="1:24" x14ac:dyDescent="0.3">
      <c r="A60" s="362"/>
      <c r="B60" s="368"/>
      <c r="C60" s="368"/>
      <c r="D60" s="368"/>
      <c r="E60" s="374"/>
      <c r="F60" s="364"/>
      <c r="G60" s="368"/>
      <c r="H60" s="366"/>
      <c r="I60" s="376"/>
      <c r="J60" s="368"/>
      <c r="K60" s="368"/>
      <c r="L60" s="368"/>
      <c r="M60" s="368"/>
      <c r="N60" s="191" t="s">
        <v>425</v>
      </c>
      <c r="O60" s="364"/>
      <c r="P60" s="186">
        <v>9120</v>
      </c>
      <c r="Q60" s="187" t="s">
        <v>463</v>
      </c>
      <c r="R60" s="188"/>
      <c r="S60" s="186"/>
      <c r="T60" s="186"/>
      <c r="U60" s="366"/>
      <c r="V60" s="370"/>
      <c r="W60" s="372"/>
      <c r="X60" s="2">
        <v>127</v>
      </c>
    </row>
    <row r="61" spans="1:24" s="85" customFormat="1" ht="72" x14ac:dyDescent="0.3">
      <c r="A61" s="170">
        <v>25</v>
      </c>
      <c r="B61" s="171" t="s">
        <v>56</v>
      </c>
      <c r="C61" s="171"/>
      <c r="D61" s="171"/>
      <c r="E61" s="173" t="s">
        <v>426</v>
      </c>
      <c r="F61" s="179" t="s">
        <v>427</v>
      </c>
      <c r="G61" s="171" t="s">
        <v>284</v>
      </c>
      <c r="H61" s="174">
        <v>6750</v>
      </c>
      <c r="I61" s="175">
        <f>IF(X61 = 128, H61 + SUM(S61:S61) - SUM(T61:T61) - SUM(P61:P61) - V61,0)</f>
        <v>0</v>
      </c>
      <c r="J61" s="171" t="s">
        <v>428</v>
      </c>
      <c r="K61" s="171" t="s">
        <v>429</v>
      </c>
      <c r="L61" s="171"/>
      <c r="M61" s="171" t="s">
        <v>430</v>
      </c>
      <c r="N61" s="179" t="s">
        <v>463</v>
      </c>
      <c r="O61" s="179" t="s">
        <v>431</v>
      </c>
      <c r="P61" s="174">
        <v>6750</v>
      </c>
      <c r="Q61" s="173" t="s">
        <v>464</v>
      </c>
      <c r="R61" s="171"/>
      <c r="S61" s="174"/>
      <c r="T61" s="174"/>
      <c r="U61" s="174"/>
      <c r="V61" s="180"/>
      <c r="W61" s="172"/>
      <c r="X61" s="85">
        <v>128</v>
      </c>
    </row>
    <row r="62" spans="1:24" s="85" customFormat="1" ht="126" x14ac:dyDescent="0.3">
      <c r="A62" s="170">
        <v>26</v>
      </c>
      <c r="B62" s="171" t="s">
        <v>56</v>
      </c>
      <c r="C62" s="171"/>
      <c r="D62" s="171"/>
      <c r="E62" s="173" t="s">
        <v>450</v>
      </c>
      <c r="F62" s="179" t="s">
        <v>451</v>
      </c>
      <c r="G62" s="171" t="s">
        <v>239</v>
      </c>
      <c r="H62" s="174">
        <v>4100</v>
      </c>
      <c r="I62" s="175">
        <f>IF(X62 = 129, H62 + SUM(S62:S62) - SUM(T62:T62) - SUM(P62:P62) - V62,0)</f>
        <v>0</v>
      </c>
      <c r="J62" s="171" t="s">
        <v>240</v>
      </c>
      <c r="K62" s="171" t="s">
        <v>241</v>
      </c>
      <c r="L62" s="171"/>
      <c r="M62" s="171" t="s">
        <v>452</v>
      </c>
      <c r="N62" s="179" t="s">
        <v>466</v>
      </c>
      <c r="O62" s="179" t="s">
        <v>243</v>
      </c>
      <c r="P62" s="174">
        <v>4100</v>
      </c>
      <c r="Q62" s="173" t="s">
        <v>505</v>
      </c>
      <c r="R62" s="171"/>
      <c r="S62" s="174"/>
      <c r="T62" s="174"/>
      <c r="U62" s="174"/>
      <c r="V62" s="180"/>
      <c r="W62" s="172"/>
      <c r="X62" s="85">
        <v>129</v>
      </c>
    </row>
    <row r="63" spans="1:24" s="85" customFormat="1" ht="144" x14ac:dyDescent="0.3">
      <c r="A63" s="193">
        <v>27</v>
      </c>
      <c r="B63" s="194" t="s">
        <v>56</v>
      </c>
      <c r="C63" s="194"/>
      <c r="D63" s="194"/>
      <c r="E63" s="195" t="s">
        <v>470</v>
      </c>
      <c r="F63" s="199" t="s">
        <v>471</v>
      </c>
      <c r="G63" s="194" t="s">
        <v>472</v>
      </c>
      <c r="H63" s="196">
        <v>14921.5</v>
      </c>
      <c r="I63" s="197">
        <f>IF(X63 = 130, H63 + SUM(S63:S63) - SUM(T63:T63) - SUM(P63:P63) - V63,0)</f>
        <v>0</v>
      </c>
      <c r="J63" s="194" t="s">
        <v>473</v>
      </c>
      <c r="K63" s="194" t="s">
        <v>474</v>
      </c>
      <c r="L63" s="194"/>
      <c r="M63" s="194" t="s">
        <v>475</v>
      </c>
      <c r="N63" s="199" t="s">
        <v>505</v>
      </c>
      <c r="O63" s="199" t="s">
        <v>476</v>
      </c>
      <c r="P63" s="196">
        <v>14921.5</v>
      </c>
      <c r="Q63" s="195" t="s">
        <v>503</v>
      </c>
      <c r="R63" s="194"/>
      <c r="S63" s="196"/>
      <c r="T63" s="196"/>
      <c r="U63" s="196"/>
      <c r="V63" s="198"/>
      <c r="W63" s="192"/>
      <c r="X63" s="85">
        <v>130</v>
      </c>
    </row>
    <row r="64" spans="1:24" s="85" customFormat="1" ht="72" x14ac:dyDescent="0.3">
      <c r="A64" s="193">
        <v>28</v>
      </c>
      <c r="B64" s="194" t="s">
        <v>56</v>
      </c>
      <c r="C64" s="194"/>
      <c r="D64" s="194"/>
      <c r="E64" s="195" t="s">
        <v>484</v>
      </c>
      <c r="F64" s="199" t="s">
        <v>471</v>
      </c>
      <c r="G64" s="194" t="s">
        <v>394</v>
      </c>
      <c r="H64" s="196">
        <v>78905</v>
      </c>
      <c r="I64" s="197">
        <f>IF(X64 = 131, H64 + SUM(S64:S64) - SUM(T64:T64) - SUM(P64:P64) - V64,0)</f>
        <v>78905</v>
      </c>
      <c r="J64" s="194" t="s">
        <v>395</v>
      </c>
      <c r="K64" s="194" t="s">
        <v>396</v>
      </c>
      <c r="L64" s="194"/>
      <c r="M64" s="194" t="s">
        <v>486</v>
      </c>
      <c r="N64" s="199"/>
      <c r="O64" s="199" t="s">
        <v>398</v>
      </c>
      <c r="P64" s="196"/>
      <c r="Q64" s="195"/>
      <c r="R64" s="194"/>
      <c r="S64" s="196"/>
      <c r="T64" s="196"/>
      <c r="U64" s="196"/>
      <c r="V64" s="198"/>
      <c r="W64" s="192"/>
      <c r="X64" s="85">
        <v>131</v>
      </c>
    </row>
    <row r="65" spans="1:24" s="85" customFormat="1" ht="72" x14ac:dyDescent="0.3">
      <c r="A65" s="193">
        <v>29</v>
      </c>
      <c r="B65" s="194" t="s">
        <v>56</v>
      </c>
      <c r="C65" s="194"/>
      <c r="D65" s="194"/>
      <c r="E65" s="195" t="s">
        <v>485</v>
      </c>
      <c r="F65" s="199" t="s">
        <v>471</v>
      </c>
      <c r="G65" s="194" t="s">
        <v>394</v>
      </c>
      <c r="H65" s="196">
        <v>10258</v>
      </c>
      <c r="I65" s="197">
        <f>IF(X65 = 132, H65 + SUM(S65:S65) - SUM(T65:T65) - SUM(P65:P65) - V65,0)</f>
        <v>10258</v>
      </c>
      <c r="J65" s="194" t="s">
        <v>395</v>
      </c>
      <c r="K65" s="194" t="s">
        <v>396</v>
      </c>
      <c r="L65" s="194"/>
      <c r="M65" s="194" t="s">
        <v>486</v>
      </c>
      <c r="N65" s="199"/>
      <c r="O65" s="199" t="s">
        <v>398</v>
      </c>
      <c r="P65" s="196"/>
      <c r="Q65" s="195"/>
      <c r="R65" s="194"/>
      <c r="S65" s="196"/>
      <c r="T65" s="196"/>
      <c r="U65" s="196"/>
      <c r="V65" s="198"/>
      <c r="W65" s="192"/>
      <c r="X65" s="85">
        <v>132</v>
      </c>
    </row>
    <row r="66" spans="1:24" s="85" customFormat="1" ht="162" x14ac:dyDescent="0.3">
      <c r="A66" s="193">
        <v>30</v>
      </c>
      <c r="B66" s="194" t="s">
        <v>56</v>
      </c>
      <c r="C66" s="194"/>
      <c r="D66" s="194"/>
      <c r="E66" s="195" t="s">
        <v>496</v>
      </c>
      <c r="F66" s="199" t="s">
        <v>497</v>
      </c>
      <c r="G66" s="194" t="s">
        <v>498</v>
      </c>
      <c r="H66" s="196">
        <v>6600</v>
      </c>
      <c r="I66" s="197">
        <f>IF(X66 = 133, H66 + SUM(S66:S66) - SUM(T66:T66) - SUM(P66:P66) - V66,0)</f>
        <v>6600</v>
      </c>
      <c r="J66" s="194" t="s">
        <v>499</v>
      </c>
      <c r="K66" s="194" t="s">
        <v>500</v>
      </c>
      <c r="L66" s="194"/>
      <c r="M66" s="194" t="s">
        <v>501</v>
      </c>
      <c r="N66" s="199"/>
      <c r="O66" s="199" t="s">
        <v>502</v>
      </c>
      <c r="P66" s="196"/>
      <c r="Q66" s="195"/>
      <c r="R66" s="194"/>
      <c r="S66" s="196"/>
      <c r="T66" s="196"/>
      <c r="U66" s="196"/>
      <c r="V66" s="198"/>
      <c r="W66" s="192"/>
      <c r="X66" s="85">
        <v>133</v>
      </c>
    </row>
    <row r="67" spans="1:24" s="85" customFormat="1" ht="144" x14ac:dyDescent="0.3">
      <c r="A67" s="193">
        <v>31</v>
      </c>
      <c r="B67" s="194" t="s">
        <v>56</v>
      </c>
      <c r="C67" s="194"/>
      <c r="D67" s="194"/>
      <c r="E67" s="195" t="s">
        <v>57</v>
      </c>
      <c r="F67" s="199" t="s">
        <v>490</v>
      </c>
      <c r="G67" s="194" t="s">
        <v>491</v>
      </c>
      <c r="H67" s="196">
        <v>25000</v>
      </c>
      <c r="I67" s="197">
        <f>IF(X67 = 134, H67 + SUM(S67:S67) - SUM(T67:T67) - SUM(P67:P67) - V67,0)</f>
        <v>0</v>
      </c>
      <c r="J67" s="194" t="s">
        <v>492</v>
      </c>
      <c r="K67" s="194" t="s">
        <v>493</v>
      </c>
      <c r="L67" s="194"/>
      <c r="M67" s="194" t="s">
        <v>494</v>
      </c>
      <c r="N67" s="199">
        <v>45468</v>
      </c>
      <c r="O67" s="199" t="s">
        <v>495</v>
      </c>
      <c r="P67" s="196">
        <v>25000</v>
      </c>
      <c r="Q67" s="195">
        <v>45475</v>
      </c>
      <c r="R67" s="194"/>
      <c r="S67" s="196"/>
      <c r="T67" s="196"/>
      <c r="U67" s="196"/>
      <c r="V67" s="198"/>
      <c r="W67" s="192"/>
      <c r="X67" s="85">
        <v>134</v>
      </c>
    </row>
    <row r="68" spans="1:24" s="85" customFormat="1" ht="90" x14ac:dyDescent="0.3">
      <c r="A68" s="215">
        <v>32</v>
      </c>
      <c r="B68" s="217" t="s">
        <v>56</v>
      </c>
      <c r="C68" s="217"/>
      <c r="D68" s="217"/>
      <c r="E68" s="220" t="s">
        <v>526</v>
      </c>
      <c r="F68" s="222" t="s">
        <v>527</v>
      </c>
      <c r="G68" s="217" t="s">
        <v>213</v>
      </c>
      <c r="H68" s="216">
        <v>599960</v>
      </c>
      <c r="I68" s="221">
        <f>IF(X68 = 135, H68 + SUM(S68:S68) - SUM(T68:T68) - SUM(P68:P68) - V68,0)</f>
        <v>599960</v>
      </c>
      <c r="J68" s="217" t="s">
        <v>528</v>
      </c>
      <c r="K68" s="217" t="s">
        <v>147</v>
      </c>
      <c r="L68" s="217"/>
      <c r="M68" s="217" t="s">
        <v>529</v>
      </c>
      <c r="N68" s="222"/>
      <c r="O68" s="222" t="s">
        <v>530</v>
      </c>
      <c r="P68" s="216"/>
      <c r="Q68" s="220"/>
      <c r="R68" s="217"/>
      <c r="S68" s="216"/>
      <c r="T68" s="216"/>
      <c r="U68" s="216"/>
      <c r="V68" s="218"/>
      <c r="W68" s="219"/>
      <c r="X68" s="85">
        <v>135</v>
      </c>
    </row>
    <row r="69" spans="1:24" s="85" customFormat="1" ht="91.8" customHeight="1" x14ac:dyDescent="0.3">
      <c r="A69" s="215">
        <v>33</v>
      </c>
      <c r="B69" s="217" t="s">
        <v>56</v>
      </c>
      <c r="C69" s="217"/>
      <c r="D69" s="217"/>
      <c r="E69" s="220" t="s">
        <v>531</v>
      </c>
      <c r="F69" s="222">
        <v>45483</v>
      </c>
      <c r="G69" s="217" t="s">
        <v>532</v>
      </c>
      <c r="H69" s="216">
        <v>4000</v>
      </c>
      <c r="I69" s="221">
        <f>IF(X69 = 136, H69 + SUM(S69:S69) - SUM(T69:T69) - SUM(P69:P69) - V69,0)</f>
        <v>0</v>
      </c>
      <c r="J69" s="217" t="s">
        <v>533</v>
      </c>
      <c r="K69" s="217" t="s">
        <v>534</v>
      </c>
      <c r="L69" s="217"/>
      <c r="M69" s="217" t="s">
        <v>535</v>
      </c>
      <c r="N69" s="220">
        <v>45483</v>
      </c>
      <c r="O69" s="222" t="s">
        <v>536</v>
      </c>
      <c r="P69" s="216">
        <v>4000</v>
      </c>
      <c r="Q69" s="220">
        <v>45498</v>
      </c>
      <c r="R69" s="217"/>
      <c r="S69" s="216"/>
      <c r="T69" s="216"/>
      <c r="U69" s="216"/>
      <c r="V69" s="218"/>
      <c r="W69" s="219"/>
      <c r="X69" s="85">
        <v>136</v>
      </c>
    </row>
    <row r="70" spans="1:24" s="85" customFormat="1" ht="54" x14ac:dyDescent="0.3">
      <c r="A70" s="215">
        <v>34</v>
      </c>
      <c r="B70" s="217" t="s">
        <v>56</v>
      </c>
      <c r="C70" s="217"/>
      <c r="D70" s="217"/>
      <c r="E70" s="220" t="s">
        <v>537</v>
      </c>
      <c r="F70" s="222">
        <v>45491</v>
      </c>
      <c r="G70" s="217" t="s">
        <v>538</v>
      </c>
      <c r="H70" s="216">
        <v>7200</v>
      </c>
      <c r="I70" s="221">
        <f>IF(X70 = 137, H70 + SUM(S70:S70) - SUM(T70:T70) - SUM(P70:P70) - V70,0)</f>
        <v>0</v>
      </c>
      <c r="J70" s="217" t="s">
        <v>350</v>
      </c>
      <c r="K70" s="217" t="s">
        <v>539</v>
      </c>
      <c r="L70" s="217"/>
      <c r="M70" s="217" t="s">
        <v>540</v>
      </c>
      <c r="N70" s="220">
        <v>45495</v>
      </c>
      <c r="O70" s="222" t="s">
        <v>541</v>
      </c>
      <c r="P70" s="216">
        <v>7200</v>
      </c>
      <c r="Q70" s="220">
        <v>45498</v>
      </c>
      <c r="R70" s="217"/>
      <c r="S70" s="216"/>
      <c r="T70" s="216"/>
      <c r="U70" s="216"/>
      <c r="V70" s="218"/>
      <c r="W70" s="219"/>
      <c r="X70" s="85">
        <v>137</v>
      </c>
    </row>
    <row r="71" spans="1:24" x14ac:dyDescent="0.3">
      <c r="X71" s="2">
        <v>138</v>
      </c>
    </row>
  </sheetData>
  <sheetProtection algorithmName="SHA-512" hashValue="2eyVda56VYmTalvTqxj2Yp4okFOo4FPrsgkFSGewvN5HBJCHVJQVOafb8WBUOa51q63uNT/zxh/nrpAFA3nQcA==" saltValue="Mt8P7y1SSEv+1PrYBpnGBA==" spinCount="100000" sheet="1" objects="1" scenarios="1" formatCells="0" formatColumns="0" formatRows="0"/>
  <mergeCells count="143">
    <mergeCell ref="V17:V22"/>
    <mergeCell ref="C17:C22"/>
    <mergeCell ref="W17:W22"/>
    <mergeCell ref="A43:A46"/>
    <mergeCell ref="O43:O46"/>
    <mergeCell ref="U43:U46"/>
    <mergeCell ref="B43:B46"/>
    <mergeCell ref="V43:V46"/>
    <mergeCell ref="C43:C46"/>
    <mergeCell ref="W43:W46"/>
    <mergeCell ref="A29:A30"/>
    <mergeCell ref="O29:O30"/>
    <mergeCell ref="U29:U30"/>
    <mergeCell ref="B29:B30"/>
    <mergeCell ref="V29:V30"/>
    <mergeCell ref="C29:C30"/>
    <mergeCell ref="W29:W30"/>
    <mergeCell ref="D29:D30"/>
    <mergeCell ref="E29:E30"/>
    <mergeCell ref="F29:F30"/>
    <mergeCell ref="V50:V51"/>
    <mergeCell ref="C50:C51"/>
    <mergeCell ref="W50:W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A3:E3"/>
    <mergeCell ref="S2:U2"/>
    <mergeCell ref="N2:O2"/>
    <mergeCell ref="J4:K4"/>
    <mergeCell ref="M4:N4"/>
    <mergeCell ref="O4:P4"/>
    <mergeCell ref="K2:M2"/>
    <mergeCell ref="A50:A51"/>
    <mergeCell ref="O50:O51"/>
    <mergeCell ref="U50:U51"/>
    <mergeCell ref="B50:B51"/>
    <mergeCell ref="A17:A22"/>
    <mergeCell ref="O17:O22"/>
    <mergeCell ref="U17:U22"/>
    <mergeCell ref="B17:B22"/>
    <mergeCell ref="A59:A60"/>
    <mergeCell ref="O59:O60"/>
    <mergeCell ref="U59:U60"/>
    <mergeCell ref="B59:B60"/>
    <mergeCell ref="V59:V60"/>
    <mergeCell ref="C59:C60"/>
    <mergeCell ref="W59:W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I29:I30"/>
    <mergeCell ref="J29:J30"/>
    <mergeCell ref="K29:K30"/>
    <mergeCell ref="L29:L30"/>
    <mergeCell ref="M29:M30"/>
    <mergeCell ref="D17:D22"/>
    <mergeCell ref="E17:E22"/>
    <mergeCell ref="F17:F22"/>
    <mergeCell ref="G17:G22"/>
    <mergeCell ref="H17:H22"/>
    <mergeCell ref="I17:I22"/>
    <mergeCell ref="J17:J22"/>
    <mergeCell ref="K17:K22"/>
    <mergeCell ref="L17:L22"/>
    <mergeCell ref="M17:M22"/>
    <mergeCell ref="W23:W28"/>
    <mergeCell ref="D23:D28"/>
    <mergeCell ref="E23:E28"/>
    <mergeCell ref="F23:F28"/>
    <mergeCell ref="G23:G28"/>
    <mergeCell ref="H23:H28"/>
    <mergeCell ref="I23:I28"/>
    <mergeCell ref="J23:J28"/>
    <mergeCell ref="K23:K28"/>
    <mergeCell ref="L23:L28"/>
    <mergeCell ref="M23:M28"/>
    <mergeCell ref="W31:W36"/>
    <mergeCell ref="D31:D36"/>
    <mergeCell ref="E31:E36"/>
    <mergeCell ref="F31:F36"/>
    <mergeCell ref="G31:G36"/>
    <mergeCell ref="H31:H36"/>
    <mergeCell ref="I31:I36"/>
    <mergeCell ref="J31:J36"/>
    <mergeCell ref="K31:K36"/>
    <mergeCell ref="L31:L36"/>
    <mergeCell ref="M31:M36"/>
    <mergeCell ref="A23:A28"/>
    <mergeCell ref="O23:O28"/>
    <mergeCell ref="U23:U28"/>
    <mergeCell ref="B23:B28"/>
    <mergeCell ref="V23:V28"/>
    <mergeCell ref="M43:M46"/>
    <mergeCell ref="A31:A36"/>
    <mergeCell ref="O31:O36"/>
    <mergeCell ref="U31:U36"/>
    <mergeCell ref="B31:B36"/>
    <mergeCell ref="V31:V36"/>
    <mergeCell ref="C31:C36"/>
    <mergeCell ref="D43:D46"/>
    <mergeCell ref="E43:E46"/>
    <mergeCell ref="F43:F46"/>
    <mergeCell ref="G43:G46"/>
    <mergeCell ref="H43:H46"/>
    <mergeCell ref="I43:I46"/>
    <mergeCell ref="J43:J46"/>
    <mergeCell ref="K43:K46"/>
    <mergeCell ref="L43:L46"/>
    <mergeCell ref="C23:C28"/>
    <mergeCell ref="G29:G30"/>
    <mergeCell ref="H29:H30"/>
    <mergeCell ref="A9:A16"/>
    <mergeCell ref="O9:O16"/>
    <mergeCell ref="U9:U16"/>
    <mergeCell ref="B9:B16"/>
    <mergeCell ref="V9:V16"/>
    <mergeCell ref="C9:C16"/>
    <mergeCell ref="W9:W16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M9:M16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0000"/>
    <pageSetUpPr fitToPage="1"/>
  </sheetPr>
  <dimension ref="A1:X165"/>
  <sheetViews>
    <sheetView showGridLines="0" topLeftCell="C1" zoomScale="60" zoomScaleNormal="60" workbookViewId="0">
      <pane ySplit="8" topLeftCell="A15" activePane="bottomLeft" state="frozen"/>
      <selection pane="bottomLeft" activeCell="N38" sqref="N38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42" style="11" customWidth="1"/>
    <col min="8" max="8" width="35" style="3" customWidth="1"/>
    <col min="9" max="9" width="33" style="3" customWidth="1"/>
    <col min="10" max="11" width="27.33203125" style="26" customWidth="1"/>
    <col min="12" max="12" width="21.44140625" style="3" customWidth="1"/>
    <col min="13" max="13" width="26.5546875" style="3" customWidth="1"/>
    <col min="14" max="14" width="28.109375" style="11" customWidth="1"/>
    <col min="15" max="15" width="39.33203125" style="3" customWidth="1"/>
    <col min="16" max="16" width="24.6640625" style="26" customWidth="1"/>
    <col min="17" max="17" width="24.44140625" style="11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1" customWidth="1"/>
    <col min="22" max="22" width="24" style="10" customWidth="1"/>
    <col min="23" max="23" width="21.8867187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E2" s="68"/>
      <c r="F2" s="478" t="s">
        <v>24</v>
      </c>
      <c r="G2" s="479"/>
      <c r="H2" s="80">
        <f>SUM(H9:H9999)</f>
        <v>2900991.68</v>
      </c>
      <c r="I2" s="68"/>
      <c r="N2" s="378" t="s">
        <v>137</v>
      </c>
      <c r="O2" s="380"/>
      <c r="P2" s="69">
        <f>SUM(P9:P9999)</f>
        <v>2085457.7299999997</v>
      </c>
      <c r="R2" s="68"/>
      <c r="S2" s="378" t="s">
        <v>45</v>
      </c>
      <c r="T2" s="379"/>
      <c r="U2" s="380"/>
      <c r="V2" s="70">
        <f>SUM(V9:V9999)</f>
        <v>260267.68999999997</v>
      </c>
    </row>
    <row r="3" spans="1:24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44" x14ac:dyDescent="0.3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08" x14ac:dyDescent="0.3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72.599999999999994" customHeight="1" x14ac:dyDescent="0.3">
      <c r="A9" s="337">
        <v>1</v>
      </c>
      <c r="B9" s="346" t="s">
        <v>56</v>
      </c>
      <c r="C9" s="346"/>
      <c r="D9" s="346"/>
      <c r="E9" s="346" t="s">
        <v>167</v>
      </c>
      <c r="F9" s="340" t="s">
        <v>190</v>
      </c>
      <c r="G9" s="352" t="s">
        <v>191</v>
      </c>
      <c r="H9" s="343">
        <v>464158.73</v>
      </c>
      <c r="I9" s="355">
        <f>IF(X9 = 101, H9 + SUM(S9:S26) - SUM(T9:T26) - SUM(P9:P26) - V9,0)</f>
        <v>90906.340000000026</v>
      </c>
      <c r="J9" s="401">
        <v>2308119595</v>
      </c>
      <c r="K9" s="404" t="s">
        <v>146</v>
      </c>
      <c r="L9" s="346"/>
      <c r="M9" s="346" t="s">
        <v>188</v>
      </c>
      <c r="N9" s="235" t="s">
        <v>251</v>
      </c>
      <c r="O9" s="340" t="s">
        <v>166</v>
      </c>
      <c r="P9" s="226">
        <v>25380.19</v>
      </c>
      <c r="Q9" s="225" t="s">
        <v>250</v>
      </c>
      <c r="R9" s="224"/>
      <c r="S9" s="226"/>
      <c r="T9" s="226"/>
      <c r="U9" s="343"/>
      <c r="V9" s="398"/>
      <c r="W9" s="358"/>
      <c r="X9" s="85">
        <v>101</v>
      </c>
    </row>
    <row r="10" spans="1:24" x14ac:dyDescent="0.3">
      <c r="A10" s="338"/>
      <c r="B10" s="347"/>
      <c r="C10" s="347"/>
      <c r="D10" s="347"/>
      <c r="E10" s="347"/>
      <c r="F10" s="341"/>
      <c r="G10" s="353"/>
      <c r="H10" s="344"/>
      <c r="I10" s="356"/>
      <c r="J10" s="402"/>
      <c r="K10" s="405"/>
      <c r="L10" s="347"/>
      <c r="M10" s="347"/>
      <c r="N10" s="236" t="s">
        <v>251</v>
      </c>
      <c r="O10" s="341"/>
      <c r="P10" s="229">
        <v>21770.06</v>
      </c>
      <c r="Q10" s="230" t="s">
        <v>250</v>
      </c>
      <c r="R10" s="231"/>
      <c r="S10" s="229"/>
      <c r="T10" s="229"/>
      <c r="U10" s="344"/>
      <c r="V10" s="399"/>
      <c r="W10" s="359"/>
      <c r="X10" s="2">
        <v>101</v>
      </c>
    </row>
    <row r="11" spans="1:24" x14ac:dyDescent="0.3">
      <c r="A11" s="338"/>
      <c r="B11" s="347"/>
      <c r="C11" s="347"/>
      <c r="D11" s="347"/>
      <c r="E11" s="347"/>
      <c r="F11" s="341"/>
      <c r="G11" s="353"/>
      <c r="H11" s="344"/>
      <c r="I11" s="356"/>
      <c r="J11" s="402"/>
      <c r="K11" s="405"/>
      <c r="L11" s="347"/>
      <c r="M11" s="347"/>
      <c r="N11" s="236" t="s">
        <v>266</v>
      </c>
      <c r="O11" s="341"/>
      <c r="P11" s="229">
        <v>19035.14</v>
      </c>
      <c r="Q11" s="230" t="s">
        <v>262</v>
      </c>
      <c r="R11" s="231"/>
      <c r="S11" s="229"/>
      <c r="T11" s="229"/>
      <c r="U11" s="344"/>
      <c r="V11" s="399"/>
      <c r="W11" s="359"/>
      <c r="X11" s="2">
        <v>101</v>
      </c>
    </row>
    <row r="12" spans="1:24" x14ac:dyDescent="0.3">
      <c r="A12" s="338"/>
      <c r="B12" s="347"/>
      <c r="C12" s="347"/>
      <c r="D12" s="347"/>
      <c r="E12" s="347"/>
      <c r="F12" s="341"/>
      <c r="G12" s="353"/>
      <c r="H12" s="344"/>
      <c r="I12" s="356"/>
      <c r="J12" s="402"/>
      <c r="K12" s="405"/>
      <c r="L12" s="347"/>
      <c r="M12" s="347"/>
      <c r="N12" s="236" t="s">
        <v>257</v>
      </c>
      <c r="O12" s="341"/>
      <c r="P12" s="229">
        <v>22441.72</v>
      </c>
      <c r="Q12" s="230" t="s">
        <v>272</v>
      </c>
      <c r="R12" s="231"/>
      <c r="S12" s="229"/>
      <c r="T12" s="229"/>
      <c r="U12" s="344"/>
      <c r="V12" s="399"/>
      <c r="W12" s="359"/>
      <c r="X12" s="2">
        <v>101</v>
      </c>
    </row>
    <row r="13" spans="1:24" x14ac:dyDescent="0.3">
      <c r="A13" s="338"/>
      <c r="B13" s="347"/>
      <c r="C13" s="347"/>
      <c r="D13" s="347"/>
      <c r="E13" s="347"/>
      <c r="F13" s="341"/>
      <c r="G13" s="353"/>
      <c r="H13" s="344"/>
      <c r="I13" s="356"/>
      <c r="J13" s="402"/>
      <c r="K13" s="405"/>
      <c r="L13" s="347"/>
      <c r="M13" s="347"/>
      <c r="N13" s="236" t="s">
        <v>266</v>
      </c>
      <c r="O13" s="341"/>
      <c r="P13" s="229">
        <v>30637.63</v>
      </c>
      <c r="Q13" s="230" t="s">
        <v>272</v>
      </c>
      <c r="R13" s="231"/>
      <c r="S13" s="229"/>
      <c r="T13" s="229"/>
      <c r="U13" s="344"/>
      <c r="V13" s="399"/>
      <c r="W13" s="359"/>
      <c r="X13" s="2">
        <v>101</v>
      </c>
    </row>
    <row r="14" spans="1:24" x14ac:dyDescent="0.3">
      <c r="A14" s="338"/>
      <c r="B14" s="347"/>
      <c r="C14" s="347"/>
      <c r="D14" s="347"/>
      <c r="E14" s="347"/>
      <c r="F14" s="341"/>
      <c r="G14" s="353"/>
      <c r="H14" s="344"/>
      <c r="I14" s="356"/>
      <c r="J14" s="402"/>
      <c r="K14" s="405"/>
      <c r="L14" s="347"/>
      <c r="M14" s="347"/>
      <c r="N14" s="236" t="s">
        <v>310</v>
      </c>
      <c r="O14" s="341"/>
      <c r="P14" s="229">
        <v>22984.78</v>
      </c>
      <c r="Q14" s="230" t="s">
        <v>309</v>
      </c>
      <c r="R14" s="231"/>
      <c r="S14" s="229"/>
      <c r="T14" s="229"/>
      <c r="U14" s="344"/>
      <c r="V14" s="399"/>
      <c r="W14" s="359"/>
      <c r="X14" s="2">
        <v>101</v>
      </c>
    </row>
    <row r="15" spans="1:24" x14ac:dyDescent="0.3">
      <c r="A15" s="338"/>
      <c r="B15" s="347"/>
      <c r="C15" s="347"/>
      <c r="D15" s="347"/>
      <c r="E15" s="347"/>
      <c r="F15" s="341"/>
      <c r="G15" s="353"/>
      <c r="H15" s="344"/>
      <c r="I15" s="356"/>
      <c r="J15" s="402"/>
      <c r="K15" s="405"/>
      <c r="L15" s="347"/>
      <c r="M15" s="347"/>
      <c r="N15" s="236" t="s">
        <v>312</v>
      </c>
      <c r="O15" s="341"/>
      <c r="P15" s="229">
        <v>19352.66</v>
      </c>
      <c r="Q15" s="230" t="s">
        <v>311</v>
      </c>
      <c r="R15" s="231"/>
      <c r="S15" s="229"/>
      <c r="T15" s="229"/>
      <c r="U15" s="344"/>
      <c r="V15" s="399"/>
      <c r="W15" s="359"/>
      <c r="X15" s="2">
        <v>101</v>
      </c>
    </row>
    <row r="16" spans="1:24" x14ac:dyDescent="0.3">
      <c r="A16" s="338"/>
      <c r="B16" s="347"/>
      <c r="C16" s="347"/>
      <c r="D16" s="347"/>
      <c r="E16" s="347"/>
      <c r="F16" s="341"/>
      <c r="G16" s="353"/>
      <c r="H16" s="344"/>
      <c r="I16" s="356"/>
      <c r="J16" s="402"/>
      <c r="K16" s="405"/>
      <c r="L16" s="347"/>
      <c r="M16" s="347"/>
      <c r="N16" s="236" t="s">
        <v>310</v>
      </c>
      <c r="O16" s="341"/>
      <c r="P16" s="229">
        <v>30318.62</v>
      </c>
      <c r="Q16" s="230" t="s">
        <v>311</v>
      </c>
      <c r="R16" s="231"/>
      <c r="S16" s="229"/>
      <c r="T16" s="229"/>
      <c r="U16" s="344"/>
      <c r="V16" s="399"/>
      <c r="W16" s="359"/>
      <c r="X16" s="2">
        <v>101</v>
      </c>
    </row>
    <row r="17" spans="1:24" x14ac:dyDescent="0.3">
      <c r="A17" s="338"/>
      <c r="B17" s="347"/>
      <c r="C17" s="347"/>
      <c r="D17" s="347"/>
      <c r="E17" s="347"/>
      <c r="F17" s="341"/>
      <c r="G17" s="353"/>
      <c r="H17" s="344"/>
      <c r="I17" s="356"/>
      <c r="J17" s="402"/>
      <c r="K17" s="405"/>
      <c r="L17" s="347"/>
      <c r="M17" s="347"/>
      <c r="N17" s="236" t="s">
        <v>399</v>
      </c>
      <c r="O17" s="341"/>
      <c r="P17" s="229">
        <v>22735.61</v>
      </c>
      <c r="Q17" s="230" t="s">
        <v>399</v>
      </c>
      <c r="R17" s="231"/>
      <c r="S17" s="229"/>
      <c r="T17" s="229"/>
      <c r="U17" s="344"/>
      <c r="V17" s="399"/>
      <c r="W17" s="359"/>
      <c r="X17" s="2">
        <v>101</v>
      </c>
    </row>
    <row r="18" spans="1:24" x14ac:dyDescent="0.3">
      <c r="A18" s="338"/>
      <c r="B18" s="347"/>
      <c r="C18" s="347"/>
      <c r="D18" s="347"/>
      <c r="E18" s="347"/>
      <c r="F18" s="341"/>
      <c r="G18" s="353"/>
      <c r="H18" s="344"/>
      <c r="I18" s="356"/>
      <c r="J18" s="402"/>
      <c r="K18" s="405"/>
      <c r="L18" s="347"/>
      <c r="M18" s="347"/>
      <c r="N18" s="236" t="s">
        <v>399</v>
      </c>
      <c r="O18" s="341"/>
      <c r="P18" s="229">
        <v>23350.45</v>
      </c>
      <c r="Q18" s="230" t="s">
        <v>400</v>
      </c>
      <c r="R18" s="231"/>
      <c r="S18" s="229"/>
      <c r="T18" s="229"/>
      <c r="U18" s="344"/>
      <c r="V18" s="399"/>
      <c r="W18" s="359"/>
      <c r="X18" s="2">
        <v>101</v>
      </c>
    </row>
    <row r="19" spans="1:24" x14ac:dyDescent="0.3">
      <c r="A19" s="338"/>
      <c r="B19" s="347"/>
      <c r="C19" s="347"/>
      <c r="D19" s="347"/>
      <c r="E19" s="347"/>
      <c r="F19" s="341"/>
      <c r="G19" s="353"/>
      <c r="H19" s="344"/>
      <c r="I19" s="356"/>
      <c r="J19" s="402"/>
      <c r="K19" s="405"/>
      <c r="L19" s="347"/>
      <c r="M19" s="347"/>
      <c r="N19" s="236" t="s">
        <v>457</v>
      </c>
      <c r="O19" s="341"/>
      <c r="P19" s="229">
        <v>17516.099999999999</v>
      </c>
      <c r="Q19" s="230" t="s">
        <v>455</v>
      </c>
      <c r="R19" s="231"/>
      <c r="S19" s="229"/>
      <c r="T19" s="229"/>
      <c r="U19" s="344"/>
      <c r="V19" s="399"/>
      <c r="W19" s="359"/>
      <c r="X19" s="2">
        <v>101</v>
      </c>
    </row>
    <row r="20" spans="1:24" x14ac:dyDescent="0.3">
      <c r="A20" s="338"/>
      <c r="B20" s="347"/>
      <c r="C20" s="347"/>
      <c r="D20" s="347"/>
      <c r="E20" s="347"/>
      <c r="F20" s="341"/>
      <c r="G20" s="353"/>
      <c r="H20" s="344"/>
      <c r="I20" s="356"/>
      <c r="J20" s="402"/>
      <c r="K20" s="405"/>
      <c r="L20" s="347"/>
      <c r="M20" s="347"/>
      <c r="N20" s="236" t="s">
        <v>454</v>
      </c>
      <c r="O20" s="341"/>
      <c r="P20" s="229">
        <v>15970.94</v>
      </c>
      <c r="Q20" s="230" t="s">
        <v>458</v>
      </c>
      <c r="R20" s="231"/>
      <c r="S20" s="229"/>
      <c r="T20" s="229"/>
      <c r="U20" s="344"/>
      <c r="V20" s="399"/>
      <c r="W20" s="359"/>
      <c r="X20" s="2">
        <v>101</v>
      </c>
    </row>
    <row r="21" spans="1:24" x14ac:dyDescent="0.3">
      <c r="A21" s="338"/>
      <c r="B21" s="347"/>
      <c r="C21" s="347"/>
      <c r="D21" s="347"/>
      <c r="E21" s="347"/>
      <c r="F21" s="341"/>
      <c r="G21" s="353"/>
      <c r="H21" s="344"/>
      <c r="I21" s="356"/>
      <c r="J21" s="402"/>
      <c r="K21" s="405"/>
      <c r="L21" s="347"/>
      <c r="M21" s="347"/>
      <c r="N21" s="236" t="s">
        <v>457</v>
      </c>
      <c r="O21" s="341"/>
      <c r="P21" s="229">
        <v>27434.06</v>
      </c>
      <c r="Q21" s="230" t="s">
        <v>458</v>
      </c>
      <c r="R21" s="231"/>
      <c r="S21" s="229"/>
      <c r="T21" s="229"/>
      <c r="U21" s="344"/>
      <c r="V21" s="399"/>
      <c r="W21" s="359"/>
      <c r="X21" s="2">
        <v>101</v>
      </c>
    </row>
    <row r="22" spans="1:24" x14ac:dyDescent="0.3">
      <c r="A22" s="338"/>
      <c r="B22" s="347"/>
      <c r="C22" s="347"/>
      <c r="D22" s="347"/>
      <c r="E22" s="347"/>
      <c r="F22" s="341"/>
      <c r="G22" s="353"/>
      <c r="H22" s="344"/>
      <c r="I22" s="356"/>
      <c r="J22" s="402"/>
      <c r="K22" s="405"/>
      <c r="L22" s="347"/>
      <c r="M22" s="347"/>
      <c r="N22" s="236" t="s">
        <v>509</v>
      </c>
      <c r="O22" s="341"/>
      <c r="P22" s="229">
        <v>20575.55</v>
      </c>
      <c r="Q22" s="230" t="s">
        <v>506</v>
      </c>
      <c r="R22" s="231"/>
      <c r="S22" s="229"/>
      <c r="T22" s="229"/>
      <c r="U22" s="344"/>
      <c r="V22" s="399"/>
      <c r="W22" s="359"/>
      <c r="X22" s="2">
        <v>101</v>
      </c>
    </row>
    <row r="23" spans="1:24" x14ac:dyDescent="0.3">
      <c r="A23" s="338"/>
      <c r="B23" s="347"/>
      <c r="C23" s="347"/>
      <c r="D23" s="347"/>
      <c r="E23" s="347"/>
      <c r="F23" s="341"/>
      <c r="G23" s="353"/>
      <c r="H23" s="344"/>
      <c r="I23" s="356"/>
      <c r="J23" s="402"/>
      <c r="K23" s="405"/>
      <c r="L23" s="347"/>
      <c r="M23" s="347"/>
      <c r="N23" s="236" t="s">
        <v>468</v>
      </c>
      <c r="O23" s="341"/>
      <c r="P23" s="229">
        <v>1128.82</v>
      </c>
      <c r="Q23" s="230" t="s">
        <v>508</v>
      </c>
      <c r="R23" s="231"/>
      <c r="S23" s="229"/>
      <c r="T23" s="229"/>
      <c r="U23" s="344"/>
      <c r="V23" s="399"/>
      <c r="W23" s="359"/>
      <c r="X23" s="2">
        <v>101</v>
      </c>
    </row>
    <row r="24" spans="1:24" x14ac:dyDescent="0.3">
      <c r="A24" s="338"/>
      <c r="B24" s="347"/>
      <c r="C24" s="347"/>
      <c r="D24" s="347"/>
      <c r="E24" s="347"/>
      <c r="F24" s="341"/>
      <c r="G24" s="353"/>
      <c r="H24" s="344"/>
      <c r="I24" s="356"/>
      <c r="J24" s="402"/>
      <c r="K24" s="405"/>
      <c r="L24" s="347"/>
      <c r="M24" s="347"/>
      <c r="N24" s="236" t="s">
        <v>509</v>
      </c>
      <c r="O24" s="341"/>
      <c r="P24" s="229">
        <v>20362.28</v>
      </c>
      <c r="Q24" s="230" t="s">
        <v>508</v>
      </c>
      <c r="R24" s="231"/>
      <c r="S24" s="229"/>
      <c r="T24" s="229"/>
      <c r="U24" s="344"/>
      <c r="V24" s="399"/>
      <c r="W24" s="359"/>
      <c r="X24" s="2">
        <v>101</v>
      </c>
    </row>
    <row r="25" spans="1:24" x14ac:dyDescent="0.3">
      <c r="A25" s="338"/>
      <c r="B25" s="347"/>
      <c r="C25" s="347"/>
      <c r="D25" s="347"/>
      <c r="E25" s="347"/>
      <c r="F25" s="341"/>
      <c r="G25" s="353"/>
      <c r="H25" s="344"/>
      <c r="I25" s="356"/>
      <c r="J25" s="402"/>
      <c r="K25" s="405"/>
      <c r="L25" s="347"/>
      <c r="M25" s="347"/>
      <c r="N25" s="236" t="s">
        <v>542</v>
      </c>
      <c r="O25" s="341"/>
      <c r="P25" s="229">
        <v>16187.8</v>
      </c>
      <c r="Q25" s="230">
        <v>45474</v>
      </c>
      <c r="R25" s="231"/>
      <c r="S25" s="229"/>
      <c r="T25" s="229"/>
      <c r="U25" s="344"/>
      <c r="V25" s="399"/>
      <c r="W25" s="359"/>
      <c r="X25" s="2">
        <v>101</v>
      </c>
    </row>
    <row r="26" spans="1:24" x14ac:dyDescent="0.3">
      <c r="A26" s="339"/>
      <c r="B26" s="348"/>
      <c r="C26" s="348"/>
      <c r="D26" s="348"/>
      <c r="E26" s="348"/>
      <c r="F26" s="342"/>
      <c r="G26" s="354"/>
      <c r="H26" s="345"/>
      <c r="I26" s="357"/>
      <c r="J26" s="403"/>
      <c r="K26" s="406"/>
      <c r="L26" s="348"/>
      <c r="M26" s="348"/>
      <c r="N26" s="233">
        <v>45474</v>
      </c>
      <c r="O26" s="342"/>
      <c r="P26" s="232">
        <v>16069.98</v>
      </c>
      <c r="Q26" s="233">
        <v>45489</v>
      </c>
      <c r="R26" s="234"/>
      <c r="S26" s="232"/>
      <c r="T26" s="232"/>
      <c r="U26" s="345"/>
      <c r="V26" s="400"/>
      <c r="W26" s="360"/>
      <c r="X26" s="2">
        <v>101</v>
      </c>
    </row>
    <row r="27" spans="1:24" s="85" customFormat="1" ht="63" customHeight="1" x14ac:dyDescent="0.3">
      <c r="A27" s="337">
        <v>2</v>
      </c>
      <c r="B27" s="346" t="s">
        <v>56</v>
      </c>
      <c r="C27" s="346"/>
      <c r="D27" s="346"/>
      <c r="E27" s="346" t="s">
        <v>159</v>
      </c>
      <c r="F27" s="340" t="s">
        <v>190</v>
      </c>
      <c r="G27" s="352" t="s">
        <v>160</v>
      </c>
      <c r="H27" s="343">
        <v>22628.22</v>
      </c>
      <c r="I27" s="355">
        <f>IF(X27 = 102, H27 + SUM(S27:S32) - SUM(T27:T32) - SUM(P27:P32) - V27,0)</f>
        <v>3.637978807091713E-12</v>
      </c>
      <c r="J27" s="401">
        <v>2308131994</v>
      </c>
      <c r="K27" s="404" t="s">
        <v>208</v>
      </c>
      <c r="L27" s="346"/>
      <c r="M27" s="346" t="s">
        <v>209</v>
      </c>
      <c r="N27" s="235" t="s">
        <v>257</v>
      </c>
      <c r="O27" s="340" t="s">
        <v>163</v>
      </c>
      <c r="P27" s="226">
        <v>3771.37</v>
      </c>
      <c r="Q27" s="225" t="s">
        <v>270</v>
      </c>
      <c r="R27" s="224"/>
      <c r="S27" s="226"/>
      <c r="T27" s="226"/>
      <c r="U27" s="343"/>
      <c r="V27" s="398"/>
      <c r="W27" s="358"/>
      <c r="X27" s="85">
        <v>102</v>
      </c>
    </row>
    <row r="28" spans="1:24" x14ac:dyDescent="0.3">
      <c r="A28" s="338"/>
      <c r="B28" s="347"/>
      <c r="C28" s="347"/>
      <c r="D28" s="347"/>
      <c r="E28" s="347"/>
      <c r="F28" s="341"/>
      <c r="G28" s="353"/>
      <c r="H28" s="344"/>
      <c r="I28" s="356"/>
      <c r="J28" s="402"/>
      <c r="K28" s="405"/>
      <c r="L28" s="347"/>
      <c r="M28" s="347"/>
      <c r="N28" s="236" t="s">
        <v>312</v>
      </c>
      <c r="O28" s="341"/>
      <c r="P28" s="229">
        <v>3771.37</v>
      </c>
      <c r="Q28" s="230" t="s">
        <v>316</v>
      </c>
      <c r="R28" s="231"/>
      <c r="S28" s="229"/>
      <c r="T28" s="229"/>
      <c r="U28" s="344"/>
      <c r="V28" s="399"/>
      <c r="W28" s="359"/>
      <c r="X28" s="2">
        <v>102</v>
      </c>
    </row>
    <row r="29" spans="1:24" x14ac:dyDescent="0.3">
      <c r="A29" s="338"/>
      <c r="B29" s="347"/>
      <c r="C29" s="347"/>
      <c r="D29" s="347"/>
      <c r="E29" s="347"/>
      <c r="F29" s="341"/>
      <c r="G29" s="353"/>
      <c r="H29" s="344"/>
      <c r="I29" s="356"/>
      <c r="J29" s="402"/>
      <c r="K29" s="405"/>
      <c r="L29" s="347"/>
      <c r="M29" s="347"/>
      <c r="N29" s="236" t="s">
        <v>402</v>
      </c>
      <c r="O29" s="341"/>
      <c r="P29" s="229">
        <v>3771.37</v>
      </c>
      <c r="Q29" s="230" t="s">
        <v>401</v>
      </c>
      <c r="R29" s="231"/>
      <c r="S29" s="229"/>
      <c r="T29" s="229"/>
      <c r="U29" s="344"/>
      <c r="V29" s="399"/>
      <c r="W29" s="359"/>
      <c r="X29" s="2">
        <v>102</v>
      </c>
    </row>
    <row r="30" spans="1:24" x14ac:dyDescent="0.3">
      <c r="A30" s="338"/>
      <c r="B30" s="347"/>
      <c r="C30" s="347"/>
      <c r="D30" s="347"/>
      <c r="E30" s="347"/>
      <c r="F30" s="341"/>
      <c r="G30" s="353"/>
      <c r="H30" s="344"/>
      <c r="I30" s="356"/>
      <c r="J30" s="402"/>
      <c r="K30" s="405"/>
      <c r="L30" s="347"/>
      <c r="M30" s="347"/>
      <c r="N30" s="236" t="s">
        <v>454</v>
      </c>
      <c r="O30" s="341"/>
      <c r="P30" s="229">
        <v>3771.37</v>
      </c>
      <c r="Q30" s="230" t="s">
        <v>459</v>
      </c>
      <c r="R30" s="231"/>
      <c r="S30" s="229"/>
      <c r="T30" s="229"/>
      <c r="U30" s="344"/>
      <c r="V30" s="399"/>
      <c r="W30" s="359"/>
      <c r="X30" s="2">
        <v>102</v>
      </c>
    </row>
    <row r="31" spans="1:24" x14ac:dyDescent="0.3">
      <c r="A31" s="338"/>
      <c r="B31" s="347"/>
      <c r="C31" s="347"/>
      <c r="D31" s="347"/>
      <c r="E31" s="347"/>
      <c r="F31" s="341"/>
      <c r="G31" s="353"/>
      <c r="H31" s="344"/>
      <c r="I31" s="356"/>
      <c r="J31" s="402"/>
      <c r="K31" s="405"/>
      <c r="L31" s="347"/>
      <c r="M31" s="347"/>
      <c r="N31" s="236" t="s">
        <v>468</v>
      </c>
      <c r="O31" s="341"/>
      <c r="P31" s="229">
        <v>3771.37</v>
      </c>
      <c r="Q31" s="230" t="s">
        <v>512</v>
      </c>
      <c r="R31" s="231"/>
      <c r="S31" s="229"/>
      <c r="T31" s="229"/>
      <c r="U31" s="344"/>
      <c r="V31" s="399"/>
      <c r="W31" s="359"/>
      <c r="X31" s="2">
        <v>102</v>
      </c>
    </row>
    <row r="32" spans="1:24" x14ac:dyDescent="0.3">
      <c r="A32" s="339"/>
      <c r="B32" s="348"/>
      <c r="C32" s="348"/>
      <c r="D32" s="348"/>
      <c r="E32" s="348"/>
      <c r="F32" s="342"/>
      <c r="G32" s="354"/>
      <c r="H32" s="345"/>
      <c r="I32" s="357"/>
      <c r="J32" s="403"/>
      <c r="K32" s="406"/>
      <c r="L32" s="348"/>
      <c r="M32" s="348"/>
      <c r="N32" s="233">
        <v>45473</v>
      </c>
      <c r="O32" s="342"/>
      <c r="P32" s="232">
        <v>3771.37</v>
      </c>
      <c r="Q32" s="233">
        <v>45490</v>
      </c>
      <c r="R32" s="234"/>
      <c r="S32" s="232"/>
      <c r="T32" s="232"/>
      <c r="U32" s="345"/>
      <c r="V32" s="400"/>
      <c r="W32" s="360"/>
      <c r="X32" s="2">
        <v>102</v>
      </c>
    </row>
    <row r="33" spans="1:24" s="85" customFormat="1" ht="60.6" customHeight="1" x14ac:dyDescent="0.3">
      <c r="A33" s="337">
        <v>3</v>
      </c>
      <c r="B33" s="346" t="s">
        <v>56</v>
      </c>
      <c r="C33" s="346"/>
      <c r="D33" s="346"/>
      <c r="E33" s="346" t="s">
        <v>173</v>
      </c>
      <c r="F33" s="340" t="s">
        <v>190</v>
      </c>
      <c r="G33" s="352" t="s">
        <v>161</v>
      </c>
      <c r="H33" s="343">
        <v>38404.160000000003</v>
      </c>
      <c r="I33" s="355">
        <f>IF(X33 = 103, H33 + SUM(S33:S38) - SUM(T33:T38) - SUM(P33:P38) - V33,0)</f>
        <v>1.4551915228366852E-11</v>
      </c>
      <c r="J33" s="401">
        <v>2369002347</v>
      </c>
      <c r="K33" s="404" t="s">
        <v>162</v>
      </c>
      <c r="L33" s="346"/>
      <c r="M33" s="346" t="s">
        <v>188</v>
      </c>
      <c r="N33" s="235" t="s">
        <v>257</v>
      </c>
      <c r="O33" s="340" t="s">
        <v>210</v>
      </c>
      <c r="P33" s="226">
        <v>16111.64</v>
      </c>
      <c r="Q33" s="225" t="s">
        <v>271</v>
      </c>
      <c r="R33" s="224" t="s">
        <v>360</v>
      </c>
      <c r="S33" s="226">
        <v>3210.62</v>
      </c>
      <c r="T33" s="226"/>
      <c r="U33" s="343"/>
      <c r="V33" s="398"/>
      <c r="W33" s="358"/>
      <c r="X33" s="85">
        <v>103</v>
      </c>
    </row>
    <row r="34" spans="1:24" ht="54" x14ac:dyDescent="0.3">
      <c r="A34" s="338"/>
      <c r="B34" s="347"/>
      <c r="C34" s="347"/>
      <c r="D34" s="347"/>
      <c r="E34" s="347"/>
      <c r="F34" s="341"/>
      <c r="G34" s="353"/>
      <c r="H34" s="344"/>
      <c r="I34" s="356"/>
      <c r="J34" s="402"/>
      <c r="K34" s="405"/>
      <c r="L34" s="347"/>
      <c r="M34" s="347"/>
      <c r="N34" s="236" t="s">
        <v>312</v>
      </c>
      <c r="O34" s="341"/>
      <c r="P34" s="229">
        <v>12313.3</v>
      </c>
      <c r="Q34" s="230" t="s">
        <v>316</v>
      </c>
      <c r="R34" s="231" t="s">
        <v>414</v>
      </c>
      <c r="S34" s="229">
        <v>15026.4</v>
      </c>
      <c r="T34" s="229"/>
      <c r="U34" s="344"/>
      <c r="V34" s="399"/>
      <c r="W34" s="359"/>
      <c r="X34" s="2">
        <v>103</v>
      </c>
    </row>
    <row r="35" spans="1:24" ht="54" x14ac:dyDescent="0.3">
      <c r="A35" s="338"/>
      <c r="B35" s="347"/>
      <c r="C35" s="347"/>
      <c r="D35" s="347"/>
      <c r="E35" s="347"/>
      <c r="F35" s="341"/>
      <c r="G35" s="353"/>
      <c r="H35" s="344"/>
      <c r="I35" s="356"/>
      <c r="J35" s="402"/>
      <c r="K35" s="405"/>
      <c r="L35" s="347"/>
      <c r="M35" s="347"/>
      <c r="N35" s="236" t="s">
        <v>402</v>
      </c>
      <c r="O35" s="341"/>
      <c r="P35" s="229">
        <v>13189.84</v>
      </c>
      <c r="Q35" s="230" t="s">
        <v>408</v>
      </c>
      <c r="R35" s="231" t="s">
        <v>483</v>
      </c>
      <c r="S35" s="229">
        <v>19283.88</v>
      </c>
      <c r="T35" s="229"/>
      <c r="U35" s="344"/>
      <c r="V35" s="399"/>
      <c r="W35" s="359"/>
      <c r="X35" s="2">
        <v>103</v>
      </c>
    </row>
    <row r="36" spans="1:24" ht="54" x14ac:dyDescent="0.3">
      <c r="A36" s="338"/>
      <c r="B36" s="347"/>
      <c r="C36" s="347"/>
      <c r="D36" s="347"/>
      <c r="E36" s="347"/>
      <c r="F36" s="341"/>
      <c r="G36" s="353"/>
      <c r="H36" s="344"/>
      <c r="I36" s="356"/>
      <c r="J36" s="402"/>
      <c r="K36" s="405"/>
      <c r="L36" s="347"/>
      <c r="M36" s="347"/>
      <c r="N36" s="236" t="s">
        <v>454</v>
      </c>
      <c r="O36" s="341"/>
      <c r="P36" s="229">
        <v>15026.4</v>
      </c>
      <c r="Q36" s="230" t="s">
        <v>458</v>
      </c>
      <c r="R36" s="231" t="s">
        <v>520</v>
      </c>
      <c r="S36" s="229">
        <v>12146.34</v>
      </c>
      <c r="T36" s="229"/>
      <c r="U36" s="344"/>
      <c r="V36" s="399"/>
      <c r="W36" s="359"/>
      <c r="X36" s="2">
        <v>103</v>
      </c>
    </row>
    <row r="37" spans="1:24" x14ac:dyDescent="0.3">
      <c r="A37" s="338"/>
      <c r="B37" s="347"/>
      <c r="C37" s="347"/>
      <c r="D37" s="347"/>
      <c r="E37" s="347"/>
      <c r="F37" s="341"/>
      <c r="G37" s="353"/>
      <c r="H37" s="344"/>
      <c r="I37" s="356"/>
      <c r="J37" s="402"/>
      <c r="K37" s="405"/>
      <c r="L37" s="347"/>
      <c r="M37" s="347"/>
      <c r="N37" s="236" t="s">
        <v>468</v>
      </c>
      <c r="O37" s="341"/>
      <c r="P37" s="229">
        <v>19283.88</v>
      </c>
      <c r="Q37" s="230" t="s">
        <v>513</v>
      </c>
      <c r="R37" s="231"/>
      <c r="S37" s="229"/>
      <c r="T37" s="229"/>
      <c r="U37" s="344"/>
      <c r="V37" s="399"/>
      <c r="W37" s="359"/>
      <c r="X37" s="2">
        <v>103</v>
      </c>
    </row>
    <row r="38" spans="1:24" x14ac:dyDescent="0.3">
      <c r="A38" s="339"/>
      <c r="B38" s="348"/>
      <c r="C38" s="348"/>
      <c r="D38" s="348"/>
      <c r="E38" s="348"/>
      <c r="F38" s="342"/>
      <c r="G38" s="354"/>
      <c r="H38" s="345"/>
      <c r="I38" s="357"/>
      <c r="J38" s="403"/>
      <c r="K38" s="406"/>
      <c r="L38" s="348"/>
      <c r="M38" s="348"/>
      <c r="N38" s="233">
        <v>45473</v>
      </c>
      <c r="O38" s="342"/>
      <c r="P38" s="232">
        <v>12146.34</v>
      </c>
      <c r="Q38" s="233">
        <v>45489</v>
      </c>
      <c r="R38" s="234"/>
      <c r="S38" s="232"/>
      <c r="T38" s="232"/>
      <c r="U38" s="345"/>
      <c r="V38" s="400"/>
      <c r="W38" s="360"/>
      <c r="X38" s="2">
        <v>103</v>
      </c>
    </row>
    <row r="39" spans="1:24" s="85" customFormat="1" ht="81" customHeight="1" x14ac:dyDescent="0.3">
      <c r="A39" s="413">
        <v>4</v>
      </c>
      <c r="B39" s="415" t="s">
        <v>56</v>
      </c>
      <c r="C39" s="415"/>
      <c r="D39" s="415"/>
      <c r="E39" s="415" t="s">
        <v>211</v>
      </c>
      <c r="F39" s="452" t="s">
        <v>212</v>
      </c>
      <c r="G39" s="454" t="s">
        <v>213</v>
      </c>
      <c r="H39" s="456">
        <v>256000</v>
      </c>
      <c r="I39" s="458">
        <f>IF(X39 = 104, H39 + SUM(S39:S40) - SUM(T39:T40) - SUM(P39:P40) - V39,0)</f>
        <v>0</v>
      </c>
      <c r="J39" s="460">
        <v>235300578903</v>
      </c>
      <c r="K39" s="462" t="s">
        <v>147</v>
      </c>
      <c r="L39" s="415"/>
      <c r="M39" s="415" t="s">
        <v>214</v>
      </c>
      <c r="N39" s="137" t="s">
        <v>257</v>
      </c>
      <c r="O39" s="452" t="s">
        <v>180</v>
      </c>
      <c r="P39" s="133">
        <v>88832</v>
      </c>
      <c r="Q39" s="132" t="s">
        <v>270</v>
      </c>
      <c r="R39" s="131"/>
      <c r="S39" s="133"/>
      <c r="T39" s="133"/>
      <c r="U39" s="456" t="s">
        <v>331</v>
      </c>
      <c r="V39" s="464">
        <v>71168</v>
      </c>
      <c r="W39" s="450"/>
      <c r="X39" s="85">
        <v>104</v>
      </c>
    </row>
    <row r="40" spans="1:24" x14ac:dyDescent="0.3">
      <c r="A40" s="414"/>
      <c r="B40" s="416"/>
      <c r="C40" s="416"/>
      <c r="D40" s="416"/>
      <c r="E40" s="416"/>
      <c r="F40" s="453"/>
      <c r="G40" s="455"/>
      <c r="H40" s="457"/>
      <c r="I40" s="459"/>
      <c r="J40" s="461"/>
      <c r="K40" s="463"/>
      <c r="L40" s="416"/>
      <c r="M40" s="416"/>
      <c r="N40" s="138" t="s">
        <v>312</v>
      </c>
      <c r="O40" s="453"/>
      <c r="P40" s="134">
        <v>96000</v>
      </c>
      <c r="Q40" s="135" t="s">
        <v>313</v>
      </c>
      <c r="R40" s="136"/>
      <c r="S40" s="134"/>
      <c r="T40" s="134"/>
      <c r="U40" s="457"/>
      <c r="V40" s="465"/>
      <c r="W40" s="451"/>
      <c r="X40" s="2">
        <v>104</v>
      </c>
    </row>
    <row r="41" spans="1:24" s="85" customFormat="1" ht="58.2" customHeight="1" x14ac:dyDescent="0.3">
      <c r="A41" s="87">
        <v>5</v>
      </c>
      <c r="B41" s="88" t="s">
        <v>56</v>
      </c>
      <c r="C41" s="88"/>
      <c r="D41" s="88"/>
      <c r="E41" s="88" t="s">
        <v>215</v>
      </c>
      <c r="F41" s="95" t="s">
        <v>212</v>
      </c>
      <c r="G41" s="89" t="s">
        <v>165</v>
      </c>
      <c r="H41" s="90">
        <v>31676.400000000001</v>
      </c>
      <c r="I41" s="91">
        <f>IF(X41 = 105, H41 + SUM(S41:S41) - SUM(T41:T41) - SUM(P41:P41) - V41,0)</f>
        <v>23757.300000000003</v>
      </c>
      <c r="J41" s="92">
        <v>2353018870</v>
      </c>
      <c r="K41" s="93" t="s">
        <v>152</v>
      </c>
      <c r="L41" s="88"/>
      <c r="M41" s="88" t="s">
        <v>188</v>
      </c>
      <c r="N41" s="89">
        <v>45471</v>
      </c>
      <c r="O41" s="95" t="s">
        <v>178</v>
      </c>
      <c r="P41" s="90">
        <v>7919.1</v>
      </c>
      <c r="Q41" s="89">
        <v>45476</v>
      </c>
      <c r="R41" s="88"/>
      <c r="S41" s="90"/>
      <c r="T41" s="90"/>
      <c r="U41" s="90"/>
      <c r="V41" s="94"/>
      <c r="W41" s="86"/>
      <c r="X41" s="85">
        <v>105</v>
      </c>
    </row>
    <row r="42" spans="1:24" s="85" customFormat="1" ht="69.599999999999994" customHeight="1" x14ac:dyDescent="0.3">
      <c r="A42" s="87">
        <v>6</v>
      </c>
      <c r="B42" s="88"/>
      <c r="C42" s="88"/>
      <c r="D42" s="88"/>
      <c r="E42" s="88"/>
      <c r="F42" s="95"/>
      <c r="G42" s="89"/>
      <c r="H42" s="90"/>
      <c r="I42" s="91">
        <f>IF(X42 = 106, H42 + SUM(S42:S42) - SUM(T42:T42) - SUM(P42:P42) - V42,0)</f>
        <v>0</v>
      </c>
      <c r="J42" s="92"/>
      <c r="K42" s="93"/>
      <c r="L42" s="88"/>
      <c r="M42" s="88"/>
      <c r="N42" s="95"/>
      <c r="O42" s="95"/>
      <c r="P42" s="90"/>
      <c r="Q42" s="89"/>
      <c r="R42" s="88"/>
      <c r="S42" s="90"/>
      <c r="T42" s="90"/>
      <c r="U42" s="90"/>
      <c r="V42" s="94"/>
      <c r="W42" s="86"/>
      <c r="X42" s="85">
        <v>106</v>
      </c>
    </row>
    <row r="43" spans="1:24" s="85" customFormat="1" ht="54" customHeight="1" x14ac:dyDescent="0.3">
      <c r="A43" s="438">
        <v>7</v>
      </c>
      <c r="B43" s="410" t="s">
        <v>225</v>
      </c>
      <c r="C43" s="410"/>
      <c r="D43" s="410"/>
      <c r="E43" s="410" t="s">
        <v>179</v>
      </c>
      <c r="F43" s="441" t="s">
        <v>212</v>
      </c>
      <c r="G43" s="444" t="s">
        <v>227</v>
      </c>
      <c r="H43" s="407">
        <v>166685.48000000001</v>
      </c>
      <c r="I43" s="469">
        <f>IF(X43 = 107, H43 + SUM(S43:S60) - SUM(T43:T60) - SUM(P43:P60) - V43,0)</f>
        <v>1.4551915228366852E-11</v>
      </c>
      <c r="J43" s="472">
        <v>2353020735</v>
      </c>
      <c r="K43" s="475" t="s">
        <v>177</v>
      </c>
      <c r="L43" s="410"/>
      <c r="M43" s="410" t="s">
        <v>201</v>
      </c>
      <c r="N43" s="167" t="s">
        <v>257</v>
      </c>
      <c r="O43" s="441" t="s">
        <v>178</v>
      </c>
      <c r="P43" s="160">
        <v>7111.8</v>
      </c>
      <c r="Q43" s="159" t="s">
        <v>256</v>
      </c>
      <c r="R43" s="158"/>
      <c r="S43" s="160"/>
      <c r="T43" s="160"/>
      <c r="U43" s="407" t="s">
        <v>453</v>
      </c>
      <c r="V43" s="447">
        <v>92328.28</v>
      </c>
      <c r="W43" s="466"/>
      <c r="X43" s="85">
        <v>107</v>
      </c>
    </row>
    <row r="44" spans="1:24" x14ac:dyDescent="0.3">
      <c r="A44" s="439"/>
      <c r="B44" s="411"/>
      <c r="C44" s="411"/>
      <c r="D44" s="411"/>
      <c r="E44" s="411"/>
      <c r="F44" s="442"/>
      <c r="G44" s="445"/>
      <c r="H44" s="408"/>
      <c r="I44" s="470"/>
      <c r="J44" s="473"/>
      <c r="K44" s="476"/>
      <c r="L44" s="411"/>
      <c r="M44" s="411"/>
      <c r="N44" s="168" t="s">
        <v>257</v>
      </c>
      <c r="O44" s="442"/>
      <c r="P44" s="161">
        <v>5818</v>
      </c>
      <c r="Q44" s="162" t="s">
        <v>256</v>
      </c>
      <c r="R44" s="163"/>
      <c r="S44" s="161"/>
      <c r="T44" s="161"/>
      <c r="U44" s="408"/>
      <c r="V44" s="448"/>
      <c r="W44" s="467"/>
      <c r="X44" s="2">
        <v>107</v>
      </c>
    </row>
    <row r="45" spans="1:24" x14ac:dyDescent="0.3">
      <c r="A45" s="439"/>
      <c r="B45" s="411"/>
      <c r="C45" s="411"/>
      <c r="D45" s="411"/>
      <c r="E45" s="411"/>
      <c r="F45" s="442"/>
      <c r="G45" s="445"/>
      <c r="H45" s="408"/>
      <c r="I45" s="470"/>
      <c r="J45" s="473"/>
      <c r="K45" s="476"/>
      <c r="L45" s="411"/>
      <c r="M45" s="411"/>
      <c r="N45" s="168" t="s">
        <v>257</v>
      </c>
      <c r="O45" s="442"/>
      <c r="P45" s="161">
        <v>4140</v>
      </c>
      <c r="Q45" s="162" t="s">
        <v>256</v>
      </c>
      <c r="R45" s="163"/>
      <c r="S45" s="161"/>
      <c r="T45" s="161"/>
      <c r="U45" s="408"/>
      <c r="V45" s="448"/>
      <c r="W45" s="467"/>
      <c r="X45" s="2">
        <v>107</v>
      </c>
    </row>
    <row r="46" spans="1:24" x14ac:dyDescent="0.3">
      <c r="A46" s="439"/>
      <c r="B46" s="411"/>
      <c r="C46" s="411"/>
      <c r="D46" s="411"/>
      <c r="E46" s="411"/>
      <c r="F46" s="442"/>
      <c r="G46" s="445"/>
      <c r="H46" s="408"/>
      <c r="I46" s="470"/>
      <c r="J46" s="473"/>
      <c r="K46" s="476"/>
      <c r="L46" s="411"/>
      <c r="M46" s="411"/>
      <c r="N46" s="168" t="s">
        <v>257</v>
      </c>
      <c r="O46" s="442"/>
      <c r="P46" s="161">
        <v>2670</v>
      </c>
      <c r="Q46" s="162" t="s">
        <v>259</v>
      </c>
      <c r="R46" s="163"/>
      <c r="S46" s="161"/>
      <c r="T46" s="161"/>
      <c r="U46" s="408"/>
      <c r="V46" s="448"/>
      <c r="W46" s="467"/>
      <c r="X46" s="2">
        <v>107</v>
      </c>
    </row>
    <row r="47" spans="1:24" x14ac:dyDescent="0.3">
      <c r="A47" s="439"/>
      <c r="B47" s="411"/>
      <c r="C47" s="411"/>
      <c r="D47" s="411"/>
      <c r="E47" s="411"/>
      <c r="F47" s="442"/>
      <c r="G47" s="445"/>
      <c r="H47" s="408"/>
      <c r="I47" s="470"/>
      <c r="J47" s="473"/>
      <c r="K47" s="476"/>
      <c r="L47" s="411"/>
      <c r="M47" s="411"/>
      <c r="N47" s="168" t="s">
        <v>257</v>
      </c>
      <c r="O47" s="442"/>
      <c r="P47" s="161">
        <v>4611.07</v>
      </c>
      <c r="Q47" s="162" t="s">
        <v>259</v>
      </c>
      <c r="R47" s="163"/>
      <c r="S47" s="161"/>
      <c r="T47" s="161"/>
      <c r="U47" s="408"/>
      <c r="V47" s="448"/>
      <c r="W47" s="467"/>
      <c r="X47" s="2">
        <v>107</v>
      </c>
    </row>
    <row r="48" spans="1:24" x14ac:dyDescent="0.3">
      <c r="A48" s="439"/>
      <c r="B48" s="411"/>
      <c r="C48" s="411"/>
      <c r="D48" s="411"/>
      <c r="E48" s="411"/>
      <c r="F48" s="442"/>
      <c r="G48" s="445"/>
      <c r="H48" s="408"/>
      <c r="I48" s="470"/>
      <c r="J48" s="473"/>
      <c r="K48" s="476"/>
      <c r="L48" s="411"/>
      <c r="M48" s="411"/>
      <c r="N48" s="168" t="s">
        <v>257</v>
      </c>
      <c r="O48" s="442"/>
      <c r="P48" s="161">
        <v>3772.73</v>
      </c>
      <c r="Q48" s="162" t="s">
        <v>259</v>
      </c>
      <c r="R48" s="163"/>
      <c r="S48" s="161"/>
      <c r="T48" s="161"/>
      <c r="U48" s="408"/>
      <c r="V48" s="448"/>
      <c r="W48" s="467"/>
      <c r="X48" s="2">
        <v>107</v>
      </c>
    </row>
    <row r="49" spans="1:24" x14ac:dyDescent="0.3">
      <c r="A49" s="439"/>
      <c r="B49" s="411"/>
      <c r="C49" s="411"/>
      <c r="D49" s="411"/>
      <c r="E49" s="411"/>
      <c r="F49" s="442"/>
      <c r="G49" s="445"/>
      <c r="H49" s="408"/>
      <c r="I49" s="470"/>
      <c r="J49" s="473"/>
      <c r="K49" s="476"/>
      <c r="L49" s="411"/>
      <c r="M49" s="411"/>
      <c r="N49" s="168" t="s">
        <v>312</v>
      </c>
      <c r="O49" s="442"/>
      <c r="P49" s="161">
        <v>5397.15</v>
      </c>
      <c r="Q49" s="162" t="s">
        <v>317</v>
      </c>
      <c r="R49" s="163"/>
      <c r="S49" s="161"/>
      <c r="T49" s="161"/>
      <c r="U49" s="408"/>
      <c r="V49" s="448"/>
      <c r="W49" s="467"/>
      <c r="X49" s="2">
        <v>107</v>
      </c>
    </row>
    <row r="50" spans="1:24" x14ac:dyDescent="0.3">
      <c r="A50" s="439"/>
      <c r="B50" s="411"/>
      <c r="C50" s="411"/>
      <c r="D50" s="411"/>
      <c r="E50" s="411"/>
      <c r="F50" s="442"/>
      <c r="G50" s="445"/>
      <c r="H50" s="408"/>
      <c r="I50" s="470"/>
      <c r="J50" s="473"/>
      <c r="K50" s="476"/>
      <c r="L50" s="411"/>
      <c r="M50" s="411"/>
      <c r="N50" s="168" t="s">
        <v>312</v>
      </c>
      <c r="O50" s="442"/>
      <c r="P50" s="161">
        <v>3840</v>
      </c>
      <c r="Q50" s="162" t="s">
        <v>317</v>
      </c>
      <c r="R50" s="163"/>
      <c r="S50" s="161"/>
      <c r="T50" s="161"/>
      <c r="U50" s="408"/>
      <c r="V50" s="448"/>
      <c r="W50" s="467"/>
      <c r="X50" s="2">
        <v>107</v>
      </c>
    </row>
    <row r="51" spans="1:24" x14ac:dyDescent="0.3">
      <c r="A51" s="439"/>
      <c r="B51" s="411"/>
      <c r="C51" s="411"/>
      <c r="D51" s="411"/>
      <c r="E51" s="411"/>
      <c r="F51" s="442"/>
      <c r="G51" s="445"/>
      <c r="H51" s="408"/>
      <c r="I51" s="470"/>
      <c r="J51" s="473"/>
      <c r="K51" s="476"/>
      <c r="L51" s="411"/>
      <c r="M51" s="411"/>
      <c r="N51" s="168" t="s">
        <v>312</v>
      </c>
      <c r="O51" s="442"/>
      <c r="P51" s="161">
        <v>5284.6</v>
      </c>
      <c r="Q51" s="162" t="s">
        <v>317</v>
      </c>
      <c r="R51" s="163"/>
      <c r="S51" s="161"/>
      <c r="T51" s="161"/>
      <c r="U51" s="408"/>
      <c r="V51" s="448"/>
      <c r="W51" s="467"/>
      <c r="X51" s="2">
        <v>107</v>
      </c>
    </row>
    <row r="52" spans="1:24" x14ac:dyDescent="0.3">
      <c r="A52" s="439"/>
      <c r="B52" s="411"/>
      <c r="C52" s="411"/>
      <c r="D52" s="411"/>
      <c r="E52" s="411"/>
      <c r="F52" s="442"/>
      <c r="G52" s="445"/>
      <c r="H52" s="408"/>
      <c r="I52" s="470"/>
      <c r="J52" s="473"/>
      <c r="K52" s="476"/>
      <c r="L52" s="411"/>
      <c r="M52" s="411"/>
      <c r="N52" s="168" t="s">
        <v>312</v>
      </c>
      <c r="O52" s="442"/>
      <c r="P52" s="161">
        <v>4323.8</v>
      </c>
      <c r="Q52" s="162" t="s">
        <v>317</v>
      </c>
      <c r="R52" s="163"/>
      <c r="S52" s="161"/>
      <c r="T52" s="161"/>
      <c r="U52" s="408"/>
      <c r="V52" s="448"/>
      <c r="W52" s="467"/>
      <c r="X52" s="2">
        <v>107</v>
      </c>
    </row>
    <row r="53" spans="1:24" x14ac:dyDescent="0.3">
      <c r="A53" s="439"/>
      <c r="B53" s="411"/>
      <c r="C53" s="411"/>
      <c r="D53" s="411"/>
      <c r="E53" s="411"/>
      <c r="F53" s="442"/>
      <c r="G53" s="445"/>
      <c r="H53" s="408"/>
      <c r="I53" s="470"/>
      <c r="J53" s="473"/>
      <c r="K53" s="476"/>
      <c r="L53" s="411"/>
      <c r="M53" s="411"/>
      <c r="N53" s="168" t="s">
        <v>312</v>
      </c>
      <c r="O53" s="442"/>
      <c r="P53" s="161">
        <v>3060</v>
      </c>
      <c r="Q53" s="162" t="s">
        <v>317</v>
      </c>
      <c r="R53" s="163"/>
      <c r="S53" s="161"/>
      <c r="T53" s="161"/>
      <c r="U53" s="408"/>
      <c r="V53" s="448"/>
      <c r="W53" s="467"/>
      <c r="X53" s="2">
        <v>107</v>
      </c>
    </row>
    <row r="54" spans="1:24" x14ac:dyDescent="0.3">
      <c r="A54" s="439"/>
      <c r="B54" s="411"/>
      <c r="C54" s="411"/>
      <c r="D54" s="411"/>
      <c r="E54" s="411"/>
      <c r="F54" s="442"/>
      <c r="G54" s="445"/>
      <c r="H54" s="408"/>
      <c r="I54" s="470"/>
      <c r="J54" s="473"/>
      <c r="K54" s="476"/>
      <c r="L54" s="411"/>
      <c r="M54" s="411"/>
      <c r="N54" s="168" t="s">
        <v>312</v>
      </c>
      <c r="O54" s="442"/>
      <c r="P54" s="161">
        <v>6596.45</v>
      </c>
      <c r="Q54" s="162" t="s">
        <v>328</v>
      </c>
      <c r="R54" s="163"/>
      <c r="S54" s="161"/>
      <c r="T54" s="161"/>
      <c r="U54" s="408"/>
      <c r="V54" s="448"/>
      <c r="W54" s="467"/>
      <c r="X54" s="2">
        <v>107</v>
      </c>
    </row>
    <row r="55" spans="1:24" x14ac:dyDescent="0.3">
      <c r="A55" s="439"/>
      <c r="B55" s="411"/>
      <c r="C55" s="411"/>
      <c r="D55" s="411"/>
      <c r="E55" s="411"/>
      <c r="F55" s="442"/>
      <c r="G55" s="445"/>
      <c r="H55" s="408"/>
      <c r="I55" s="470"/>
      <c r="J55" s="473"/>
      <c r="K55" s="476"/>
      <c r="L55" s="411"/>
      <c r="M55" s="411"/>
      <c r="N55" s="168" t="s">
        <v>421</v>
      </c>
      <c r="O55" s="442"/>
      <c r="P55" s="161">
        <v>1740</v>
      </c>
      <c r="Q55" s="162" t="s">
        <v>404</v>
      </c>
      <c r="R55" s="163"/>
      <c r="S55" s="161"/>
      <c r="T55" s="161"/>
      <c r="U55" s="408"/>
      <c r="V55" s="448"/>
      <c r="W55" s="467"/>
      <c r="X55" s="2">
        <v>107</v>
      </c>
    </row>
    <row r="56" spans="1:24" x14ac:dyDescent="0.3">
      <c r="A56" s="439"/>
      <c r="B56" s="411"/>
      <c r="C56" s="411"/>
      <c r="D56" s="411"/>
      <c r="E56" s="411"/>
      <c r="F56" s="442"/>
      <c r="G56" s="445"/>
      <c r="H56" s="408"/>
      <c r="I56" s="470"/>
      <c r="J56" s="473"/>
      <c r="K56" s="476"/>
      <c r="L56" s="411"/>
      <c r="M56" s="411"/>
      <c r="N56" s="168" t="s">
        <v>421</v>
      </c>
      <c r="O56" s="442"/>
      <c r="P56" s="161">
        <v>2550</v>
      </c>
      <c r="Q56" s="162" t="s">
        <v>404</v>
      </c>
      <c r="R56" s="163"/>
      <c r="S56" s="161"/>
      <c r="T56" s="161"/>
      <c r="U56" s="408"/>
      <c r="V56" s="448"/>
      <c r="W56" s="467"/>
      <c r="X56" s="2">
        <v>107</v>
      </c>
    </row>
    <row r="57" spans="1:24" x14ac:dyDescent="0.3">
      <c r="A57" s="439"/>
      <c r="B57" s="411"/>
      <c r="C57" s="411"/>
      <c r="D57" s="411"/>
      <c r="E57" s="411"/>
      <c r="F57" s="442"/>
      <c r="G57" s="445"/>
      <c r="H57" s="408"/>
      <c r="I57" s="470"/>
      <c r="J57" s="473"/>
      <c r="K57" s="476"/>
      <c r="L57" s="411"/>
      <c r="M57" s="411"/>
      <c r="N57" s="168" t="s">
        <v>421</v>
      </c>
      <c r="O57" s="442"/>
      <c r="P57" s="161">
        <v>2445.58</v>
      </c>
      <c r="Q57" s="162" t="s">
        <v>404</v>
      </c>
      <c r="R57" s="163"/>
      <c r="S57" s="161"/>
      <c r="T57" s="161"/>
      <c r="U57" s="408"/>
      <c r="V57" s="448"/>
      <c r="W57" s="467"/>
      <c r="X57" s="2">
        <v>107</v>
      </c>
    </row>
    <row r="58" spans="1:24" x14ac:dyDescent="0.3">
      <c r="A58" s="439"/>
      <c r="B58" s="411"/>
      <c r="C58" s="411"/>
      <c r="D58" s="411"/>
      <c r="E58" s="411"/>
      <c r="F58" s="442"/>
      <c r="G58" s="445"/>
      <c r="H58" s="408"/>
      <c r="I58" s="470"/>
      <c r="J58" s="473"/>
      <c r="K58" s="476"/>
      <c r="L58" s="411"/>
      <c r="M58" s="411"/>
      <c r="N58" s="168" t="s">
        <v>421</v>
      </c>
      <c r="O58" s="442"/>
      <c r="P58" s="161">
        <v>2989.02</v>
      </c>
      <c r="Q58" s="162" t="s">
        <v>404</v>
      </c>
      <c r="R58" s="163"/>
      <c r="S58" s="161"/>
      <c r="T58" s="161"/>
      <c r="U58" s="408"/>
      <c r="V58" s="448"/>
      <c r="W58" s="467"/>
      <c r="X58" s="2">
        <v>107</v>
      </c>
    </row>
    <row r="59" spans="1:24" x14ac:dyDescent="0.3">
      <c r="A59" s="439"/>
      <c r="B59" s="411"/>
      <c r="C59" s="411"/>
      <c r="D59" s="411"/>
      <c r="E59" s="411"/>
      <c r="F59" s="442"/>
      <c r="G59" s="445"/>
      <c r="H59" s="408"/>
      <c r="I59" s="470"/>
      <c r="J59" s="473"/>
      <c r="K59" s="476"/>
      <c r="L59" s="411"/>
      <c r="M59" s="411"/>
      <c r="N59" s="168" t="s">
        <v>421</v>
      </c>
      <c r="O59" s="442"/>
      <c r="P59" s="161">
        <v>4403.83</v>
      </c>
      <c r="Q59" s="162" t="s">
        <v>404</v>
      </c>
      <c r="R59" s="163"/>
      <c r="S59" s="161"/>
      <c r="T59" s="161"/>
      <c r="U59" s="408"/>
      <c r="V59" s="448"/>
      <c r="W59" s="467"/>
      <c r="X59" s="2">
        <v>107</v>
      </c>
    </row>
    <row r="60" spans="1:24" x14ac:dyDescent="0.3">
      <c r="A60" s="440"/>
      <c r="B60" s="412"/>
      <c r="C60" s="412"/>
      <c r="D60" s="412"/>
      <c r="E60" s="412"/>
      <c r="F60" s="443"/>
      <c r="G60" s="446"/>
      <c r="H60" s="409"/>
      <c r="I60" s="471"/>
      <c r="J60" s="474"/>
      <c r="K60" s="477"/>
      <c r="L60" s="412"/>
      <c r="M60" s="412"/>
      <c r="N60" s="169" t="s">
        <v>421</v>
      </c>
      <c r="O60" s="443"/>
      <c r="P60" s="164">
        <v>3603.17</v>
      </c>
      <c r="Q60" s="165" t="s">
        <v>404</v>
      </c>
      <c r="R60" s="166"/>
      <c r="S60" s="164"/>
      <c r="T60" s="164"/>
      <c r="U60" s="409"/>
      <c r="V60" s="449"/>
      <c r="W60" s="468"/>
      <c r="X60" s="2">
        <v>107</v>
      </c>
    </row>
    <row r="61" spans="1:24" s="85" customFormat="1" ht="54" customHeight="1" x14ac:dyDescent="0.3">
      <c r="A61" s="438">
        <v>8</v>
      </c>
      <c r="B61" s="410" t="s">
        <v>56</v>
      </c>
      <c r="C61" s="410"/>
      <c r="D61" s="410"/>
      <c r="E61" s="410" t="s">
        <v>176</v>
      </c>
      <c r="F61" s="441" t="s">
        <v>212</v>
      </c>
      <c r="G61" s="444" t="s">
        <v>228</v>
      </c>
      <c r="H61" s="407">
        <v>50150.29</v>
      </c>
      <c r="I61" s="469">
        <f>IF(X61 = 108, H61 + SUM(S61:S72) - SUM(T61:T72) - SUM(P61:P72) - V61,0)</f>
        <v>0</v>
      </c>
      <c r="J61" s="472">
        <v>2353020735</v>
      </c>
      <c r="K61" s="475" t="s">
        <v>177</v>
      </c>
      <c r="L61" s="410"/>
      <c r="M61" s="410" t="s">
        <v>201</v>
      </c>
      <c r="N61" s="167" t="s">
        <v>257</v>
      </c>
      <c r="O61" s="441" t="s">
        <v>178</v>
      </c>
      <c r="P61" s="160">
        <v>960</v>
      </c>
      <c r="Q61" s="159" t="s">
        <v>258</v>
      </c>
      <c r="R61" s="158"/>
      <c r="S61" s="160"/>
      <c r="T61" s="160"/>
      <c r="U61" s="407" t="s">
        <v>453</v>
      </c>
      <c r="V61" s="447">
        <v>36899.89</v>
      </c>
      <c r="W61" s="466"/>
      <c r="X61" s="85">
        <v>108</v>
      </c>
    </row>
    <row r="62" spans="1:24" x14ac:dyDescent="0.3">
      <c r="A62" s="439"/>
      <c r="B62" s="411"/>
      <c r="C62" s="411"/>
      <c r="D62" s="411"/>
      <c r="E62" s="411"/>
      <c r="F62" s="442"/>
      <c r="G62" s="445"/>
      <c r="H62" s="408"/>
      <c r="I62" s="470"/>
      <c r="J62" s="473"/>
      <c r="K62" s="476"/>
      <c r="L62" s="411"/>
      <c r="M62" s="411"/>
      <c r="N62" s="168" t="s">
        <v>257</v>
      </c>
      <c r="O62" s="442"/>
      <c r="P62" s="161">
        <v>2998.4</v>
      </c>
      <c r="Q62" s="162" t="s">
        <v>258</v>
      </c>
      <c r="R62" s="163"/>
      <c r="S62" s="161"/>
      <c r="T62" s="161"/>
      <c r="U62" s="408"/>
      <c r="V62" s="448"/>
      <c r="W62" s="467"/>
      <c r="X62" s="2">
        <v>108</v>
      </c>
    </row>
    <row r="63" spans="1:24" x14ac:dyDescent="0.3">
      <c r="A63" s="439"/>
      <c r="B63" s="411"/>
      <c r="C63" s="411"/>
      <c r="D63" s="411"/>
      <c r="E63" s="411"/>
      <c r="F63" s="442"/>
      <c r="G63" s="445"/>
      <c r="H63" s="408"/>
      <c r="I63" s="470"/>
      <c r="J63" s="473"/>
      <c r="K63" s="476"/>
      <c r="L63" s="411"/>
      <c r="M63" s="411"/>
      <c r="N63" s="168" t="s">
        <v>257</v>
      </c>
      <c r="O63" s="442"/>
      <c r="P63" s="161">
        <v>270</v>
      </c>
      <c r="Q63" s="162" t="s">
        <v>259</v>
      </c>
      <c r="R63" s="163"/>
      <c r="S63" s="161"/>
      <c r="T63" s="161"/>
      <c r="U63" s="408"/>
      <c r="V63" s="448"/>
      <c r="W63" s="467"/>
      <c r="X63" s="2">
        <v>108</v>
      </c>
    </row>
    <row r="64" spans="1:24" x14ac:dyDescent="0.3">
      <c r="A64" s="439"/>
      <c r="B64" s="411"/>
      <c r="C64" s="411"/>
      <c r="D64" s="411"/>
      <c r="E64" s="411"/>
      <c r="F64" s="442"/>
      <c r="G64" s="445"/>
      <c r="H64" s="408"/>
      <c r="I64" s="470"/>
      <c r="J64" s="473"/>
      <c r="K64" s="476"/>
      <c r="L64" s="411"/>
      <c r="M64" s="411"/>
      <c r="N64" s="168" t="s">
        <v>257</v>
      </c>
      <c r="O64" s="442"/>
      <c r="P64" s="161">
        <v>847.8</v>
      </c>
      <c r="Q64" s="162" t="s">
        <v>259</v>
      </c>
      <c r="R64" s="163"/>
      <c r="S64" s="161"/>
      <c r="T64" s="161"/>
      <c r="U64" s="408"/>
      <c r="V64" s="448"/>
      <c r="W64" s="467"/>
      <c r="X64" s="2">
        <v>108</v>
      </c>
    </row>
    <row r="65" spans="1:24" x14ac:dyDescent="0.3">
      <c r="A65" s="439"/>
      <c r="B65" s="411"/>
      <c r="C65" s="411"/>
      <c r="D65" s="411"/>
      <c r="E65" s="411"/>
      <c r="F65" s="442"/>
      <c r="G65" s="445"/>
      <c r="H65" s="408"/>
      <c r="I65" s="470"/>
      <c r="J65" s="473"/>
      <c r="K65" s="476"/>
      <c r="L65" s="411"/>
      <c r="M65" s="411"/>
      <c r="N65" s="168" t="s">
        <v>312</v>
      </c>
      <c r="O65" s="442"/>
      <c r="P65" s="161">
        <v>1080</v>
      </c>
      <c r="Q65" s="162" t="s">
        <v>317</v>
      </c>
      <c r="R65" s="163"/>
      <c r="S65" s="161"/>
      <c r="T65" s="161"/>
      <c r="U65" s="408"/>
      <c r="V65" s="448"/>
      <c r="W65" s="467"/>
      <c r="X65" s="2">
        <v>108</v>
      </c>
    </row>
    <row r="66" spans="1:24" x14ac:dyDescent="0.3">
      <c r="A66" s="439"/>
      <c r="B66" s="411"/>
      <c r="C66" s="411"/>
      <c r="D66" s="411"/>
      <c r="E66" s="411"/>
      <c r="F66" s="442"/>
      <c r="G66" s="445"/>
      <c r="H66" s="408"/>
      <c r="I66" s="470"/>
      <c r="J66" s="473"/>
      <c r="K66" s="476"/>
      <c r="L66" s="411"/>
      <c r="M66" s="411"/>
      <c r="N66" s="168" t="s">
        <v>312</v>
      </c>
      <c r="O66" s="442"/>
      <c r="P66" s="161">
        <v>3373.2</v>
      </c>
      <c r="Q66" s="162" t="s">
        <v>317</v>
      </c>
      <c r="R66" s="163"/>
      <c r="S66" s="161"/>
      <c r="T66" s="161"/>
      <c r="U66" s="408"/>
      <c r="V66" s="448"/>
      <c r="W66" s="467"/>
      <c r="X66" s="2">
        <v>108</v>
      </c>
    </row>
    <row r="67" spans="1:24" x14ac:dyDescent="0.3">
      <c r="A67" s="439"/>
      <c r="B67" s="411"/>
      <c r="C67" s="411"/>
      <c r="D67" s="411"/>
      <c r="E67" s="411"/>
      <c r="F67" s="442"/>
      <c r="G67" s="445"/>
      <c r="H67" s="408"/>
      <c r="I67" s="470"/>
      <c r="J67" s="473"/>
      <c r="K67" s="476"/>
      <c r="L67" s="411"/>
      <c r="M67" s="411"/>
      <c r="N67" s="168" t="s">
        <v>312</v>
      </c>
      <c r="O67" s="442"/>
      <c r="P67" s="161">
        <v>1036.2</v>
      </c>
      <c r="Q67" s="162" t="s">
        <v>317</v>
      </c>
      <c r="R67" s="163"/>
      <c r="S67" s="161"/>
      <c r="T67" s="161"/>
      <c r="U67" s="408"/>
      <c r="V67" s="448"/>
      <c r="W67" s="467"/>
      <c r="X67" s="2">
        <v>108</v>
      </c>
    </row>
    <row r="68" spans="1:24" x14ac:dyDescent="0.3">
      <c r="A68" s="439"/>
      <c r="B68" s="411"/>
      <c r="C68" s="411"/>
      <c r="D68" s="411"/>
      <c r="E68" s="411"/>
      <c r="F68" s="442"/>
      <c r="G68" s="445"/>
      <c r="H68" s="408"/>
      <c r="I68" s="470"/>
      <c r="J68" s="473"/>
      <c r="K68" s="476"/>
      <c r="L68" s="411"/>
      <c r="M68" s="411"/>
      <c r="N68" s="168" t="s">
        <v>312</v>
      </c>
      <c r="O68" s="442"/>
      <c r="P68" s="161">
        <v>330</v>
      </c>
      <c r="Q68" s="162" t="s">
        <v>317</v>
      </c>
      <c r="R68" s="163"/>
      <c r="S68" s="161"/>
      <c r="T68" s="161"/>
      <c r="U68" s="408"/>
      <c r="V68" s="448"/>
      <c r="W68" s="467"/>
      <c r="X68" s="2">
        <v>108</v>
      </c>
    </row>
    <row r="69" spans="1:24" x14ac:dyDescent="0.3">
      <c r="A69" s="439"/>
      <c r="B69" s="411"/>
      <c r="C69" s="411"/>
      <c r="D69" s="411"/>
      <c r="E69" s="411"/>
      <c r="F69" s="442"/>
      <c r="G69" s="445"/>
      <c r="H69" s="408"/>
      <c r="I69" s="470"/>
      <c r="J69" s="473"/>
      <c r="K69" s="476"/>
      <c r="L69" s="411"/>
      <c r="M69" s="411"/>
      <c r="N69" s="168" t="s">
        <v>421</v>
      </c>
      <c r="O69" s="442"/>
      <c r="P69" s="161">
        <v>937</v>
      </c>
      <c r="Q69" s="162" t="s">
        <v>404</v>
      </c>
      <c r="R69" s="163"/>
      <c r="S69" s="161"/>
      <c r="T69" s="161"/>
      <c r="U69" s="408"/>
      <c r="V69" s="448"/>
      <c r="W69" s="467"/>
      <c r="X69" s="2">
        <v>108</v>
      </c>
    </row>
    <row r="70" spans="1:24" x14ac:dyDescent="0.3">
      <c r="A70" s="439"/>
      <c r="B70" s="411"/>
      <c r="C70" s="411"/>
      <c r="D70" s="411"/>
      <c r="E70" s="411"/>
      <c r="F70" s="442"/>
      <c r="G70" s="445"/>
      <c r="H70" s="408"/>
      <c r="I70" s="470"/>
      <c r="J70" s="473"/>
      <c r="K70" s="476"/>
      <c r="L70" s="411"/>
      <c r="M70" s="411"/>
      <c r="N70" s="168" t="s">
        <v>421</v>
      </c>
      <c r="O70" s="442"/>
      <c r="P70" s="161">
        <v>847.8</v>
      </c>
      <c r="Q70" s="162" t="s">
        <v>404</v>
      </c>
      <c r="R70" s="163"/>
      <c r="S70" s="161"/>
      <c r="T70" s="161"/>
      <c r="U70" s="408"/>
      <c r="V70" s="448"/>
      <c r="W70" s="467"/>
      <c r="X70" s="2">
        <v>108</v>
      </c>
    </row>
    <row r="71" spans="1:24" x14ac:dyDescent="0.3">
      <c r="A71" s="439"/>
      <c r="B71" s="411"/>
      <c r="C71" s="411"/>
      <c r="D71" s="411"/>
      <c r="E71" s="411"/>
      <c r="F71" s="442"/>
      <c r="G71" s="445"/>
      <c r="H71" s="408"/>
      <c r="I71" s="470"/>
      <c r="J71" s="473"/>
      <c r="K71" s="476"/>
      <c r="L71" s="411"/>
      <c r="M71" s="411"/>
      <c r="N71" s="168" t="s">
        <v>421</v>
      </c>
      <c r="O71" s="442"/>
      <c r="P71" s="161">
        <v>300</v>
      </c>
      <c r="Q71" s="162" t="s">
        <v>404</v>
      </c>
      <c r="R71" s="163"/>
      <c r="S71" s="161"/>
      <c r="T71" s="161"/>
      <c r="U71" s="408"/>
      <c r="V71" s="448"/>
      <c r="W71" s="467"/>
      <c r="X71" s="2">
        <v>108</v>
      </c>
    </row>
    <row r="72" spans="1:24" x14ac:dyDescent="0.3">
      <c r="A72" s="440"/>
      <c r="B72" s="412"/>
      <c r="C72" s="412"/>
      <c r="D72" s="412"/>
      <c r="E72" s="412"/>
      <c r="F72" s="443"/>
      <c r="G72" s="446"/>
      <c r="H72" s="409"/>
      <c r="I72" s="471"/>
      <c r="J72" s="474"/>
      <c r="K72" s="477"/>
      <c r="L72" s="412"/>
      <c r="M72" s="412"/>
      <c r="N72" s="169" t="s">
        <v>421</v>
      </c>
      <c r="O72" s="443"/>
      <c r="P72" s="164">
        <v>270</v>
      </c>
      <c r="Q72" s="165" t="s">
        <v>404</v>
      </c>
      <c r="R72" s="166"/>
      <c r="S72" s="164"/>
      <c r="T72" s="164"/>
      <c r="U72" s="409"/>
      <c r="V72" s="449"/>
      <c r="W72" s="468"/>
      <c r="X72" s="2">
        <v>108</v>
      </c>
    </row>
    <row r="73" spans="1:24" s="85" customFormat="1" ht="63" customHeight="1" x14ac:dyDescent="0.3">
      <c r="A73" s="438">
        <v>9</v>
      </c>
      <c r="B73" s="410" t="s">
        <v>56</v>
      </c>
      <c r="C73" s="410"/>
      <c r="D73" s="410"/>
      <c r="E73" s="410" t="s">
        <v>229</v>
      </c>
      <c r="F73" s="441" t="s">
        <v>212</v>
      </c>
      <c r="G73" s="444" t="s">
        <v>230</v>
      </c>
      <c r="H73" s="407">
        <v>70148.52</v>
      </c>
      <c r="I73" s="469">
        <f>IF(X73 = 109, H73 + SUM(S73:S78) - SUM(T73:T78) - SUM(P73:P78) - V73,0)</f>
        <v>7.2759576141834259E-12</v>
      </c>
      <c r="J73" s="472">
        <v>2353020735</v>
      </c>
      <c r="K73" s="475" t="s">
        <v>177</v>
      </c>
      <c r="L73" s="410"/>
      <c r="M73" s="410" t="s">
        <v>201</v>
      </c>
      <c r="N73" s="167" t="s">
        <v>257</v>
      </c>
      <c r="O73" s="441" t="s">
        <v>178</v>
      </c>
      <c r="P73" s="160">
        <v>3180</v>
      </c>
      <c r="Q73" s="159" t="s">
        <v>258</v>
      </c>
      <c r="R73" s="158"/>
      <c r="S73" s="160"/>
      <c r="T73" s="160"/>
      <c r="U73" s="407" t="s">
        <v>453</v>
      </c>
      <c r="V73" s="447">
        <v>32879.519999999997</v>
      </c>
      <c r="W73" s="466"/>
      <c r="X73" s="85">
        <v>109</v>
      </c>
    </row>
    <row r="74" spans="1:24" x14ac:dyDescent="0.3">
      <c r="A74" s="439"/>
      <c r="B74" s="411"/>
      <c r="C74" s="411"/>
      <c r="D74" s="411"/>
      <c r="E74" s="411"/>
      <c r="F74" s="442"/>
      <c r="G74" s="445"/>
      <c r="H74" s="408"/>
      <c r="I74" s="470"/>
      <c r="J74" s="473"/>
      <c r="K74" s="476"/>
      <c r="L74" s="411"/>
      <c r="M74" s="411"/>
      <c r="N74" s="168" t="s">
        <v>257</v>
      </c>
      <c r="O74" s="442"/>
      <c r="P74" s="161">
        <v>9858</v>
      </c>
      <c r="Q74" s="162" t="s">
        <v>258</v>
      </c>
      <c r="R74" s="163"/>
      <c r="S74" s="161"/>
      <c r="T74" s="161"/>
      <c r="U74" s="408"/>
      <c r="V74" s="448"/>
      <c r="W74" s="467"/>
      <c r="X74" s="2">
        <v>109</v>
      </c>
    </row>
    <row r="75" spans="1:24" x14ac:dyDescent="0.3">
      <c r="A75" s="439"/>
      <c r="B75" s="411"/>
      <c r="C75" s="411"/>
      <c r="D75" s="411"/>
      <c r="E75" s="411"/>
      <c r="F75" s="442"/>
      <c r="G75" s="445"/>
      <c r="H75" s="408"/>
      <c r="I75" s="470"/>
      <c r="J75" s="473"/>
      <c r="K75" s="476"/>
      <c r="L75" s="411"/>
      <c r="M75" s="411"/>
      <c r="N75" s="168" t="s">
        <v>312</v>
      </c>
      <c r="O75" s="442"/>
      <c r="P75" s="161">
        <v>3240</v>
      </c>
      <c r="Q75" s="162" t="s">
        <v>327</v>
      </c>
      <c r="R75" s="163"/>
      <c r="S75" s="161"/>
      <c r="T75" s="161"/>
      <c r="U75" s="408"/>
      <c r="V75" s="448"/>
      <c r="W75" s="467"/>
      <c r="X75" s="2">
        <v>109</v>
      </c>
    </row>
    <row r="76" spans="1:24" x14ac:dyDescent="0.3">
      <c r="A76" s="439"/>
      <c r="B76" s="411"/>
      <c r="C76" s="411"/>
      <c r="D76" s="411"/>
      <c r="E76" s="411"/>
      <c r="F76" s="442"/>
      <c r="G76" s="445"/>
      <c r="H76" s="408"/>
      <c r="I76" s="470"/>
      <c r="J76" s="473"/>
      <c r="K76" s="476"/>
      <c r="L76" s="411"/>
      <c r="M76" s="411"/>
      <c r="N76" s="168" t="s">
        <v>312</v>
      </c>
      <c r="O76" s="442"/>
      <c r="P76" s="161">
        <v>10044</v>
      </c>
      <c r="Q76" s="162" t="s">
        <v>327</v>
      </c>
      <c r="R76" s="163"/>
      <c r="S76" s="161"/>
      <c r="T76" s="161"/>
      <c r="U76" s="408"/>
      <c r="V76" s="448"/>
      <c r="W76" s="467"/>
      <c r="X76" s="2">
        <v>109</v>
      </c>
    </row>
    <row r="77" spans="1:24" x14ac:dyDescent="0.3">
      <c r="A77" s="439"/>
      <c r="B77" s="411"/>
      <c r="C77" s="411"/>
      <c r="D77" s="411"/>
      <c r="E77" s="411"/>
      <c r="F77" s="442"/>
      <c r="G77" s="445"/>
      <c r="H77" s="408"/>
      <c r="I77" s="470"/>
      <c r="J77" s="473"/>
      <c r="K77" s="476"/>
      <c r="L77" s="411"/>
      <c r="M77" s="411"/>
      <c r="N77" s="168" t="s">
        <v>421</v>
      </c>
      <c r="O77" s="442"/>
      <c r="P77" s="161">
        <v>2670</v>
      </c>
      <c r="Q77" s="162" t="s">
        <v>404</v>
      </c>
      <c r="R77" s="163"/>
      <c r="S77" s="161"/>
      <c r="T77" s="161"/>
      <c r="U77" s="408"/>
      <c r="V77" s="448"/>
      <c r="W77" s="467"/>
      <c r="X77" s="2">
        <v>109</v>
      </c>
    </row>
    <row r="78" spans="1:24" x14ac:dyDescent="0.3">
      <c r="A78" s="440"/>
      <c r="B78" s="412"/>
      <c r="C78" s="412"/>
      <c r="D78" s="412"/>
      <c r="E78" s="412"/>
      <c r="F78" s="443"/>
      <c r="G78" s="446"/>
      <c r="H78" s="409"/>
      <c r="I78" s="471"/>
      <c r="J78" s="474"/>
      <c r="K78" s="477"/>
      <c r="L78" s="412"/>
      <c r="M78" s="412"/>
      <c r="N78" s="169" t="s">
        <v>421</v>
      </c>
      <c r="O78" s="443"/>
      <c r="P78" s="164">
        <v>8277</v>
      </c>
      <c r="Q78" s="165" t="s">
        <v>404</v>
      </c>
      <c r="R78" s="166"/>
      <c r="S78" s="164"/>
      <c r="T78" s="164"/>
      <c r="U78" s="409"/>
      <c r="V78" s="449"/>
      <c r="W78" s="468"/>
      <c r="X78" s="2">
        <v>109</v>
      </c>
    </row>
    <row r="79" spans="1:24" s="85" customFormat="1" ht="78.599999999999994" customHeight="1" x14ac:dyDescent="0.3">
      <c r="A79" s="337">
        <v>10</v>
      </c>
      <c r="B79" s="346" t="s">
        <v>56</v>
      </c>
      <c r="C79" s="346"/>
      <c r="D79" s="346"/>
      <c r="E79" s="346" t="s">
        <v>224</v>
      </c>
      <c r="F79" s="340" t="s">
        <v>220</v>
      </c>
      <c r="G79" s="352" t="s">
        <v>171</v>
      </c>
      <c r="H79" s="343">
        <v>81000</v>
      </c>
      <c r="I79" s="355">
        <f>IF(X79 = 110, H79 + SUM(S79:S90) - SUM(T79:T90) - SUM(P79:P90) - V79,0)</f>
        <v>21980</v>
      </c>
      <c r="J79" s="401">
        <v>2353016552</v>
      </c>
      <c r="K79" s="404" t="s">
        <v>223</v>
      </c>
      <c r="L79" s="346"/>
      <c r="M79" s="346" t="s">
        <v>188</v>
      </c>
      <c r="N79" s="235" t="s">
        <v>257</v>
      </c>
      <c r="O79" s="340" t="s">
        <v>172</v>
      </c>
      <c r="P79" s="226">
        <v>3960</v>
      </c>
      <c r="Q79" s="225" t="s">
        <v>270</v>
      </c>
      <c r="R79" s="224"/>
      <c r="S79" s="226"/>
      <c r="T79" s="226"/>
      <c r="U79" s="343"/>
      <c r="V79" s="398"/>
      <c r="W79" s="358"/>
      <c r="X79" s="85">
        <v>110</v>
      </c>
    </row>
    <row r="80" spans="1:24" x14ac:dyDescent="0.3">
      <c r="A80" s="338"/>
      <c r="B80" s="347"/>
      <c r="C80" s="347"/>
      <c r="D80" s="347"/>
      <c r="E80" s="347"/>
      <c r="F80" s="341"/>
      <c r="G80" s="353"/>
      <c r="H80" s="344"/>
      <c r="I80" s="356"/>
      <c r="J80" s="402"/>
      <c r="K80" s="405"/>
      <c r="L80" s="347"/>
      <c r="M80" s="347"/>
      <c r="N80" s="236" t="s">
        <v>257</v>
      </c>
      <c r="O80" s="341"/>
      <c r="P80" s="229">
        <v>4620</v>
      </c>
      <c r="Q80" s="230" t="s">
        <v>270</v>
      </c>
      <c r="R80" s="231"/>
      <c r="S80" s="229"/>
      <c r="T80" s="229"/>
      <c r="U80" s="344"/>
      <c r="V80" s="399"/>
      <c r="W80" s="359"/>
      <c r="X80" s="2">
        <v>110</v>
      </c>
    </row>
    <row r="81" spans="1:24" x14ac:dyDescent="0.3">
      <c r="A81" s="338"/>
      <c r="B81" s="347"/>
      <c r="C81" s="347"/>
      <c r="D81" s="347"/>
      <c r="E81" s="347"/>
      <c r="F81" s="341"/>
      <c r="G81" s="353"/>
      <c r="H81" s="344"/>
      <c r="I81" s="356"/>
      <c r="J81" s="402"/>
      <c r="K81" s="405"/>
      <c r="L81" s="347"/>
      <c r="M81" s="347"/>
      <c r="N81" s="236" t="s">
        <v>312</v>
      </c>
      <c r="O81" s="341"/>
      <c r="P81" s="229">
        <v>5280</v>
      </c>
      <c r="Q81" s="230" t="s">
        <v>313</v>
      </c>
      <c r="R81" s="231"/>
      <c r="S81" s="229"/>
      <c r="T81" s="229"/>
      <c r="U81" s="344"/>
      <c r="V81" s="399"/>
      <c r="W81" s="359"/>
      <c r="X81" s="2">
        <v>110</v>
      </c>
    </row>
    <row r="82" spans="1:24" x14ac:dyDescent="0.3">
      <c r="A82" s="338"/>
      <c r="B82" s="347"/>
      <c r="C82" s="347"/>
      <c r="D82" s="347"/>
      <c r="E82" s="347"/>
      <c r="F82" s="341"/>
      <c r="G82" s="353"/>
      <c r="H82" s="344"/>
      <c r="I82" s="356"/>
      <c r="J82" s="402"/>
      <c r="K82" s="405"/>
      <c r="L82" s="347"/>
      <c r="M82" s="347"/>
      <c r="N82" s="236" t="s">
        <v>312</v>
      </c>
      <c r="O82" s="341"/>
      <c r="P82" s="229">
        <v>6160</v>
      </c>
      <c r="Q82" s="230" t="s">
        <v>313</v>
      </c>
      <c r="R82" s="231"/>
      <c r="S82" s="229"/>
      <c r="T82" s="229"/>
      <c r="U82" s="344"/>
      <c r="V82" s="399"/>
      <c r="W82" s="359"/>
      <c r="X82" s="2">
        <v>110</v>
      </c>
    </row>
    <row r="83" spans="1:24" x14ac:dyDescent="0.3">
      <c r="A83" s="338"/>
      <c r="B83" s="347"/>
      <c r="C83" s="347"/>
      <c r="D83" s="347"/>
      <c r="E83" s="347"/>
      <c r="F83" s="341"/>
      <c r="G83" s="353"/>
      <c r="H83" s="344"/>
      <c r="I83" s="356"/>
      <c r="J83" s="402"/>
      <c r="K83" s="405"/>
      <c r="L83" s="347"/>
      <c r="M83" s="347"/>
      <c r="N83" s="236" t="s">
        <v>402</v>
      </c>
      <c r="O83" s="341"/>
      <c r="P83" s="229">
        <v>4680</v>
      </c>
      <c r="Q83" s="230" t="s">
        <v>405</v>
      </c>
      <c r="R83" s="231"/>
      <c r="S83" s="229"/>
      <c r="T83" s="229"/>
      <c r="U83" s="344"/>
      <c r="V83" s="399"/>
      <c r="W83" s="359"/>
      <c r="X83" s="2">
        <v>110</v>
      </c>
    </row>
    <row r="84" spans="1:24" x14ac:dyDescent="0.3">
      <c r="A84" s="338"/>
      <c r="B84" s="347"/>
      <c r="C84" s="347"/>
      <c r="D84" s="347"/>
      <c r="E84" s="347"/>
      <c r="F84" s="341"/>
      <c r="G84" s="353"/>
      <c r="H84" s="344"/>
      <c r="I84" s="356"/>
      <c r="J84" s="402"/>
      <c r="K84" s="405"/>
      <c r="L84" s="347"/>
      <c r="M84" s="347"/>
      <c r="N84" s="236" t="s">
        <v>402</v>
      </c>
      <c r="O84" s="341"/>
      <c r="P84" s="229">
        <v>5460</v>
      </c>
      <c r="Q84" s="230" t="s">
        <v>405</v>
      </c>
      <c r="R84" s="231"/>
      <c r="S84" s="229"/>
      <c r="T84" s="229"/>
      <c r="U84" s="344"/>
      <c r="V84" s="399"/>
      <c r="W84" s="359"/>
      <c r="X84" s="2">
        <v>110</v>
      </c>
    </row>
    <row r="85" spans="1:24" x14ac:dyDescent="0.3">
      <c r="A85" s="338"/>
      <c r="B85" s="347"/>
      <c r="C85" s="347"/>
      <c r="D85" s="347"/>
      <c r="E85" s="347"/>
      <c r="F85" s="341"/>
      <c r="G85" s="353"/>
      <c r="H85" s="344"/>
      <c r="I85" s="356"/>
      <c r="J85" s="402"/>
      <c r="K85" s="405"/>
      <c r="L85" s="347"/>
      <c r="M85" s="347"/>
      <c r="N85" s="236" t="s">
        <v>454</v>
      </c>
      <c r="O85" s="341"/>
      <c r="P85" s="229">
        <v>5520</v>
      </c>
      <c r="Q85" s="230" t="s">
        <v>461</v>
      </c>
      <c r="R85" s="231"/>
      <c r="S85" s="229"/>
      <c r="T85" s="229"/>
      <c r="U85" s="344"/>
      <c r="V85" s="399"/>
      <c r="W85" s="359"/>
      <c r="X85" s="2">
        <v>110</v>
      </c>
    </row>
    <row r="86" spans="1:24" x14ac:dyDescent="0.3">
      <c r="A86" s="338"/>
      <c r="B86" s="347"/>
      <c r="C86" s="347"/>
      <c r="D86" s="347"/>
      <c r="E86" s="347"/>
      <c r="F86" s="341"/>
      <c r="G86" s="353"/>
      <c r="H86" s="344"/>
      <c r="I86" s="356"/>
      <c r="J86" s="402"/>
      <c r="K86" s="405"/>
      <c r="L86" s="347"/>
      <c r="M86" s="347"/>
      <c r="N86" s="236" t="s">
        <v>454</v>
      </c>
      <c r="O86" s="341"/>
      <c r="P86" s="229">
        <v>6440</v>
      </c>
      <c r="Q86" s="230" t="s">
        <v>461</v>
      </c>
      <c r="R86" s="231"/>
      <c r="S86" s="229"/>
      <c r="T86" s="229"/>
      <c r="U86" s="344"/>
      <c r="V86" s="399"/>
      <c r="W86" s="359"/>
      <c r="X86" s="2">
        <v>110</v>
      </c>
    </row>
    <row r="87" spans="1:24" x14ac:dyDescent="0.3">
      <c r="A87" s="338"/>
      <c r="B87" s="347"/>
      <c r="C87" s="347"/>
      <c r="D87" s="347"/>
      <c r="E87" s="347"/>
      <c r="F87" s="341"/>
      <c r="G87" s="353"/>
      <c r="H87" s="344"/>
      <c r="I87" s="356"/>
      <c r="J87" s="402"/>
      <c r="K87" s="405"/>
      <c r="L87" s="347"/>
      <c r="M87" s="347"/>
      <c r="N87" s="236" t="s">
        <v>468</v>
      </c>
      <c r="O87" s="341"/>
      <c r="P87" s="229">
        <v>4320</v>
      </c>
      <c r="Q87" s="230" t="s">
        <v>507</v>
      </c>
      <c r="R87" s="231"/>
      <c r="S87" s="229"/>
      <c r="T87" s="229"/>
      <c r="U87" s="344"/>
      <c r="V87" s="399"/>
      <c r="W87" s="359"/>
      <c r="X87" s="2">
        <v>110</v>
      </c>
    </row>
    <row r="88" spans="1:24" x14ac:dyDescent="0.3">
      <c r="A88" s="338"/>
      <c r="B88" s="347"/>
      <c r="C88" s="347"/>
      <c r="D88" s="347"/>
      <c r="E88" s="347"/>
      <c r="F88" s="341"/>
      <c r="G88" s="353"/>
      <c r="H88" s="344"/>
      <c r="I88" s="356"/>
      <c r="J88" s="402"/>
      <c r="K88" s="405"/>
      <c r="L88" s="347"/>
      <c r="M88" s="347"/>
      <c r="N88" s="236" t="s">
        <v>468</v>
      </c>
      <c r="O88" s="341"/>
      <c r="P88" s="229">
        <v>5040</v>
      </c>
      <c r="Q88" s="230" t="s">
        <v>507</v>
      </c>
      <c r="R88" s="231"/>
      <c r="S88" s="229"/>
      <c r="T88" s="229"/>
      <c r="U88" s="344"/>
      <c r="V88" s="399"/>
      <c r="W88" s="359"/>
      <c r="X88" s="2">
        <v>110</v>
      </c>
    </row>
    <row r="89" spans="1:24" x14ac:dyDescent="0.3">
      <c r="A89" s="338"/>
      <c r="B89" s="347"/>
      <c r="C89" s="347"/>
      <c r="D89" s="347"/>
      <c r="E89" s="347"/>
      <c r="F89" s="341"/>
      <c r="G89" s="353"/>
      <c r="H89" s="344"/>
      <c r="I89" s="356"/>
      <c r="J89" s="402"/>
      <c r="K89" s="405"/>
      <c r="L89" s="347"/>
      <c r="M89" s="347"/>
      <c r="N89" s="230">
        <v>45473</v>
      </c>
      <c r="O89" s="341"/>
      <c r="P89" s="229">
        <v>3480</v>
      </c>
      <c r="Q89" s="230">
        <v>45484</v>
      </c>
      <c r="R89" s="231"/>
      <c r="S89" s="229"/>
      <c r="T89" s="229"/>
      <c r="U89" s="344"/>
      <c r="V89" s="399"/>
      <c r="W89" s="359"/>
      <c r="X89" s="2">
        <v>110</v>
      </c>
    </row>
    <row r="90" spans="1:24" x14ac:dyDescent="0.3">
      <c r="A90" s="339"/>
      <c r="B90" s="348"/>
      <c r="C90" s="348"/>
      <c r="D90" s="348"/>
      <c r="E90" s="348"/>
      <c r="F90" s="342"/>
      <c r="G90" s="354"/>
      <c r="H90" s="345"/>
      <c r="I90" s="357"/>
      <c r="J90" s="403"/>
      <c r="K90" s="406"/>
      <c r="L90" s="348"/>
      <c r="M90" s="348"/>
      <c r="N90" s="233">
        <v>45473</v>
      </c>
      <c r="O90" s="342"/>
      <c r="P90" s="232">
        <v>4060</v>
      </c>
      <c r="Q90" s="233">
        <v>45484</v>
      </c>
      <c r="R90" s="234"/>
      <c r="S90" s="232"/>
      <c r="T90" s="232"/>
      <c r="U90" s="345"/>
      <c r="V90" s="400"/>
      <c r="W90" s="360"/>
      <c r="X90" s="2">
        <v>110</v>
      </c>
    </row>
    <row r="91" spans="1:24" s="85" customFormat="1" ht="77.400000000000006" customHeight="1" x14ac:dyDescent="0.3">
      <c r="A91" s="337">
        <v>11</v>
      </c>
      <c r="B91" s="346" t="s">
        <v>56</v>
      </c>
      <c r="C91" s="346"/>
      <c r="D91" s="346"/>
      <c r="E91" s="346" t="s">
        <v>231</v>
      </c>
      <c r="F91" s="340" t="s">
        <v>220</v>
      </c>
      <c r="G91" s="352" t="s">
        <v>232</v>
      </c>
      <c r="H91" s="343">
        <v>27406.080000000002</v>
      </c>
      <c r="I91" s="355">
        <f>IF(X91 = 111, H91 + SUM(S91:S96) - SUM(T91:T96) - SUM(P91:P96) - V91,0)</f>
        <v>13703.04</v>
      </c>
      <c r="J91" s="401">
        <v>2310163739</v>
      </c>
      <c r="K91" s="404" t="s">
        <v>149</v>
      </c>
      <c r="L91" s="346"/>
      <c r="M91" s="346" t="s">
        <v>188</v>
      </c>
      <c r="N91" s="235" t="s">
        <v>257</v>
      </c>
      <c r="O91" s="340" t="s">
        <v>233</v>
      </c>
      <c r="P91" s="226">
        <v>2283.84</v>
      </c>
      <c r="Q91" s="225" t="s">
        <v>316</v>
      </c>
      <c r="R91" s="224"/>
      <c r="S91" s="226"/>
      <c r="T91" s="226"/>
      <c r="U91" s="343"/>
      <c r="V91" s="398"/>
      <c r="W91" s="358"/>
      <c r="X91" s="85">
        <v>111</v>
      </c>
    </row>
    <row r="92" spans="1:24" x14ac:dyDescent="0.3">
      <c r="A92" s="338"/>
      <c r="B92" s="347"/>
      <c r="C92" s="347"/>
      <c r="D92" s="347"/>
      <c r="E92" s="347"/>
      <c r="F92" s="341"/>
      <c r="G92" s="353"/>
      <c r="H92" s="344"/>
      <c r="I92" s="356"/>
      <c r="J92" s="402"/>
      <c r="K92" s="405"/>
      <c r="L92" s="347"/>
      <c r="M92" s="347"/>
      <c r="N92" s="236" t="s">
        <v>312</v>
      </c>
      <c r="O92" s="341"/>
      <c r="P92" s="229">
        <v>2283.84</v>
      </c>
      <c r="Q92" s="230" t="s">
        <v>316</v>
      </c>
      <c r="R92" s="231"/>
      <c r="S92" s="229"/>
      <c r="T92" s="229"/>
      <c r="U92" s="344"/>
      <c r="V92" s="399"/>
      <c r="W92" s="359"/>
      <c r="X92" s="2">
        <v>111</v>
      </c>
    </row>
    <row r="93" spans="1:24" x14ac:dyDescent="0.3">
      <c r="A93" s="338"/>
      <c r="B93" s="347"/>
      <c r="C93" s="347"/>
      <c r="D93" s="347"/>
      <c r="E93" s="347"/>
      <c r="F93" s="341"/>
      <c r="G93" s="353"/>
      <c r="H93" s="344"/>
      <c r="I93" s="356"/>
      <c r="J93" s="402"/>
      <c r="K93" s="405"/>
      <c r="L93" s="347"/>
      <c r="M93" s="347"/>
      <c r="N93" s="236" t="s">
        <v>403</v>
      </c>
      <c r="O93" s="341"/>
      <c r="P93" s="229">
        <v>2283.84</v>
      </c>
      <c r="Q93" s="230" t="s">
        <v>401</v>
      </c>
      <c r="R93" s="231"/>
      <c r="S93" s="229"/>
      <c r="T93" s="229"/>
      <c r="U93" s="344"/>
      <c r="V93" s="399"/>
      <c r="W93" s="359"/>
      <c r="X93" s="2">
        <v>111</v>
      </c>
    </row>
    <row r="94" spans="1:24" x14ac:dyDescent="0.3">
      <c r="A94" s="338"/>
      <c r="B94" s="347"/>
      <c r="C94" s="347"/>
      <c r="D94" s="347"/>
      <c r="E94" s="347"/>
      <c r="F94" s="341"/>
      <c r="G94" s="353"/>
      <c r="H94" s="344"/>
      <c r="I94" s="356"/>
      <c r="J94" s="402"/>
      <c r="K94" s="405"/>
      <c r="L94" s="347"/>
      <c r="M94" s="347"/>
      <c r="N94" s="236" t="s">
        <v>412</v>
      </c>
      <c r="O94" s="341"/>
      <c r="P94" s="229">
        <v>2283.84</v>
      </c>
      <c r="Q94" s="230" t="s">
        <v>456</v>
      </c>
      <c r="R94" s="231"/>
      <c r="S94" s="229"/>
      <c r="T94" s="229"/>
      <c r="U94" s="344"/>
      <c r="V94" s="399"/>
      <c r="W94" s="359"/>
      <c r="X94" s="2">
        <v>111</v>
      </c>
    </row>
    <row r="95" spans="1:24" x14ac:dyDescent="0.3">
      <c r="A95" s="338"/>
      <c r="B95" s="347"/>
      <c r="C95" s="347"/>
      <c r="D95" s="347"/>
      <c r="E95" s="347"/>
      <c r="F95" s="341"/>
      <c r="G95" s="353"/>
      <c r="H95" s="344"/>
      <c r="I95" s="356"/>
      <c r="J95" s="402"/>
      <c r="K95" s="405"/>
      <c r="L95" s="347"/>
      <c r="M95" s="347"/>
      <c r="N95" s="236" t="s">
        <v>468</v>
      </c>
      <c r="O95" s="341"/>
      <c r="P95" s="229">
        <v>2283.84</v>
      </c>
      <c r="Q95" s="230" t="s">
        <v>507</v>
      </c>
      <c r="R95" s="231"/>
      <c r="S95" s="229"/>
      <c r="T95" s="229"/>
      <c r="U95" s="344"/>
      <c r="V95" s="399"/>
      <c r="W95" s="359"/>
      <c r="X95" s="2">
        <v>111</v>
      </c>
    </row>
    <row r="96" spans="1:24" x14ac:dyDescent="0.3">
      <c r="A96" s="339"/>
      <c r="B96" s="348"/>
      <c r="C96" s="348"/>
      <c r="D96" s="348"/>
      <c r="E96" s="348"/>
      <c r="F96" s="342"/>
      <c r="G96" s="354"/>
      <c r="H96" s="345"/>
      <c r="I96" s="357"/>
      <c r="J96" s="403"/>
      <c r="K96" s="406"/>
      <c r="L96" s="348"/>
      <c r="M96" s="348"/>
      <c r="N96" s="237">
        <v>45471</v>
      </c>
      <c r="O96" s="342"/>
      <c r="P96" s="232">
        <v>2283.84</v>
      </c>
      <c r="Q96" s="233">
        <v>45476</v>
      </c>
      <c r="R96" s="234"/>
      <c r="S96" s="232"/>
      <c r="T96" s="232"/>
      <c r="U96" s="345"/>
      <c r="V96" s="400"/>
      <c r="W96" s="360"/>
      <c r="X96" s="2">
        <v>111</v>
      </c>
    </row>
    <row r="97" spans="1:24" s="85" customFormat="1" ht="54" customHeight="1" x14ac:dyDescent="0.3">
      <c r="A97" s="438">
        <v>12</v>
      </c>
      <c r="B97" s="410" t="s">
        <v>56</v>
      </c>
      <c r="C97" s="410"/>
      <c r="D97" s="410"/>
      <c r="E97" s="410" t="s">
        <v>182</v>
      </c>
      <c r="F97" s="441" t="s">
        <v>252</v>
      </c>
      <c r="G97" s="444" t="s">
        <v>226</v>
      </c>
      <c r="H97" s="407">
        <v>48651.199999999997</v>
      </c>
      <c r="I97" s="469">
        <f>IF(X97 = 112, H97 + SUM(S97:S102) - SUM(T97:T102) - SUM(P97:P102) - V97,0)</f>
        <v>0</v>
      </c>
      <c r="J97" s="472">
        <v>2353020735</v>
      </c>
      <c r="K97" s="475" t="s">
        <v>177</v>
      </c>
      <c r="L97" s="410"/>
      <c r="M97" s="410" t="s">
        <v>201</v>
      </c>
      <c r="N97" s="167" t="s">
        <v>257</v>
      </c>
      <c r="O97" s="441" t="s">
        <v>178</v>
      </c>
      <c r="P97" s="160">
        <v>5517</v>
      </c>
      <c r="Q97" s="159" t="s">
        <v>259</v>
      </c>
      <c r="R97" s="158"/>
      <c r="S97" s="160"/>
      <c r="T97" s="160"/>
      <c r="U97" s="407" t="s">
        <v>453</v>
      </c>
      <c r="V97" s="447">
        <v>26992</v>
      </c>
      <c r="W97" s="466"/>
      <c r="X97" s="85">
        <v>112</v>
      </c>
    </row>
    <row r="98" spans="1:24" x14ac:dyDescent="0.3">
      <c r="A98" s="439"/>
      <c r="B98" s="411"/>
      <c r="C98" s="411"/>
      <c r="D98" s="411"/>
      <c r="E98" s="411"/>
      <c r="F98" s="442"/>
      <c r="G98" s="445"/>
      <c r="H98" s="408"/>
      <c r="I98" s="470"/>
      <c r="J98" s="473"/>
      <c r="K98" s="476"/>
      <c r="L98" s="411"/>
      <c r="M98" s="411"/>
      <c r="N98" s="168" t="s">
        <v>257</v>
      </c>
      <c r="O98" s="442"/>
      <c r="P98" s="161">
        <v>2204.8000000000002</v>
      </c>
      <c r="Q98" s="162" t="s">
        <v>259</v>
      </c>
      <c r="R98" s="163"/>
      <c r="S98" s="161"/>
      <c r="T98" s="161"/>
      <c r="U98" s="408"/>
      <c r="V98" s="448"/>
      <c r="W98" s="467"/>
      <c r="X98" s="2">
        <v>112</v>
      </c>
    </row>
    <row r="99" spans="1:24" x14ac:dyDescent="0.3">
      <c r="A99" s="439"/>
      <c r="B99" s="411"/>
      <c r="C99" s="411"/>
      <c r="D99" s="411"/>
      <c r="E99" s="411"/>
      <c r="F99" s="442"/>
      <c r="G99" s="445"/>
      <c r="H99" s="408"/>
      <c r="I99" s="470"/>
      <c r="J99" s="473"/>
      <c r="K99" s="476"/>
      <c r="L99" s="411"/>
      <c r="M99" s="411"/>
      <c r="N99" s="168" t="s">
        <v>312</v>
      </c>
      <c r="O99" s="442"/>
      <c r="P99" s="161">
        <v>6201</v>
      </c>
      <c r="Q99" s="162" t="s">
        <v>327</v>
      </c>
      <c r="R99" s="163"/>
      <c r="S99" s="161"/>
      <c r="T99" s="161"/>
      <c r="U99" s="408"/>
      <c r="V99" s="448"/>
      <c r="W99" s="467"/>
      <c r="X99" s="2">
        <v>112</v>
      </c>
    </row>
    <row r="100" spans="1:24" x14ac:dyDescent="0.3">
      <c r="A100" s="439"/>
      <c r="B100" s="411"/>
      <c r="C100" s="411"/>
      <c r="D100" s="411"/>
      <c r="E100" s="411"/>
      <c r="F100" s="442"/>
      <c r="G100" s="445"/>
      <c r="H100" s="408"/>
      <c r="I100" s="470"/>
      <c r="J100" s="473"/>
      <c r="K100" s="476"/>
      <c r="L100" s="411"/>
      <c r="M100" s="411"/>
      <c r="N100" s="168" t="s">
        <v>312</v>
      </c>
      <c r="O100" s="442"/>
      <c r="P100" s="161">
        <v>2246.4</v>
      </c>
      <c r="Q100" s="162" t="s">
        <v>327</v>
      </c>
      <c r="R100" s="163"/>
      <c r="S100" s="161"/>
      <c r="T100" s="161"/>
      <c r="U100" s="408"/>
      <c r="V100" s="448"/>
      <c r="W100" s="467"/>
      <c r="X100" s="2">
        <v>112</v>
      </c>
    </row>
    <row r="101" spans="1:24" x14ac:dyDescent="0.3">
      <c r="A101" s="439"/>
      <c r="B101" s="411"/>
      <c r="C101" s="411"/>
      <c r="D101" s="411"/>
      <c r="E101" s="411"/>
      <c r="F101" s="442"/>
      <c r="G101" s="445"/>
      <c r="H101" s="408"/>
      <c r="I101" s="470"/>
      <c r="J101" s="473"/>
      <c r="K101" s="476"/>
      <c r="L101" s="411"/>
      <c r="M101" s="411"/>
      <c r="N101" s="168" t="s">
        <v>421</v>
      </c>
      <c r="O101" s="442"/>
      <c r="P101" s="161">
        <v>4086</v>
      </c>
      <c r="Q101" s="162" t="s">
        <v>404</v>
      </c>
      <c r="R101" s="163"/>
      <c r="S101" s="161"/>
      <c r="T101" s="161"/>
      <c r="U101" s="408"/>
      <c r="V101" s="448"/>
      <c r="W101" s="467"/>
      <c r="X101" s="2">
        <v>112</v>
      </c>
    </row>
    <row r="102" spans="1:24" x14ac:dyDescent="0.3">
      <c r="A102" s="440"/>
      <c r="B102" s="412"/>
      <c r="C102" s="412"/>
      <c r="D102" s="412"/>
      <c r="E102" s="412"/>
      <c r="F102" s="443"/>
      <c r="G102" s="446"/>
      <c r="H102" s="409"/>
      <c r="I102" s="471"/>
      <c r="J102" s="474"/>
      <c r="K102" s="477"/>
      <c r="L102" s="412"/>
      <c r="M102" s="412"/>
      <c r="N102" s="169" t="s">
        <v>421</v>
      </c>
      <c r="O102" s="443"/>
      <c r="P102" s="164">
        <v>1404</v>
      </c>
      <c r="Q102" s="165" t="s">
        <v>404</v>
      </c>
      <c r="R102" s="166"/>
      <c r="S102" s="164"/>
      <c r="T102" s="164"/>
      <c r="U102" s="409"/>
      <c r="V102" s="449"/>
      <c r="W102" s="468"/>
      <c r="X102" s="2">
        <v>112</v>
      </c>
    </row>
    <row r="103" spans="1:24" s="85" customFormat="1" ht="77.400000000000006" customHeight="1" x14ac:dyDescent="0.3">
      <c r="A103" s="113">
        <v>13</v>
      </c>
      <c r="B103" s="114" t="s">
        <v>56</v>
      </c>
      <c r="C103" s="114"/>
      <c r="D103" s="114"/>
      <c r="E103" s="114" t="s">
        <v>211</v>
      </c>
      <c r="F103" s="121" t="s">
        <v>185</v>
      </c>
      <c r="G103" s="115" t="s">
        <v>213</v>
      </c>
      <c r="H103" s="116">
        <v>56371.199999999997</v>
      </c>
      <c r="I103" s="117">
        <f>IF(X103 = 113, H103 + SUM(S103:S103) - SUM(T103:T103) - SUM(P103:P103) - V103,0)</f>
        <v>0</v>
      </c>
      <c r="J103" s="118">
        <v>235300578903</v>
      </c>
      <c r="K103" s="119" t="s">
        <v>147</v>
      </c>
      <c r="L103" s="114"/>
      <c r="M103" s="114" t="s">
        <v>273</v>
      </c>
      <c r="N103" s="121" t="s">
        <v>274</v>
      </c>
      <c r="O103" s="121" t="s">
        <v>180</v>
      </c>
      <c r="P103" s="116">
        <v>56371.199999999997</v>
      </c>
      <c r="Q103" s="115" t="s">
        <v>249</v>
      </c>
      <c r="R103" s="114"/>
      <c r="S103" s="116"/>
      <c r="T103" s="116"/>
      <c r="U103" s="116"/>
      <c r="V103" s="120"/>
      <c r="W103" s="112"/>
      <c r="X103" s="85">
        <v>113</v>
      </c>
    </row>
    <row r="104" spans="1:24" s="85" customFormat="1" ht="93.6" customHeight="1" x14ac:dyDescent="0.3">
      <c r="A104" s="113">
        <v>14</v>
      </c>
      <c r="B104" s="114" t="s">
        <v>56</v>
      </c>
      <c r="C104" s="114"/>
      <c r="D104" s="114"/>
      <c r="E104" s="114" t="s">
        <v>277</v>
      </c>
      <c r="F104" s="121" t="s">
        <v>278</v>
      </c>
      <c r="G104" s="115" t="s">
        <v>279</v>
      </c>
      <c r="H104" s="116">
        <v>9500</v>
      </c>
      <c r="I104" s="117">
        <f>IF(X104 = 114, H104 + SUM(S104:S104) - SUM(T104:T104) - SUM(P104:P104) - V104,0)</f>
        <v>0</v>
      </c>
      <c r="J104" s="118">
        <v>2353015365</v>
      </c>
      <c r="K104" s="119" t="s">
        <v>280</v>
      </c>
      <c r="L104" s="114"/>
      <c r="M104" s="114" t="s">
        <v>281</v>
      </c>
      <c r="N104" s="121" t="s">
        <v>320</v>
      </c>
      <c r="O104" s="121" t="s">
        <v>308</v>
      </c>
      <c r="P104" s="116">
        <v>9500</v>
      </c>
      <c r="Q104" s="115" t="s">
        <v>318</v>
      </c>
      <c r="R104" s="114"/>
      <c r="S104" s="116"/>
      <c r="T104" s="116"/>
      <c r="U104" s="116"/>
      <c r="V104" s="120"/>
      <c r="W104" s="112"/>
      <c r="X104" s="85">
        <v>114</v>
      </c>
    </row>
    <row r="105" spans="1:24" s="85" customFormat="1" ht="76.2" customHeight="1" x14ac:dyDescent="0.3">
      <c r="A105" s="337">
        <v>15</v>
      </c>
      <c r="B105" s="346" t="s">
        <v>56</v>
      </c>
      <c r="C105" s="346"/>
      <c r="D105" s="346"/>
      <c r="E105" s="346" t="s">
        <v>292</v>
      </c>
      <c r="F105" s="340" t="s">
        <v>293</v>
      </c>
      <c r="G105" s="352" t="s">
        <v>213</v>
      </c>
      <c r="H105" s="343">
        <v>532480</v>
      </c>
      <c r="I105" s="355">
        <f>IF(X105 = 117, H105 + SUM(S105:S108) - SUM(T105:T108) - SUM(P105:P108) - V105,0)</f>
        <v>164072</v>
      </c>
      <c r="J105" s="401">
        <v>235300578903</v>
      </c>
      <c r="K105" s="404" t="s">
        <v>147</v>
      </c>
      <c r="L105" s="346"/>
      <c r="M105" s="346" t="s">
        <v>294</v>
      </c>
      <c r="N105" s="235" t="s">
        <v>402</v>
      </c>
      <c r="O105" s="340" t="s">
        <v>180</v>
      </c>
      <c r="P105" s="226">
        <v>79872</v>
      </c>
      <c r="Q105" s="225" t="s">
        <v>404</v>
      </c>
      <c r="R105" s="224"/>
      <c r="S105" s="226"/>
      <c r="T105" s="226"/>
      <c r="U105" s="343"/>
      <c r="V105" s="398"/>
      <c r="W105" s="358"/>
      <c r="X105" s="85">
        <v>117</v>
      </c>
    </row>
    <row r="106" spans="1:24" x14ac:dyDescent="0.3">
      <c r="A106" s="338"/>
      <c r="B106" s="347"/>
      <c r="C106" s="347"/>
      <c r="D106" s="347"/>
      <c r="E106" s="347"/>
      <c r="F106" s="341"/>
      <c r="G106" s="353"/>
      <c r="H106" s="344"/>
      <c r="I106" s="356"/>
      <c r="J106" s="402"/>
      <c r="K106" s="405"/>
      <c r="L106" s="347"/>
      <c r="M106" s="347"/>
      <c r="N106" s="236" t="s">
        <v>454</v>
      </c>
      <c r="O106" s="341"/>
      <c r="P106" s="229">
        <v>109824</v>
      </c>
      <c r="Q106" s="230" t="s">
        <v>459</v>
      </c>
      <c r="R106" s="231"/>
      <c r="S106" s="229"/>
      <c r="T106" s="229"/>
      <c r="U106" s="344"/>
      <c r="V106" s="399"/>
      <c r="W106" s="359"/>
      <c r="X106" s="2">
        <v>117</v>
      </c>
    </row>
    <row r="107" spans="1:24" x14ac:dyDescent="0.3">
      <c r="A107" s="338"/>
      <c r="B107" s="347"/>
      <c r="C107" s="347"/>
      <c r="D107" s="347"/>
      <c r="E107" s="347"/>
      <c r="F107" s="341"/>
      <c r="G107" s="353"/>
      <c r="H107" s="344"/>
      <c r="I107" s="356"/>
      <c r="J107" s="402"/>
      <c r="K107" s="405"/>
      <c r="L107" s="347"/>
      <c r="M107" s="347"/>
      <c r="N107" s="236" t="s">
        <v>468</v>
      </c>
      <c r="O107" s="341"/>
      <c r="P107" s="229">
        <v>110336</v>
      </c>
      <c r="Q107" s="230" t="s">
        <v>507</v>
      </c>
      <c r="R107" s="231"/>
      <c r="S107" s="229"/>
      <c r="T107" s="229"/>
      <c r="U107" s="344"/>
      <c r="V107" s="399"/>
      <c r="W107" s="359"/>
      <c r="X107" s="2">
        <v>117</v>
      </c>
    </row>
    <row r="108" spans="1:24" x14ac:dyDescent="0.3">
      <c r="A108" s="339"/>
      <c r="B108" s="348"/>
      <c r="C108" s="348"/>
      <c r="D108" s="348"/>
      <c r="E108" s="348"/>
      <c r="F108" s="342"/>
      <c r="G108" s="354"/>
      <c r="H108" s="345"/>
      <c r="I108" s="357"/>
      <c r="J108" s="403"/>
      <c r="K108" s="406"/>
      <c r="L108" s="348"/>
      <c r="M108" s="348"/>
      <c r="N108" s="233">
        <v>45472</v>
      </c>
      <c r="O108" s="342"/>
      <c r="P108" s="232">
        <v>68376</v>
      </c>
      <c r="Q108" s="233">
        <v>45477</v>
      </c>
      <c r="R108" s="234"/>
      <c r="S108" s="232"/>
      <c r="T108" s="232"/>
      <c r="U108" s="345"/>
      <c r="V108" s="400"/>
      <c r="W108" s="360"/>
      <c r="X108" s="2">
        <v>117</v>
      </c>
    </row>
    <row r="109" spans="1:24" s="85" customFormat="1" ht="90" x14ac:dyDescent="0.3">
      <c r="A109" s="113">
        <v>16</v>
      </c>
      <c r="B109" s="114" t="s">
        <v>56</v>
      </c>
      <c r="C109" s="114"/>
      <c r="D109" s="114" t="s">
        <v>295</v>
      </c>
      <c r="E109" s="114" t="s">
        <v>57</v>
      </c>
      <c r="F109" s="121" t="s">
        <v>296</v>
      </c>
      <c r="G109" s="115" t="s">
        <v>297</v>
      </c>
      <c r="H109" s="116">
        <v>72125</v>
      </c>
      <c r="I109" s="117">
        <f>IF(X109 = 118, H109 + SUM(S109:S109) - SUM(T109:T109) - SUM(P109:P109) - V109,0)</f>
        <v>0</v>
      </c>
      <c r="J109" s="118">
        <v>2636040789</v>
      </c>
      <c r="K109" s="119" t="s">
        <v>298</v>
      </c>
      <c r="L109" s="114"/>
      <c r="M109" s="114" t="s">
        <v>299</v>
      </c>
      <c r="N109" s="121" t="s">
        <v>315</v>
      </c>
      <c r="O109" s="121" t="s">
        <v>300</v>
      </c>
      <c r="P109" s="116">
        <v>72125</v>
      </c>
      <c r="Q109" s="115" t="s">
        <v>317</v>
      </c>
      <c r="R109" s="114"/>
      <c r="S109" s="116"/>
      <c r="T109" s="116"/>
      <c r="U109" s="116"/>
      <c r="V109" s="120"/>
      <c r="W109" s="112"/>
      <c r="X109" s="85">
        <v>118</v>
      </c>
    </row>
    <row r="110" spans="1:24" s="85" customFormat="1" ht="54" customHeight="1" x14ac:dyDescent="0.3">
      <c r="A110" s="486">
        <v>17</v>
      </c>
      <c r="B110" s="417" t="s">
        <v>56</v>
      </c>
      <c r="C110" s="417"/>
      <c r="D110" s="417"/>
      <c r="E110" s="417" t="s">
        <v>354</v>
      </c>
      <c r="F110" s="420" t="s">
        <v>340</v>
      </c>
      <c r="G110" s="423" t="s">
        <v>372</v>
      </c>
      <c r="H110" s="426">
        <v>429932.3</v>
      </c>
      <c r="I110" s="429">
        <f>IF(X110 = 119, H110 + SUM(S110:S121) - SUM(T110:T121) - SUM(P110:P121) - V110,0)</f>
        <v>71135.919999999984</v>
      </c>
      <c r="J110" s="432">
        <v>2353020735</v>
      </c>
      <c r="K110" s="435" t="s">
        <v>177</v>
      </c>
      <c r="L110" s="417"/>
      <c r="M110" s="417" t="s">
        <v>362</v>
      </c>
      <c r="N110" s="212" t="s">
        <v>404</v>
      </c>
      <c r="O110" s="420" t="s">
        <v>178</v>
      </c>
      <c r="P110" s="205">
        <v>47651.85</v>
      </c>
      <c r="Q110" s="204" t="s">
        <v>423</v>
      </c>
      <c r="R110" s="203"/>
      <c r="S110" s="205"/>
      <c r="T110" s="205"/>
      <c r="U110" s="426"/>
      <c r="V110" s="483"/>
      <c r="W110" s="480"/>
      <c r="X110" s="85">
        <v>119</v>
      </c>
    </row>
    <row r="111" spans="1:24" x14ac:dyDescent="0.3">
      <c r="A111" s="487"/>
      <c r="B111" s="418"/>
      <c r="C111" s="418"/>
      <c r="D111" s="418"/>
      <c r="E111" s="418"/>
      <c r="F111" s="421"/>
      <c r="G111" s="424"/>
      <c r="H111" s="427"/>
      <c r="I111" s="430"/>
      <c r="J111" s="433"/>
      <c r="K111" s="436"/>
      <c r="L111" s="418"/>
      <c r="M111" s="418"/>
      <c r="N111" s="213" t="s">
        <v>404</v>
      </c>
      <c r="O111" s="421"/>
      <c r="P111" s="206">
        <v>3041.66</v>
      </c>
      <c r="Q111" s="207" t="s">
        <v>423</v>
      </c>
      <c r="R111" s="208"/>
      <c r="S111" s="206"/>
      <c r="T111" s="206"/>
      <c r="U111" s="427"/>
      <c r="V111" s="484"/>
      <c r="W111" s="481"/>
      <c r="X111" s="2">
        <v>119</v>
      </c>
    </row>
    <row r="112" spans="1:24" x14ac:dyDescent="0.3">
      <c r="A112" s="487"/>
      <c r="B112" s="418"/>
      <c r="C112" s="418"/>
      <c r="D112" s="418"/>
      <c r="E112" s="418"/>
      <c r="F112" s="421"/>
      <c r="G112" s="424"/>
      <c r="H112" s="427"/>
      <c r="I112" s="430"/>
      <c r="J112" s="433"/>
      <c r="K112" s="436"/>
      <c r="L112" s="418"/>
      <c r="M112" s="418"/>
      <c r="N112" s="213" t="s">
        <v>424</v>
      </c>
      <c r="O112" s="421"/>
      <c r="P112" s="206">
        <v>99267.520000000004</v>
      </c>
      <c r="Q112" s="207" t="s">
        <v>425</v>
      </c>
      <c r="R112" s="208"/>
      <c r="S112" s="206"/>
      <c r="T112" s="206"/>
      <c r="U112" s="427"/>
      <c r="V112" s="484"/>
      <c r="W112" s="481"/>
      <c r="X112" s="2">
        <v>119</v>
      </c>
    </row>
    <row r="113" spans="1:24" x14ac:dyDescent="0.3">
      <c r="A113" s="487"/>
      <c r="B113" s="418"/>
      <c r="C113" s="418"/>
      <c r="D113" s="418"/>
      <c r="E113" s="418"/>
      <c r="F113" s="421"/>
      <c r="G113" s="424"/>
      <c r="H113" s="427"/>
      <c r="I113" s="430"/>
      <c r="J113" s="433"/>
      <c r="K113" s="436"/>
      <c r="L113" s="418"/>
      <c r="M113" s="418"/>
      <c r="N113" s="213" t="s">
        <v>424</v>
      </c>
      <c r="O113" s="421"/>
      <c r="P113" s="206">
        <v>6336.32</v>
      </c>
      <c r="Q113" s="207" t="s">
        <v>425</v>
      </c>
      <c r="R113" s="208"/>
      <c r="S113" s="206"/>
      <c r="T113" s="206"/>
      <c r="U113" s="427"/>
      <c r="V113" s="484"/>
      <c r="W113" s="481"/>
      <c r="X113" s="2">
        <v>119</v>
      </c>
    </row>
    <row r="114" spans="1:24" x14ac:dyDescent="0.3">
      <c r="A114" s="487"/>
      <c r="B114" s="418"/>
      <c r="C114" s="418"/>
      <c r="D114" s="418"/>
      <c r="E114" s="418"/>
      <c r="F114" s="421"/>
      <c r="G114" s="424"/>
      <c r="H114" s="427"/>
      <c r="I114" s="430"/>
      <c r="J114" s="433"/>
      <c r="K114" s="436"/>
      <c r="L114" s="418"/>
      <c r="M114" s="418"/>
      <c r="N114" s="213" t="s">
        <v>412</v>
      </c>
      <c r="O114" s="421"/>
      <c r="P114" s="206">
        <v>55751.81</v>
      </c>
      <c r="Q114" s="207" t="s">
        <v>463</v>
      </c>
      <c r="R114" s="208"/>
      <c r="S114" s="206"/>
      <c r="T114" s="206"/>
      <c r="U114" s="427"/>
      <c r="V114" s="484"/>
      <c r="W114" s="481"/>
      <c r="X114" s="2">
        <v>119</v>
      </c>
    </row>
    <row r="115" spans="1:24" x14ac:dyDescent="0.3">
      <c r="A115" s="487"/>
      <c r="B115" s="418"/>
      <c r="C115" s="418"/>
      <c r="D115" s="418"/>
      <c r="E115" s="418"/>
      <c r="F115" s="421"/>
      <c r="G115" s="424"/>
      <c r="H115" s="427"/>
      <c r="I115" s="430"/>
      <c r="J115" s="433"/>
      <c r="K115" s="436"/>
      <c r="L115" s="418"/>
      <c r="M115" s="418"/>
      <c r="N115" s="213" t="s">
        <v>412</v>
      </c>
      <c r="O115" s="421"/>
      <c r="P115" s="206">
        <v>3558.68</v>
      </c>
      <c r="Q115" s="207" t="s">
        <v>463</v>
      </c>
      <c r="R115" s="208"/>
      <c r="S115" s="206"/>
      <c r="T115" s="206"/>
      <c r="U115" s="427"/>
      <c r="V115" s="484"/>
      <c r="W115" s="481"/>
      <c r="X115" s="2">
        <v>119</v>
      </c>
    </row>
    <row r="116" spans="1:24" x14ac:dyDescent="0.3">
      <c r="A116" s="487"/>
      <c r="B116" s="418"/>
      <c r="C116" s="418"/>
      <c r="D116" s="418"/>
      <c r="E116" s="418"/>
      <c r="F116" s="421"/>
      <c r="G116" s="424"/>
      <c r="H116" s="427"/>
      <c r="I116" s="430"/>
      <c r="J116" s="433"/>
      <c r="K116" s="436"/>
      <c r="L116" s="418"/>
      <c r="M116" s="418"/>
      <c r="N116" s="213" t="s">
        <v>455</v>
      </c>
      <c r="O116" s="421"/>
      <c r="P116" s="206">
        <v>18785</v>
      </c>
      <c r="Q116" s="207" t="s">
        <v>469</v>
      </c>
      <c r="R116" s="208"/>
      <c r="S116" s="206"/>
      <c r="T116" s="206"/>
      <c r="U116" s="427"/>
      <c r="V116" s="484"/>
      <c r="W116" s="481"/>
      <c r="X116" s="2">
        <v>119</v>
      </c>
    </row>
    <row r="117" spans="1:24" x14ac:dyDescent="0.3">
      <c r="A117" s="487"/>
      <c r="B117" s="418"/>
      <c r="C117" s="418"/>
      <c r="D117" s="418"/>
      <c r="E117" s="418"/>
      <c r="F117" s="421"/>
      <c r="G117" s="424"/>
      <c r="H117" s="427"/>
      <c r="I117" s="430"/>
      <c r="J117" s="433"/>
      <c r="K117" s="436"/>
      <c r="L117" s="418"/>
      <c r="M117" s="418"/>
      <c r="N117" s="213" t="s">
        <v>455</v>
      </c>
      <c r="O117" s="421"/>
      <c r="P117" s="206">
        <v>1199.06</v>
      </c>
      <c r="Q117" s="207" t="s">
        <v>469</v>
      </c>
      <c r="R117" s="208"/>
      <c r="S117" s="206"/>
      <c r="T117" s="206"/>
      <c r="U117" s="427"/>
      <c r="V117" s="484"/>
      <c r="W117" s="481"/>
      <c r="X117" s="2">
        <v>119</v>
      </c>
    </row>
    <row r="118" spans="1:24" x14ac:dyDescent="0.3">
      <c r="A118" s="487"/>
      <c r="B118" s="418"/>
      <c r="C118" s="418"/>
      <c r="D118" s="418"/>
      <c r="E118" s="418"/>
      <c r="F118" s="421"/>
      <c r="G118" s="424"/>
      <c r="H118" s="427"/>
      <c r="I118" s="430"/>
      <c r="J118" s="433"/>
      <c r="K118" s="436"/>
      <c r="L118" s="418"/>
      <c r="M118" s="418"/>
      <c r="N118" s="213" t="s">
        <v>463</v>
      </c>
      <c r="O118" s="421"/>
      <c r="P118" s="206">
        <v>65230.48</v>
      </c>
      <c r="Q118" s="207" t="s">
        <v>466</v>
      </c>
      <c r="R118" s="208"/>
      <c r="S118" s="206"/>
      <c r="T118" s="206"/>
      <c r="U118" s="427"/>
      <c r="V118" s="484"/>
      <c r="W118" s="481"/>
      <c r="X118" s="2">
        <v>119</v>
      </c>
    </row>
    <row r="119" spans="1:24" x14ac:dyDescent="0.3">
      <c r="A119" s="487"/>
      <c r="B119" s="418"/>
      <c r="C119" s="418"/>
      <c r="D119" s="418"/>
      <c r="E119" s="418"/>
      <c r="F119" s="421"/>
      <c r="G119" s="424"/>
      <c r="H119" s="427"/>
      <c r="I119" s="430"/>
      <c r="J119" s="433"/>
      <c r="K119" s="436"/>
      <c r="L119" s="418"/>
      <c r="M119" s="418"/>
      <c r="N119" s="213" t="s">
        <v>463</v>
      </c>
      <c r="O119" s="421"/>
      <c r="P119" s="206">
        <v>4163.71</v>
      </c>
      <c r="Q119" s="207" t="s">
        <v>466</v>
      </c>
      <c r="R119" s="208"/>
      <c r="S119" s="206"/>
      <c r="T119" s="206"/>
      <c r="U119" s="427"/>
      <c r="V119" s="484"/>
      <c r="W119" s="481"/>
      <c r="X119" s="2">
        <v>119</v>
      </c>
    </row>
    <row r="120" spans="1:24" x14ac:dyDescent="0.3">
      <c r="A120" s="487"/>
      <c r="B120" s="418"/>
      <c r="C120" s="418"/>
      <c r="D120" s="418"/>
      <c r="E120" s="418"/>
      <c r="F120" s="421"/>
      <c r="G120" s="424"/>
      <c r="H120" s="427"/>
      <c r="I120" s="430"/>
      <c r="J120" s="433"/>
      <c r="K120" s="436"/>
      <c r="L120" s="418"/>
      <c r="M120" s="418"/>
      <c r="N120" s="213" t="s">
        <v>465</v>
      </c>
      <c r="O120" s="421"/>
      <c r="P120" s="206">
        <v>50581.63</v>
      </c>
      <c r="Q120" s="207" t="s">
        <v>503</v>
      </c>
      <c r="R120" s="208"/>
      <c r="S120" s="206"/>
      <c r="T120" s="206"/>
      <c r="U120" s="427"/>
      <c r="V120" s="484"/>
      <c r="W120" s="481"/>
      <c r="X120" s="2">
        <v>119</v>
      </c>
    </row>
    <row r="121" spans="1:24" x14ac:dyDescent="0.3">
      <c r="A121" s="488"/>
      <c r="B121" s="419"/>
      <c r="C121" s="419"/>
      <c r="D121" s="419"/>
      <c r="E121" s="419"/>
      <c r="F121" s="422"/>
      <c r="G121" s="425"/>
      <c r="H121" s="428"/>
      <c r="I121" s="431"/>
      <c r="J121" s="434"/>
      <c r="K121" s="437"/>
      <c r="L121" s="419"/>
      <c r="M121" s="419"/>
      <c r="N121" s="214" t="s">
        <v>465</v>
      </c>
      <c r="O121" s="422"/>
      <c r="P121" s="209">
        <v>3228.66</v>
      </c>
      <c r="Q121" s="210" t="s">
        <v>503</v>
      </c>
      <c r="R121" s="211"/>
      <c r="S121" s="209"/>
      <c r="T121" s="209"/>
      <c r="U121" s="428"/>
      <c r="V121" s="485"/>
      <c r="W121" s="482"/>
      <c r="X121" s="2">
        <v>119</v>
      </c>
    </row>
    <row r="122" spans="1:24" s="85" customFormat="1" ht="54" customHeight="1" x14ac:dyDescent="0.3">
      <c r="A122" s="486">
        <v>18</v>
      </c>
      <c r="B122" s="417" t="s">
        <v>56</v>
      </c>
      <c r="C122" s="417"/>
      <c r="D122" s="417"/>
      <c r="E122" s="417" t="s">
        <v>181</v>
      </c>
      <c r="F122" s="420" t="s">
        <v>340</v>
      </c>
      <c r="G122" s="423" t="s">
        <v>373</v>
      </c>
      <c r="H122" s="426">
        <v>140700</v>
      </c>
      <c r="I122" s="429">
        <f>IF(X122 = 120, H122 + SUM(S122:S127) - SUM(T122:T127) - SUM(P122:P127) - V122,0)</f>
        <v>23280</v>
      </c>
      <c r="J122" s="432">
        <v>2353020735</v>
      </c>
      <c r="K122" s="435" t="s">
        <v>177</v>
      </c>
      <c r="L122" s="417"/>
      <c r="M122" s="417" t="s">
        <v>362</v>
      </c>
      <c r="N122" s="212" t="s">
        <v>404</v>
      </c>
      <c r="O122" s="420" t="s">
        <v>178</v>
      </c>
      <c r="P122" s="205">
        <v>16590</v>
      </c>
      <c r="Q122" s="204" t="s">
        <v>423</v>
      </c>
      <c r="R122" s="203"/>
      <c r="S122" s="205"/>
      <c r="T122" s="205"/>
      <c r="U122" s="426"/>
      <c r="V122" s="483"/>
      <c r="W122" s="480"/>
      <c r="X122" s="85">
        <v>120</v>
      </c>
    </row>
    <row r="123" spans="1:24" x14ac:dyDescent="0.3">
      <c r="A123" s="487"/>
      <c r="B123" s="418"/>
      <c r="C123" s="418"/>
      <c r="D123" s="418"/>
      <c r="E123" s="418"/>
      <c r="F123" s="421"/>
      <c r="G123" s="424"/>
      <c r="H123" s="427"/>
      <c r="I123" s="430"/>
      <c r="J123" s="433"/>
      <c r="K123" s="436"/>
      <c r="L123" s="418"/>
      <c r="M123" s="418"/>
      <c r="N123" s="213" t="s">
        <v>424</v>
      </c>
      <c r="O123" s="421"/>
      <c r="P123" s="206">
        <v>34560</v>
      </c>
      <c r="Q123" s="207" t="s">
        <v>425</v>
      </c>
      <c r="R123" s="208"/>
      <c r="S123" s="206"/>
      <c r="T123" s="206"/>
      <c r="U123" s="427"/>
      <c r="V123" s="484"/>
      <c r="W123" s="481"/>
      <c r="X123" s="2">
        <v>120</v>
      </c>
    </row>
    <row r="124" spans="1:24" x14ac:dyDescent="0.3">
      <c r="A124" s="487"/>
      <c r="B124" s="418"/>
      <c r="C124" s="418"/>
      <c r="D124" s="418"/>
      <c r="E124" s="418"/>
      <c r="F124" s="421"/>
      <c r="G124" s="424"/>
      <c r="H124" s="427"/>
      <c r="I124" s="430"/>
      <c r="J124" s="433"/>
      <c r="K124" s="436"/>
      <c r="L124" s="418"/>
      <c r="M124" s="418"/>
      <c r="N124" s="213" t="s">
        <v>412</v>
      </c>
      <c r="O124" s="421"/>
      <c r="P124" s="206">
        <v>19410</v>
      </c>
      <c r="Q124" s="207" t="s">
        <v>458</v>
      </c>
      <c r="R124" s="208"/>
      <c r="S124" s="206"/>
      <c r="T124" s="206"/>
      <c r="U124" s="427"/>
      <c r="V124" s="484"/>
      <c r="W124" s="481"/>
      <c r="X124" s="2">
        <v>120</v>
      </c>
    </row>
    <row r="125" spans="1:24" x14ac:dyDescent="0.3">
      <c r="A125" s="487"/>
      <c r="B125" s="418"/>
      <c r="C125" s="418"/>
      <c r="D125" s="418"/>
      <c r="E125" s="418"/>
      <c r="F125" s="421"/>
      <c r="G125" s="424"/>
      <c r="H125" s="427"/>
      <c r="I125" s="430"/>
      <c r="J125" s="433"/>
      <c r="K125" s="436"/>
      <c r="L125" s="418"/>
      <c r="M125" s="418"/>
      <c r="N125" s="213" t="s">
        <v>455</v>
      </c>
      <c r="O125" s="421"/>
      <c r="P125" s="206">
        <v>6540</v>
      </c>
      <c r="Q125" s="207" t="s">
        <v>469</v>
      </c>
      <c r="R125" s="208"/>
      <c r="S125" s="206"/>
      <c r="T125" s="206"/>
      <c r="U125" s="427"/>
      <c r="V125" s="484"/>
      <c r="W125" s="481"/>
      <c r="X125" s="2">
        <v>120</v>
      </c>
    </row>
    <row r="126" spans="1:24" x14ac:dyDescent="0.3">
      <c r="A126" s="487"/>
      <c r="B126" s="418"/>
      <c r="C126" s="418"/>
      <c r="D126" s="418"/>
      <c r="E126" s="418"/>
      <c r="F126" s="421"/>
      <c r="G126" s="424"/>
      <c r="H126" s="427"/>
      <c r="I126" s="430"/>
      <c r="J126" s="433"/>
      <c r="K126" s="436"/>
      <c r="L126" s="418"/>
      <c r="M126" s="418"/>
      <c r="N126" s="213" t="s">
        <v>463</v>
      </c>
      <c r="O126" s="421"/>
      <c r="P126" s="206">
        <v>22710</v>
      </c>
      <c r="Q126" s="207" t="s">
        <v>466</v>
      </c>
      <c r="R126" s="208"/>
      <c r="S126" s="206"/>
      <c r="T126" s="206"/>
      <c r="U126" s="427"/>
      <c r="V126" s="484"/>
      <c r="W126" s="481"/>
      <c r="X126" s="2">
        <v>120</v>
      </c>
    </row>
    <row r="127" spans="1:24" x14ac:dyDescent="0.3">
      <c r="A127" s="488"/>
      <c r="B127" s="419"/>
      <c r="C127" s="419"/>
      <c r="D127" s="419"/>
      <c r="E127" s="419"/>
      <c r="F127" s="422"/>
      <c r="G127" s="425"/>
      <c r="H127" s="428"/>
      <c r="I127" s="431"/>
      <c r="J127" s="434"/>
      <c r="K127" s="437"/>
      <c r="L127" s="419"/>
      <c r="M127" s="419"/>
      <c r="N127" s="214" t="s">
        <v>465</v>
      </c>
      <c r="O127" s="422"/>
      <c r="P127" s="209">
        <v>17610</v>
      </c>
      <c r="Q127" s="210" t="s">
        <v>503</v>
      </c>
      <c r="R127" s="211"/>
      <c r="S127" s="209"/>
      <c r="T127" s="209"/>
      <c r="U127" s="428"/>
      <c r="V127" s="485"/>
      <c r="W127" s="482"/>
      <c r="X127" s="2">
        <v>120</v>
      </c>
    </row>
    <row r="128" spans="1:24" s="85" customFormat="1" ht="54" customHeight="1" x14ac:dyDescent="0.3">
      <c r="A128" s="486">
        <v>19</v>
      </c>
      <c r="B128" s="417" t="s">
        <v>56</v>
      </c>
      <c r="C128" s="417"/>
      <c r="D128" s="417"/>
      <c r="E128" s="417" t="s">
        <v>182</v>
      </c>
      <c r="F128" s="420" t="s">
        <v>340</v>
      </c>
      <c r="G128" s="423" t="s">
        <v>363</v>
      </c>
      <c r="H128" s="426">
        <v>31486</v>
      </c>
      <c r="I128" s="429">
        <f>IF(X128 = 121, H128 + SUM(S128:S131) - SUM(T128:T131) - SUM(P128:P131) - V128,0)</f>
        <v>18838.599999999999</v>
      </c>
      <c r="J128" s="432">
        <v>2353020735</v>
      </c>
      <c r="K128" s="435" t="s">
        <v>177</v>
      </c>
      <c r="L128" s="417"/>
      <c r="M128" s="417" t="s">
        <v>362</v>
      </c>
      <c r="N128" s="212" t="s">
        <v>412</v>
      </c>
      <c r="O128" s="420" t="s">
        <v>178</v>
      </c>
      <c r="P128" s="205">
        <v>5670</v>
      </c>
      <c r="Q128" s="204" t="s">
        <v>458</v>
      </c>
      <c r="R128" s="203"/>
      <c r="S128" s="205"/>
      <c r="T128" s="205"/>
      <c r="U128" s="426"/>
      <c r="V128" s="483"/>
      <c r="W128" s="480"/>
      <c r="X128" s="85">
        <v>121</v>
      </c>
    </row>
    <row r="129" spans="1:24" x14ac:dyDescent="0.3">
      <c r="A129" s="487"/>
      <c r="B129" s="418"/>
      <c r="C129" s="418"/>
      <c r="D129" s="418"/>
      <c r="E129" s="418"/>
      <c r="F129" s="421"/>
      <c r="G129" s="424"/>
      <c r="H129" s="427"/>
      <c r="I129" s="430"/>
      <c r="J129" s="433"/>
      <c r="K129" s="436"/>
      <c r="L129" s="418"/>
      <c r="M129" s="418"/>
      <c r="N129" s="213" t="s">
        <v>412</v>
      </c>
      <c r="O129" s="421"/>
      <c r="P129" s="206">
        <v>2028</v>
      </c>
      <c r="Q129" s="207" t="s">
        <v>458</v>
      </c>
      <c r="R129" s="208"/>
      <c r="S129" s="206"/>
      <c r="T129" s="206"/>
      <c r="U129" s="427"/>
      <c r="V129" s="484"/>
      <c r="W129" s="481"/>
      <c r="X129" s="2">
        <v>121</v>
      </c>
    </row>
    <row r="130" spans="1:24" x14ac:dyDescent="0.3">
      <c r="A130" s="487"/>
      <c r="B130" s="418"/>
      <c r="C130" s="418"/>
      <c r="D130" s="418"/>
      <c r="E130" s="418"/>
      <c r="F130" s="421"/>
      <c r="G130" s="424"/>
      <c r="H130" s="427"/>
      <c r="I130" s="430"/>
      <c r="J130" s="433"/>
      <c r="K130" s="436"/>
      <c r="L130" s="418"/>
      <c r="M130" s="418"/>
      <c r="N130" s="213" t="s">
        <v>465</v>
      </c>
      <c r="O130" s="421"/>
      <c r="P130" s="206">
        <v>3483</v>
      </c>
      <c r="Q130" s="207" t="s">
        <v>503</v>
      </c>
      <c r="R130" s="208"/>
      <c r="S130" s="206"/>
      <c r="T130" s="206"/>
      <c r="U130" s="427"/>
      <c r="V130" s="484"/>
      <c r="W130" s="481"/>
      <c r="X130" s="2">
        <v>121</v>
      </c>
    </row>
    <row r="131" spans="1:24" x14ac:dyDescent="0.3">
      <c r="A131" s="488"/>
      <c r="B131" s="419"/>
      <c r="C131" s="419"/>
      <c r="D131" s="419"/>
      <c r="E131" s="419"/>
      <c r="F131" s="422"/>
      <c r="G131" s="425"/>
      <c r="H131" s="428"/>
      <c r="I131" s="431"/>
      <c r="J131" s="434"/>
      <c r="K131" s="437"/>
      <c r="L131" s="419"/>
      <c r="M131" s="419"/>
      <c r="N131" s="214" t="s">
        <v>465</v>
      </c>
      <c r="O131" s="422"/>
      <c r="P131" s="209">
        <v>1466.4</v>
      </c>
      <c r="Q131" s="210" t="s">
        <v>503</v>
      </c>
      <c r="R131" s="211"/>
      <c r="S131" s="209"/>
      <c r="T131" s="209"/>
      <c r="U131" s="428"/>
      <c r="V131" s="485"/>
      <c r="W131" s="482"/>
      <c r="X131" s="2">
        <v>121</v>
      </c>
    </row>
    <row r="132" spans="1:24" s="85" customFormat="1" ht="54" customHeight="1" x14ac:dyDescent="0.3">
      <c r="A132" s="486">
        <v>20</v>
      </c>
      <c r="B132" s="417" t="s">
        <v>56</v>
      </c>
      <c r="C132" s="417"/>
      <c r="D132" s="417"/>
      <c r="E132" s="417" t="s">
        <v>179</v>
      </c>
      <c r="F132" s="420" t="s">
        <v>340</v>
      </c>
      <c r="G132" s="423" t="s">
        <v>227</v>
      </c>
      <c r="H132" s="426">
        <v>82383</v>
      </c>
      <c r="I132" s="429">
        <f>IF(X132 = 122, H132 + SUM(S132:S143) - SUM(T132:T143) - SUM(P132:P143) - V132,0)</f>
        <v>33544.200000000004</v>
      </c>
      <c r="J132" s="432">
        <v>2353020735</v>
      </c>
      <c r="K132" s="435" t="s">
        <v>177</v>
      </c>
      <c r="L132" s="417"/>
      <c r="M132" s="417" t="s">
        <v>362</v>
      </c>
      <c r="N132" s="212" t="s">
        <v>412</v>
      </c>
      <c r="O132" s="420" t="s">
        <v>178</v>
      </c>
      <c r="P132" s="205">
        <v>6579.84</v>
      </c>
      <c r="Q132" s="204" t="s">
        <v>458</v>
      </c>
      <c r="R132" s="203"/>
      <c r="S132" s="205"/>
      <c r="T132" s="205"/>
      <c r="U132" s="426"/>
      <c r="V132" s="483"/>
      <c r="W132" s="480"/>
      <c r="X132" s="85">
        <v>122</v>
      </c>
    </row>
    <row r="133" spans="1:24" x14ac:dyDescent="0.3">
      <c r="A133" s="487"/>
      <c r="B133" s="418"/>
      <c r="C133" s="418"/>
      <c r="D133" s="418"/>
      <c r="E133" s="418"/>
      <c r="F133" s="421"/>
      <c r="G133" s="424"/>
      <c r="H133" s="427"/>
      <c r="I133" s="430"/>
      <c r="J133" s="433"/>
      <c r="K133" s="436"/>
      <c r="L133" s="418"/>
      <c r="M133" s="418"/>
      <c r="N133" s="213" t="s">
        <v>412</v>
      </c>
      <c r="O133" s="421"/>
      <c r="P133" s="206">
        <v>5383.56</v>
      </c>
      <c r="Q133" s="207" t="s">
        <v>458</v>
      </c>
      <c r="R133" s="208"/>
      <c r="S133" s="206"/>
      <c r="T133" s="206"/>
      <c r="U133" s="427"/>
      <c r="V133" s="484"/>
      <c r="W133" s="481"/>
      <c r="X133" s="2">
        <v>122</v>
      </c>
    </row>
    <row r="134" spans="1:24" x14ac:dyDescent="0.3">
      <c r="A134" s="487"/>
      <c r="B134" s="418"/>
      <c r="C134" s="418"/>
      <c r="D134" s="418"/>
      <c r="E134" s="418"/>
      <c r="F134" s="421"/>
      <c r="G134" s="424"/>
      <c r="H134" s="427"/>
      <c r="I134" s="430"/>
      <c r="J134" s="433"/>
      <c r="K134" s="436"/>
      <c r="L134" s="418"/>
      <c r="M134" s="418"/>
      <c r="N134" s="213" t="s">
        <v>412</v>
      </c>
      <c r="O134" s="421"/>
      <c r="P134" s="206">
        <v>3810</v>
      </c>
      <c r="Q134" s="207" t="s">
        <v>458</v>
      </c>
      <c r="R134" s="208"/>
      <c r="S134" s="206"/>
      <c r="T134" s="206"/>
      <c r="U134" s="427"/>
      <c r="V134" s="484"/>
      <c r="W134" s="481"/>
      <c r="X134" s="2">
        <v>122</v>
      </c>
    </row>
    <row r="135" spans="1:24" x14ac:dyDescent="0.3">
      <c r="A135" s="487"/>
      <c r="B135" s="418"/>
      <c r="C135" s="418"/>
      <c r="D135" s="418"/>
      <c r="E135" s="418"/>
      <c r="F135" s="421"/>
      <c r="G135" s="424"/>
      <c r="H135" s="427"/>
      <c r="I135" s="430"/>
      <c r="J135" s="433"/>
      <c r="K135" s="436"/>
      <c r="L135" s="418"/>
      <c r="M135" s="418"/>
      <c r="N135" s="213" t="s">
        <v>412</v>
      </c>
      <c r="O135" s="421"/>
      <c r="P135" s="206">
        <v>3480</v>
      </c>
      <c r="Q135" s="207" t="s">
        <v>458</v>
      </c>
      <c r="R135" s="208"/>
      <c r="S135" s="206"/>
      <c r="T135" s="206"/>
      <c r="U135" s="427"/>
      <c r="V135" s="484"/>
      <c r="W135" s="481"/>
      <c r="X135" s="2">
        <v>122</v>
      </c>
    </row>
    <row r="136" spans="1:24" x14ac:dyDescent="0.3">
      <c r="A136" s="487"/>
      <c r="B136" s="418"/>
      <c r="C136" s="418"/>
      <c r="D136" s="418"/>
      <c r="E136" s="418"/>
      <c r="F136" s="421"/>
      <c r="G136" s="424"/>
      <c r="H136" s="427"/>
      <c r="I136" s="430"/>
      <c r="J136" s="433"/>
      <c r="K136" s="436"/>
      <c r="L136" s="418"/>
      <c r="M136" s="418"/>
      <c r="N136" s="213" t="s">
        <v>412</v>
      </c>
      <c r="O136" s="421"/>
      <c r="P136" s="206">
        <v>5978.03</v>
      </c>
      <c r="Q136" s="207" t="s">
        <v>458</v>
      </c>
      <c r="R136" s="208"/>
      <c r="S136" s="206"/>
      <c r="T136" s="206"/>
      <c r="U136" s="427"/>
      <c r="V136" s="484"/>
      <c r="W136" s="481"/>
      <c r="X136" s="2">
        <v>122</v>
      </c>
    </row>
    <row r="137" spans="1:24" x14ac:dyDescent="0.3">
      <c r="A137" s="487"/>
      <c r="B137" s="418"/>
      <c r="C137" s="418"/>
      <c r="D137" s="418"/>
      <c r="E137" s="418"/>
      <c r="F137" s="421"/>
      <c r="G137" s="424"/>
      <c r="H137" s="427"/>
      <c r="I137" s="430"/>
      <c r="J137" s="433"/>
      <c r="K137" s="436"/>
      <c r="L137" s="418"/>
      <c r="M137" s="418"/>
      <c r="N137" s="213" t="s">
        <v>412</v>
      </c>
      <c r="O137" s="421"/>
      <c r="P137" s="206">
        <v>4891.17</v>
      </c>
      <c r="Q137" s="207" t="s">
        <v>458</v>
      </c>
      <c r="R137" s="208"/>
      <c r="S137" s="206"/>
      <c r="T137" s="206"/>
      <c r="U137" s="427"/>
      <c r="V137" s="484"/>
      <c r="W137" s="481"/>
      <c r="X137" s="2">
        <v>122</v>
      </c>
    </row>
    <row r="138" spans="1:24" x14ac:dyDescent="0.3">
      <c r="A138" s="487"/>
      <c r="B138" s="418"/>
      <c r="C138" s="418"/>
      <c r="D138" s="418"/>
      <c r="E138" s="418"/>
      <c r="F138" s="421"/>
      <c r="G138" s="424"/>
      <c r="H138" s="427"/>
      <c r="I138" s="430"/>
      <c r="J138" s="433"/>
      <c r="K138" s="436"/>
      <c r="L138" s="418"/>
      <c r="M138" s="418"/>
      <c r="N138" s="213" t="s">
        <v>465</v>
      </c>
      <c r="O138" s="421"/>
      <c r="P138" s="206">
        <v>2250</v>
      </c>
      <c r="Q138" s="207" t="s">
        <v>503</v>
      </c>
      <c r="R138" s="208"/>
      <c r="S138" s="206"/>
      <c r="T138" s="206"/>
      <c r="U138" s="427"/>
      <c r="V138" s="484"/>
      <c r="W138" s="481"/>
      <c r="X138" s="2">
        <v>122</v>
      </c>
    </row>
    <row r="139" spans="1:24" x14ac:dyDescent="0.3">
      <c r="A139" s="487"/>
      <c r="B139" s="418"/>
      <c r="C139" s="418"/>
      <c r="D139" s="418"/>
      <c r="E139" s="418"/>
      <c r="F139" s="421"/>
      <c r="G139" s="424"/>
      <c r="H139" s="427"/>
      <c r="I139" s="430"/>
      <c r="J139" s="433"/>
      <c r="K139" s="436"/>
      <c r="L139" s="418"/>
      <c r="M139" s="418"/>
      <c r="N139" s="213" t="s">
        <v>465</v>
      </c>
      <c r="O139" s="421"/>
      <c r="P139" s="206">
        <v>2280</v>
      </c>
      <c r="Q139" s="207" t="s">
        <v>503</v>
      </c>
      <c r="R139" s="208"/>
      <c r="S139" s="206"/>
      <c r="T139" s="206"/>
      <c r="U139" s="427"/>
      <c r="V139" s="484"/>
      <c r="W139" s="481"/>
      <c r="X139" s="2">
        <v>122</v>
      </c>
    </row>
    <row r="140" spans="1:24" x14ac:dyDescent="0.3">
      <c r="A140" s="487"/>
      <c r="B140" s="418"/>
      <c r="C140" s="418"/>
      <c r="D140" s="418"/>
      <c r="E140" s="418"/>
      <c r="F140" s="421"/>
      <c r="G140" s="424"/>
      <c r="H140" s="427"/>
      <c r="I140" s="430"/>
      <c r="J140" s="433"/>
      <c r="K140" s="436"/>
      <c r="L140" s="418"/>
      <c r="M140" s="418"/>
      <c r="N140" s="213" t="s">
        <v>465</v>
      </c>
      <c r="O140" s="421"/>
      <c r="P140" s="206">
        <v>3885.73</v>
      </c>
      <c r="Q140" s="207" t="s">
        <v>503</v>
      </c>
      <c r="R140" s="208"/>
      <c r="S140" s="206"/>
      <c r="T140" s="206"/>
      <c r="U140" s="427"/>
      <c r="V140" s="484"/>
      <c r="W140" s="481"/>
      <c r="X140" s="2">
        <v>122</v>
      </c>
    </row>
    <row r="141" spans="1:24" x14ac:dyDescent="0.3">
      <c r="A141" s="487"/>
      <c r="B141" s="418"/>
      <c r="C141" s="418"/>
      <c r="D141" s="418"/>
      <c r="E141" s="418"/>
      <c r="F141" s="421"/>
      <c r="G141" s="424"/>
      <c r="H141" s="427"/>
      <c r="I141" s="430"/>
      <c r="J141" s="433"/>
      <c r="K141" s="436"/>
      <c r="L141" s="418"/>
      <c r="M141" s="418"/>
      <c r="N141" s="213" t="s">
        <v>465</v>
      </c>
      <c r="O141" s="421"/>
      <c r="P141" s="206">
        <v>3179.27</v>
      </c>
      <c r="Q141" s="207" t="s">
        <v>503</v>
      </c>
      <c r="R141" s="208"/>
      <c r="S141" s="206"/>
      <c r="T141" s="206"/>
      <c r="U141" s="427"/>
      <c r="V141" s="484"/>
      <c r="W141" s="481"/>
      <c r="X141" s="2">
        <v>122</v>
      </c>
    </row>
    <row r="142" spans="1:24" x14ac:dyDescent="0.3">
      <c r="A142" s="487"/>
      <c r="B142" s="418"/>
      <c r="C142" s="418"/>
      <c r="D142" s="418"/>
      <c r="E142" s="418"/>
      <c r="F142" s="421"/>
      <c r="G142" s="424"/>
      <c r="H142" s="427"/>
      <c r="I142" s="430"/>
      <c r="J142" s="433"/>
      <c r="K142" s="436"/>
      <c r="L142" s="418"/>
      <c r="M142" s="418"/>
      <c r="N142" s="213" t="s">
        <v>465</v>
      </c>
      <c r="O142" s="421"/>
      <c r="P142" s="206">
        <v>3916.64</v>
      </c>
      <c r="Q142" s="207" t="s">
        <v>503</v>
      </c>
      <c r="R142" s="208"/>
      <c r="S142" s="206"/>
      <c r="T142" s="206"/>
      <c r="U142" s="427"/>
      <c r="V142" s="484"/>
      <c r="W142" s="481"/>
      <c r="X142" s="2">
        <v>122</v>
      </c>
    </row>
    <row r="143" spans="1:24" x14ac:dyDescent="0.3">
      <c r="A143" s="488"/>
      <c r="B143" s="419"/>
      <c r="C143" s="419"/>
      <c r="D143" s="419"/>
      <c r="E143" s="419"/>
      <c r="F143" s="422"/>
      <c r="G143" s="425"/>
      <c r="H143" s="428"/>
      <c r="I143" s="431"/>
      <c r="J143" s="434"/>
      <c r="K143" s="437"/>
      <c r="L143" s="419"/>
      <c r="M143" s="419"/>
      <c r="N143" s="214" t="s">
        <v>465</v>
      </c>
      <c r="O143" s="422"/>
      <c r="P143" s="209">
        <v>3204.56</v>
      </c>
      <c r="Q143" s="210" t="s">
        <v>503</v>
      </c>
      <c r="R143" s="211"/>
      <c r="S143" s="209"/>
      <c r="T143" s="209"/>
      <c r="U143" s="428"/>
      <c r="V143" s="485"/>
      <c r="W143" s="482"/>
      <c r="X143" s="2">
        <v>122</v>
      </c>
    </row>
    <row r="144" spans="1:24" s="85" customFormat="1" ht="54" customHeight="1" x14ac:dyDescent="0.3">
      <c r="A144" s="486">
        <v>21</v>
      </c>
      <c r="B144" s="417" t="s">
        <v>56</v>
      </c>
      <c r="C144" s="417"/>
      <c r="D144" s="417"/>
      <c r="E144" s="417" t="s">
        <v>361</v>
      </c>
      <c r="F144" s="420" t="s">
        <v>340</v>
      </c>
      <c r="G144" s="423" t="s">
        <v>228</v>
      </c>
      <c r="H144" s="426">
        <v>26012</v>
      </c>
      <c r="I144" s="429">
        <f>IF(X144 = 123, H144 + SUM(S144:S151) - SUM(T144:T151) - SUM(P144:P151) - V144,0)</f>
        <v>6821.0000000000036</v>
      </c>
      <c r="J144" s="432">
        <v>2353020735</v>
      </c>
      <c r="K144" s="435" t="s">
        <v>177</v>
      </c>
      <c r="L144" s="417"/>
      <c r="M144" s="417" t="s">
        <v>362</v>
      </c>
      <c r="N144" s="212" t="s">
        <v>412</v>
      </c>
      <c r="O144" s="420" t="s">
        <v>178</v>
      </c>
      <c r="P144" s="205">
        <v>1978.2</v>
      </c>
      <c r="Q144" s="204" t="s">
        <v>458</v>
      </c>
      <c r="R144" s="203"/>
      <c r="S144" s="205"/>
      <c r="T144" s="205"/>
      <c r="U144" s="426"/>
      <c r="V144" s="483"/>
      <c r="W144" s="480"/>
      <c r="X144" s="85">
        <v>123</v>
      </c>
    </row>
    <row r="145" spans="1:24" x14ac:dyDescent="0.3">
      <c r="A145" s="487"/>
      <c r="B145" s="418"/>
      <c r="C145" s="418"/>
      <c r="D145" s="418"/>
      <c r="E145" s="418"/>
      <c r="F145" s="421"/>
      <c r="G145" s="424"/>
      <c r="H145" s="427"/>
      <c r="I145" s="430"/>
      <c r="J145" s="433"/>
      <c r="K145" s="436"/>
      <c r="L145" s="418"/>
      <c r="M145" s="418"/>
      <c r="N145" s="213" t="s">
        <v>412</v>
      </c>
      <c r="O145" s="421"/>
      <c r="P145" s="206">
        <v>630</v>
      </c>
      <c r="Q145" s="207" t="s">
        <v>458</v>
      </c>
      <c r="R145" s="208"/>
      <c r="S145" s="206"/>
      <c r="T145" s="206"/>
      <c r="U145" s="427"/>
      <c r="V145" s="484"/>
      <c r="W145" s="481"/>
      <c r="X145" s="2">
        <v>123</v>
      </c>
    </row>
    <row r="146" spans="1:24" x14ac:dyDescent="0.3">
      <c r="A146" s="487"/>
      <c r="B146" s="418"/>
      <c r="C146" s="418"/>
      <c r="D146" s="418"/>
      <c r="E146" s="418"/>
      <c r="F146" s="421"/>
      <c r="G146" s="424"/>
      <c r="H146" s="427"/>
      <c r="I146" s="430"/>
      <c r="J146" s="433"/>
      <c r="K146" s="436"/>
      <c r="L146" s="418"/>
      <c r="M146" s="418"/>
      <c r="N146" s="213" t="s">
        <v>412</v>
      </c>
      <c r="O146" s="421"/>
      <c r="P146" s="206">
        <v>2160</v>
      </c>
      <c r="Q146" s="207" t="s">
        <v>458</v>
      </c>
      <c r="R146" s="208"/>
      <c r="S146" s="206"/>
      <c r="T146" s="206"/>
      <c r="U146" s="427"/>
      <c r="V146" s="484"/>
      <c r="W146" s="481"/>
      <c r="X146" s="2">
        <v>123</v>
      </c>
    </row>
    <row r="147" spans="1:24" x14ac:dyDescent="0.3">
      <c r="A147" s="487"/>
      <c r="B147" s="418"/>
      <c r="C147" s="418"/>
      <c r="D147" s="418"/>
      <c r="E147" s="418"/>
      <c r="F147" s="421"/>
      <c r="G147" s="424"/>
      <c r="H147" s="427"/>
      <c r="I147" s="430"/>
      <c r="J147" s="433"/>
      <c r="K147" s="436"/>
      <c r="L147" s="418"/>
      <c r="M147" s="418"/>
      <c r="N147" s="213" t="s">
        <v>412</v>
      </c>
      <c r="O147" s="421"/>
      <c r="P147" s="206">
        <v>6746.4</v>
      </c>
      <c r="Q147" s="207" t="s">
        <v>458</v>
      </c>
      <c r="R147" s="208"/>
      <c r="S147" s="206"/>
      <c r="T147" s="206"/>
      <c r="U147" s="427"/>
      <c r="V147" s="484"/>
      <c r="W147" s="481"/>
      <c r="X147" s="2">
        <v>123</v>
      </c>
    </row>
    <row r="148" spans="1:24" x14ac:dyDescent="0.3">
      <c r="A148" s="487"/>
      <c r="B148" s="418"/>
      <c r="C148" s="418"/>
      <c r="D148" s="418"/>
      <c r="E148" s="418"/>
      <c r="F148" s="421"/>
      <c r="G148" s="424"/>
      <c r="H148" s="427"/>
      <c r="I148" s="430"/>
      <c r="J148" s="433"/>
      <c r="K148" s="436"/>
      <c r="L148" s="418"/>
      <c r="M148" s="418"/>
      <c r="N148" s="213" t="s">
        <v>465</v>
      </c>
      <c r="O148" s="421"/>
      <c r="P148" s="206">
        <v>420</v>
      </c>
      <c r="Q148" s="207" t="s">
        <v>503</v>
      </c>
      <c r="R148" s="208"/>
      <c r="S148" s="206"/>
      <c r="T148" s="206"/>
      <c r="U148" s="427"/>
      <c r="V148" s="484"/>
      <c r="W148" s="481"/>
      <c r="X148" s="2">
        <v>123</v>
      </c>
    </row>
    <row r="149" spans="1:24" x14ac:dyDescent="0.3">
      <c r="A149" s="487"/>
      <c r="B149" s="418"/>
      <c r="C149" s="418"/>
      <c r="D149" s="418"/>
      <c r="E149" s="418"/>
      <c r="F149" s="421"/>
      <c r="G149" s="424"/>
      <c r="H149" s="427"/>
      <c r="I149" s="430"/>
      <c r="J149" s="433"/>
      <c r="K149" s="436"/>
      <c r="L149" s="418"/>
      <c r="M149" s="418"/>
      <c r="N149" s="213" t="s">
        <v>465</v>
      </c>
      <c r="O149" s="421"/>
      <c r="P149" s="206">
        <v>1440</v>
      </c>
      <c r="Q149" s="207" t="s">
        <v>503</v>
      </c>
      <c r="R149" s="208"/>
      <c r="S149" s="206"/>
      <c r="T149" s="206"/>
      <c r="U149" s="427"/>
      <c r="V149" s="484"/>
      <c r="W149" s="481"/>
      <c r="X149" s="2">
        <v>123</v>
      </c>
    </row>
    <row r="150" spans="1:24" x14ac:dyDescent="0.3">
      <c r="A150" s="487"/>
      <c r="B150" s="418"/>
      <c r="C150" s="418"/>
      <c r="D150" s="418"/>
      <c r="E150" s="418"/>
      <c r="F150" s="421"/>
      <c r="G150" s="424"/>
      <c r="H150" s="427"/>
      <c r="I150" s="430"/>
      <c r="J150" s="433"/>
      <c r="K150" s="436"/>
      <c r="L150" s="418"/>
      <c r="M150" s="418"/>
      <c r="N150" s="213" t="s">
        <v>465</v>
      </c>
      <c r="O150" s="421"/>
      <c r="P150" s="206">
        <v>4497.6000000000004</v>
      </c>
      <c r="Q150" s="207" t="s">
        <v>503</v>
      </c>
      <c r="R150" s="208"/>
      <c r="S150" s="206"/>
      <c r="T150" s="206"/>
      <c r="U150" s="427"/>
      <c r="V150" s="484"/>
      <c r="W150" s="481"/>
      <c r="X150" s="2">
        <v>123</v>
      </c>
    </row>
    <row r="151" spans="1:24" x14ac:dyDescent="0.3">
      <c r="A151" s="488"/>
      <c r="B151" s="419"/>
      <c r="C151" s="419"/>
      <c r="D151" s="419"/>
      <c r="E151" s="419"/>
      <c r="F151" s="422"/>
      <c r="G151" s="425"/>
      <c r="H151" s="428"/>
      <c r="I151" s="431"/>
      <c r="J151" s="434"/>
      <c r="K151" s="437"/>
      <c r="L151" s="419"/>
      <c r="M151" s="419"/>
      <c r="N151" s="214" t="s">
        <v>465</v>
      </c>
      <c r="O151" s="422"/>
      <c r="P151" s="209">
        <v>1318.8</v>
      </c>
      <c r="Q151" s="210" t="s">
        <v>503</v>
      </c>
      <c r="R151" s="211"/>
      <c r="S151" s="209"/>
      <c r="T151" s="209"/>
      <c r="U151" s="428"/>
      <c r="V151" s="485"/>
      <c r="W151" s="482"/>
      <c r="X151" s="2">
        <v>123</v>
      </c>
    </row>
    <row r="152" spans="1:24" s="85" customFormat="1" ht="61.8" customHeight="1" x14ac:dyDescent="0.3">
      <c r="A152" s="486">
        <v>22</v>
      </c>
      <c r="B152" s="417" t="s">
        <v>56</v>
      </c>
      <c r="C152" s="417"/>
      <c r="D152" s="417"/>
      <c r="E152" s="417" t="s">
        <v>229</v>
      </c>
      <c r="F152" s="420" t="s">
        <v>340</v>
      </c>
      <c r="G152" s="423" t="s">
        <v>230</v>
      </c>
      <c r="H152" s="426">
        <v>34440</v>
      </c>
      <c r="I152" s="429">
        <f>IF(X152 = 124, H152 + SUM(S152:S155) - SUM(T152:T155) - SUM(P152:P155) - V152,0)</f>
        <v>11931</v>
      </c>
      <c r="J152" s="432">
        <v>2353020735</v>
      </c>
      <c r="K152" s="435" t="s">
        <v>177</v>
      </c>
      <c r="L152" s="417"/>
      <c r="M152" s="417" t="s">
        <v>362</v>
      </c>
      <c r="N152" s="212" t="s">
        <v>412</v>
      </c>
      <c r="O152" s="420" t="s">
        <v>178</v>
      </c>
      <c r="P152" s="205">
        <v>3300</v>
      </c>
      <c r="Q152" s="204" t="s">
        <v>458</v>
      </c>
      <c r="R152" s="203"/>
      <c r="S152" s="205"/>
      <c r="T152" s="205"/>
      <c r="U152" s="426"/>
      <c r="V152" s="483"/>
      <c r="W152" s="480"/>
      <c r="X152" s="85">
        <v>124</v>
      </c>
    </row>
    <row r="153" spans="1:24" x14ac:dyDescent="0.3">
      <c r="A153" s="487"/>
      <c r="B153" s="418"/>
      <c r="C153" s="418"/>
      <c r="D153" s="418"/>
      <c r="E153" s="418"/>
      <c r="F153" s="421"/>
      <c r="G153" s="424"/>
      <c r="H153" s="427"/>
      <c r="I153" s="430"/>
      <c r="J153" s="433"/>
      <c r="K153" s="436"/>
      <c r="L153" s="418"/>
      <c r="M153" s="418"/>
      <c r="N153" s="213" t="s">
        <v>412</v>
      </c>
      <c r="O153" s="421"/>
      <c r="P153" s="206">
        <v>10230</v>
      </c>
      <c r="Q153" s="207" t="s">
        <v>458</v>
      </c>
      <c r="R153" s="208"/>
      <c r="S153" s="206"/>
      <c r="T153" s="206"/>
      <c r="U153" s="427"/>
      <c r="V153" s="484"/>
      <c r="W153" s="481"/>
      <c r="X153" s="2">
        <v>124</v>
      </c>
    </row>
    <row r="154" spans="1:24" x14ac:dyDescent="0.3">
      <c r="A154" s="487"/>
      <c r="B154" s="418"/>
      <c r="C154" s="418"/>
      <c r="D154" s="418"/>
      <c r="E154" s="418"/>
      <c r="F154" s="421"/>
      <c r="G154" s="424"/>
      <c r="H154" s="427"/>
      <c r="I154" s="430"/>
      <c r="J154" s="433"/>
      <c r="K154" s="436"/>
      <c r="L154" s="418"/>
      <c r="M154" s="418"/>
      <c r="N154" s="213" t="s">
        <v>465</v>
      </c>
      <c r="O154" s="421"/>
      <c r="P154" s="206">
        <v>6789</v>
      </c>
      <c r="Q154" s="207" t="s">
        <v>503</v>
      </c>
      <c r="R154" s="208"/>
      <c r="S154" s="206"/>
      <c r="T154" s="206"/>
      <c r="U154" s="427"/>
      <c r="V154" s="484"/>
      <c r="W154" s="481"/>
      <c r="X154" s="2">
        <v>124</v>
      </c>
    </row>
    <row r="155" spans="1:24" x14ac:dyDescent="0.3">
      <c r="A155" s="488"/>
      <c r="B155" s="419"/>
      <c r="C155" s="419"/>
      <c r="D155" s="419"/>
      <c r="E155" s="419"/>
      <c r="F155" s="422"/>
      <c r="G155" s="425"/>
      <c r="H155" s="428"/>
      <c r="I155" s="431"/>
      <c r="J155" s="434"/>
      <c r="K155" s="437"/>
      <c r="L155" s="419"/>
      <c r="M155" s="419"/>
      <c r="N155" s="214" t="s">
        <v>465</v>
      </c>
      <c r="O155" s="422"/>
      <c r="P155" s="209">
        <v>2190</v>
      </c>
      <c r="Q155" s="210" t="s">
        <v>503</v>
      </c>
      <c r="R155" s="211"/>
      <c r="S155" s="209"/>
      <c r="T155" s="209"/>
      <c r="U155" s="428"/>
      <c r="V155" s="485"/>
      <c r="W155" s="482"/>
      <c r="X155" s="2">
        <v>124</v>
      </c>
    </row>
    <row r="156" spans="1:24" s="85" customFormat="1" ht="108" x14ac:dyDescent="0.3">
      <c r="A156" s="140">
        <v>23</v>
      </c>
      <c r="B156" s="141" t="s">
        <v>56</v>
      </c>
      <c r="C156" s="141"/>
      <c r="D156" s="141"/>
      <c r="E156" s="141" t="s">
        <v>173</v>
      </c>
      <c r="F156" s="146" t="s">
        <v>355</v>
      </c>
      <c r="G156" s="142" t="s">
        <v>356</v>
      </c>
      <c r="H156" s="143">
        <v>10000</v>
      </c>
      <c r="I156" s="144">
        <f>IF(X156 = 125, H156 + SUM(S156:S156) - SUM(T156:T156) - SUM(P156:P156) - V156,0)</f>
        <v>0</v>
      </c>
      <c r="J156" s="147">
        <v>235302352147</v>
      </c>
      <c r="K156" s="148" t="s">
        <v>357</v>
      </c>
      <c r="L156" s="141"/>
      <c r="M156" s="141" t="s">
        <v>358</v>
      </c>
      <c r="N156" s="146" t="s">
        <v>404</v>
      </c>
      <c r="O156" s="146" t="s">
        <v>359</v>
      </c>
      <c r="P156" s="143">
        <v>10000</v>
      </c>
      <c r="Q156" s="142" t="s">
        <v>405</v>
      </c>
      <c r="R156" s="141"/>
      <c r="S156" s="143"/>
      <c r="T156" s="143"/>
      <c r="U156" s="143"/>
      <c r="V156" s="149"/>
      <c r="W156" s="139"/>
      <c r="X156" s="85">
        <v>125</v>
      </c>
    </row>
    <row r="157" spans="1:24" s="85" customFormat="1" ht="54" x14ac:dyDescent="0.3">
      <c r="A157" s="140">
        <v>24</v>
      </c>
      <c r="B157" s="141" t="s">
        <v>56</v>
      </c>
      <c r="C157" s="141"/>
      <c r="D157" s="141"/>
      <c r="E157" s="141" t="s">
        <v>384</v>
      </c>
      <c r="F157" s="146" t="s">
        <v>370</v>
      </c>
      <c r="G157" s="142" t="s">
        <v>385</v>
      </c>
      <c r="H157" s="143">
        <v>1974</v>
      </c>
      <c r="I157" s="144">
        <f>IF(X157 = 127, H157 + SUM(S157:S157) - SUM(T157:T157) - SUM(P157:P157) - V157,0)</f>
        <v>0</v>
      </c>
      <c r="J157" s="147">
        <v>2310132554</v>
      </c>
      <c r="K157" s="148" t="s">
        <v>386</v>
      </c>
      <c r="L157" s="141"/>
      <c r="M157" s="141" t="s">
        <v>387</v>
      </c>
      <c r="N157" s="146" t="s">
        <v>413</v>
      </c>
      <c r="O157" s="146" t="s">
        <v>388</v>
      </c>
      <c r="P157" s="143">
        <v>1974</v>
      </c>
      <c r="Q157" s="142" t="s">
        <v>412</v>
      </c>
      <c r="R157" s="141"/>
      <c r="S157" s="143"/>
      <c r="T157" s="143"/>
      <c r="U157" s="143"/>
      <c r="V157" s="149"/>
      <c r="W157" s="139"/>
      <c r="X157" s="85">
        <v>127</v>
      </c>
    </row>
    <row r="158" spans="1:24" s="85" customFormat="1" ht="90" x14ac:dyDescent="0.3">
      <c r="A158" s="170">
        <v>25</v>
      </c>
      <c r="B158" s="171" t="s">
        <v>56</v>
      </c>
      <c r="C158" s="171"/>
      <c r="D158" s="171"/>
      <c r="E158" s="171" t="s">
        <v>432</v>
      </c>
      <c r="F158" s="179" t="s">
        <v>433</v>
      </c>
      <c r="G158" s="173" t="s">
        <v>434</v>
      </c>
      <c r="H158" s="174">
        <v>3000</v>
      </c>
      <c r="I158" s="175">
        <f>IF(X158 = 128, H158 + SUM(S158:S158) - SUM(T158:T158) - SUM(P158:P158) - V158,0)</f>
        <v>0</v>
      </c>
      <c r="J158" s="176">
        <v>2311187588</v>
      </c>
      <c r="K158" s="177" t="s">
        <v>435</v>
      </c>
      <c r="L158" s="171"/>
      <c r="M158" s="171" t="s">
        <v>437</v>
      </c>
      <c r="N158" s="179" t="s">
        <v>461</v>
      </c>
      <c r="O158" s="179" t="s">
        <v>436</v>
      </c>
      <c r="P158" s="174">
        <v>3000</v>
      </c>
      <c r="Q158" s="173" t="s">
        <v>464</v>
      </c>
      <c r="R158" s="171"/>
      <c r="S158" s="174"/>
      <c r="T158" s="174"/>
      <c r="U158" s="174"/>
      <c r="V158" s="178"/>
      <c r="W158" s="172"/>
      <c r="X158" s="85">
        <v>128</v>
      </c>
    </row>
    <row r="159" spans="1:24" s="85" customFormat="1" ht="90" x14ac:dyDescent="0.3">
      <c r="A159" s="170">
        <v>26</v>
      </c>
      <c r="B159" s="171" t="s">
        <v>56</v>
      </c>
      <c r="C159" s="171"/>
      <c r="D159" s="171"/>
      <c r="E159" s="171" t="s">
        <v>438</v>
      </c>
      <c r="F159" s="179" t="s">
        <v>439</v>
      </c>
      <c r="G159" s="173" t="s">
        <v>440</v>
      </c>
      <c r="H159" s="174">
        <v>63990</v>
      </c>
      <c r="I159" s="175">
        <f>IF(X159 = 129, H159 + SUM(S159:S159) - SUM(T159:T159) - SUM(P159:P159) - V159,0)</f>
        <v>0</v>
      </c>
      <c r="J159" s="176">
        <v>235303483777</v>
      </c>
      <c r="K159" s="177" t="s">
        <v>441</v>
      </c>
      <c r="L159" s="171"/>
      <c r="M159" s="171" t="s">
        <v>442</v>
      </c>
      <c r="N159" s="179" t="s">
        <v>465</v>
      </c>
      <c r="O159" s="179" t="s">
        <v>443</v>
      </c>
      <c r="P159" s="174">
        <v>63990</v>
      </c>
      <c r="Q159" s="173" t="s">
        <v>466</v>
      </c>
      <c r="R159" s="171"/>
      <c r="S159" s="174"/>
      <c r="T159" s="174"/>
      <c r="U159" s="174"/>
      <c r="V159" s="178"/>
      <c r="W159" s="172"/>
      <c r="X159" s="85">
        <v>129</v>
      </c>
    </row>
    <row r="160" spans="1:24" s="85" customFormat="1" ht="54" x14ac:dyDescent="0.3">
      <c r="A160" s="170">
        <v>27</v>
      </c>
      <c r="B160" s="171" t="s">
        <v>56</v>
      </c>
      <c r="C160" s="171"/>
      <c r="D160" s="171"/>
      <c r="E160" s="171" t="s">
        <v>369</v>
      </c>
      <c r="F160" s="179" t="s">
        <v>478</v>
      </c>
      <c r="G160" s="173" t="s">
        <v>481</v>
      </c>
      <c r="H160" s="174">
        <v>89520</v>
      </c>
      <c r="I160" s="175">
        <f>IF(X160 = 130, H160 + SUM(S160:S160) - SUM(T160:T160) - SUM(P160:P160) - V160,0)</f>
        <v>89520</v>
      </c>
      <c r="J160" s="176">
        <v>2353020735</v>
      </c>
      <c r="K160" s="177" t="s">
        <v>177</v>
      </c>
      <c r="L160" s="171"/>
      <c r="M160" s="171" t="s">
        <v>371</v>
      </c>
      <c r="N160" s="179"/>
      <c r="O160" s="179" t="s">
        <v>178</v>
      </c>
      <c r="P160" s="174"/>
      <c r="Q160" s="173"/>
      <c r="R160" s="171"/>
      <c r="S160" s="174"/>
      <c r="T160" s="174"/>
      <c r="U160" s="174"/>
      <c r="V160" s="178"/>
      <c r="W160" s="172"/>
      <c r="X160" s="85">
        <v>130</v>
      </c>
    </row>
    <row r="161" spans="1:24" s="85" customFormat="1" ht="54" x14ac:dyDescent="0.3">
      <c r="A161" s="170">
        <v>28</v>
      </c>
      <c r="B161" s="171" t="s">
        <v>56</v>
      </c>
      <c r="C161" s="171"/>
      <c r="D161" s="171"/>
      <c r="E161" s="171" t="s">
        <v>477</v>
      </c>
      <c r="F161" s="179" t="s">
        <v>478</v>
      </c>
      <c r="G161" s="173" t="s">
        <v>482</v>
      </c>
      <c r="H161" s="174">
        <v>11190</v>
      </c>
      <c r="I161" s="175">
        <f>IF(X161 = 131, H161 + SUM(S161:S161) - SUM(T161:T161) - SUM(P161:P161) - V161,0)</f>
        <v>11190</v>
      </c>
      <c r="J161" s="176">
        <v>2353020735</v>
      </c>
      <c r="K161" s="177" t="s">
        <v>177</v>
      </c>
      <c r="L161" s="171"/>
      <c r="M161" s="171" t="s">
        <v>371</v>
      </c>
      <c r="N161" s="179"/>
      <c r="O161" s="179" t="s">
        <v>178</v>
      </c>
      <c r="P161" s="174"/>
      <c r="Q161" s="173"/>
      <c r="R161" s="171"/>
      <c r="S161" s="174"/>
      <c r="T161" s="174"/>
      <c r="U161" s="174"/>
      <c r="V161" s="178"/>
      <c r="W161" s="172"/>
      <c r="X161" s="85">
        <v>131</v>
      </c>
    </row>
    <row r="162" spans="1:24" s="85" customFormat="1" ht="97.8" customHeight="1" x14ac:dyDescent="0.3">
      <c r="A162" s="193">
        <v>29</v>
      </c>
      <c r="B162" s="194" t="s">
        <v>56</v>
      </c>
      <c r="C162" s="194"/>
      <c r="D162" s="194"/>
      <c r="E162" s="194" t="s">
        <v>444</v>
      </c>
      <c r="F162" s="199" t="s">
        <v>445</v>
      </c>
      <c r="G162" s="195" t="s">
        <v>446</v>
      </c>
      <c r="H162" s="196">
        <v>7000</v>
      </c>
      <c r="I162" s="197">
        <f>IF(X162 = 132, H162 + SUM(S162:S162) - SUM(T162:T162) - SUM(P162:P162) - V162,0)</f>
        <v>0</v>
      </c>
      <c r="J162" s="200">
        <v>2353018870</v>
      </c>
      <c r="K162" s="201" t="s">
        <v>152</v>
      </c>
      <c r="L162" s="194"/>
      <c r="M162" s="194" t="s">
        <v>447</v>
      </c>
      <c r="N162" s="199" t="s">
        <v>480</v>
      </c>
      <c r="O162" s="199" t="s">
        <v>443</v>
      </c>
      <c r="P162" s="196">
        <v>7000</v>
      </c>
      <c r="Q162" s="195" t="s">
        <v>479</v>
      </c>
      <c r="R162" s="194"/>
      <c r="S162" s="196"/>
      <c r="T162" s="196"/>
      <c r="U162" s="196"/>
      <c r="V162" s="202"/>
      <c r="W162" s="192"/>
      <c r="X162" s="85">
        <v>132</v>
      </c>
    </row>
    <row r="163" spans="1:24" s="85" customFormat="1" ht="65.400000000000006" customHeight="1" x14ac:dyDescent="0.3">
      <c r="A163" s="193">
        <v>30</v>
      </c>
      <c r="B163" s="194" t="s">
        <v>56</v>
      </c>
      <c r="C163" s="194"/>
      <c r="D163" s="194"/>
      <c r="E163" s="194" t="s">
        <v>159</v>
      </c>
      <c r="F163" s="199" t="s">
        <v>451</v>
      </c>
      <c r="G163" s="195" t="s">
        <v>160</v>
      </c>
      <c r="H163" s="196">
        <v>24254.1</v>
      </c>
      <c r="I163" s="197">
        <f>IF(X163 = 133, H163 + SUM(S163:S163) - SUM(T163:T163) - SUM(P163:P163) - V163,0)</f>
        <v>24254.1</v>
      </c>
      <c r="J163" s="200">
        <v>2308131994</v>
      </c>
      <c r="K163" s="201" t="s">
        <v>208</v>
      </c>
      <c r="L163" s="194"/>
      <c r="M163" s="194" t="s">
        <v>448</v>
      </c>
      <c r="N163" s="199"/>
      <c r="O163" s="199" t="s">
        <v>163</v>
      </c>
      <c r="P163" s="196"/>
      <c r="Q163" s="195"/>
      <c r="R163" s="194"/>
      <c r="S163" s="196"/>
      <c r="T163" s="196"/>
      <c r="U163" s="196"/>
      <c r="V163" s="202"/>
      <c r="W163" s="192"/>
      <c r="X163" s="85">
        <v>133</v>
      </c>
    </row>
    <row r="164" spans="1:24" s="85" customFormat="1" ht="90" x14ac:dyDescent="0.3">
      <c r="A164" s="193">
        <v>31</v>
      </c>
      <c r="B164" s="194" t="s">
        <v>56</v>
      </c>
      <c r="C164" s="194"/>
      <c r="D164" s="194"/>
      <c r="E164" s="194" t="s">
        <v>487</v>
      </c>
      <c r="F164" s="199" t="s">
        <v>488</v>
      </c>
      <c r="G164" s="195" t="s">
        <v>440</v>
      </c>
      <c r="H164" s="196">
        <v>17725</v>
      </c>
      <c r="I164" s="197">
        <f>IF(X164 = 134, H164 + SUM(S164:S164) - SUM(T164:T164) - SUM(P164:P164) - V164,0)</f>
        <v>0</v>
      </c>
      <c r="J164" s="200">
        <v>235303483777</v>
      </c>
      <c r="K164" s="201" t="s">
        <v>441</v>
      </c>
      <c r="L164" s="194"/>
      <c r="M164" s="194" t="s">
        <v>489</v>
      </c>
      <c r="N164" s="199" t="s">
        <v>510</v>
      </c>
      <c r="O164" s="199" t="s">
        <v>443</v>
      </c>
      <c r="P164" s="196">
        <v>17725</v>
      </c>
      <c r="Q164" s="195" t="s">
        <v>511</v>
      </c>
      <c r="R164" s="194"/>
      <c r="S164" s="196"/>
      <c r="T164" s="196"/>
      <c r="U164" s="196"/>
      <c r="V164" s="202"/>
      <c r="W164" s="192"/>
      <c r="X164" s="85">
        <v>134</v>
      </c>
    </row>
    <row r="165" spans="1:24" x14ac:dyDescent="0.3">
      <c r="X165" s="2">
        <v>135</v>
      </c>
    </row>
  </sheetData>
  <sheetProtection algorithmName="SHA-512" hashValue="JdnXuftu3CNICE2ftIYU/J2NsxWSAL4j5tto+1DZJznsMiTXMj+5RKVjI/0EifvSjAB+DS7dD9zSTBSR3bjLTQ==" saltValue="neAAZ8YYqH/lrgjHunIj2Q==" spinCount="100000" sheet="1" objects="1" scenarios="1" formatCells="0" formatColumns="0" formatRows="0"/>
  <mergeCells count="292">
    <mergeCell ref="W27:W32"/>
    <mergeCell ref="D73:D78"/>
    <mergeCell ref="E73:E78"/>
    <mergeCell ref="F73:F78"/>
    <mergeCell ref="G73:G78"/>
    <mergeCell ref="H73:H78"/>
    <mergeCell ref="I97:I102"/>
    <mergeCell ref="J97:J102"/>
    <mergeCell ref="K97:K102"/>
    <mergeCell ref="M73:M78"/>
    <mergeCell ref="W91:W96"/>
    <mergeCell ref="W79:W90"/>
    <mergeCell ref="W73:W78"/>
    <mergeCell ref="I73:I78"/>
    <mergeCell ref="J73:J78"/>
    <mergeCell ref="K73:K78"/>
    <mergeCell ref="L73:L78"/>
    <mergeCell ref="O73:O78"/>
    <mergeCell ref="U73:U78"/>
    <mergeCell ref="V73:V78"/>
    <mergeCell ref="W97:W102"/>
    <mergeCell ref="M97:M102"/>
    <mergeCell ref="W43:W60"/>
    <mergeCell ref="E43:E60"/>
    <mergeCell ref="W144:W151"/>
    <mergeCell ref="D144:D151"/>
    <mergeCell ref="E144:E151"/>
    <mergeCell ref="F144:F151"/>
    <mergeCell ref="G144:G151"/>
    <mergeCell ref="H144:H151"/>
    <mergeCell ref="I144:I151"/>
    <mergeCell ref="J144:J151"/>
    <mergeCell ref="K144:K151"/>
    <mergeCell ref="L144:L151"/>
    <mergeCell ref="M144:M151"/>
    <mergeCell ref="V128:V131"/>
    <mergeCell ref="C128:C131"/>
    <mergeCell ref="W128:W131"/>
    <mergeCell ref="A152:A155"/>
    <mergeCell ref="O152:O155"/>
    <mergeCell ref="U152:U155"/>
    <mergeCell ref="B152:B155"/>
    <mergeCell ref="V152:V155"/>
    <mergeCell ref="C152:C155"/>
    <mergeCell ref="W152:W155"/>
    <mergeCell ref="D152:D155"/>
    <mergeCell ref="E152:E155"/>
    <mergeCell ref="F152:F155"/>
    <mergeCell ref="G152:G155"/>
    <mergeCell ref="H152:H155"/>
    <mergeCell ref="I152:I155"/>
    <mergeCell ref="J152:J155"/>
    <mergeCell ref="K152:K155"/>
    <mergeCell ref="L152:L155"/>
    <mergeCell ref="A144:A151"/>
    <mergeCell ref="O144:O151"/>
    <mergeCell ref="U144:U151"/>
    <mergeCell ref="B144:B151"/>
    <mergeCell ref="V144:V151"/>
    <mergeCell ref="M152:M155"/>
    <mergeCell ref="M110:M121"/>
    <mergeCell ref="A122:A127"/>
    <mergeCell ref="O122:O127"/>
    <mergeCell ref="B122:B127"/>
    <mergeCell ref="C122:C127"/>
    <mergeCell ref="D122:D127"/>
    <mergeCell ref="E122:E127"/>
    <mergeCell ref="F122:F127"/>
    <mergeCell ref="G122:G127"/>
    <mergeCell ref="H122:H127"/>
    <mergeCell ref="I122:I127"/>
    <mergeCell ref="J122:J127"/>
    <mergeCell ref="K122:K127"/>
    <mergeCell ref="L122:L127"/>
    <mergeCell ref="M122:M127"/>
    <mergeCell ref="A110:A121"/>
    <mergeCell ref="O110:O121"/>
    <mergeCell ref="B110:B121"/>
    <mergeCell ref="A128:A131"/>
    <mergeCell ref="O128:O131"/>
    <mergeCell ref="B128:B131"/>
    <mergeCell ref="C144:C151"/>
    <mergeCell ref="D110:D121"/>
    <mergeCell ref="W110:W121"/>
    <mergeCell ref="U122:U127"/>
    <mergeCell ref="V122:V127"/>
    <mergeCell ref="W122:W127"/>
    <mergeCell ref="U110:U121"/>
    <mergeCell ref="V110:V121"/>
    <mergeCell ref="M128:M131"/>
    <mergeCell ref="A132:A143"/>
    <mergeCell ref="O132:O143"/>
    <mergeCell ref="U132:U143"/>
    <mergeCell ref="B132:B143"/>
    <mergeCell ref="V132:V143"/>
    <mergeCell ref="C132:C143"/>
    <mergeCell ref="W132:W143"/>
    <mergeCell ref="D132:D143"/>
    <mergeCell ref="E132:E143"/>
    <mergeCell ref="F132:F143"/>
    <mergeCell ref="G132:G143"/>
    <mergeCell ref="H132:H143"/>
    <mergeCell ref="I132:I143"/>
    <mergeCell ref="J132:J143"/>
    <mergeCell ref="K132:K143"/>
    <mergeCell ref="L132:L143"/>
    <mergeCell ref="M132:M143"/>
    <mergeCell ref="S2:U2"/>
    <mergeCell ref="F2:G2"/>
    <mergeCell ref="N2:O2"/>
    <mergeCell ref="A9:A26"/>
    <mergeCell ref="B9:B26"/>
    <mergeCell ref="C9:C26"/>
    <mergeCell ref="I128:I131"/>
    <mergeCell ref="J128:J131"/>
    <mergeCell ref="K128:K131"/>
    <mergeCell ref="L128:L131"/>
    <mergeCell ref="D128:D131"/>
    <mergeCell ref="E128:E131"/>
    <mergeCell ref="F128:F131"/>
    <mergeCell ref="G128:G131"/>
    <mergeCell ref="H128:H131"/>
    <mergeCell ref="U128:U131"/>
    <mergeCell ref="A27:A32"/>
    <mergeCell ref="O27:O32"/>
    <mergeCell ref="U27:U32"/>
    <mergeCell ref="B27:B32"/>
    <mergeCell ref="C27:C32"/>
    <mergeCell ref="O9:O26"/>
    <mergeCell ref="U9:U26"/>
    <mergeCell ref="D43:D60"/>
    <mergeCell ref="V9:V26"/>
    <mergeCell ref="W9:W26"/>
    <mergeCell ref="D9:D26"/>
    <mergeCell ref="E9:E26"/>
    <mergeCell ref="F9:F26"/>
    <mergeCell ref="G9:G26"/>
    <mergeCell ref="H9:H26"/>
    <mergeCell ref="I9:I26"/>
    <mergeCell ref="J9:J26"/>
    <mergeCell ref="K9:K26"/>
    <mergeCell ref="L9:L26"/>
    <mergeCell ref="M9:M26"/>
    <mergeCell ref="F43:F60"/>
    <mergeCell ref="B61:B72"/>
    <mergeCell ref="V61:V72"/>
    <mergeCell ref="C61:C72"/>
    <mergeCell ref="W61:W72"/>
    <mergeCell ref="D61:D72"/>
    <mergeCell ref="E61:E72"/>
    <mergeCell ref="F61:F72"/>
    <mergeCell ref="G61:G72"/>
    <mergeCell ref="H61:H72"/>
    <mergeCell ref="I61:I72"/>
    <mergeCell ref="J61:J72"/>
    <mergeCell ref="K61:K72"/>
    <mergeCell ref="L61:L72"/>
    <mergeCell ref="M61:M72"/>
    <mergeCell ref="U43:U60"/>
    <mergeCell ref="B43:B60"/>
    <mergeCell ref="V43:V60"/>
    <mergeCell ref="H43:H60"/>
    <mergeCell ref="I43:I60"/>
    <mergeCell ref="J43:J60"/>
    <mergeCell ref="K43:K60"/>
    <mergeCell ref="W39:W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O39:O40"/>
    <mergeCell ref="U39:U40"/>
    <mergeCell ref="V39:V40"/>
    <mergeCell ref="M39:M40"/>
    <mergeCell ref="V97:V102"/>
    <mergeCell ref="C97:C102"/>
    <mergeCell ref="A73:A78"/>
    <mergeCell ref="B73:B78"/>
    <mergeCell ref="C73:C78"/>
    <mergeCell ref="V91:V96"/>
    <mergeCell ref="L91:L96"/>
    <mergeCell ref="M91:M96"/>
    <mergeCell ref="D79:D90"/>
    <mergeCell ref="E79:E90"/>
    <mergeCell ref="F79:F90"/>
    <mergeCell ref="G79:G90"/>
    <mergeCell ref="H79:H90"/>
    <mergeCell ref="I79:I90"/>
    <mergeCell ref="J79:J90"/>
    <mergeCell ref="K79:K90"/>
    <mergeCell ref="L79:L90"/>
    <mergeCell ref="M79:M90"/>
    <mergeCell ref="U91:U96"/>
    <mergeCell ref="G91:G96"/>
    <mergeCell ref="H91:H96"/>
    <mergeCell ref="I91:I96"/>
    <mergeCell ref="J91:J96"/>
    <mergeCell ref="K91:K96"/>
    <mergeCell ref="A97:A102"/>
    <mergeCell ref="O97:O102"/>
    <mergeCell ref="U97:U102"/>
    <mergeCell ref="B97:B102"/>
    <mergeCell ref="C110:C121"/>
    <mergeCell ref="A43:A60"/>
    <mergeCell ref="O43:O60"/>
    <mergeCell ref="A91:A96"/>
    <mergeCell ref="O91:O96"/>
    <mergeCell ref="B91:B96"/>
    <mergeCell ref="C91:C96"/>
    <mergeCell ref="D91:D96"/>
    <mergeCell ref="E91:E96"/>
    <mergeCell ref="F91:F96"/>
    <mergeCell ref="A61:A72"/>
    <mergeCell ref="O61:O72"/>
    <mergeCell ref="C43:C60"/>
    <mergeCell ref="D97:D102"/>
    <mergeCell ref="E97:E102"/>
    <mergeCell ref="F97:F102"/>
    <mergeCell ref="G97:G102"/>
    <mergeCell ref="H97:H102"/>
    <mergeCell ref="L97:L102"/>
    <mergeCell ref="G43:G60"/>
    <mergeCell ref="E110:E121"/>
    <mergeCell ref="F110:F121"/>
    <mergeCell ref="G110:G121"/>
    <mergeCell ref="H110:H121"/>
    <mergeCell ref="I110:I121"/>
    <mergeCell ref="J110:J121"/>
    <mergeCell ref="K110:K121"/>
    <mergeCell ref="L110:L121"/>
    <mergeCell ref="A105:A108"/>
    <mergeCell ref="O105:O108"/>
    <mergeCell ref="U105:U108"/>
    <mergeCell ref="B105:B108"/>
    <mergeCell ref="V105:V108"/>
    <mergeCell ref="C105:C108"/>
    <mergeCell ref="W105:W108"/>
    <mergeCell ref="D105:D108"/>
    <mergeCell ref="E105:E108"/>
    <mergeCell ref="F105:F108"/>
    <mergeCell ref="G105:G108"/>
    <mergeCell ref="H105:H108"/>
    <mergeCell ref="I105:I108"/>
    <mergeCell ref="J105:J108"/>
    <mergeCell ref="K105:K108"/>
    <mergeCell ref="L105:L108"/>
    <mergeCell ref="M105:M108"/>
    <mergeCell ref="M27:M32"/>
    <mergeCell ref="A79:A90"/>
    <mergeCell ref="O79:O90"/>
    <mergeCell ref="U79:U90"/>
    <mergeCell ref="B79:B90"/>
    <mergeCell ref="V79:V90"/>
    <mergeCell ref="C79:C90"/>
    <mergeCell ref="D27:D32"/>
    <mergeCell ref="E27:E32"/>
    <mergeCell ref="F27:F32"/>
    <mergeCell ref="G27:G32"/>
    <mergeCell ref="H27:H32"/>
    <mergeCell ref="I27:I32"/>
    <mergeCell ref="J27:J32"/>
    <mergeCell ref="K27:K32"/>
    <mergeCell ref="L27:L32"/>
    <mergeCell ref="U61:U72"/>
    <mergeCell ref="L43:L60"/>
    <mergeCell ref="M43:M60"/>
    <mergeCell ref="A39:A40"/>
    <mergeCell ref="B39:B40"/>
    <mergeCell ref="C39:C40"/>
    <mergeCell ref="V27:V32"/>
    <mergeCell ref="A33:A38"/>
    <mergeCell ref="O33:O38"/>
    <mergeCell ref="U33:U38"/>
    <mergeCell ref="B33:B38"/>
    <mergeCell ref="V33:V38"/>
    <mergeCell ref="C33:C38"/>
    <mergeCell ref="W33:W38"/>
    <mergeCell ref="D33:D38"/>
    <mergeCell ref="E33:E38"/>
    <mergeCell ref="F33:F38"/>
    <mergeCell ref="G33:G38"/>
    <mergeCell ref="H33:H38"/>
    <mergeCell ref="I33:I38"/>
    <mergeCell ref="J33:J38"/>
    <mergeCell ref="K33:K38"/>
    <mergeCell ref="L33:L38"/>
    <mergeCell ref="M33:M38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00B050"/>
    <pageSetUpPr fitToPage="1"/>
  </sheetPr>
  <dimension ref="A1:V17"/>
  <sheetViews>
    <sheetView showGridLines="0" tabSelected="1" view="pageBreakPreview" topLeftCell="F1" zoomScale="60" zoomScaleNormal="50" workbookViewId="0">
      <pane ySplit="8" topLeftCell="A9" activePane="bottomLeft" state="frozen"/>
      <selection pane="bottomLeft" activeCell="O15" sqref="O15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1" customWidth="1"/>
    <col min="7" max="7" width="27.44140625" style="3" customWidth="1"/>
    <col min="8" max="8" width="33" style="3" customWidth="1"/>
    <col min="9" max="10" width="27.33203125" style="10" customWidth="1"/>
    <col min="11" max="11" width="26.5546875" style="3" customWidth="1"/>
    <col min="12" max="12" width="38.44140625" style="11" customWidth="1"/>
    <col min="13" max="13" width="37.5546875" style="3" customWidth="1"/>
    <col min="14" max="14" width="24.6640625" style="10" customWidth="1"/>
    <col min="15" max="15" width="24.44140625" style="11" customWidth="1"/>
    <col min="16" max="16" width="24.33203125" style="11" customWidth="1"/>
    <col min="17" max="17" width="27.44140625" style="11" customWidth="1"/>
    <col min="18" max="18" width="27.109375" style="11" customWidth="1"/>
    <col min="19" max="19" width="23.44140625" style="11" customWidth="1"/>
    <col min="20" max="20" width="22.88671875" style="10" customWidth="1"/>
    <col min="21" max="21" width="21.88671875" style="2" customWidth="1"/>
    <col min="22" max="16384" width="9.109375" style="2" hidden="1"/>
  </cols>
  <sheetData>
    <row r="1" spans="1:22" ht="18.600000000000001" thickBot="1" x14ac:dyDescent="0.35"/>
    <row r="2" spans="1:22" ht="39.9" customHeight="1" thickBot="1" x14ac:dyDescent="0.35">
      <c r="B2" s="68"/>
      <c r="C2" s="68"/>
      <c r="D2" s="68"/>
      <c r="E2" s="478" t="s">
        <v>24</v>
      </c>
      <c r="F2" s="479"/>
      <c r="G2" s="80">
        <f>SUM(G9:G9999)</f>
        <v>2375911.7600000002</v>
      </c>
      <c r="L2" s="501" t="s">
        <v>137</v>
      </c>
      <c r="M2" s="502"/>
      <c r="N2" s="69">
        <f>SUM(N9:N9999)</f>
        <v>2118812.4</v>
      </c>
      <c r="P2" s="68"/>
      <c r="Q2" s="378" t="s">
        <v>45</v>
      </c>
      <c r="R2" s="379"/>
      <c r="S2" s="380"/>
      <c r="T2" s="70">
        <f>SUM(T9:T9999)</f>
        <v>0</v>
      </c>
    </row>
    <row r="3" spans="1:22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44" x14ac:dyDescent="0.3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08" x14ac:dyDescent="0.3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3">
      <c r="A9" s="361">
        <v>1</v>
      </c>
      <c r="B9" s="367"/>
      <c r="C9" s="367"/>
      <c r="D9" s="367" t="s">
        <v>153</v>
      </c>
      <c r="E9" s="363">
        <v>45300</v>
      </c>
      <c r="F9" s="373" t="s">
        <v>154</v>
      </c>
      <c r="G9" s="365">
        <v>1214926.1100000001</v>
      </c>
      <c r="H9" s="375">
        <f>IF(V9 = 6, G9 + SUM(Q9:Q12) - SUM(R9:R12) - SUM(N9:N12) - T9,0)</f>
        <v>257099.36000000022</v>
      </c>
      <c r="I9" s="498">
        <v>2312054894</v>
      </c>
      <c r="J9" s="367" t="s">
        <v>148</v>
      </c>
      <c r="K9" s="367" t="s">
        <v>248</v>
      </c>
      <c r="L9" s="189" t="s">
        <v>257</v>
      </c>
      <c r="M9" s="367" t="s">
        <v>164</v>
      </c>
      <c r="N9" s="183">
        <v>326741.28999999998</v>
      </c>
      <c r="O9" s="189" t="s">
        <v>265</v>
      </c>
      <c r="P9" s="182"/>
      <c r="Q9" s="183"/>
      <c r="R9" s="183"/>
      <c r="S9" s="373"/>
      <c r="T9" s="365"/>
      <c r="U9" s="371"/>
      <c r="V9" s="85">
        <v>6</v>
      </c>
    </row>
    <row r="10" spans="1:22" x14ac:dyDescent="0.3">
      <c r="A10" s="493"/>
      <c r="B10" s="494"/>
      <c r="C10" s="494"/>
      <c r="D10" s="494"/>
      <c r="E10" s="495"/>
      <c r="F10" s="496"/>
      <c r="G10" s="491"/>
      <c r="H10" s="497"/>
      <c r="I10" s="499"/>
      <c r="J10" s="494"/>
      <c r="K10" s="494"/>
      <c r="L10" s="190" t="s">
        <v>312</v>
      </c>
      <c r="M10" s="494"/>
      <c r="N10" s="184">
        <v>308745.11</v>
      </c>
      <c r="O10" s="190" t="s">
        <v>321</v>
      </c>
      <c r="P10" s="185"/>
      <c r="Q10" s="184"/>
      <c r="R10" s="184"/>
      <c r="S10" s="496"/>
      <c r="T10" s="491"/>
      <c r="U10" s="492"/>
      <c r="V10" s="2">
        <v>6</v>
      </c>
    </row>
    <row r="11" spans="1:22" x14ac:dyDescent="0.3">
      <c r="A11" s="493"/>
      <c r="B11" s="494"/>
      <c r="C11" s="494"/>
      <c r="D11" s="494"/>
      <c r="E11" s="495"/>
      <c r="F11" s="496"/>
      <c r="G11" s="491"/>
      <c r="H11" s="497"/>
      <c r="I11" s="499"/>
      <c r="J11" s="494"/>
      <c r="K11" s="494"/>
      <c r="L11" s="190" t="s">
        <v>402</v>
      </c>
      <c r="M11" s="494"/>
      <c r="N11" s="184">
        <v>236462.58</v>
      </c>
      <c r="O11" s="190" t="s">
        <v>400</v>
      </c>
      <c r="P11" s="185"/>
      <c r="Q11" s="184"/>
      <c r="R11" s="184"/>
      <c r="S11" s="496"/>
      <c r="T11" s="491"/>
      <c r="U11" s="492"/>
      <c r="V11" s="2">
        <v>6</v>
      </c>
    </row>
    <row r="12" spans="1:22" x14ac:dyDescent="0.3">
      <c r="A12" s="362"/>
      <c r="B12" s="368"/>
      <c r="C12" s="368"/>
      <c r="D12" s="368"/>
      <c r="E12" s="364"/>
      <c r="F12" s="374"/>
      <c r="G12" s="366"/>
      <c r="H12" s="376"/>
      <c r="I12" s="500"/>
      <c r="J12" s="368"/>
      <c r="K12" s="368"/>
      <c r="L12" s="191" t="s">
        <v>454</v>
      </c>
      <c r="M12" s="368"/>
      <c r="N12" s="186">
        <v>85877.77</v>
      </c>
      <c r="O12" s="191" t="s">
        <v>463</v>
      </c>
      <c r="P12" s="187"/>
      <c r="Q12" s="186"/>
      <c r="R12" s="186"/>
      <c r="S12" s="374"/>
      <c r="T12" s="366"/>
      <c r="U12" s="372"/>
      <c r="V12" s="2">
        <v>6</v>
      </c>
    </row>
    <row r="13" spans="1:22" s="85" customFormat="1" ht="135.6" customHeight="1" x14ac:dyDescent="0.3">
      <c r="A13" s="337">
        <v>2</v>
      </c>
      <c r="B13" s="346"/>
      <c r="C13" s="346"/>
      <c r="D13" s="346" t="s">
        <v>288</v>
      </c>
      <c r="E13" s="340">
        <v>45366</v>
      </c>
      <c r="F13" s="352" t="s">
        <v>289</v>
      </c>
      <c r="G13" s="343">
        <v>1042002.5</v>
      </c>
      <c r="H13" s="355">
        <f>IF(V13 = 7, G13 + SUM(Q13:Q14) - SUM(R13:R14) - SUM(N13:N14) - T13,0)</f>
        <v>0</v>
      </c>
      <c r="I13" s="489">
        <v>7715995942</v>
      </c>
      <c r="J13" s="346" t="s">
        <v>290</v>
      </c>
      <c r="K13" s="346" t="s">
        <v>325</v>
      </c>
      <c r="L13" s="235" t="s">
        <v>462</v>
      </c>
      <c r="M13" s="346" t="s">
        <v>291</v>
      </c>
      <c r="N13" s="226">
        <v>970120.25</v>
      </c>
      <c r="O13" s="235" t="s">
        <v>458</v>
      </c>
      <c r="P13" s="225"/>
      <c r="Q13" s="226"/>
      <c r="R13" s="226"/>
      <c r="S13" s="352"/>
      <c r="T13" s="343"/>
      <c r="U13" s="358"/>
      <c r="V13" s="85">
        <v>7</v>
      </c>
    </row>
    <row r="14" spans="1:22" x14ac:dyDescent="0.3">
      <c r="A14" s="339"/>
      <c r="B14" s="348"/>
      <c r="C14" s="348"/>
      <c r="D14" s="348"/>
      <c r="E14" s="342"/>
      <c r="F14" s="354"/>
      <c r="G14" s="345"/>
      <c r="H14" s="357"/>
      <c r="I14" s="490"/>
      <c r="J14" s="348"/>
      <c r="K14" s="348"/>
      <c r="L14" s="233">
        <v>45444</v>
      </c>
      <c r="M14" s="348"/>
      <c r="N14" s="232">
        <v>71882.25</v>
      </c>
      <c r="O14" s="237">
        <v>45477</v>
      </c>
      <c r="P14" s="233"/>
      <c r="Q14" s="232"/>
      <c r="R14" s="232"/>
      <c r="S14" s="354"/>
      <c r="T14" s="345"/>
      <c r="U14" s="360"/>
      <c r="V14" s="2">
        <v>7</v>
      </c>
    </row>
    <row r="15" spans="1:22" s="85" customFormat="1" ht="108" customHeight="1" x14ac:dyDescent="0.3">
      <c r="A15" s="223">
        <v>3</v>
      </c>
      <c r="B15" s="224"/>
      <c r="C15" s="224"/>
      <c r="D15" s="224" t="s">
        <v>322</v>
      </c>
      <c r="E15" s="235" t="s">
        <v>323</v>
      </c>
      <c r="F15" s="225" t="s">
        <v>289</v>
      </c>
      <c r="G15" s="226">
        <v>114292.75</v>
      </c>
      <c r="H15" s="227">
        <f>IF(V15 = 8, G15 + SUM(Q15:Q15) - SUM(R15:R15) - SUM(N15:N15) - T15,0)</f>
        <v>0</v>
      </c>
      <c r="I15" s="238">
        <v>7715995942</v>
      </c>
      <c r="J15" s="224" t="s">
        <v>290</v>
      </c>
      <c r="K15" s="224" t="s">
        <v>324</v>
      </c>
      <c r="L15" s="225">
        <v>45444</v>
      </c>
      <c r="M15" s="224" t="s">
        <v>291</v>
      </c>
      <c r="N15" s="226">
        <v>114292.75</v>
      </c>
      <c r="O15" s="235">
        <v>45477</v>
      </c>
      <c r="P15" s="225"/>
      <c r="Q15" s="226"/>
      <c r="R15" s="226"/>
      <c r="S15" s="225"/>
      <c r="T15" s="226"/>
      <c r="U15" s="228"/>
      <c r="V15" s="85">
        <v>8</v>
      </c>
    </row>
    <row r="16" spans="1:22" s="85" customFormat="1" ht="108" x14ac:dyDescent="0.3">
      <c r="A16" s="123">
        <v>4</v>
      </c>
      <c r="B16" s="124"/>
      <c r="C16" s="124"/>
      <c r="D16" s="124" t="s">
        <v>326</v>
      </c>
      <c r="E16" s="125" t="s">
        <v>323</v>
      </c>
      <c r="F16" s="126" t="s">
        <v>289</v>
      </c>
      <c r="G16" s="127">
        <v>4690.3999999999996</v>
      </c>
      <c r="H16" s="128">
        <f>IF(V16 = 9, G16 + SUM(Q16:Q16) - SUM(R16:R16) - SUM(N16:N16) - T16,0)</f>
        <v>0</v>
      </c>
      <c r="I16" s="129">
        <v>7715995942</v>
      </c>
      <c r="J16" s="124" t="s">
        <v>290</v>
      </c>
      <c r="K16" s="124" t="s">
        <v>324</v>
      </c>
      <c r="L16" s="125" t="s">
        <v>467</v>
      </c>
      <c r="M16" s="124" t="s">
        <v>291</v>
      </c>
      <c r="N16" s="127">
        <v>4690.3999999999996</v>
      </c>
      <c r="O16" s="125" t="s">
        <v>468</v>
      </c>
      <c r="P16" s="126"/>
      <c r="Q16" s="127"/>
      <c r="R16" s="127"/>
      <c r="S16" s="126"/>
      <c r="T16" s="127"/>
      <c r="U16" s="130"/>
      <c r="V16" s="85">
        <v>9</v>
      </c>
    </row>
    <row r="17" spans="22:22" x14ac:dyDescent="0.3">
      <c r="V17" s="2">
        <v>10</v>
      </c>
    </row>
  </sheetData>
  <sheetProtection algorithmName="SHA-512" hashValue="LgoGLSA1NVdRl/07u60agrlLbwTnXQqBznVseQ5OSyBme45MiopZ1IINHY0jeaIVS3EcVjAly1+ht7keZaw8vA==" saltValue="hAzRnGbeSAvMRxyVS3xXrg==" spinCount="100000" sheet="1" objects="1" scenarios="1" formatCells="0" formatColumns="0" formatRows="0"/>
  <mergeCells count="33">
    <mergeCell ref="Q2:S2"/>
    <mergeCell ref="E2:F2"/>
    <mergeCell ref="L2:M2"/>
    <mergeCell ref="M9:M12"/>
    <mergeCell ref="S9:S12"/>
    <mergeCell ref="T9:T12"/>
    <mergeCell ref="U9:U12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K9:K12"/>
    <mergeCell ref="A13:A14"/>
    <mergeCell ref="M13:M14"/>
    <mergeCell ref="S13:S14"/>
    <mergeCell ref="B13:B14"/>
    <mergeCell ref="T13:T14"/>
    <mergeCell ref="C13:C14"/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70866141732283472" right="0.70866141732283472" top="0.74803149606299213" bottom="0.74803149606299213" header="0.31496062992125984" footer="0.31496062992125984"/>
  <pageSetup paperSize="9" scale="2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9">
    <tabColor theme="3" tint="0.39997558519241921"/>
  </sheetPr>
  <dimension ref="A1:AL11"/>
  <sheetViews>
    <sheetView showGridLines="0" topLeftCell="F1" zoomScale="50" zoomScaleNormal="50" workbookViewId="0">
      <pane ySplit="8" topLeftCell="A9" activePane="bottomLeft" state="frozen"/>
      <selection pane="bottomLeft" activeCell="P16" sqref="P16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0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8" width="21.88671875" style="10" customWidth="1"/>
    <col min="19" max="19" width="23.5546875" style="3" customWidth="1"/>
    <col min="20" max="20" width="31.33203125" style="11" customWidth="1"/>
    <col min="21" max="21" width="27.6640625" style="11" customWidth="1"/>
    <col min="22" max="22" width="25.44140625" style="10" customWidth="1"/>
    <col min="23" max="23" width="25" style="11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1" customWidth="1"/>
    <col min="28" max="28" width="19.109375" style="10" customWidth="1"/>
    <col min="29" max="29" width="23.109375" style="3" customWidth="1"/>
    <col min="30" max="30" width="9.109375" style="2" hidden="1" customWidth="1"/>
    <col min="31" max="31" width="8.5546875" style="2" hidden="1" customWidth="1"/>
    <col min="32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78" t="s">
        <v>139</v>
      </c>
      <c r="F2" s="479"/>
      <c r="G2" s="82">
        <f>SUM(G9:G9999)</f>
        <v>0</v>
      </c>
      <c r="O2" s="478" t="s">
        <v>24</v>
      </c>
      <c r="P2" s="479"/>
      <c r="Q2" s="80">
        <f>SUM(Q9:Q9999)</f>
        <v>0</v>
      </c>
      <c r="T2" s="378" t="s">
        <v>137</v>
      </c>
      <c r="U2" s="380"/>
      <c r="V2" s="69">
        <f>SUM(V9:V9999)</f>
        <v>0</v>
      </c>
      <c r="X2" s="68"/>
      <c r="Y2" s="378" t="s">
        <v>45</v>
      </c>
      <c r="Z2" s="379"/>
      <c r="AA2" s="380"/>
      <c r="AB2" s="70">
        <f>SUM(AB9:AB9999)</f>
        <v>0</v>
      </c>
    </row>
    <row r="3" spans="1:30" x14ac:dyDescent="0.3">
      <c r="T3" s="2"/>
      <c r="U3" s="2"/>
      <c r="X3" s="2"/>
      <c r="Y3" s="2"/>
      <c r="Z3" s="2"/>
      <c r="AA3" s="2"/>
    </row>
    <row r="4" spans="1:30" ht="39.9" customHeight="1" x14ac:dyDescent="0.3">
      <c r="T4" s="2"/>
      <c r="U4" s="2"/>
      <c r="X4" s="2"/>
      <c r="Y4" s="2"/>
      <c r="Z4" s="2"/>
      <c r="AA4" s="2"/>
    </row>
    <row r="6" spans="1:30" ht="126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s="85" customFormat="1" ht="72" x14ac:dyDescent="0.3">
      <c r="A9" s="215">
        <v>1</v>
      </c>
      <c r="B9" s="217"/>
      <c r="C9" s="217" t="s">
        <v>515</v>
      </c>
      <c r="D9" s="217"/>
      <c r="E9" s="217"/>
      <c r="F9" s="217"/>
      <c r="G9" s="216"/>
      <c r="H9" s="221">
        <f>IF(AD9 = 1, G9 - Q9,0)</f>
        <v>0</v>
      </c>
      <c r="I9" s="216"/>
      <c r="J9" s="216"/>
      <c r="K9" s="217"/>
      <c r="L9" s="217"/>
      <c r="M9" s="217"/>
      <c r="N9" s="222">
        <v>45470</v>
      </c>
      <c r="O9" s="217" t="s">
        <v>543</v>
      </c>
      <c r="P9" s="217" t="s">
        <v>544</v>
      </c>
      <c r="Q9" s="216"/>
      <c r="R9" s="221">
        <f>IF(AD9 = 1, Q9 + SUM(Y9:Y9) - SUM(Z9:Z9) - SUM(V9:V9) - AB9,0)</f>
        <v>0</v>
      </c>
      <c r="S9" s="217" t="s">
        <v>546</v>
      </c>
      <c r="T9" s="222"/>
      <c r="U9" s="220" t="s">
        <v>545</v>
      </c>
      <c r="V9" s="216"/>
      <c r="W9" s="222"/>
      <c r="X9" s="217"/>
      <c r="Y9" s="216"/>
      <c r="Z9" s="216"/>
      <c r="AA9" s="220"/>
      <c r="AB9" s="216"/>
      <c r="AC9" s="217"/>
      <c r="AD9" s="85">
        <v>1</v>
      </c>
    </row>
    <row r="10" spans="1:30" s="85" customFormat="1" ht="72" x14ac:dyDescent="0.3">
      <c r="A10" s="215">
        <v>2</v>
      </c>
      <c r="B10" s="217"/>
      <c r="C10" s="217" t="s">
        <v>202</v>
      </c>
      <c r="D10" s="217"/>
      <c r="E10" s="217"/>
      <c r="F10" s="217"/>
      <c r="G10" s="216"/>
      <c r="H10" s="221">
        <f>IF(AD10 = 2, G10 - Q10,0)</f>
        <v>0</v>
      </c>
      <c r="I10" s="216"/>
      <c r="J10" s="216"/>
      <c r="K10" s="217"/>
      <c r="L10" s="217"/>
      <c r="M10" s="217"/>
      <c r="N10" s="222">
        <v>45652</v>
      </c>
      <c r="O10" s="217" t="s">
        <v>543</v>
      </c>
      <c r="P10" s="217" t="s">
        <v>544</v>
      </c>
      <c r="Q10" s="216"/>
      <c r="R10" s="221">
        <f>IF(AD10 = 2, Q10 + SUM(Y10:Y10) - SUM(Z10:Z10) - SUM(V10:V10) - AB10,0)</f>
        <v>0</v>
      </c>
      <c r="S10" s="217" t="s">
        <v>547</v>
      </c>
      <c r="T10" s="222"/>
      <c r="U10" s="220" t="s">
        <v>545</v>
      </c>
      <c r="V10" s="216"/>
      <c r="W10" s="222"/>
      <c r="X10" s="217"/>
      <c r="Y10" s="216"/>
      <c r="Z10" s="216"/>
      <c r="AA10" s="220"/>
      <c r="AB10" s="216"/>
      <c r="AC10" s="217"/>
      <c r="AD10" s="85">
        <v>2</v>
      </c>
    </row>
    <row r="11" spans="1:30" x14ac:dyDescent="0.3">
      <c r="AD11" s="2">
        <v>3</v>
      </c>
    </row>
  </sheetData>
  <sheetProtection algorithmName="SHA-512" hashValue="4FJlSu8JM6V04ZcqgBO4XGgjEd3+xIK4fHJyCtJBEbiQFT0WDqfE8HKgzWKegJqi3ePTC9iRBV+rXsLVHqeZMA==" saltValue="wgddGJ6hgXdEMB/uwJlvG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0" customWidth="1"/>
    <col min="8" max="8" width="22.33203125" style="2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7" width="27" style="10" customWidth="1"/>
    <col min="18" max="18" width="21.88671875" style="2" customWidth="1"/>
    <col min="19" max="19" width="23.5546875" style="2" customWidth="1"/>
    <col min="20" max="20" width="32.4414062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5.109375" style="2" customWidth="1"/>
    <col min="27" max="27" width="23.88671875" style="2" customWidth="1"/>
    <col min="28" max="28" width="20.33203125" style="2" customWidth="1"/>
    <col min="29" max="29" width="20" style="2" customWidth="1"/>
    <col min="30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78" t="s">
        <v>139</v>
      </c>
      <c r="F2" s="479"/>
      <c r="G2" s="82">
        <f>SUM(G9:G9999)</f>
        <v>0</v>
      </c>
      <c r="H2" s="10"/>
      <c r="O2" s="478" t="s">
        <v>24</v>
      </c>
      <c r="P2" s="479"/>
      <c r="Q2" s="80">
        <f>SUM(Q9:Q9999)</f>
        <v>0</v>
      </c>
      <c r="T2" s="378" t="s">
        <v>137</v>
      </c>
      <c r="U2" s="380"/>
      <c r="V2" s="69">
        <f>SUM(V9:V9999)</f>
        <v>0</v>
      </c>
      <c r="X2" s="68"/>
      <c r="Y2" s="378" t="s">
        <v>45</v>
      </c>
      <c r="Z2" s="379"/>
      <c r="AA2" s="380"/>
      <c r="AB2" s="70">
        <f>SUM(AB9:AB9999)</f>
        <v>0</v>
      </c>
    </row>
    <row r="4" spans="1:30" ht="39.9" customHeight="1" x14ac:dyDescent="0.3"/>
    <row r="6" spans="1:30" ht="108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3">
      <c r="AD9" s="2">
        <v>2</v>
      </c>
    </row>
  </sheetData>
  <sheetProtection algorithmName="SHA-512" hashValue="h8g3HjQGbQDQpD4a8ijwoJxiL53BM0ZL/3axiodcg24rzG3kvEjPr2wBaRZF3YtIbks/EPqf36KvIB7J2Ngzuw==" saltValue="T70M3T/lUQL+Js2vwqk/N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1">
    <tabColor theme="3" tint="0.39997558519241921"/>
  </sheetPr>
  <dimension ref="A1:AD46"/>
  <sheetViews>
    <sheetView showGridLines="0" zoomScale="50" zoomScaleNormal="50" workbookViewId="0">
      <pane ySplit="8" topLeftCell="A9" activePane="bottomLeft" state="frozen"/>
      <selection pane="bottomLeft" activeCell="R30" sqref="R30:R35"/>
    </sheetView>
  </sheetViews>
  <sheetFormatPr defaultColWidth="0" defaultRowHeight="18" x14ac:dyDescent="0.3"/>
  <cols>
    <col min="1" max="1" width="9.109375" style="2" customWidth="1"/>
    <col min="2" max="2" width="47.109375" style="2" customWidth="1"/>
    <col min="3" max="3" width="33.33203125" style="2" customWidth="1"/>
    <col min="4" max="6" width="33.6640625" style="2" customWidth="1"/>
    <col min="7" max="8" width="22.33203125" style="2" customWidth="1"/>
    <col min="9" max="9" width="24.33203125" style="2" customWidth="1"/>
    <col min="10" max="10" width="28.44140625" style="2" customWidth="1"/>
    <col min="11" max="12" width="19.5546875" style="2" customWidth="1"/>
    <col min="13" max="13" width="27.6640625" style="2" customWidth="1"/>
    <col min="14" max="14" width="24.44140625" style="2" bestFit="1" customWidth="1"/>
    <col min="15" max="15" width="27.44140625" style="2" customWidth="1"/>
    <col min="16" max="16" width="31.5546875" style="2" customWidth="1"/>
    <col min="17" max="18" width="21.88671875" style="2" customWidth="1"/>
    <col min="19" max="19" width="23.5546875" style="2" customWidth="1"/>
    <col min="20" max="20" width="31.8867187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9.44140625" style="2" customWidth="1"/>
    <col min="27" max="27" width="26.33203125" style="2" customWidth="1"/>
    <col min="28" max="28" width="25.109375" style="2" customWidth="1"/>
    <col min="29" max="29" width="19.109375" style="2" customWidth="1"/>
    <col min="30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78" t="s">
        <v>139</v>
      </c>
      <c r="F2" s="479"/>
      <c r="G2" s="82">
        <f>SUM(G9:G9951)</f>
        <v>3760827</v>
      </c>
      <c r="H2" s="10"/>
      <c r="O2" s="478" t="s">
        <v>24</v>
      </c>
      <c r="P2" s="479"/>
      <c r="Q2" s="80">
        <f>SUM(Q9:Q9951)</f>
        <v>2379074.91</v>
      </c>
      <c r="T2" s="378" t="s">
        <v>137</v>
      </c>
      <c r="U2" s="380"/>
      <c r="V2" s="69">
        <f>SUM(V9:V9951)</f>
        <v>1029454.1599999999</v>
      </c>
      <c r="X2" s="68"/>
      <c r="Y2" s="378" t="s">
        <v>45</v>
      </c>
      <c r="Z2" s="379"/>
      <c r="AA2" s="380"/>
      <c r="AB2" s="70">
        <f>SUM(AB9:AB9951)</f>
        <v>73610.350000000006</v>
      </c>
    </row>
    <row r="4" spans="1:30" ht="39.9" customHeight="1" x14ac:dyDescent="0.3">
      <c r="P4" s="377"/>
      <c r="Q4" s="377"/>
      <c r="R4" s="377"/>
      <c r="T4" s="68"/>
      <c r="U4" s="68"/>
    </row>
    <row r="6" spans="1:30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88.8" customHeight="1" x14ac:dyDescent="0.3">
      <c r="A9" s="438">
        <v>1</v>
      </c>
      <c r="B9" s="410" t="s">
        <v>56</v>
      </c>
      <c r="C9" s="410" t="s">
        <v>198</v>
      </c>
      <c r="D9" s="410"/>
      <c r="E9" s="410" t="s">
        <v>199</v>
      </c>
      <c r="F9" s="410" t="s">
        <v>184</v>
      </c>
      <c r="G9" s="407">
        <v>700940.87</v>
      </c>
      <c r="H9" s="469">
        <f>IF(AD9 = 5, G9 - Q9,0)</f>
        <v>0</v>
      </c>
      <c r="I9" s="407"/>
      <c r="J9" s="407"/>
      <c r="K9" s="410"/>
      <c r="L9" s="410"/>
      <c r="M9" s="410" t="s">
        <v>197</v>
      </c>
      <c r="N9" s="441" t="s">
        <v>200</v>
      </c>
      <c r="O9" s="410">
        <v>2353020735</v>
      </c>
      <c r="P9" s="410" t="s">
        <v>177</v>
      </c>
      <c r="Q9" s="407">
        <v>700940.87</v>
      </c>
      <c r="R9" s="469">
        <f>IF(AD9 = 5, Q9 + SUM(Y9:Y29) - SUM(Z9:Z29) - SUM(V9:V29) - AB9,0)</f>
        <v>-2.9103830456733704E-11</v>
      </c>
      <c r="S9" s="410" t="s">
        <v>201</v>
      </c>
      <c r="T9" s="167" t="s">
        <v>260</v>
      </c>
      <c r="U9" s="410" t="s">
        <v>156</v>
      </c>
      <c r="V9" s="160">
        <v>29010</v>
      </c>
      <c r="W9" s="167" t="s">
        <v>259</v>
      </c>
      <c r="X9" s="158"/>
      <c r="Y9" s="160"/>
      <c r="Z9" s="160"/>
      <c r="AA9" s="410" t="s">
        <v>453</v>
      </c>
      <c r="AB9" s="407">
        <v>73610.350000000006</v>
      </c>
      <c r="AC9" s="466"/>
      <c r="AD9" s="85">
        <v>5</v>
      </c>
    </row>
    <row r="10" spans="1:30" x14ac:dyDescent="0.3">
      <c r="A10" s="439"/>
      <c r="B10" s="411"/>
      <c r="C10" s="411"/>
      <c r="D10" s="411"/>
      <c r="E10" s="411"/>
      <c r="F10" s="411"/>
      <c r="G10" s="408"/>
      <c r="H10" s="470"/>
      <c r="I10" s="408"/>
      <c r="J10" s="408"/>
      <c r="K10" s="411"/>
      <c r="L10" s="411"/>
      <c r="M10" s="411"/>
      <c r="N10" s="442"/>
      <c r="O10" s="411"/>
      <c r="P10" s="411"/>
      <c r="Q10" s="408"/>
      <c r="R10" s="470"/>
      <c r="S10" s="411"/>
      <c r="T10" s="168" t="s">
        <v>261</v>
      </c>
      <c r="U10" s="411"/>
      <c r="V10" s="161">
        <v>23040</v>
      </c>
      <c r="W10" s="168" t="s">
        <v>259</v>
      </c>
      <c r="X10" s="163"/>
      <c r="Y10" s="161"/>
      <c r="Z10" s="161"/>
      <c r="AA10" s="411"/>
      <c r="AB10" s="408"/>
      <c r="AC10" s="467"/>
      <c r="AD10" s="2">
        <v>5</v>
      </c>
    </row>
    <row r="11" spans="1:30" x14ac:dyDescent="0.3">
      <c r="A11" s="439"/>
      <c r="B11" s="411"/>
      <c r="C11" s="411"/>
      <c r="D11" s="411"/>
      <c r="E11" s="411"/>
      <c r="F11" s="411"/>
      <c r="G11" s="408"/>
      <c r="H11" s="470"/>
      <c r="I11" s="408"/>
      <c r="J11" s="408"/>
      <c r="K11" s="411"/>
      <c r="L11" s="411"/>
      <c r="M11" s="411"/>
      <c r="N11" s="442"/>
      <c r="O11" s="411"/>
      <c r="P11" s="411"/>
      <c r="Q11" s="408"/>
      <c r="R11" s="470"/>
      <c r="S11" s="411"/>
      <c r="T11" s="168" t="s">
        <v>262</v>
      </c>
      <c r="U11" s="411"/>
      <c r="V11" s="161">
        <v>2940</v>
      </c>
      <c r="W11" s="168" t="s">
        <v>259</v>
      </c>
      <c r="X11" s="163"/>
      <c r="Y11" s="161"/>
      <c r="Z11" s="161"/>
      <c r="AA11" s="411"/>
      <c r="AB11" s="408"/>
      <c r="AC11" s="467"/>
      <c r="AD11" s="2">
        <v>5</v>
      </c>
    </row>
    <row r="12" spans="1:30" x14ac:dyDescent="0.3">
      <c r="A12" s="439"/>
      <c r="B12" s="411"/>
      <c r="C12" s="411"/>
      <c r="D12" s="411"/>
      <c r="E12" s="411"/>
      <c r="F12" s="411"/>
      <c r="G12" s="408"/>
      <c r="H12" s="470"/>
      <c r="I12" s="408"/>
      <c r="J12" s="408"/>
      <c r="K12" s="411"/>
      <c r="L12" s="411"/>
      <c r="M12" s="411"/>
      <c r="N12" s="442"/>
      <c r="O12" s="411"/>
      <c r="P12" s="411"/>
      <c r="Q12" s="408"/>
      <c r="R12" s="470"/>
      <c r="S12" s="411"/>
      <c r="T12" s="168" t="s">
        <v>262</v>
      </c>
      <c r="U12" s="411"/>
      <c r="V12" s="161">
        <v>8444.6299999999992</v>
      </c>
      <c r="W12" s="168" t="s">
        <v>263</v>
      </c>
      <c r="X12" s="163"/>
      <c r="Y12" s="161"/>
      <c r="Z12" s="161"/>
      <c r="AA12" s="411"/>
      <c r="AB12" s="408"/>
      <c r="AC12" s="467"/>
      <c r="AD12" s="2">
        <v>5</v>
      </c>
    </row>
    <row r="13" spans="1:30" x14ac:dyDescent="0.3">
      <c r="A13" s="439"/>
      <c r="B13" s="411"/>
      <c r="C13" s="411"/>
      <c r="D13" s="411"/>
      <c r="E13" s="411"/>
      <c r="F13" s="411"/>
      <c r="G13" s="408"/>
      <c r="H13" s="470"/>
      <c r="I13" s="408"/>
      <c r="J13" s="408"/>
      <c r="K13" s="411"/>
      <c r="L13" s="411"/>
      <c r="M13" s="411"/>
      <c r="N13" s="442"/>
      <c r="O13" s="411"/>
      <c r="P13" s="411"/>
      <c r="Q13" s="408"/>
      <c r="R13" s="470"/>
      <c r="S13" s="411"/>
      <c r="T13" s="168" t="s">
        <v>262</v>
      </c>
      <c r="U13" s="411"/>
      <c r="V13" s="161">
        <v>539.03</v>
      </c>
      <c r="W13" s="168" t="s">
        <v>263</v>
      </c>
      <c r="X13" s="163"/>
      <c r="Y13" s="161"/>
      <c r="Z13" s="161"/>
      <c r="AA13" s="411"/>
      <c r="AB13" s="408"/>
      <c r="AC13" s="467"/>
      <c r="AD13" s="2">
        <v>5</v>
      </c>
    </row>
    <row r="14" spans="1:30" x14ac:dyDescent="0.3">
      <c r="A14" s="439"/>
      <c r="B14" s="411"/>
      <c r="C14" s="411"/>
      <c r="D14" s="411"/>
      <c r="E14" s="411"/>
      <c r="F14" s="411"/>
      <c r="G14" s="408"/>
      <c r="H14" s="470"/>
      <c r="I14" s="408"/>
      <c r="J14" s="408"/>
      <c r="K14" s="411"/>
      <c r="L14" s="411"/>
      <c r="M14" s="411"/>
      <c r="N14" s="442"/>
      <c r="O14" s="411"/>
      <c r="P14" s="411"/>
      <c r="Q14" s="408"/>
      <c r="R14" s="470"/>
      <c r="S14" s="411"/>
      <c r="T14" s="168" t="s">
        <v>261</v>
      </c>
      <c r="U14" s="411"/>
      <c r="V14" s="161">
        <v>66178.34</v>
      </c>
      <c r="W14" s="168" t="s">
        <v>263</v>
      </c>
      <c r="X14" s="163"/>
      <c r="Y14" s="161"/>
      <c r="Z14" s="161"/>
      <c r="AA14" s="411"/>
      <c r="AB14" s="408"/>
      <c r="AC14" s="467"/>
      <c r="AD14" s="2">
        <v>5</v>
      </c>
    </row>
    <row r="15" spans="1:30" x14ac:dyDescent="0.3">
      <c r="A15" s="439"/>
      <c r="B15" s="411"/>
      <c r="C15" s="411"/>
      <c r="D15" s="411"/>
      <c r="E15" s="411"/>
      <c r="F15" s="411"/>
      <c r="G15" s="408"/>
      <c r="H15" s="470"/>
      <c r="I15" s="408"/>
      <c r="J15" s="408"/>
      <c r="K15" s="411"/>
      <c r="L15" s="411"/>
      <c r="M15" s="411"/>
      <c r="N15" s="442"/>
      <c r="O15" s="411"/>
      <c r="P15" s="411"/>
      <c r="Q15" s="408"/>
      <c r="R15" s="470"/>
      <c r="S15" s="411"/>
      <c r="T15" s="168" t="s">
        <v>261</v>
      </c>
      <c r="U15" s="411"/>
      <c r="V15" s="161">
        <v>4224.22</v>
      </c>
      <c r="W15" s="168" t="s">
        <v>263</v>
      </c>
      <c r="X15" s="163"/>
      <c r="Y15" s="161"/>
      <c r="Z15" s="161"/>
      <c r="AA15" s="411"/>
      <c r="AB15" s="408"/>
      <c r="AC15" s="467"/>
      <c r="AD15" s="2">
        <v>5</v>
      </c>
    </row>
    <row r="16" spans="1:30" x14ac:dyDescent="0.3">
      <c r="A16" s="439"/>
      <c r="B16" s="411"/>
      <c r="C16" s="411"/>
      <c r="D16" s="411"/>
      <c r="E16" s="411"/>
      <c r="F16" s="411"/>
      <c r="G16" s="408"/>
      <c r="H16" s="470"/>
      <c r="I16" s="408"/>
      <c r="J16" s="408"/>
      <c r="K16" s="411"/>
      <c r="L16" s="411"/>
      <c r="M16" s="411"/>
      <c r="N16" s="442"/>
      <c r="O16" s="411"/>
      <c r="P16" s="411"/>
      <c r="Q16" s="408"/>
      <c r="R16" s="470"/>
      <c r="S16" s="411"/>
      <c r="T16" s="168" t="s">
        <v>260</v>
      </c>
      <c r="U16" s="411"/>
      <c r="V16" s="161">
        <v>83326.12</v>
      </c>
      <c r="W16" s="168" t="s">
        <v>263</v>
      </c>
      <c r="X16" s="163"/>
      <c r="Y16" s="161"/>
      <c r="Z16" s="161"/>
      <c r="AA16" s="411"/>
      <c r="AB16" s="408"/>
      <c r="AC16" s="467"/>
      <c r="AD16" s="2">
        <v>5</v>
      </c>
    </row>
    <row r="17" spans="1:30" x14ac:dyDescent="0.3">
      <c r="A17" s="439"/>
      <c r="B17" s="411"/>
      <c r="C17" s="411"/>
      <c r="D17" s="411"/>
      <c r="E17" s="411"/>
      <c r="F17" s="411"/>
      <c r="G17" s="408"/>
      <c r="H17" s="470"/>
      <c r="I17" s="408"/>
      <c r="J17" s="408"/>
      <c r="K17" s="411"/>
      <c r="L17" s="411"/>
      <c r="M17" s="411"/>
      <c r="N17" s="442"/>
      <c r="O17" s="411"/>
      <c r="P17" s="411"/>
      <c r="Q17" s="408"/>
      <c r="R17" s="470"/>
      <c r="S17" s="411"/>
      <c r="T17" s="168" t="s">
        <v>260</v>
      </c>
      <c r="U17" s="411"/>
      <c r="V17" s="161">
        <v>5318.77</v>
      </c>
      <c r="W17" s="168" t="s">
        <v>263</v>
      </c>
      <c r="X17" s="163"/>
      <c r="Y17" s="161"/>
      <c r="Z17" s="161"/>
      <c r="AA17" s="411"/>
      <c r="AB17" s="408"/>
      <c r="AC17" s="467"/>
      <c r="AD17" s="2">
        <v>5</v>
      </c>
    </row>
    <row r="18" spans="1:30" x14ac:dyDescent="0.3">
      <c r="A18" s="439"/>
      <c r="B18" s="411"/>
      <c r="C18" s="411"/>
      <c r="D18" s="411"/>
      <c r="E18" s="411"/>
      <c r="F18" s="411"/>
      <c r="G18" s="408"/>
      <c r="H18" s="470"/>
      <c r="I18" s="408"/>
      <c r="J18" s="408"/>
      <c r="K18" s="411"/>
      <c r="L18" s="411"/>
      <c r="M18" s="411"/>
      <c r="N18" s="442"/>
      <c r="O18" s="411"/>
      <c r="P18" s="411"/>
      <c r="Q18" s="408"/>
      <c r="R18" s="470"/>
      <c r="S18" s="411"/>
      <c r="T18" s="168" t="s">
        <v>265</v>
      </c>
      <c r="U18" s="411"/>
      <c r="V18" s="161">
        <v>74795.320000000007</v>
      </c>
      <c r="W18" s="168" t="s">
        <v>264</v>
      </c>
      <c r="X18" s="163"/>
      <c r="Y18" s="161"/>
      <c r="Z18" s="161"/>
      <c r="AA18" s="411"/>
      <c r="AB18" s="408"/>
      <c r="AC18" s="467"/>
      <c r="AD18" s="2">
        <v>5</v>
      </c>
    </row>
    <row r="19" spans="1:30" x14ac:dyDescent="0.3">
      <c r="A19" s="439"/>
      <c r="B19" s="411"/>
      <c r="C19" s="411"/>
      <c r="D19" s="411"/>
      <c r="E19" s="411"/>
      <c r="F19" s="411"/>
      <c r="G19" s="408"/>
      <c r="H19" s="470"/>
      <c r="I19" s="408"/>
      <c r="J19" s="408"/>
      <c r="K19" s="411"/>
      <c r="L19" s="411"/>
      <c r="M19" s="411"/>
      <c r="N19" s="442"/>
      <c r="O19" s="411"/>
      <c r="P19" s="411"/>
      <c r="Q19" s="408"/>
      <c r="R19" s="470"/>
      <c r="S19" s="411"/>
      <c r="T19" s="168" t="s">
        <v>265</v>
      </c>
      <c r="U19" s="411"/>
      <c r="V19" s="161">
        <v>4774.24</v>
      </c>
      <c r="W19" s="168" t="s">
        <v>264</v>
      </c>
      <c r="X19" s="163"/>
      <c r="Y19" s="161"/>
      <c r="Z19" s="161"/>
      <c r="AA19" s="411"/>
      <c r="AB19" s="408"/>
      <c r="AC19" s="467"/>
      <c r="AD19" s="2">
        <v>5</v>
      </c>
    </row>
    <row r="20" spans="1:30" x14ac:dyDescent="0.3">
      <c r="A20" s="439"/>
      <c r="B20" s="411"/>
      <c r="C20" s="411"/>
      <c r="D20" s="411"/>
      <c r="E20" s="411"/>
      <c r="F20" s="411"/>
      <c r="G20" s="408"/>
      <c r="H20" s="470"/>
      <c r="I20" s="408"/>
      <c r="J20" s="408"/>
      <c r="K20" s="411"/>
      <c r="L20" s="411"/>
      <c r="M20" s="411"/>
      <c r="N20" s="442"/>
      <c r="O20" s="411"/>
      <c r="P20" s="411"/>
      <c r="Q20" s="408"/>
      <c r="R20" s="470"/>
      <c r="S20" s="411"/>
      <c r="T20" s="168" t="s">
        <v>265</v>
      </c>
      <c r="U20" s="411"/>
      <c r="V20" s="161">
        <v>26040</v>
      </c>
      <c r="W20" s="168" t="s">
        <v>264</v>
      </c>
      <c r="X20" s="163"/>
      <c r="Y20" s="161"/>
      <c r="Z20" s="161"/>
      <c r="AA20" s="411"/>
      <c r="AB20" s="408"/>
      <c r="AC20" s="467"/>
      <c r="AD20" s="2">
        <v>5</v>
      </c>
    </row>
    <row r="21" spans="1:30" x14ac:dyDescent="0.3">
      <c r="A21" s="439"/>
      <c r="B21" s="411"/>
      <c r="C21" s="411"/>
      <c r="D21" s="411"/>
      <c r="E21" s="411"/>
      <c r="F21" s="411"/>
      <c r="G21" s="408"/>
      <c r="H21" s="470"/>
      <c r="I21" s="408"/>
      <c r="J21" s="408"/>
      <c r="K21" s="411"/>
      <c r="L21" s="411"/>
      <c r="M21" s="411"/>
      <c r="N21" s="442"/>
      <c r="O21" s="411"/>
      <c r="P21" s="411"/>
      <c r="Q21" s="408"/>
      <c r="R21" s="470"/>
      <c r="S21" s="411"/>
      <c r="T21" s="168" t="s">
        <v>314</v>
      </c>
      <c r="U21" s="411"/>
      <c r="V21" s="161">
        <v>4900.75</v>
      </c>
      <c r="W21" s="168" t="s">
        <v>311</v>
      </c>
      <c r="X21" s="163"/>
      <c r="Y21" s="161"/>
      <c r="Z21" s="161"/>
      <c r="AA21" s="411"/>
      <c r="AB21" s="408"/>
      <c r="AC21" s="467"/>
      <c r="AD21" s="2">
        <v>5</v>
      </c>
    </row>
    <row r="22" spans="1:30" x14ac:dyDescent="0.3">
      <c r="A22" s="439"/>
      <c r="B22" s="411"/>
      <c r="C22" s="411"/>
      <c r="D22" s="411"/>
      <c r="E22" s="411"/>
      <c r="F22" s="411"/>
      <c r="G22" s="408"/>
      <c r="H22" s="470"/>
      <c r="I22" s="408"/>
      <c r="J22" s="408"/>
      <c r="K22" s="411"/>
      <c r="L22" s="411"/>
      <c r="M22" s="411"/>
      <c r="N22" s="442"/>
      <c r="O22" s="411"/>
      <c r="P22" s="411"/>
      <c r="Q22" s="408"/>
      <c r="R22" s="470"/>
      <c r="S22" s="411"/>
      <c r="T22" s="168" t="s">
        <v>314</v>
      </c>
      <c r="U22" s="411"/>
      <c r="V22" s="161">
        <v>76777.22</v>
      </c>
      <c r="W22" s="168" t="s">
        <v>328</v>
      </c>
      <c r="X22" s="163"/>
      <c r="Y22" s="161"/>
      <c r="Z22" s="161"/>
      <c r="AA22" s="411"/>
      <c r="AB22" s="408"/>
      <c r="AC22" s="467"/>
      <c r="AD22" s="2">
        <v>5</v>
      </c>
    </row>
    <row r="23" spans="1:30" x14ac:dyDescent="0.3">
      <c r="A23" s="439"/>
      <c r="B23" s="411"/>
      <c r="C23" s="411"/>
      <c r="D23" s="411"/>
      <c r="E23" s="411"/>
      <c r="F23" s="411"/>
      <c r="G23" s="408"/>
      <c r="H23" s="470"/>
      <c r="I23" s="408"/>
      <c r="J23" s="408"/>
      <c r="K23" s="411"/>
      <c r="L23" s="411"/>
      <c r="M23" s="411"/>
      <c r="N23" s="442"/>
      <c r="O23" s="411"/>
      <c r="P23" s="411"/>
      <c r="Q23" s="408"/>
      <c r="R23" s="470"/>
      <c r="S23" s="411"/>
      <c r="T23" s="168" t="s">
        <v>328</v>
      </c>
      <c r="U23" s="411"/>
      <c r="V23" s="161">
        <v>31410</v>
      </c>
      <c r="W23" s="168" t="s">
        <v>329</v>
      </c>
      <c r="X23" s="163"/>
      <c r="Y23" s="161"/>
      <c r="Z23" s="161"/>
      <c r="AA23" s="411"/>
      <c r="AB23" s="408"/>
      <c r="AC23" s="467"/>
      <c r="AD23" s="2">
        <v>5</v>
      </c>
    </row>
    <row r="24" spans="1:30" x14ac:dyDescent="0.3">
      <c r="A24" s="439"/>
      <c r="B24" s="411"/>
      <c r="C24" s="411"/>
      <c r="D24" s="411"/>
      <c r="E24" s="411"/>
      <c r="F24" s="411"/>
      <c r="G24" s="408"/>
      <c r="H24" s="470"/>
      <c r="I24" s="408"/>
      <c r="J24" s="408"/>
      <c r="K24" s="411"/>
      <c r="L24" s="411"/>
      <c r="M24" s="411"/>
      <c r="N24" s="442"/>
      <c r="O24" s="411"/>
      <c r="P24" s="411"/>
      <c r="Q24" s="408"/>
      <c r="R24" s="470"/>
      <c r="S24" s="411"/>
      <c r="T24" s="168" t="s">
        <v>328</v>
      </c>
      <c r="U24" s="411"/>
      <c r="V24" s="161">
        <v>90219.7</v>
      </c>
      <c r="W24" s="168" t="s">
        <v>329</v>
      </c>
      <c r="X24" s="163"/>
      <c r="Y24" s="161"/>
      <c r="Z24" s="161"/>
      <c r="AA24" s="411"/>
      <c r="AB24" s="408"/>
      <c r="AC24" s="467"/>
      <c r="AD24" s="2">
        <v>5</v>
      </c>
    </row>
    <row r="25" spans="1:30" x14ac:dyDescent="0.3">
      <c r="A25" s="439"/>
      <c r="B25" s="411"/>
      <c r="C25" s="411"/>
      <c r="D25" s="411"/>
      <c r="E25" s="411"/>
      <c r="F25" s="411"/>
      <c r="G25" s="408"/>
      <c r="H25" s="470"/>
      <c r="I25" s="408"/>
      <c r="J25" s="408"/>
      <c r="K25" s="411"/>
      <c r="L25" s="411"/>
      <c r="M25" s="411"/>
      <c r="N25" s="442"/>
      <c r="O25" s="411"/>
      <c r="P25" s="411"/>
      <c r="Q25" s="408"/>
      <c r="R25" s="470"/>
      <c r="S25" s="411"/>
      <c r="T25" s="168" t="s">
        <v>328</v>
      </c>
      <c r="U25" s="411"/>
      <c r="V25" s="161">
        <v>5758.79</v>
      </c>
      <c r="W25" s="168" t="s">
        <v>329</v>
      </c>
      <c r="X25" s="163"/>
      <c r="Y25" s="161"/>
      <c r="Z25" s="161"/>
      <c r="AA25" s="411"/>
      <c r="AB25" s="408"/>
      <c r="AC25" s="467"/>
      <c r="AD25" s="2">
        <v>5</v>
      </c>
    </row>
    <row r="26" spans="1:30" x14ac:dyDescent="0.3">
      <c r="A26" s="439"/>
      <c r="B26" s="411"/>
      <c r="C26" s="411"/>
      <c r="D26" s="411"/>
      <c r="E26" s="411"/>
      <c r="F26" s="411"/>
      <c r="G26" s="408"/>
      <c r="H26" s="470"/>
      <c r="I26" s="408"/>
      <c r="J26" s="408"/>
      <c r="K26" s="411"/>
      <c r="L26" s="411"/>
      <c r="M26" s="411"/>
      <c r="N26" s="442"/>
      <c r="O26" s="411"/>
      <c r="P26" s="411"/>
      <c r="Q26" s="408"/>
      <c r="R26" s="470"/>
      <c r="S26" s="411"/>
      <c r="T26" s="168" t="s">
        <v>314</v>
      </c>
      <c r="U26" s="411"/>
      <c r="V26" s="161">
        <v>26730</v>
      </c>
      <c r="W26" s="168" t="s">
        <v>330</v>
      </c>
      <c r="X26" s="163"/>
      <c r="Y26" s="161"/>
      <c r="Z26" s="161"/>
      <c r="AA26" s="411"/>
      <c r="AB26" s="408"/>
      <c r="AC26" s="467"/>
      <c r="AD26" s="2">
        <v>5</v>
      </c>
    </row>
    <row r="27" spans="1:30" x14ac:dyDescent="0.3">
      <c r="A27" s="439"/>
      <c r="B27" s="411"/>
      <c r="C27" s="411"/>
      <c r="D27" s="411"/>
      <c r="E27" s="411"/>
      <c r="F27" s="411"/>
      <c r="G27" s="408"/>
      <c r="H27" s="470"/>
      <c r="I27" s="408"/>
      <c r="J27" s="408"/>
      <c r="K27" s="411"/>
      <c r="L27" s="411"/>
      <c r="M27" s="411"/>
      <c r="N27" s="442"/>
      <c r="O27" s="411"/>
      <c r="P27" s="411"/>
      <c r="Q27" s="408"/>
      <c r="R27" s="470"/>
      <c r="S27" s="411"/>
      <c r="T27" s="168" t="s">
        <v>422</v>
      </c>
      <c r="U27" s="411"/>
      <c r="V27" s="161">
        <v>44549.75</v>
      </c>
      <c r="W27" s="168" t="s">
        <v>404</v>
      </c>
      <c r="X27" s="163"/>
      <c r="Y27" s="161"/>
      <c r="Z27" s="161"/>
      <c r="AA27" s="411"/>
      <c r="AB27" s="408"/>
      <c r="AC27" s="467"/>
      <c r="AD27" s="2">
        <v>5</v>
      </c>
    </row>
    <row r="28" spans="1:30" x14ac:dyDescent="0.3">
      <c r="A28" s="439"/>
      <c r="B28" s="411"/>
      <c r="C28" s="411"/>
      <c r="D28" s="411"/>
      <c r="E28" s="411"/>
      <c r="F28" s="411"/>
      <c r="G28" s="408"/>
      <c r="H28" s="470"/>
      <c r="I28" s="408"/>
      <c r="J28" s="408"/>
      <c r="K28" s="411"/>
      <c r="L28" s="411"/>
      <c r="M28" s="411"/>
      <c r="N28" s="442"/>
      <c r="O28" s="411"/>
      <c r="P28" s="411"/>
      <c r="Q28" s="408"/>
      <c r="R28" s="470"/>
      <c r="S28" s="411"/>
      <c r="T28" s="168" t="s">
        <v>422</v>
      </c>
      <c r="U28" s="411"/>
      <c r="V28" s="161">
        <v>2843.64</v>
      </c>
      <c r="W28" s="168" t="s">
        <v>404</v>
      </c>
      <c r="X28" s="163"/>
      <c r="Y28" s="161"/>
      <c r="Z28" s="161"/>
      <c r="AA28" s="411"/>
      <c r="AB28" s="408"/>
      <c r="AC28" s="467"/>
      <c r="AD28" s="2">
        <v>5</v>
      </c>
    </row>
    <row r="29" spans="1:30" x14ac:dyDescent="0.3">
      <c r="A29" s="440"/>
      <c r="B29" s="412"/>
      <c r="C29" s="412"/>
      <c r="D29" s="412"/>
      <c r="E29" s="412"/>
      <c r="F29" s="412"/>
      <c r="G29" s="409"/>
      <c r="H29" s="471"/>
      <c r="I29" s="409"/>
      <c r="J29" s="409"/>
      <c r="K29" s="412"/>
      <c r="L29" s="412"/>
      <c r="M29" s="412"/>
      <c r="N29" s="443"/>
      <c r="O29" s="412"/>
      <c r="P29" s="412"/>
      <c r="Q29" s="409"/>
      <c r="R29" s="471"/>
      <c r="S29" s="412"/>
      <c r="T29" s="169" t="s">
        <v>422</v>
      </c>
      <c r="U29" s="412"/>
      <c r="V29" s="164">
        <v>15510</v>
      </c>
      <c r="W29" s="169" t="s">
        <v>404</v>
      </c>
      <c r="X29" s="166"/>
      <c r="Y29" s="164"/>
      <c r="Z29" s="164"/>
      <c r="AA29" s="412"/>
      <c r="AB29" s="409"/>
      <c r="AC29" s="468"/>
      <c r="AD29" s="2">
        <v>5</v>
      </c>
    </row>
    <row r="30" spans="1:30" s="85" customFormat="1" ht="100.8" customHeight="1" x14ac:dyDescent="0.3">
      <c r="A30" s="503">
        <v>2</v>
      </c>
      <c r="B30" s="506" t="s">
        <v>56</v>
      </c>
      <c r="C30" s="506" t="s">
        <v>202</v>
      </c>
      <c r="D30" s="506"/>
      <c r="E30" s="506" t="s">
        <v>204</v>
      </c>
      <c r="F30" s="506" t="s">
        <v>205</v>
      </c>
      <c r="G30" s="509">
        <v>1210368.93</v>
      </c>
      <c r="H30" s="515">
        <f>IF(AD30 = 6, G30 - Q30,0)</f>
        <v>817922.08999999985</v>
      </c>
      <c r="I30" s="509"/>
      <c r="J30" s="509"/>
      <c r="K30" s="506"/>
      <c r="L30" s="506"/>
      <c r="M30" s="506" t="s">
        <v>203</v>
      </c>
      <c r="N30" s="518" t="s">
        <v>200</v>
      </c>
      <c r="O30" s="506">
        <v>2304067057</v>
      </c>
      <c r="P30" s="506" t="s">
        <v>155</v>
      </c>
      <c r="Q30" s="509">
        <v>392446.84</v>
      </c>
      <c r="R30" s="515">
        <f>IF(AD30 = 6, Q30 + SUM(Y30:Y35) - SUM(Z30:Z35) - SUM(V30:V35) - AB30,0)</f>
        <v>5.8207660913467407E-11</v>
      </c>
      <c r="S30" s="506" t="s">
        <v>206</v>
      </c>
      <c r="T30" s="245" t="s">
        <v>266</v>
      </c>
      <c r="U30" s="506" t="s">
        <v>207</v>
      </c>
      <c r="V30" s="240">
        <v>68347.48</v>
      </c>
      <c r="W30" s="245" t="s">
        <v>271</v>
      </c>
      <c r="X30" s="239"/>
      <c r="Y30" s="240"/>
      <c r="Z30" s="240"/>
      <c r="AA30" s="506"/>
      <c r="AB30" s="509"/>
      <c r="AC30" s="512"/>
      <c r="AD30" s="85">
        <v>6</v>
      </c>
    </row>
    <row r="31" spans="1:30" x14ac:dyDescent="0.3">
      <c r="A31" s="504"/>
      <c r="B31" s="507"/>
      <c r="C31" s="507"/>
      <c r="D31" s="507"/>
      <c r="E31" s="507"/>
      <c r="F31" s="507"/>
      <c r="G31" s="510"/>
      <c r="H31" s="516"/>
      <c r="I31" s="510"/>
      <c r="J31" s="510"/>
      <c r="K31" s="507"/>
      <c r="L31" s="507"/>
      <c r="M31" s="507"/>
      <c r="N31" s="519"/>
      <c r="O31" s="507"/>
      <c r="P31" s="507"/>
      <c r="Q31" s="510"/>
      <c r="R31" s="516"/>
      <c r="S31" s="507"/>
      <c r="T31" s="246" t="s">
        <v>310</v>
      </c>
      <c r="U31" s="507"/>
      <c r="V31" s="241">
        <v>63937.97</v>
      </c>
      <c r="W31" s="246" t="s">
        <v>316</v>
      </c>
      <c r="X31" s="242"/>
      <c r="Y31" s="241"/>
      <c r="Z31" s="241"/>
      <c r="AA31" s="507"/>
      <c r="AB31" s="510"/>
      <c r="AC31" s="513"/>
      <c r="AD31" s="2">
        <v>6</v>
      </c>
    </row>
    <row r="32" spans="1:30" x14ac:dyDescent="0.3">
      <c r="A32" s="504"/>
      <c r="B32" s="507"/>
      <c r="C32" s="507"/>
      <c r="D32" s="507"/>
      <c r="E32" s="507"/>
      <c r="F32" s="507"/>
      <c r="G32" s="510"/>
      <c r="H32" s="516"/>
      <c r="I32" s="510"/>
      <c r="J32" s="510"/>
      <c r="K32" s="507"/>
      <c r="L32" s="507"/>
      <c r="M32" s="507"/>
      <c r="N32" s="519"/>
      <c r="O32" s="507"/>
      <c r="P32" s="507"/>
      <c r="Q32" s="510"/>
      <c r="R32" s="516"/>
      <c r="S32" s="507"/>
      <c r="T32" s="246" t="s">
        <v>401</v>
      </c>
      <c r="U32" s="507"/>
      <c r="V32" s="241">
        <v>68347.48</v>
      </c>
      <c r="W32" s="246" t="s">
        <v>404</v>
      </c>
      <c r="X32" s="242"/>
      <c r="Y32" s="241"/>
      <c r="Z32" s="241"/>
      <c r="AA32" s="507"/>
      <c r="AB32" s="510"/>
      <c r="AC32" s="513"/>
      <c r="AD32" s="2">
        <v>6</v>
      </c>
    </row>
    <row r="33" spans="1:30" x14ac:dyDescent="0.3">
      <c r="A33" s="504"/>
      <c r="B33" s="507"/>
      <c r="C33" s="507"/>
      <c r="D33" s="507"/>
      <c r="E33" s="507"/>
      <c r="F33" s="507"/>
      <c r="G33" s="510"/>
      <c r="H33" s="516"/>
      <c r="I33" s="510"/>
      <c r="J33" s="510"/>
      <c r="K33" s="507"/>
      <c r="L33" s="507"/>
      <c r="M33" s="507"/>
      <c r="N33" s="519"/>
      <c r="O33" s="507"/>
      <c r="P33" s="507"/>
      <c r="Q33" s="510"/>
      <c r="R33" s="516"/>
      <c r="S33" s="507"/>
      <c r="T33" s="246" t="s">
        <v>457</v>
      </c>
      <c r="U33" s="507"/>
      <c r="V33" s="241">
        <v>66142.73</v>
      </c>
      <c r="W33" s="246" t="s">
        <v>459</v>
      </c>
      <c r="X33" s="242"/>
      <c r="Y33" s="241"/>
      <c r="Z33" s="241"/>
      <c r="AA33" s="507"/>
      <c r="AB33" s="510"/>
      <c r="AC33" s="513"/>
      <c r="AD33" s="2">
        <v>6</v>
      </c>
    </row>
    <row r="34" spans="1:30" x14ac:dyDescent="0.3">
      <c r="A34" s="504"/>
      <c r="B34" s="507"/>
      <c r="C34" s="507"/>
      <c r="D34" s="507"/>
      <c r="E34" s="507"/>
      <c r="F34" s="507"/>
      <c r="G34" s="510"/>
      <c r="H34" s="516"/>
      <c r="I34" s="510"/>
      <c r="J34" s="510"/>
      <c r="K34" s="507"/>
      <c r="L34" s="507"/>
      <c r="M34" s="507"/>
      <c r="N34" s="519"/>
      <c r="O34" s="507"/>
      <c r="P34" s="507"/>
      <c r="Q34" s="510"/>
      <c r="R34" s="516"/>
      <c r="S34" s="507"/>
      <c r="T34" s="246" t="s">
        <v>514</v>
      </c>
      <c r="U34" s="507"/>
      <c r="V34" s="241">
        <v>68347.48</v>
      </c>
      <c r="W34" s="246" t="s">
        <v>507</v>
      </c>
      <c r="X34" s="242"/>
      <c r="Y34" s="241"/>
      <c r="Z34" s="241"/>
      <c r="AA34" s="507"/>
      <c r="AB34" s="510"/>
      <c r="AC34" s="513"/>
      <c r="AD34" s="2">
        <v>6</v>
      </c>
    </row>
    <row r="35" spans="1:30" x14ac:dyDescent="0.3">
      <c r="A35" s="505"/>
      <c r="B35" s="508"/>
      <c r="C35" s="508"/>
      <c r="D35" s="508"/>
      <c r="E35" s="508"/>
      <c r="F35" s="508"/>
      <c r="G35" s="511"/>
      <c r="H35" s="517"/>
      <c r="I35" s="511"/>
      <c r="J35" s="511"/>
      <c r="K35" s="508"/>
      <c r="L35" s="508"/>
      <c r="M35" s="508"/>
      <c r="N35" s="520"/>
      <c r="O35" s="508"/>
      <c r="P35" s="508"/>
      <c r="Q35" s="511"/>
      <c r="R35" s="517"/>
      <c r="S35" s="508"/>
      <c r="T35" s="247">
        <v>45470</v>
      </c>
      <c r="U35" s="508"/>
      <c r="V35" s="243">
        <v>57323.7</v>
      </c>
      <c r="W35" s="247">
        <v>45483</v>
      </c>
      <c r="X35" s="244"/>
      <c r="Y35" s="243"/>
      <c r="Z35" s="243"/>
      <c r="AA35" s="508"/>
      <c r="AB35" s="511"/>
      <c r="AC35" s="514"/>
      <c r="AD35" s="2">
        <v>6</v>
      </c>
    </row>
    <row r="36" spans="1:30" s="85" customFormat="1" ht="90" x14ac:dyDescent="0.3">
      <c r="A36" s="193">
        <v>3</v>
      </c>
      <c r="B36" s="194" t="s">
        <v>56</v>
      </c>
      <c r="C36" s="194" t="s">
        <v>515</v>
      </c>
      <c r="D36" s="194"/>
      <c r="E36" s="194" t="s">
        <v>521</v>
      </c>
      <c r="F36" s="194" t="s">
        <v>205</v>
      </c>
      <c r="G36" s="196">
        <v>783977.2</v>
      </c>
      <c r="H36" s="197">
        <f>IF(AD36 = 7, G36 - Q36,0)</f>
        <v>563830</v>
      </c>
      <c r="I36" s="196"/>
      <c r="J36" s="196"/>
      <c r="K36" s="194"/>
      <c r="L36" s="194"/>
      <c r="M36" s="194" t="s">
        <v>517</v>
      </c>
      <c r="N36" s="199" t="s">
        <v>516</v>
      </c>
      <c r="O36" s="194">
        <v>2304067057</v>
      </c>
      <c r="P36" s="194" t="s">
        <v>155</v>
      </c>
      <c r="Q36" s="196">
        <v>220147.20000000001</v>
      </c>
      <c r="R36" s="197">
        <f>IF(AD36 = 7, Q36 + SUM(Y36:Y36) - SUM(Z36:Z36) - SUM(V36:V36) - AB36,0)</f>
        <v>210470.40000000002</v>
      </c>
      <c r="S36" s="194" t="s">
        <v>518</v>
      </c>
      <c r="T36" s="195">
        <v>45475</v>
      </c>
      <c r="U36" s="194" t="s">
        <v>207</v>
      </c>
      <c r="V36" s="196">
        <v>9676.7999999999993</v>
      </c>
      <c r="W36" s="195">
        <v>45488</v>
      </c>
      <c r="X36" s="194"/>
      <c r="Y36" s="196"/>
      <c r="Z36" s="196"/>
      <c r="AA36" s="194"/>
      <c r="AB36" s="196"/>
      <c r="AC36" s="192"/>
      <c r="AD36" s="85">
        <v>7</v>
      </c>
    </row>
    <row r="37" spans="1:30" s="85" customFormat="1" ht="72" x14ac:dyDescent="0.3">
      <c r="A37" s="193">
        <v>4</v>
      </c>
      <c r="B37" s="194" t="s">
        <v>56</v>
      </c>
      <c r="C37" s="194" t="s">
        <v>522</v>
      </c>
      <c r="D37" s="194"/>
      <c r="E37" s="194" t="s">
        <v>523</v>
      </c>
      <c r="F37" s="194" t="s">
        <v>184</v>
      </c>
      <c r="G37" s="196">
        <v>1065540</v>
      </c>
      <c r="H37" s="197">
        <f>IF(AD37 = 8, G37 - Q37,0)</f>
        <v>0</v>
      </c>
      <c r="I37" s="196"/>
      <c r="J37" s="196"/>
      <c r="K37" s="194"/>
      <c r="L37" s="194"/>
      <c r="M37" s="194" t="s">
        <v>524</v>
      </c>
      <c r="N37" s="199" t="s">
        <v>519</v>
      </c>
      <c r="O37" s="194">
        <v>2353020735</v>
      </c>
      <c r="P37" s="194" t="s">
        <v>504</v>
      </c>
      <c r="Q37" s="196">
        <v>1065540</v>
      </c>
      <c r="R37" s="197">
        <f>IF(AD37 = 8, Q37 + SUM(Y37:Y37) - SUM(Z37:Z37) - SUM(V37:V37) - AB37,0)</f>
        <v>1065540</v>
      </c>
      <c r="S37" s="194" t="s">
        <v>525</v>
      </c>
      <c r="T37" s="199"/>
      <c r="U37" s="194" t="s">
        <v>156</v>
      </c>
      <c r="V37" s="196"/>
      <c r="W37" s="199"/>
      <c r="X37" s="194"/>
      <c r="Y37" s="196"/>
      <c r="Z37" s="196"/>
      <c r="AA37" s="194"/>
      <c r="AB37" s="196"/>
      <c r="AC37" s="192"/>
      <c r="AD37" s="85">
        <v>8</v>
      </c>
    </row>
    <row r="38" spans="1:30" x14ac:dyDescent="0.3">
      <c r="M38" s="3"/>
      <c r="AD38" s="2">
        <v>9</v>
      </c>
    </row>
    <row r="39" spans="1:30" x14ac:dyDescent="0.3">
      <c r="M39" s="3"/>
    </row>
    <row r="40" spans="1:30" x14ac:dyDescent="0.3">
      <c r="M40" s="3"/>
    </row>
    <row r="41" spans="1:30" x14ac:dyDescent="0.3">
      <c r="M41" s="3"/>
    </row>
    <row r="42" spans="1:30" x14ac:dyDescent="0.3">
      <c r="M42" s="3"/>
    </row>
    <row r="43" spans="1:30" x14ac:dyDescent="0.3">
      <c r="M43" s="3"/>
    </row>
    <row r="44" spans="1:30" x14ac:dyDescent="0.3">
      <c r="M44" s="3"/>
    </row>
    <row r="45" spans="1:30" x14ac:dyDescent="0.3">
      <c r="M45" s="3"/>
    </row>
    <row r="46" spans="1:30" x14ac:dyDescent="0.3">
      <c r="M46" s="3"/>
    </row>
  </sheetData>
  <sheetProtection algorithmName="SHA-512" hashValue="VOaOrpvDvYgA4igOXWXvEi7wLv+3JPPo8cRPrtMp82goCy2QhtZPcu7WqlcycdJVRWTKzE6kXQ6LuWzSxrgXJA==" saltValue="n1Jz2Mq0sxO3rkku1ALD1w==" spinCount="100000" sheet="1" objects="1" scenarios="1" formatCells="0" formatColumns="0" formatRows="0"/>
  <mergeCells count="51">
    <mergeCell ref="AC30:AC35"/>
    <mergeCell ref="D30:D35"/>
    <mergeCell ref="E30:E35"/>
    <mergeCell ref="F30:F35"/>
    <mergeCell ref="G30:G35"/>
    <mergeCell ref="H30:H35"/>
    <mergeCell ref="I30:I35"/>
    <mergeCell ref="J30:J35"/>
    <mergeCell ref="K30:K35"/>
    <mergeCell ref="L30:L35"/>
    <mergeCell ref="M30:M35"/>
    <mergeCell ref="N30:N35"/>
    <mergeCell ref="O30:O35"/>
    <mergeCell ref="P30:P35"/>
    <mergeCell ref="Q30:Q35"/>
    <mergeCell ref="R30:R35"/>
    <mergeCell ref="P4:R4"/>
    <mergeCell ref="E2:F2"/>
    <mergeCell ref="O2:P2"/>
    <mergeCell ref="Y2:AA2"/>
    <mergeCell ref="T2:U2"/>
    <mergeCell ref="A30:A35"/>
    <mergeCell ref="U30:U35"/>
    <mergeCell ref="AA30:AA35"/>
    <mergeCell ref="B30:B35"/>
    <mergeCell ref="AB30:AB35"/>
    <mergeCell ref="C30:C35"/>
    <mergeCell ref="S30:S35"/>
    <mergeCell ref="A9:A29"/>
    <mergeCell ref="U9:U29"/>
    <mergeCell ref="AA9:AA29"/>
    <mergeCell ref="B9:B29"/>
    <mergeCell ref="AB9:AB29"/>
    <mergeCell ref="C9:C29"/>
    <mergeCell ref="S9:S29"/>
    <mergeCell ref="AC9:AC29"/>
    <mergeCell ref="D9:D29"/>
    <mergeCell ref="E9:E29"/>
    <mergeCell ref="F9:F29"/>
    <mergeCell ref="G9:G29"/>
    <mergeCell ref="H9:H29"/>
    <mergeCell ref="I9:I29"/>
    <mergeCell ref="J9:J29"/>
    <mergeCell ref="K9:K29"/>
    <mergeCell ref="L9:L29"/>
    <mergeCell ref="M9:M29"/>
    <mergeCell ref="N9:N29"/>
    <mergeCell ref="O9:O29"/>
    <mergeCell ref="P9:P29"/>
    <mergeCell ref="Q9:Q29"/>
    <mergeCell ref="R9:R2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33" customWidth="1"/>
    <col min="2" max="2" width="17.44140625" style="33" customWidth="1"/>
    <col min="3" max="3" width="17.33203125" style="33" customWidth="1"/>
    <col min="4" max="4" width="38.88671875" style="33" customWidth="1"/>
    <col min="5" max="5" width="15.5546875" style="33" bestFit="1" customWidth="1"/>
    <col min="6" max="11" width="16.109375" style="33" customWidth="1"/>
    <col min="12" max="16384" width="9.109375" style="33"/>
  </cols>
  <sheetData>
    <row r="1" spans="1:11" x14ac:dyDescent="0.3">
      <c r="A1" s="47">
        <v>70</v>
      </c>
      <c r="B1" s="47">
        <v>34</v>
      </c>
      <c r="C1" s="47">
        <v>9</v>
      </c>
      <c r="D1" s="523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3">
      <c r="A2" s="48" t="s">
        <v>84</v>
      </c>
      <c r="B2" s="47" t="s">
        <v>85</v>
      </c>
      <c r="C2" s="47" t="s">
        <v>86</v>
      </c>
      <c r="D2" s="524"/>
      <c r="E2" s="32"/>
      <c r="F2" s="62">
        <v>137</v>
      </c>
      <c r="G2" s="66">
        <v>134</v>
      </c>
      <c r="H2" s="65">
        <v>9</v>
      </c>
      <c r="I2" s="64">
        <v>2</v>
      </c>
      <c r="J2" s="63">
        <v>0</v>
      </c>
      <c r="K2" s="67">
        <v>8</v>
      </c>
    </row>
    <row r="3" spans="1:11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3">
      <c r="A4" s="43">
        <v>164</v>
      </c>
      <c r="B4" s="44">
        <v>31</v>
      </c>
      <c r="C4" s="44">
        <v>9</v>
      </c>
      <c r="D4" s="525" t="s">
        <v>102</v>
      </c>
      <c r="E4" s="32"/>
      <c r="F4" s="62">
        <v>138</v>
      </c>
      <c r="G4" s="66">
        <v>135</v>
      </c>
      <c r="H4" s="65">
        <v>10</v>
      </c>
      <c r="I4" s="64">
        <v>3</v>
      </c>
      <c r="J4" s="63">
        <v>0</v>
      </c>
      <c r="K4" s="67">
        <v>9</v>
      </c>
    </row>
    <row r="5" spans="1:11" x14ac:dyDescent="0.3">
      <c r="A5" s="43" t="s">
        <v>89</v>
      </c>
      <c r="B5" s="44" t="s">
        <v>88</v>
      </c>
      <c r="C5" s="44" t="s">
        <v>87</v>
      </c>
      <c r="D5" s="526"/>
      <c r="E5" s="32"/>
      <c r="F5" s="32"/>
      <c r="G5" s="32"/>
    </row>
    <row r="6" spans="1:11" x14ac:dyDescent="0.3">
      <c r="A6" s="34"/>
      <c r="B6" s="32"/>
      <c r="C6" s="32"/>
      <c r="D6" s="32"/>
      <c r="E6" s="32"/>
      <c r="F6" s="32"/>
      <c r="G6" s="32"/>
    </row>
    <row r="7" spans="1:11" x14ac:dyDescent="0.3">
      <c r="A7" s="45">
        <v>16</v>
      </c>
      <c r="B7" s="46">
        <v>4</v>
      </c>
      <c r="C7" s="46">
        <v>9</v>
      </c>
      <c r="D7" s="527" t="s">
        <v>52</v>
      </c>
      <c r="E7" s="32"/>
      <c r="F7" s="32"/>
      <c r="G7" s="32"/>
    </row>
    <row r="8" spans="1:11" x14ac:dyDescent="0.3">
      <c r="A8" s="45" t="s">
        <v>90</v>
      </c>
      <c r="B8" s="46" t="s">
        <v>91</v>
      </c>
      <c r="C8" s="46" t="s">
        <v>92</v>
      </c>
      <c r="D8" s="528"/>
      <c r="E8" s="32"/>
      <c r="F8" s="32"/>
      <c r="G8" s="32"/>
    </row>
    <row r="9" spans="1:11" x14ac:dyDescent="0.3">
      <c r="A9" s="34"/>
      <c r="B9" s="32"/>
      <c r="C9" s="32"/>
      <c r="D9" s="32"/>
      <c r="E9" s="32"/>
      <c r="F9" s="32"/>
      <c r="G9" s="32"/>
    </row>
    <row r="10" spans="1:11" x14ac:dyDescent="0.3">
      <c r="A10" s="41">
        <v>10</v>
      </c>
      <c r="B10" s="42">
        <v>2</v>
      </c>
      <c r="C10" s="42">
        <v>9</v>
      </c>
      <c r="D10" s="529" t="s">
        <v>31</v>
      </c>
      <c r="E10" s="32"/>
      <c r="F10" s="32"/>
      <c r="G10" s="32"/>
    </row>
    <row r="11" spans="1:11" x14ac:dyDescent="0.3">
      <c r="A11" s="41" t="s">
        <v>93</v>
      </c>
      <c r="B11" s="42" t="s">
        <v>94</v>
      </c>
      <c r="C11" s="42" t="s">
        <v>95</v>
      </c>
      <c r="D11" s="530"/>
      <c r="E11" s="32"/>
      <c r="F11" s="32"/>
      <c r="G11" s="32"/>
    </row>
    <row r="12" spans="1:11" x14ac:dyDescent="0.3">
      <c r="A12" s="34"/>
      <c r="B12" s="32"/>
      <c r="C12" s="32"/>
      <c r="D12" s="32"/>
      <c r="E12" s="32"/>
      <c r="F12" s="32"/>
      <c r="G12" s="32"/>
    </row>
    <row r="13" spans="1:11" x14ac:dyDescent="0.3">
      <c r="A13" s="39">
        <v>8</v>
      </c>
      <c r="B13" s="40">
        <v>0</v>
      </c>
      <c r="C13" s="40">
        <v>9</v>
      </c>
      <c r="D13" s="531" t="s">
        <v>49</v>
      </c>
      <c r="E13" s="32"/>
      <c r="F13" s="32"/>
      <c r="G13" s="32"/>
    </row>
    <row r="14" spans="1:11" x14ac:dyDescent="0.3">
      <c r="A14" s="39" t="s">
        <v>96</v>
      </c>
      <c r="B14" s="40" t="s">
        <v>97</v>
      </c>
      <c r="C14" s="40" t="s">
        <v>98</v>
      </c>
      <c r="D14" s="532"/>
      <c r="E14" s="32"/>
      <c r="F14" s="32"/>
      <c r="G14" s="32"/>
    </row>
    <row r="15" spans="1:11" x14ac:dyDescent="0.3">
      <c r="A15" s="34"/>
      <c r="B15" s="32"/>
      <c r="C15" s="32"/>
      <c r="D15" s="32"/>
      <c r="E15" s="32"/>
      <c r="F15" s="32"/>
      <c r="G15" s="32"/>
    </row>
    <row r="16" spans="1:11" x14ac:dyDescent="0.3">
      <c r="A16" s="37">
        <v>37</v>
      </c>
      <c r="B16" s="38">
        <v>4</v>
      </c>
      <c r="C16" s="38">
        <v>9</v>
      </c>
      <c r="D16" s="521" t="s">
        <v>83</v>
      </c>
      <c r="E16" s="32"/>
      <c r="F16" s="32"/>
      <c r="G16" s="32"/>
    </row>
    <row r="17" spans="1:4" x14ac:dyDescent="0.3">
      <c r="A17" s="37" t="s">
        <v>99</v>
      </c>
      <c r="B17" s="38" t="s">
        <v>100</v>
      </c>
      <c r="C17" s="38" t="s">
        <v>101</v>
      </c>
      <c r="D17" s="522"/>
    </row>
    <row r="18" spans="1:4" x14ac:dyDescent="0.3">
      <c r="A18" s="34"/>
    </row>
    <row r="19" spans="1:4" x14ac:dyDescent="0.3">
      <c r="A19" s="34"/>
    </row>
    <row r="20" spans="1:4" x14ac:dyDescent="0.3">
      <c r="A20" s="34"/>
    </row>
    <row r="21" spans="1:4" x14ac:dyDescent="0.3">
      <c r="A21" s="34"/>
    </row>
    <row r="22" spans="1:4" x14ac:dyDescent="0.3">
      <c r="A22" s="34"/>
    </row>
    <row r="23" spans="1:4" x14ac:dyDescent="0.3">
      <c r="A23" s="34"/>
    </row>
    <row r="24" spans="1:4" x14ac:dyDescent="0.3">
      <c r="A24" s="34"/>
    </row>
    <row r="25" spans="1:4" x14ac:dyDescent="0.3">
      <c r="A25" s="34"/>
    </row>
    <row r="26" spans="1:4" x14ac:dyDescent="0.3">
      <c r="A26" s="34"/>
    </row>
    <row r="27" spans="1:4" x14ac:dyDescent="0.3">
      <c r="A27" s="34"/>
    </row>
    <row r="28" spans="1:4" x14ac:dyDescent="0.3">
      <c r="A28" s="34"/>
    </row>
    <row r="29" spans="1:4" x14ac:dyDescent="0.3">
      <c r="A29" s="34"/>
    </row>
    <row r="30" spans="1:4" x14ac:dyDescent="0.3">
      <c r="A30" s="34"/>
    </row>
    <row r="31" spans="1:4" x14ac:dyDescent="0.3">
      <c r="A31" s="34"/>
    </row>
    <row r="32" spans="1:4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81" spans="1:1" x14ac:dyDescent="0.3">
      <c r="A81" s="35"/>
    </row>
    <row r="82" spans="1:1" x14ac:dyDescent="0.3">
      <c r="A82" s="35"/>
    </row>
    <row r="83" spans="1:1" x14ac:dyDescent="0.3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2024-08-07T11:29:18Z</cp:lastPrinted>
  <dcterms:created xsi:type="dcterms:W3CDTF">2017-01-25T04:28:39Z</dcterms:created>
  <dcterms:modified xsi:type="dcterms:W3CDTF">2024-11-18T11:54:53Z</dcterms:modified>
</cp:coreProperties>
</file>