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-105" yWindow="-105" windowWidth="20730" windowHeight="11760" activeTab="2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" i="31" l="1"/>
  <c r="P2" i="31"/>
  <c r="V2" i="31"/>
  <c r="H2" i="27"/>
  <c r="P2" i="27"/>
  <c r="V2" i="27"/>
  <c r="G2" i="19"/>
  <c r="N2" i="19"/>
  <c r="T2" i="19"/>
  <c r="I78" i="27"/>
  <c r="I165" i="31"/>
  <c r="I159" i="31"/>
  <c r="I156" i="31"/>
  <c r="I72" i="27"/>
  <c r="I106" i="31"/>
  <c r="I54" i="31"/>
  <c r="I45" i="31"/>
  <c r="I9" i="31"/>
  <c r="I63" i="31"/>
  <c r="I30" i="31"/>
  <c r="I72" i="31"/>
  <c r="I41" i="27"/>
  <c r="H9" i="20"/>
  <c r="R9" i="20"/>
  <c r="G2" i="20"/>
  <c r="Q2" i="20"/>
  <c r="V2" i="20"/>
  <c r="AB2" i="20"/>
  <c r="G2" i="22"/>
  <c r="Q2" i="22"/>
  <c r="V2" i="22"/>
  <c r="AB2" i="22"/>
  <c r="G2" i="17"/>
  <c r="Q2" i="17"/>
  <c r="V2" i="17"/>
  <c r="AB2" i="17"/>
  <c r="I77" i="27"/>
  <c r="I76" i="27"/>
  <c r="I75" i="27"/>
  <c r="I168" i="31"/>
  <c r="I74" i="27"/>
  <c r="I71" i="27"/>
  <c r="I70" i="27" l="1"/>
  <c r="I151" i="31"/>
  <c r="I118" i="31"/>
  <c r="I134" i="31"/>
  <c r="I155" i="31"/>
  <c r="I69" i="27"/>
  <c r="I154" i="31"/>
  <c r="I153" i="31"/>
  <c r="I68" i="27"/>
  <c r="I67" i="27"/>
  <c r="I65" i="27"/>
  <c r="I148" i="31"/>
  <c r="I150" i="31" l="1"/>
  <c r="I147" i="31"/>
  <c r="I64" i="27"/>
  <c r="I63" i="27"/>
  <c r="I23" i="27"/>
  <c r="I37" i="27"/>
  <c r="I143" i="31"/>
  <c r="I146" i="31"/>
  <c r="I62" i="27"/>
  <c r="I61" i="27"/>
  <c r="I145" i="31"/>
  <c r="I142" i="31"/>
  <c r="I60" i="27"/>
  <c r="I35" i="27"/>
  <c r="I58" i="27"/>
  <c r="I57" i="27"/>
  <c r="I127" i="31"/>
  <c r="I12" i="27"/>
  <c r="I25" i="27"/>
  <c r="I56" i="27"/>
  <c r="I139" i="31"/>
  <c r="I141" i="31"/>
  <c r="I138" i="31"/>
  <c r="I55" i="27"/>
  <c r="I54" i="27"/>
  <c r="I53" i="27"/>
  <c r="I52" i="27"/>
  <c r="I51" i="27"/>
  <c r="I50" i="27"/>
  <c r="I49" i="27"/>
  <c r="I48" i="27"/>
  <c r="H15" i="20"/>
  <c r="R15" i="20"/>
  <c r="I133" i="31"/>
  <c r="H9" i="19"/>
  <c r="I47" i="27"/>
  <c r="I40" i="27"/>
  <c r="I132" i="31"/>
  <c r="I36" i="27"/>
  <c r="I131" i="31"/>
  <c r="I123" i="31"/>
  <c r="I121" i="31"/>
  <c r="I41" i="31"/>
  <c r="I39" i="31"/>
  <c r="I96" i="31" l="1"/>
  <c r="I91" i="31"/>
  <c r="I117" i="31"/>
  <c r="I116" i="31"/>
  <c r="I22" i="27" l="1"/>
  <c r="I11" i="27"/>
  <c r="I10" i="27"/>
  <c r="I90" i="31"/>
  <c r="I44" i="31" l="1"/>
  <c r="I9" i="27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<sst xmlns="http://schemas.openxmlformats.org/spreadsheetml/2006/main" count="1250" uniqueCount="596">
  <si>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</si>
  <si>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</si>
  <si>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</si>
  <si>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</si>
  <si>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</si>
  <si>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</si>
  <si>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</si>
  <si>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</si>
  <si>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</si>
  <si>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</si>
  <si>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</si>
  <si>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</si>
  <si>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</si>
  <si>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</si>
  <si>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</si>
  <si>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</si>
  <si>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</si>
  <si>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</si>
  <si>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</si>
  <si>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</si>
  <si>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</si>
  <si>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</si>
  <si>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</si>
  <si>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</si>
  <si>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</si>
  <si>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</si>
  <si>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</si>
  <si>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</si>
  <si>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</si>
  <si>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</si>
  <si>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</si>
  <si>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</si>
  <si>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</si>
  <si>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</si>
  <si>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</si>
  <si>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</si>
  <si>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</si>
  <si>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</si>
  <si>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</si>
  <si>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</si>
  <si>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</si>
  <si>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</si>
  <si>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</si>
  <si>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</si>
  <si>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</si>
  <si>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</si>
  <si>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</si>
  <si>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</si>
  <si>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</si>
  <si>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</si>
  <si>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</si>
  <si>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</si>
  <si>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</si>
  <si>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</si>
  <si>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</si>
  <si>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</si>
  <si>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</si>
  <si>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</si>
  <si>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</si>
  <si>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</si>
  <si>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</si>
  <si>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</si>
  <si>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</si>
  <si>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</si>
  <si>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</si>
  <si>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</si>
  <si>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</si>
  <si>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</si>
  <si>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</si>
  <si>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</si>
  <si>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</si>
  <si>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</si>
  <si>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</si>
  <si>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</si>
  <si>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</si>
  <si>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</si>
  <si>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</si>
  <si>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</si>
  <si>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</si>
  <si>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</si>
  <si>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</si>
  <si>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</si>
  <si>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</si>
  <si>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</si>
  <si>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</si>
  <si>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</si>
  <si>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</si>
  <si>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</si>
  <si>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</si>
  <si>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</si>
  <si>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</si>
  <si>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</si>
  <si>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</si>
  <si>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</si>
  <si>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</si>
  <si>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</si>
  <si>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</si>
  <si>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</si>
  <si>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</si>
  <si>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</si>
  <si>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</si>
  <si>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</si>
  <si>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</si>
  <si>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</si>
  <si>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</si>
  <si>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</si>
  <si>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</si>
  <si>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</si>
  <si>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</si>
  <si>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</si>
  <si>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</si>
  <si>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</si>
  <si>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</si>
  <si>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</si>
  <si>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</si>
  <si>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</si>
  <si>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</si>
  <si>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</si>
  <si>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</si>
  <si>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</si>
  <si>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</si>
  <si>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</si>
  <si>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</si>
  <si>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</si>
  <si>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</si>
  <si>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</si>
  <si>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</si>
  <si>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</si>
  <si>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</si>
  <si>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</si>
  <si>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</si>
  <si>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</si>
  <si>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</si>
  <si>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</si>
  <si>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</si>
  <si>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</si>
  <si>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</si>
  <si>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</si>
  <si>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</si>
  <si>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</si>
  <si>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</si>
  <si>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</si>
  <si>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</si>
  <si>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</si>
  <si>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</si>
  <si>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</si>
  <si>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№23070500354</t>
  </si>
  <si>
    <t>электрическая энергия</t>
  </si>
  <si>
    <t>ПАО "ТНС энерго Кубань"</t>
  </si>
  <si>
    <t>30% до 10 числа месяца, 40% до 25 числа месяца, до 18 числа месяца</t>
  </si>
  <si>
    <t>с 01.01.2022г. по 31.12.2022г.</t>
  </si>
  <si>
    <t>№19576/ТМ</t>
  </si>
  <si>
    <t>услуги по обращению с твердыми  коммунальными отходами</t>
  </si>
  <si>
    <t>АО "Мусороуборочная компания"</t>
  </si>
  <si>
    <t>до 10 числа месяца, следующего за месяцем, в котором была оказана услуга</t>
  </si>
  <si>
    <t>№17</t>
  </si>
  <si>
    <t>охранные услуги</t>
  </si>
  <si>
    <t>ООО ЧОО "Легион"</t>
  </si>
  <si>
    <t>с 01.01.2022г. по 28.02.2022г.</t>
  </si>
  <si>
    <t>в течение 30 календарных дней с момента предоставления документов на оплату</t>
  </si>
  <si>
    <t>бензин</t>
  </si>
  <si>
    <t>ИП Калайчев Ш.С.</t>
  </si>
  <si>
    <t>с 01.01.2022г. по 31.03.2022г.</t>
  </si>
  <si>
    <t>№3799/220</t>
  </si>
  <si>
    <t>поставка периодич.печат.изданий</t>
  </si>
  <si>
    <t>7724490000</t>
  </si>
  <si>
    <t>АО "Почта России"</t>
  </si>
  <si>
    <t>с 01.02.2022г. по 30.06.2022г.</t>
  </si>
  <si>
    <t>№38</t>
  </si>
  <si>
    <t>сетевое оборудование, маршрутизатор, коммутатор</t>
  </si>
  <si>
    <t>ООО "Компьютер бизнес сервис сибиэс"</t>
  </si>
  <si>
    <t>в течение 5 дней со дня заключения сторонами договора</t>
  </si>
  <si>
    <t>1770</t>
  </si>
  <si>
    <t>поставка тепловой энергии</t>
  </si>
  <si>
    <t>АО "АТЭК"</t>
  </si>
  <si>
    <t xml:space="preserve">3235301532622000001 </t>
  </si>
  <si>
    <t>б/н</t>
  </si>
  <si>
    <t xml:space="preserve">водоснабжение </t>
  </si>
  <si>
    <t>МУП ЖКХ Поселковое</t>
  </si>
  <si>
    <t>№ 34000760</t>
  </si>
  <si>
    <t>охрана объекта с использованием кнопки тревожной сигнализации</t>
  </si>
  <si>
    <t>ФГКУ "УВО ВНГ России по Краснодарскому краю"</t>
  </si>
  <si>
    <t>№ 47-С</t>
  </si>
  <si>
    <t>техническое обслуживание "Стрелец-мониторинг"</t>
  </si>
  <si>
    <t>ООО "Сигнал"</t>
  </si>
  <si>
    <t>№14/22</t>
  </si>
  <si>
    <t>предрейсовый и послереейсовый мед, тех осмотр</t>
  </si>
  <si>
    <t>РО КРО ОО "ВОА"</t>
  </si>
  <si>
    <t>№17-04/2022</t>
  </si>
  <si>
    <t>услуги по оценке рыночной стоимости</t>
  </si>
  <si>
    <t>Союз "Тимашевская торгово-промышленная палата"</t>
  </si>
  <si>
    <t>20.01.2022</t>
  </si>
  <si>
    <t>№ SYUT-001459</t>
  </si>
  <si>
    <t>2312068671</t>
  </si>
  <si>
    <t>дезинфицирующие средства</t>
  </si>
  <si>
    <t>№ 326</t>
  </si>
  <si>
    <t>услуги по подготовке декларации</t>
  </si>
  <si>
    <t>2353023292</t>
  </si>
  <si>
    <t>ООО "Экопроект"</t>
  </si>
  <si>
    <t>до 31.12.2022</t>
  </si>
  <si>
    <t>услуги связи</t>
  </si>
  <si>
    <t>ПАО "Ростелеком"</t>
  </si>
  <si>
    <t>№14/2</t>
  </si>
  <si>
    <t>услуги по организации горячего питания</t>
  </si>
  <si>
    <t>ООО "Тимашевское ПРТ Райпо"</t>
  </si>
  <si>
    <t>с 10.01.2022г. по 28.02.2022г.</t>
  </si>
  <si>
    <t>№ 3</t>
  </si>
  <si>
    <t>услуги по организации питания</t>
  </si>
  <si>
    <t>2353020735</t>
  </si>
  <si>
    <t>с 10.01.2022г. по 20.05.2022г.</t>
  </si>
  <si>
    <t>№14</t>
  </si>
  <si>
    <t>стоимость горячего питания</t>
  </si>
  <si>
    <t>№ 177</t>
  </si>
  <si>
    <t>№ 14</t>
  </si>
  <si>
    <t>исключительное право использования программного обеспечения</t>
  </si>
  <si>
    <t>ООО "АйТи Мониторинг"</t>
  </si>
  <si>
    <t>за неисключительное право использования программного продукта</t>
  </si>
  <si>
    <t>6663003127</t>
  </si>
  <si>
    <t>АО "ПФ "СКБ Контур"</t>
  </si>
  <si>
    <t>№25</t>
  </si>
  <si>
    <t>ремонт транспортного средства</t>
  </si>
  <si>
    <t>ИП Аполонов А.А.</t>
  </si>
  <si>
    <t>№ 14/22</t>
  </si>
  <si>
    <t>дератизация</t>
  </si>
  <si>
    <t>ООО "Дезинфекция"</t>
  </si>
  <si>
    <t>услуги по тхническому сопровождению системы мониторинга транспортных средств</t>
  </si>
  <si>
    <t>2369000660</t>
  </si>
  <si>
    <t>ООО "КАНкорт"</t>
  </si>
  <si>
    <t>с 01.01.2022 г. по 31.12.2022г.</t>
  </si>
  <si>
    <t>№14ОВЗ</t>
  </si>
  <si>
    <t>услуги по организации горячего питания (набор продуктов питания)</t>
  </si>
  <si>
    <t>с 01.03.2022г. по 20.03.2022г.</t>
  </si>
  <si>
    <t xml:space="preserve">223235301532623530100100090018010244 </t>
  </si>
  <si>
    <t xml:space="preserve">0818300019922000032 </t>
  </si>
  <si>
    <t xml:space="preserve">Оказание охранных услуг </t>
  </si>
  <si>
    <t xml:space="preserve">223235301532623530100100100015629244 </t>
  </si>
  <si>
    <t xml:space="preserve">0818300019922000015 </t>
  </si>
  <si>
    <t xml:space="preserve">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район. </t>
  </si>
  <si>
    <t>5 апреля 2022г.</t>
  </si>
  <si>
    <t>14 апреля 2022г.</t>
  </si>
  <si>
    <t>4 мая 2022г.</t>
  </si>
  <si>
    <t>2 марта 2022г.</t>
  </si>
  <si>
    <t>1 апреля 2022г.</t>
  </si>
  <si>
    <t>16 мая 2022г.</t>
  </si>
  <si>
    <t>18 апреля 2022г.</t>
  </si>
  <si>
    <t>25 мая 2022г.</t>
  </si>
  <si>
    <t>20 апреля 2022г.</t>
  </si>
  <si>
    <t>12 мая 2022г.</t>
  </si>
  <si>
    <t>13 мая 2022г.</t>
  </si>
  <si>
    <t>12 апреля 2022г.</t>
  </si>
  <si>
    <t>11 мая 2022г.</t>
  </si>
  <si>
    <t>14 марта 2022г.</t>
  </si>
  <si>
    <t>31.марта.2022г.</t>
  </si>
  <si>
    <t>29 апреля 2022г.</t>
  </si>
  <si>
    <t>26 апреля 2022г.</t>
  </si>
  <si>
    <t>27 апреля 2022г.</t>
  </si>
  <si>
    <t>№14-И</t>
  </si>
  <si>
    <t>услуги по приготовлению горячего питания</t>
  </si>
  <si>
    <t>в течении 30 дней с момента подписания акта оказанных услуг</t>
  </si>
  <si>
    <t xml:space="preserve">ООО "Тимашевское ПРТ Райпо"                                       </t>
  </si>
  <si>
    <t>31 марта 2022г.</t>
  </si>
  <si>
    <t xml:space="preserve"> </t>
  </si>
  <si>
    <t>№ 15</t>
  </si>
  <si>
    <t>6 апреля 2022г.</t>
  </si>
  <si>
    <t>0818300019922000015</t>
  </si>
  <si>
    <t>21 марта 2022г.</t>
  </si>
  <si>
    <t>ООО "Тимашевское ПРТ райпо"</t>
  </si>
  <si>
    <t>В течение 10 рабочих дней после подписания акта приема-передачи оказанных услуг</t>
  </si>
  <si>
    <t>22 пареля 2022г.</t>
  </si>
  <si>
    <t>28 апреля 2022г.</t>
  </si>
  <si>
    <t>18 мая 2022г.</t>
  </si>
  <si>
    <t>№ 34</t>
  </si>
  <si>
    <t>с 01.03.2022г. по 31.03.2022г.</t>
  </si>
  <si>
    <t>в теченее 30 дней с момента подписания акта оказанных услуг</t>
  </si>
  <si>
    <t>№ 23-8560</t>
  </si>
  <si>
    <t>услуги по изготовлению и поставке полиграфической продукции</t>
  </si>
  <si>
    <t>7706526550</t>
  </si>
  <si>
    <t>ООО "СпецБланк-Москва"</t>
  </si>
  <si>
    <t>с 16.02.2022г. по 31.12.2022г.</t>
  </si>
  <si>
    <t>11 апреля 2022г.</t>
  </si>
  <si>
    <t>в течение 30 дней с момента подписания документов на оплату</t>
  </si>
  <si>
    <t>№ 20</t>
  </si>
  <si>
    <t>06 мая 2022г.</t>
  </si>
  <si>
    <t>в течение 30 календарных дней с даты получения документов о поставке товара и счета на оплату</t>
  </si>
  <si>
    <t>с 01.04.2022г. по 30.06.2022г.</t>
  </si>
  <si>
    <t>№ 63</t>
  </si>
  <si>
    <t>учебная литература</t>
  </si>
  <si>
    <t>7715995942</t>
  </si>
  <si>
    <t>АО "Издательство"Просвещение"</t>
  </si>
  <si>
    <t>с 11.04.2022г. по 05.08.2022г.</t>
  </si>
  <si>
    <t>в течение 15 рабочих дней с момента подпсания товарной накладной</t>
  </si>
  <si>
    <t>6 мая 2022г.</t>
  </si>
  <si>
    <t>№ 40</t>
  </si>
  <si>
    <t>учебно-педагогическая документация</t>
  </si>
  <si>
    <t>2310132554</t>
  </si>
  <si>
    <t>ООО "Краснодарский учколлектор"</t>
  </si>
  <si>
    <t>с 30.03.2022г, по 05.08.2022г.</t>
  </si>
  <si>
    <t>28.04..2022</t>
  </si>
  <si>
    <t>услуги по предоставлению места для стоянки автобусов</t>
  </si>
  <si>
    <t>2353017179</t>
  </si>
  <si>
    <t>Тимашевская РО КРО ОО "ВОА"</t>
  </si>
  <si>
    <t>с 30.03.2022г, по 31.12.2022г.</t>
  </si>
  <si>
    <t>№ 14/04-2022-Т</t>
  </si>
  <si>
    <t xml:space="preserve">охранные услуги </t>
  </si>
  <si>
    <t>2308080429</t>
  </si>
  <si>
    <t>ООО"Охранное предприятие"Телохранитель-Секьюрити"</t>
  </si>
  <si>
    <t xml:space="preserve">с 01.04.2022г. по 04.04.2022г. </t>
  </si>
  <si>
    <t>19 мая 2022г.</t>
  </si>
  <si>
    <t>в течение  15 дней с даты подписания акта выполненных работ и документов на оплату</t>
  </si>
  <si>
    <t xml:space="preserve">с 14.03.2022г. по 31.05.2022г. </t>
  </si>
  <si>
    <t>0818300019922000032</t>
  </si>
  <si>
    <t>4 апреля 2022г.</t>
  </si>
  <si>
    <t>ООО "Охранное предприятие "Телохранитель-Секьюрити"</t>
  </si>
  <si>
    <t>с 21.03.2022г. по 25.05.2022г.</t>
  </si>
  <si>
    <t>Не позднее 10 рабочих дней с момента подписания Заказчиком документа о приемке выполненных работ и представленного Подрядчиком документа на оплату</t>
  </si>
  <si>
    <t>с 05.04.2022г. по 31.12.2022г.</t>
  </si>
  <si>
    <t>В течение 10 дней с момента заключения договора.</t>
  </si>
  <si>
    <t xml:space="preserve">с 01.03.2022г. по 31.12.2022г. </t>
  </si>
  <si>
    <t>В течение 10 дней со дня заключения сторонами договора</t>
  </si>
  <si>
    <t>12/22/2</t>
  </si>
  <si>
    <t>дезинсекция, дератизация</t>
  </si>
  <si>
    <t xml:space="preserve">с 05.04.2022г. по 31.08.2022г. </t>
  </si>
  <si>
    <t xml:space="preserve">с 31.12.2021г. по 31.12.2022г. </t>
  </si>
  <si>
    <t>30 мая 2022г.</t>
  </si>
  <si>
    <t>1 июня 2022г.</t>
  </si>
  <si>
    <t>№ 27</t>
  </si>
  <si>
    <t>235300809163</t>
  </si>
  <si>
    <t>ИП Коваленко Г.Н.</t>
  </si>
  <si>
    <t>с 09.06.2022г. по  31.12.2022г.</t>
  </si>
  <si>
    <t>№ 28</t>
  </si>
  <si>
    <t>Заправка картриджей</t>
  </si>
  <si>
    <t>в течение 15 рабочих дней с момента подпсания документа о приемке оказанных услуг</t>
  </si>
  <si>
    <t>№ 23</t>
  </si>
  <si>
    <t>2310047193</t>
  </si>
  <si>
    <t>ООО"ОИПЦ"Перспективы образования"</t>
  </si>
  <si>
    <t>в течение 15 рабочих дней с момента подписания товарной накладной</t>
  </si>
  <si>
    <t>с 06.06.2022г. по  05.08.2022г.</t>
  </si>
  <si>
    <t>ассенизация</t>
  </si>
  <si>
    <t>2333011443</t>
  </si>
  <si>
    <t>ООО "Водоканал"</t>
  </si>
  <si>
    <t>в течение 10 дней с момента подписания документа о приемке оказанных услуг</t>
  </si>
  <si>
    <t>с 27.05.2022г. по 31.12.2022г.</t>
  </si>
  <si>
    <t>№ 20/22</t>
  </si>
  <si>
    <t>№ СП-Т-88/22</t>
  </si>
  <si>
    <t>Информационно-консультационный семинар</t>
  </si>
  <si>
    <t>2311163812</t>
  </si>
  <si>
    <t>ООО "Акадкмия стратегического управления (ООО"АСМ-Партнер")</t>
  </si>
  <si>
    <t>в течение 10 рабочих дней с момента подписания документа о приемке оказанных услуг</t>
  </si>
  <si>
    <t xml:space="preserve">с 25.05.2022г. по 31.12.2022г. </t>
  </si>
  <si>
    <t>№ 81/22</t>
  </si>
  <si>
    <t>ГБУЗ "Тимашевская ЦРБ"</t>
  </si>
  <si>
    <t>2353006498</t>
  </si>
  <si>
    <t>медосмотр работников</t>
  </si>
  <si>
    <t xml:space="preserve">с 20.04.2022г. по 30.12.2022г. </t>
  </si>
  <si>
    <t>№ 81-1/22</t>
  </si>
  <si>
    <t>№ 23050417/22</t>
  </si>
  <si>
    <t>№ 389</t>
  </si>
  <si>
    <t>подготовка и разработка журнала движения отходов</t>
  </si>
  <si>
    <t>с 30.05.2022г. по 31.12.2022г.</t>
  </si>
  <si>
    <t>в течение 15 дней с момента подписания документа оприемке оказанных услуг</t>
  </si>
  <si>
    <t>ООО "Сервис-ЮГ-ККМ"</t>
  </si>
  <si>
    <t>№ ДГ-22/26</t>
  </si>
  <si>
    <t>№ 21</t>
  </si>
  <si>
    <t>с 01.05.2022г. по 31.08.2022г.</t>
  </si>
  <si>
    <t>в течение 15 рабочих дней с даты получения документов о поставке и счета на оплату</t>
  </si>
  <si>
    <t>№ 82</t>
  </si>
  <si>
    <t>ООО "Русское слово-учебник"</t>
  </si>
  <si>
    <t>с 05.05.2022г. по 05.08.2022г.</t>
  </si>
  <si>
    <t>в течение 15 рабочих дней с даты получения документов о приемке товара</t>
  </si>
  <si>
    <t>№ 29</t>
  </si>
  <si>
    <t>запчасти</t>
  </si>
  <si>
    <t>с 14.05.2022г. по 31.12.2022г.</t>
  </si>
  <si>
    <t>ООО "Навигатор Плюс"</t>
  </si>
  <si>
    <t>в течение 15 дней с момента подписания документа о приемке товара</t>
  </si>
  <si>
    <t>№ б/н</t>
  </si>
  <si>
    <t>27.05.2022г.</t>
  </si>
  <si>
    <t>предоставление неисключительного права использования программы для ЭВМ</t>
  </si>
  <si>
    <t>в течение 15 рабочих дней со дня подписания акта оказанных услуг</t>
  </si>
  <si>
    <t>ИП Архангельский А.А.</t>
  </si>
  <si>
    <t>с 01.01.2022г. по 30.06.2022г.</t>
  </si>
  <si>
    <t>31 мая 2022г.</t>
  </si>
  <si>
    <t>01 июня 2022г.</t>
  </si>
  <si>
    <t>2 июня 2022г.</t>
  </si>
  <si>
    <t>3 июня 2022г.</t>
  </si>
  <si>
    <t>10 июня 2022г.</t>
  </si>
  <si>
    <t>14 июня 2022г.</t>
  </si>
  <si>
    <t>15 июня 2022г.</t>
  </si>
  <si>
    <t>16 июня 2022г.</t>
  </si>
  <si>
    <t>9 февраля 2022г.</t>
  </si>
  <si>
    <t>22 июня 2022г.</t>
  </si>
  <si>
    <t>№ 72</t>
  </si>
  <si>
    <t>21.06.2022г.</t>
  </si>
  <si>
    <t>Дезинфицирующее средство</t>
  </si>
  <si>
    <t>ООО"Сервис ЮГ-ККМ"</t>
  </si>
  <si>
    <t>с 21.06.2022г. по 31.12.2022г.</t>
  </si>
  <si>
    <t>в течение 15 рабочих дней  со дня подписания документа о приемке товара</t>
  </si>
  <si>
    <t>№ 4005/220</t>
  </si>
  <si>
    <t>07.06.2022г.</t>
  </si>
  <si>
    <t>поставка периодических печатных изданий</t>
  </si>
  <si>
    <t>с 01.07.2022г. по 31.12.2022г.</t>
  </si>
  <si>
    <t>авансовый платеж 100% в течение 7 рабочих дней с даты заключения контракта</t>
  </si>
  <si>
    <t>Соглашение о расторжении дог.№14/2 от 14.03.2022г.</t>
  </si>
  <si>
    <t>Соглашеие о расторжении дог.№14 от 01.04.2022г.</t>
  </si>
  <si>
    <t>Соглашение о расторжении дог.№14/2 от 01.04.2022г.</t>
  </si>
  <si>
    <t>Соглашение о расторжении дог.№14 от 04.05.2022г.</t>
  </si>
  <si>
    <t xml:space="preserve">с 10.01.2022г. по 18.03.2022г. </t>
  </si>
  <si>
    <t>№ 14-И</t>
  </si>
  <si>
    <t>09.03.2022г.</t>
  </si>
  <si>
    <t xml:space="preserve">с 01.04.2022г. по 29.04.2022г. </t>
  </si>
  <si>
    <t>в течение 30 дней с момента подписания акта оказанных услуг</t>
  </si>
  <si>
    <t>с 01.05.2022г. по 21.05.2022г.</t>
  </si>
  <si>
    <t>27 июня 2022г.</t>
  </si>
  <si>
    <t xml:space="preserve">09.03.2022г. </t>
  </si>
  <si>
    <t>Услуги по пприготовлению горячего питаня</t>
  </si>
  <si>
    <t>17 мая 2022г.</t>
  </si>
  <si>
    <t>услуги по приготовлению горячего питания ( набор продуктов питания)</t>
  </si>
  <si>
    <t xml:space="preserve">Доп.соглашение №1 </t>
  </si>
  <si>
    <t>-U12С</t>
  </si>
  <si>
    <t>Соглашение о расторжении контракта б/н от 02.06.2022г.</t>
  </si>
  <si>
    <t>Соглашение о расторжении контракта б/н от 04.04.2022г.</t>
  </si>
  <si>
    <t>Соглашение о расторжении    дог.№ 15 от 02.06.2022г.</t>
  </si>
  <si>
    <t>№ 14-П</t>
  </si>
  <si>
    <t>услуги по организации питания детей в период летнего лагеря</t>
  </si>
  <si>
    <t>с 30.05.2022г. по 19.06.2022г.</t>
  </si>
  <si>
    <t>в течение 15 рабочих дней со дня подписания акта о приемке оказанных услуг</t>
  </si>
  <si>
    <t>№ 14-Л</t>
  </si>
  <si>
    <t>01.01.2022г.</t>
  </si>
  <si>
    <t>№ 112/22</t>
  </si>
  <si>
    <t>14.06.2022г.</t>
  </si>
  <si>
    <t>Проведение медосмотров сотрудников</t>
  </si>
  <si>
    <t>с 14.06.2022г. по 30.12.2022г.</t>
  </si>
  <si>
    <t>в течение 10 рабочих дней с момента подписания акта оказанных услуг</t>
  </si>
  <si>
    <t>№ 112-1/22</t>
  </si>
  <si>
    <t>Соглашение о расторжении контракта б/н от 01.07.2022г.</t>
  </si>
  <si>
    <t>Соглашение о расторжении контракта б/н от    14.07.2022г.</t>
  </si>
  <si>
    <t>Дополнительное соглашение №1 от 19.07.2022г.</t>
  </si>
  <si>
    <t>№ 17</t>
  </si>
  <si>
    <t>27.07.2022г.</t>
  </si>
  <si>
    <t>Краска, эмали</t>
  </si>
  <si>
    <t>ИП Быстров А.А.</t>
  </si>
  <si>
    <t>с 27.07.2022г. по 31.12.2022г.</t>
  </si>
  <si>
    <t>04 июля 2022г.</t>
  </si>
  <si>
    <t>29 июля 2022г.</t>
  </si>
  <si>
    <t>8 июля 2022г.</t>
  </si>
  <si>
    <t>08 июля 2022г.</t>
  </si>
  <si>
    <t>12 июля 2022г.</t>
  </si>
  <si>
    <t>6 июля 2022г.</t>
  </si>
  <si>
    <t>15 июля 2022г.</t>
  </si>
  <si>
    <t>20 июля 2022г.</t>
  </si>
  <si>
    <t>27 июля 2022г.</t>
  </si>
  <si>
    <t>1 августа 2022г.</t>
  </si>
  <si>
    <t>09.08,2022г.</t>
  </si>
  <si>
    <t>Оказание экскурсионных услуг</t>
  </si>
  <si>
    <t>2353016418</t>
  </si>
  <si>
    <t>Православный Приход храма Вознесения Господя</t>
  </si>
  <si>
    <t>с 09.08.2022г. по  31.12.2022г.</t>
  </si>
  <si>
    <t>в течение 10 календарных дней с момента подписания акта оказанных услуг</t>
  </si>
  <si>
    <t>№23050556/22</t>
  </si>
  <si>
    <t>15.08.2022г.</t>
  </si>
  <si>
    <t>Предоставление права использования и абонентское обслуживание Системы "Контур-Экстерн"</t>
  </si>
  <si>
    <t xml:space="preserve">с 15.08.2022г. по 31.12.2022г. </t>
  </si>
  <si>
    <t>в течение 7 рабочих дней с момента выставления счета на оплату</t>
  </si>
  <si>
    <t>№ 153</t>
  </si>
  <si>
    <t>19.08.2022г.</t>
  </si>
  <si>
    <t>ИП Латышева Н.П.</t>
  </si>
  <si>
    <t>с 19.08.2022г. по 31.12.2022г.</t>
  </si>
  <si>
    <t>с 26.04.2022г. по 31.12.2022г.</t>
  </si>
  <si>
    <t>ИП Костерев Д.В.</t>
  </si>
  <si>
    <t>Стенд на ПВХ, баннер</t>
  </si>
  <si>
    <t>26.04.2022г.</t>
  </si>
  <si>
    <t>№ 66</t>
  </si>
  <si>
    <t>№ 551</t>
  </si>
  <si>
    <t>23.08.2022г.</t>
  </si>
  <si>
    <t>Блок СКЗИ тахографа</t>
  </si>
  <si>
    <t>с 23.08.2022г. по 31.12.2022г.</t>
  </si>
  <si>
    <t>в течение 10 рабочих дней с момента выставления счета и акта выполненных работ</t>
  </si>
  <si>
    <t>№ 157</t>
  </si>
  <si>
    <t>30.08.2022г.</t>
  </si>
  <si>
    <t>Посуда</t>
  </si>
  <si>
    <t>с 30.08.2022г. по 31.12.2022г.</t>
  </si>
  <si>
    <t>16 августа 2022г.</t>
  </si>
  <si>
    <t>3 августа 2022г.</t>
  </si>
  <si>
    <t>03 августа 2022г.</t>
  </si>
  <si>
    <t>2 августа 2022г.</t>
  </si>
  <si>
    <t>4 августа 2022г.</t>
  </si>
  <si>
    <t>05 августа 2022г.</t>
  </si>
  <si>
    <t>5 августа 2022г.</t>
  </si>
  <si>
    <t>08 августа 2022г.</t>
  </si>
  <si>
    <t>12 августа 2022г.</t>
  </si>
  <si>
    <t>15 августа 2022г.</t>
  </si>
  <si>
    <t>25 августа 2022г.</t>
  </si>
  <si>
    <t>26 августа 2022г.</t>
  </si>
  <si>
    <t>31 августа 2022г.</t>
  </si>
  <si>
    <t>1 сентября 2022г.</t>
  </si>
  <si>
    <t>7 сентября 2022г.</t>
  </si>
  <si>
    <t>5 сентября 2022г.</t>
  </si>
  <si>
    <t>29.08.2022г.</t>
  </si>
  <si>
    <t>31.08.2022г.</t>
  </si>
  <si>
    <t>Ремонт транспортного средства</t>
  </si>
  <si>
    <t>с 29.08.2022г. по 31.12.2022г.</t>
  </si>
  <si>
    <t>с 31.08.2022г. по 31.12.2022г.</t>
  </si>
  <si>
    <t>в течение 10 рабочих дней с момента подписания документа о приемке товара</t>
  </si>
  <si>
    <t>в течение 15 рабочих дней с даты подписания акта оказанных услуг</t>
  </si>
  <si>
    <t>235303483777</t>
  </si>
  <si>
    <t>Салфетницы</t>
  </si>
  <si>
    <t>01.09.2022г.</t>
  </si>
  <si>
    <t>Организаця горячего питания(стоимость питания)</t>
  </si>
  <si>
    <t>с 01.09.2022г по 16.092022г.</t>
  </si>
  <si>
    <t xml:space="preserve">в течение 10 рабочих дней с момента подписания акта оказанных услуг </t>
  </si>
  <si>
    <t>№ 14/2</t>
  </si>
  <si>
    <t>Организаця горячего питания(услуги по приготовлению)</t>
  </si>
  <si>
    <t>№ 22</t>
  </si>
  <si>
    <t>Поставка нефтепродуктов</t>
  </si>
  <si>
    <t>И.П.Калайчев Ш.С.</t>
  </si>
  <si>
    <t>с 01.09.2022г.по 31.12.2022г.</t>
  </si>
  <si>
    <t>в течение 10 рабочих дней с даты  получения документов о поставке товара</t>
  </si>
  <si>
    <t>№ 166</t>
  </si>
  <si>
    <t>с 09.09.2022г.по 31.12.2022г.</t>
  </si>
  <si>
    <t>09.09.2022г.</t>
  </si>
  <si>
    <t>в течение 10 рабочих дней с момента подписания товарной накладной</t>
  </si>
  <si>
    <t>№ 23-9450</t>
  </si>
  <si>
    <t>05.09.2022г.</t>
  </si>
  <si>
    <t>Изготовление и поставка аттестатов</t>
  </si>
  <si>
    <t xml:space="preserve">с 05.09.2022г. по 31.12.2022г. </t>
  </si>
  <si>
    <t>в течение 7 рабочих дней с момента получения накладной и акта сдачи-приемки</t>
  </si>
  <si>
    <t>6 сентября 2022г</t>
  </si>
  <si>
    <t>06 сентября.2022г.</t>
  </si>
  <si>
    <t>12 сентября 2022г.</t>
  </si>
  <si>
    <t>19 сентября 2022г.</t>
  </si>
  <si>
    <t>23 сентября 2022г.</t>
  </si>
  <si>
    <t>26 сентября 2022г.</t>
  </si>
  <si>
    <t>28 сентября 2022г.</t>
  </si>
  <si>
    <t>20 сентября 2022г.</t>
  </si>
  <si>
    <t>19.09.2022г.</t>
  </si>
  <si>
    <t>№ 4</t>
  </si>
  <si>
    <t>Организация горячего питания 5-11класс          ( стоимость питания)</t>
  </si>
  <si>
    <t>с 01.09.2022г по 28.12.2022г.</t>
  </si>
  <si>
    <t>Организаця горячего питания 1-4класс (стоимость питания)</t>
  </si>
  <si>
    <t>Организаця горячего питания 1-4 кл.(услуги по приготовлению)</t>
  </si>
  <si>
    <t>Организация горячего питания (инвалиды)  (набор продуктов питания)</t>
  </si>
  <si>
    <t>с 01.09.2022г. по 28.12.2022г.</t>
  </si>
  <si>
    <t>Организация горячего питания (ОВЗ)  (услуги по приготовлению)</t>
  </si>
  <si>
    <t>№ 14 ОВЗ</t>
  </si>
  <si>
    <t>Организация горячего питания (ОВЗ)  (набор продуктов питания)</t>
  </si>
  <si>
    <t>Соглашение о расторжении б/н от 01.04.2022г.</t>
  </si>
  <si>
    <t>Соглашение о расторжении от 01.09.2022г.</t>
  </si>
  <si>
    <t>Соглашение о расторжении б/н    от 19.09.2022г.</t>
  </si>
  <si>
    <t>№ 15-И</t>
  </si>
  <si>
    <t>Организация горячего питания (инвалиды)  (услуги по приготовлению)</t>
  </si>
  <si>
    <t>Дополнительное соглашение №1 от 01.09.2022г.</t>
  </si>
  <si>
    <t>№ SYUT- 014665</t>
  </si>
  <si>
    <t>14.10.2022г.</t>
  </si>
  <si>
    <t>Поставка дезинфицирующего средства</t>
  </si>
  <si>
    <t>с 14.10.2022г. по  31.12.2022г.</t>
  </si>
  <si>
    <t>с 19.09.2022г по 30.11.2022г.</t>
  </si>
  <si>
    <t>с 01.09.2022г по 16.09.2022г.</t>
  </si>
  <si>
    <t>№ 1/2022/18</t>
  </si>
  <si>
    <t>03.10.2022г.</t>
  </si>
  <si>
    <t>Услуги музея</t>
  </si>
  <si>
    <t>2310052884</t>
  </si>
  <si>
    <t>ГБУК КК "КГИАМЗ им. Е.Д.Фелицина</t>
  </si>
  <si>
    <t>с 01.11.2022г. по 30.11.2022г.</t>
  </si>
  <si>
    <t xml:space="preserve">Предоплата 30% в течение 5 рабочих дней со дня получения счета на оплату, окончательный расчет в течение 5 рабочих дней, с момента подписания акта оказанных услуг </t>
  </si>
  <si>
    <t>19.10.2022г.</t>
  </si>
  <si>
    <t>ОСГО владельцев транспортных средств</t>
  </si>
  <si>
    <t>7710026574</t>
  </si>
  <si>
    <t>САО "ВСК"</t>
  </si>
  <si>
    <t>с 19.10.2022г. по 31.12.2022г.</t>
  </si>
  <si>
    <t>в течение 10 рабочих дней с момента подписания акта выполненных работ</t>
  </si>
  <si>
    <t xml:space="preserve"> № 218</t>
  </si>
  <si>
    <t>20.10.2022г.</t>
  </si>
  <si>
    <t>Поставка мягкого модуля</t>
  </si>
  <si>
    <t>2308172990</t>
  </si>
  <si>
    <t>ООО "Лидер-Юг"</t>
  </si>
  <si>
    <t>с 20.10.2022г. по 31.12.2022г.</t>
  </si>
  <si>
    <t>в течение 10 рабочих дней с момента подписания документов,подтверждающих поставку товара</t>
  </si>
  <si>
    <t>3 октября 2022г.</t>
  </si>
  <si>
    <t>4 октября 2022г.</t>
  </si>
  <si>
    <t>10 октября 2022г.</t>
  </si>
  <si>
    <t>11 октября 2022г.</t>
  </si>
  <si>
    <t>17 октября 2022г.</t>
  </si>
  <si>
    <t>18 октября 2022г.</t>
  </si>
  <si>
    <t>19 октября 2022г.</t>
  </si>
  <si>
    <t>21 октября 2022г.</t>
  </si>
  <si>
    <t>5 октября 2022г.</t>
  </si>
  <si>
    <t>13 октября 2022г.</t>
  </si>
  <si>
    <t>30.09.20322</t>
  </si>
  <si>
    <t>25 октября 2022г.</t>
  </si>
  <si>
    <t>26 октября 2022г.</t>
  </si>
  <si>
    <t>№ 87/Т</t>
  </si>
  <si>
    <t>21.10.2022г.</t>
  </si>
  <si>
    <t>Обследование системы центрального отопления (гидроопрессовка)</t>
  </si>
  <si>
    <t>2310217409</t>
  </si>
  <si>
    <t>ООО "АТЭК-Сервис"</t>
  </si>
  <si>
    <t>с 21.10.2022г. по 31.12.2022г.</t>
  </si>
  <si>
    <t>Дополнительное соглашение №2 от 17.10.2022г.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</si>
</sst>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98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18" borderId="14" xfId="0" applyNumberFormat="1" applyFont="1" applyFill="1" applyBorder="1" applyAlignment="1">
      <alignment horizontal="center" vertical="center" wrapText="1"/>
    </xf>
    <xf numFmtId="49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4" xfId="0" applyFont="1" applyFill="1" applyBorder="1" applyAlignment="1" applyProtection="1">
      <alignment horizontal="center" vertical="center" wrapText="1"/>
      <protection locked="0"/>
    </xf>
    <xf numFmtId="14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" xfId="0" applyNumberFormat="1" applyFont="1" applyFill="1" applyBorder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168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>
      <alignment horizontal="center" vertical="center" wrapText="1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>
      <alignment horizontal="center" vertical="center" wrapText="1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>
      <alignment horizontal="center" vertical="center" wrapText="1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>
      <alignment horizontal="center" vertical="center" wrapText="1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>
      <alignment horizontal="center" vertical="center" wrapText="1"/>
    </xf>
    <xf numFmtId="49" fontId="1" fillId="18" borderId="75" xfId="0" applyNumberFormat="1" applyFont="1" applyFill="1" applyBorder="1" applyAlignment="1">
      <alignment horizontal="center" vertical="center" wrapText="1"/>
    </xf>
    <xf numFmtId="168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>
      <alignment horizontal="center" vertical="center" wrapText="1"/>
    </xf>
    <xf numFmtId="4" fontId="1" fillId="18" borderId="77" xfId="0" applyNumberFormat="1" applyFont="1" applyFill="1" applyBorder="1" applyAlignment="1">
      <alignment horizontal="center" vertical="center" wrapText="1"/>
    </xf>
    <xf numFmtId="16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16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>
      <alignment horizontal="center" vertical="center" wrapText="1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>
      <alignment horizontal="center" vertical="center" wrapText="1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>
      <alignment horizontal="center" vertical="center" wrapText="1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>
      <alignment horizontal="center" vertical="center" wrapText="1"/>
    </xf>
    <xf numFmtId="168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>
      <alignment horizontal="center" vertical="center" wrapText="1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>
      <alignment horizontal="center" vertical="center" wrapText="1"/>
    </xf>
    <xf numFmtId="167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>
      <alignment horizontal="center" vertical="center" wrapText="1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>
      <alignment horizontal="center" vertical="center" wrapText="1"/>
    </xf>
    <xf numFmtId="167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>
      <alignment horizontal="center" vertical="center" wrapText="1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>
      <alignment horizontal="center" vertical="center" wrapText="1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49" fontId="1" fillId="18" borderId="93" xfId="0" applyNumberFormat="1" applyFont="1" applyFill="1" applyBorder="1" applyAlignment="1">
      <alignment horizontal="center" vertical="center" wrapText="1"/>
    </xf>
    <xf numFmtId="49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>
      <alignment horizontal="center" vertical="center" wrapText="1"/>
    </xf>
    <xf numFmtId="0" fontId="1" fillId="18" borderId="93" xfId="0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3" xfId="0" applyFont="1" applyFill="1" applyBorder="1" applyAlignment="1" applyProtection="1">
      <alignment horizontal="center" vertical="center" wrapText="1"/>
      <protection locked="0"/>
    </xf>
    <xf numFmtId="49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>
      <alignment horizontal="center" vertical="center" wrapText="1"/>
    </xf>
    <xf numFmtId="49" fontId="1" fillId="18" borderId="9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8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>
      <alignment horizontal="center" vertical="center" wrapText="1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>
      <alignment horizontal="center" vertical="center" wrapText="1"/>
    </xf>
    <xf numFmtId="4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9" xfId="0" applyFont="1" applyFill="1" applyBorder="1" applyAlignment="1" applyProtection="1">
      <alignment horizontal="center" vertical="center" wrapText="1"/>
      <protection locked="0"/>
    </xf>
    <xf numFmtId="1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4" xfId="0" applyNumberFormat="1" applyFont="1" applyFill="1" applyBorder="1" applyAlignment="1">
      <alignment horizontal="center" vertical="center" wrapText="1"/>
    </xf>
    <xf numFmtId="4" fontId="1" fillId="18" borderId="95" xfId="0" applyNumberFormat="1" applyFont="1" applyFill="1" applyBorder="1" applyAlignment="1">
      <alignment horizontal="center" vertical="center" wrapText="1"/>
    </xf>
    <xf numFmtId="167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6" xfId="0" applyFont="1" applyFill="1" applyBorder="1" applyAlignment="1" applyProtection="1">
      <alignment horizontal="center" vertical="center" wrapText="1"/>
      <protection locked="0"/>
    </xf>
    <xf numFmtId="168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9" xfId="0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>
      <alignment horizontal="center" vertical="center" wrapText="1"/>
    </xf>
    <xf numFmtId="49" fontId="1" fillId="18" borderId="99" xfId="0" applyNumberFormat="1" applyFont="1" applyFill="1" applyBorder="1" applyAlignment="1">
      <alignment horizontal="center" vertical="center" wrapText="1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>
      <alignment horizontal="center" vertical="center" wrapText="1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9" xfId="0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>
      <alignment horizontal="center" vertical="center" wrapText="1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>
      <alignment horizontal="center" vertical="center" wrapText="1"/>
    </xf>
    <xf numFmtId="0" fontId="1" fillId="18" borderId="99" xfId="0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>
      <alignment horizontal="center" vertical="center" wrapText="1"/>
    </xf>
    <xf numFmtId="16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>
      <alignment horizontal="center" vertical="center" wrapText="1"/>
    </xf>
    <xf numFmtId="168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9" xfId="0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>
      <alignment horizontal="center" vertical="center" wrapText="1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68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9" xfId="0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>
      <alignment horizontal="center" vertical="center" wrapText="1"/>
    </xf>
    <xf numFmtId="49" fontId="1" fillId="18" borderId="99" xfId="0" applyNumberFormat="1" applyFont="1" applyFill="1" applyBorder="1" applyAlignment="1">
      <alignment horizontal="center" vertical="center" wrapText="1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0" xfId="0" applyNumberFormat="1" applyFont="1" applyFill="1" applyBorder="1" applyAlignment="1">
      <alignment horizontal="center" vertical="center" wrapText="1"/>
    </xf>
    <xf numFmtId="49" fontId="1" fillId="18" borderId="102" xfId="0" applyNumberFormat="1" applyFont="1" applyFill="1" applyBorder="1" applyAlignment="1">
      <alignment horizontal="center" vertical="center" wrapText="1"/>
    </xf>
    <xf numFmtId="1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0" xfId="0" applyFont="1" applyFill="1" applyBorder="1" applyAlignment="1" applyProtection="1">
      <alignment horizontal="center" vertical="center" wrapText="1"/>
      <protection locked="0"/>
    </xf>
    <xf numFmtId="0" fontId="1" fillId="18" borderId="102" xfId="0" applyFont="1" applyFill="1" applyBorder="1" applyAlignment="1" applyProtection="1">
      <alignment horizontal="center" vertical="center" wrapText="1"/>
      <protection locked="0"/>
    </xf>
    <xf numFmtId="165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0" xfId="0" applyNumberFormat="1" applyFont="1" applyFill="1" applyBorder="1" applyAlignment="1">
      <alignment horizontal="center" vertical="center" wrapText="1"/>
    </xf>
    <xf numFmtId="4" fontId="1" fillId="18" borderId="102" xfId="0" applyNumberFormat="1" applyFont="1" applyFill="1" applyBorder="1" applyAlignment="1">
      <alignment horizontal="center" vertical="center" wrapText="1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0" xfId="0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168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>
      <alignment horizontal="center" vertical="center" wrapText="1"/>
    </xf>
    <xf numFmtId="4" fontId="1" fillId="18" borderId="64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62" xfId="0" applyNumberFormat="1" applyFont="1" applyFill="1" applyBorder="1" applyAlignment="1">
      <alignment horizontal="center" vertical="center" wrapText="1"/>
    </xf>
    <xf numFmtId="49" fontId="1" fillId="18" borderId="64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>
      <alignment horizontal="center" vertical="center" wrapText="1"/>
    </xf>
    <xf numFmtId="49" fontId="1" fillId="18" borderId="80" xfId="0" applyNumberFormat="1" applyFont="1" applyFill="1" applyBorder="1" applyAlignment="1">
      <alignment horizontal="center" vertical="center" wrapText="1"/>
    </xf>
    <xf numFmtId="49" fontId="1" fillId="18" borderId="81" xfId="0" applyNumberFormat="1" applyFont="1" applyFill="1" applyBorder="1" applyAlignment="1">
      <alignment horizontal="center" vertical="center" wrapText="1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18" borderId="69" xfId="0" applyNumberFormat="1" applyFont="1" applyFill="1" applyBorder="1" applyAlignment="1">
      <alignment horizontal="center" vertical="center" wrapText="1"/>
    </xf>
    <xf numFmtId="1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1" xfId="0" applyFont="1" applyFill="1" applyBorder="1" applyAlignment="1" applyProtection="1">
      <alignment horizontal="center" vertical="center" wrapText="1"/>
      <protection locked="0"/>
    </xf>
    <xf numFmtId="49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1" xfId="0" applyNumberFormat="1" applyFont="1" applyFill="1" applyBorder="1" applyAlignment="1">
      <alignment horizontal="center" vertical="center" wrapText="1"/>
    </xf>
    <xf numFmtId="4" fontId="1" fillId="18" borderId="80" xfId="0" applyNumberFormat="1" applyFont="1" applyFill="1" applyBorder="1" applyAlignment="1">
      <alignment horizontal="center" vertical="center" wrapText="1"/>
    </xf>
    <xf numFmtId="4" fontId="1" fillId="18" borderId="81" xfId="0" applyNumberFormat="1" applyFont="1" applyFill="1" applyBorder="1" applyAlignment="1">
      <alignment horizontal="center" vertical="center" wrapText="1"/>
    </xf>
    <xf numFmtId="165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>
      <alignment horizontal="center" vertical="center" wrapText="1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>
      <alignment horizontal="center" vertical="center" wrapText="1"/>
    </xf>
    <xf numFmtId="49" fontId="1" fillId="18" borderId="89" xfId="0" applyNumberFormat="1" applyFont="1" applyFill="1" applyBorder="1" applyAlignment="1">
      <alignment horizontal="center" vertical="center" wrapText="1"/>
    </xf>
    <xf numFmtId="49" fontId="1" fillId="18" borderId="101" xfId="0" applyNumberFormat="1" applyFont="1" applyFill="1" applyBorder="1" applyAlignment="1">
      <alignment horizontal="center" vertical="center" wrapText="1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>
      <alignment horizontal="center" vertical="center" wrapText="1"/>
    </xf>
    <xf numFmtId="4" fontId="1" fillId="18" borderId="82" xfId="0" applyNumberFormat="1" applyFont="1" applyFill="1" applyBorder="1" applyAlignment="1">
      <alignment horizontal="center" vertical="center" wrapText="1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0" fontId="1" fillId="18" borderId="91" xfId="0" applyFont="1" applyFill="1" applyBorder="1" applyAlignment="1" applyProtection="1">
      <alignment horizontal="center" vertical="center" wrapText="1"/>
      <protection locked="0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>
      <alignment horizontal="center" vertical="center" wrapText="1"/>
    </xf>
    <xf numFmtId="4" fontId="1" fillId="18" borderId="90" xfId="0" applyNumberFormat="1" applyFont="1" applyFill="1" applyBorder="1" applyAlignment="1">
      <alignment horizontal="center" vertical="center" wrapText="1"/>
    </xf>
    <xf numFmtId="168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7" xfId="0" applyNumberFormat="1" applyFont="1" applyFill="1" applyBorder="1" applyAlignment="1">
      <alignment horizontal="center" vertical="center" wrapText="1"/>
    </xf>
    <xf numFmtId="49" fontId="1" fillId="18" borderId="98" xfId="0" applyNumberFormat="1" applyFont="1" applyFill="1" applyBorder="1" applyAlignment="1">
      <alignment horizontal="center" vertical="center" wrapText="1"/>
    </xf>
    <xf numFmtId="49" fontId="1" fillId="18" borderId="99" xfId="0" applyNumberFormat="1" applyFont="1" applyFill="1" applyBorder="1" applyAlignment="1">
      <alignment horizontal="center" vertical="center" wrapText="1"/>
    </xf>
    <xf numFmtId="49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7" xfId="0" applyNumberFormat="1" applyFont="1" applyFill="1" applyBorder="1" applyAlignment="1">
      <alignment horizontal="center" vertical="center" wrapText="1"/>
    </xf>
    <xf numFmtId="4" fontId="1" fillId="18" borderId="99" xfId="0" applyNumberFormat="1" applyFont="1" applyFill="1" applyBorder="1" applyAlignment="1">
      <alignment horizontal="center" vertical="center" wrapText="1"/>
    </xf>
    <xf numFmtId="167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7" xfId="0" applyFont="1" applyFill="1" applyBorder="1" applyAlignment="1" applyProtection="1">
      <alignment horizontal="center" vertical="center" wrapText="1"/>
      <protection locked="0"/>
    </xf>
    <xf numFmtId="0" fontId="1" fillId="18" borderId="98" xfId="0" applyFont="1" applyFill="1" applyBorder="1" applyAlignment="1" applyProtection="1">
      <alignment horizontal="center" vertical="center" wrapText="1"/>
      <protection locked="0"/>
    </xf>
    <xf numFmtId="0" fontId="1" fillId="18" borderId="99" xfId="0" applyFont="1" applyFill="1" applyBorder="1" applyAlignment="1" applyProtection="1">
      <alignment horizontal="center" vertical="center" wrapText="1"/>
      <protection locked="0"/>
    </xf>
    <xf numFmtId="165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>
      <alignment horizontal="center" vertical="center" wrapText="1"/>
    </xf>
    <xf numFmtId="167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49" fontId="1" fillId="18" borderId="84" xfId="0" applyNumberFormat="1" applyFont="1" applyFill="1" applyBorder="1" applyAlignment="1">
      <alignment horizontal="center" vertical="center" wrapText="1"/>
    </xf>
    <xf numFmtId="49" fontId="1" fillId="18" borderId="85" xfId="0" applyNumberFormat="1" applyFont="1" applyFill="1" applyBorder="1" applyAlignment="1">
      <alignment horizontal="center" vertical="center" wrapText="1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4" xfId="0" applyFont="1" applyFill="1" applyBorder="1" applyAlignment="1" applyProtection="1">
      <alignment horizontal="center" vertical="center" wrapText="1"/>
      <protection locked="0"/>
    </xf>
    <xf numFmtId="0" fontId="1" fillId="18" borderId="85" xfId="0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>
      <alignment horizontal="center" vertical="center" wrapText="1"/>
    </xf>
    <xf numFmtId="4" fontId="1" fillId="18" borderId="85" xfId="0" applyNumberFormat="1" applyFont="1" applyFill="1" applyBorder="1" applyAlignment="1">
      <alignment horizontal="center" vertical="center" wrapText="1"/>
    </xf>
    <xf numFmtId="16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1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2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C5" sqref="C5"/>
    </sheetView>
  </sheetViews>
  <sheetFormatPr defaultColWidth="0" defaultRowHeight="15" x14ac:dyDescent="0.25"/>
  <cols>
    <col min="1" max="2" width="9.140625" style="9" customWidth="1"/>
    <col min="3" max="3" width="25.28515625" style="9" customWidth="1"/>
    <col min="4" max="5" width="9.140625" style="9" customWidth="1"/>
    <col min="6" max="6" width="11.7109375" style="9" customWidth="1"/>
    <col min="7" max="7" width="19" style="9" customWidth="1"/>
    <col min="8" max="8" width="6.5703125" style="9" customWidth="1"/>
    <col min="9" max="9" width="5.5703125" style="9" customWidth="1"/>
    <col min="10" max="10" width="15" style="9" customWidth="1"/>
    <col min="11" max="11" width="14.85546875" style="9" customWidth="1"/>
    <col min="12" max="12" width="21.28515625" style="9" customWidth="1"/>
    <col min="13" max="13" width="10.140625" style="9" customWidth="1"/>
    <col min="14" max="14" width="17.140625" style="9" bestFit="1" customWidth="1"/>
    <col min="15" max="22" width="9.140625" style="9" hidden="1" customWidth="1"/>
    <col min="23" max="23" width="30.7109375" style="9" hidden="1" customWidth="1"/>
    <col min="24" max="16384" width="9.140625" style="9" hidden="1"/>
  </cols>
  <sheetData>
    <row r="1" spans="1:14" ht="27" customHeight="1" thickBot="1" x14ac:dyDescent="0.3">
      <c r="A1" s="525" t="s">
        <v>141</v>
      </c>
      <c r="B1" s="526"/>
      <c r="C1" s="526"/>
      <c r="D1" s="526"/>
      <c r="E1" s="525"/>
      <c r="F1" s="526"/>
      <c r="G1" s="526"/>
      <c r="H1" s="526"/>
      <c r="I1" s="526"/>
      <c r="J1" s="526"/>
      <c r="K1" s="526"/>
      <c r="L1" s="526"/>
      <c r="M1" s="526"/>
      <c r="N1" s="527"/>
    </row>
    <row r="3" spans="1:14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">
      <c r="A4" s="561" t="s">
        <v>25</v>
      </c>
      <c r="B4" s="562"/>
      <c r="C4" s="4">
        <v>7632038.79</v>
      </c>
      <c r="D4" s="5"/>
      <c r="E4" s="563" t="s">
        <v>140</v>
      </c>
      <c r="F4" s="564"/>
      <c r="G4" s="565"/>
      <c r="H4" s="566">
        <v>1200000</v>
      </c>
      <c r="I4" s="567"/>
      <c r="J4" s="568"/>
      <c r="K4" s="22"/>
      <c r="L4" s="99" t="s">
        <v>55</v>
      </c>
      <c r="M4" s="563">
        <v>4123241.19</v>
      </c>
      <c r="N4" s="565"/>
    </row>
    <row r="5" spans="1:14" ht="30.75" customHeight="1" thickBot="1" x14ac:dyDescent="0.3">
      <c r="A5" s="561" t="s">
        <v>26</v>
      </c>
      <c r="B5" s="562"/>
      <c r="C5" s="6">
        <f>C4-G15+J15</f>
        <v>1448357.0199999996</v>
      </c>
      <c r="D5" s="5"/>
      <c r="E5" s="563" t="s">
        <v>53</v>
      </c>
      <c r="F5" s="564"/>
      <c r="G5" s="565"/>
      <c r="H5" s="556">
        <f>H4-G12</f>
        <v>107410.93000000017</v>
      </c>
      <c r="I5" s="557"/>
      <c r="J5" s="558"/>
      <c r="K5" s="22"/>
      <c r="L5" s="99" t="s">
        <v>54</v>
      </c>
      <c r="M5" s="559">
        <f>M4-G13</f>
        <v>311983.54999999981</v>
      </c>
      <c r="N5" s="560"/>
    </row>
    <row r="6" spans="1:14" ht="14.45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thickBot="1" x14ac:dyDescent="0.35"/>
    <row r="8" spans="1:14" ht="72" customHeight="1" thickBot="1" x14ac:dyDescent="0.3">
      <c r="A8" s="569" t="s">
        <v>27</v>
      </c>
      <c r="B8" s="570"/>
      <c r="C8" s="571"/>
      <c r="D8" s="569" t="s">
        <v>28</v>
      </c>
      <c r="E8" s="570"/>
      <c r="F8" s="571"/>
      <c r="G8" s="572" t="s">
        <v>29</v>
      </c>
      <c r="H8" s="573"/>
      <c r="I8" s="574"/>
      <c r="J8" s="572" t="s">
        <v>142</v>
      </c>
      <c r="K8" s="573"/>
      <c r="L8" s="574"/>
      <c r="M8" s="569" t="s">
        <v>30</v>
      </c>
      <c r="N8" s="571"/>
    </row>
    <row r="9" spans="1:14" ht="41.25" customHeight="1" thickBot="1" x14ac:dyDescent="0.3">
      <c r="A9" s="547" t="s">
        <v>31</v>
      </c>
      <c r="B9" s="548"/>
      <c r="C9" s="549"/>
      <c r="D9" s="546">
        <f>'Состоявшиеся аукционы'!G2</f>
        <v>0</v>
      </c>
      <c r="E9" s="546"/>
      <c r="F9" s="546"/>
      <c r="G9" s="546">
        <f>'Состоявшиеся аукционы'!Q2</f>
        <v>0</v>
      </c>
      <c r="H9" s="546"/>
      <c r="I9" s="546"/>
      <c r="J9" s="543">
        <f>'Состоявшиеся аукционы'!AB2</f>
        <v>0</v>
      </c>
      <c r="K9" s="544"/>
      <c r="L9" s="545"/>
      <c r="M9" s="546">
        <f t="shared" ref="M9:M15" si="0">D9-G9</f>
        <v>0</v>
      </c>
      <c r="N9" s="546"/>
    </row>
    <row r="10" spans="1:14" ht="78.75" customHeight="1" thickBot="1" x14ac:dyDescent="0.3">
      <c r="A10" s="547" t="s">
        <v>49</v>
      </c>
      <c r="B10" s="548"/>
      <c r="C10" s="549"/>
      <c r="D10" s="546">
        <f>'Несостоявшиеся аукционы'!G2</f>
        <v>0</v>
      </c>
      <c r="E10" s="546"/>
      <c r="F10" s="546"/>
      <c r="G10" s="546">
        <f>'Несостоявшиеся аукционы'!Q2</f>
        <v>0</v>
      </c>
      <c r="H10" s="546"/>
      <c r="I10" s="546"/>
      <c r="J10" s="543">
        <f>'Несостоявшиеся аукционы'!AB2</f>
        <v>0</v>
      </c>
      <c r="K10" s="544"/>
      <c r="L10" s="545"/>
      <c r="M10" s="546">
        <f t="shared" si="0"/>
        <v>0</v>
      </c>
      <c r="N10" s="546"/>
    </row>
    <row r="11" spans="1:14" ht="40.5" customHeight="1" thickBot="1" x14ac:dyDescent="0.3">
      <c r="A11" s="547" t="s">
        <v>83</v>
      </c>
      <c r="B11" s="548"/>
      <c r="C11" s="549"/>
      <c r="D11" s="543">
        <f>'Иные конкурентные закупки'!G2</f>
        <v>1258462.8500000001</v>
      </c>
      <c r="E11" s="544"/>
      <c r="F11" s="545"/>
      <c r="G11" s="543">
        <f>'Иные конкурентные закупки'!Q2</f>
        <v>1191922.8500000001</v>
      </c>
      <c r="H11" s="544"/>
      <c r="I11" s="545"/>
      <c r="J11" s="543">
        <f>'Иные конкурентные закупки'!AB2</f>
        <v>221181.65</v>
      </c>
      <c r="K11" s="544"/>
      <c r="L11" s="545"/>
      <c r="M11" s="543">
        <f t="shared" si="0"/>
        <v>66540</v>
      </c>
      <c r="N11" s="545"/>
    </row>
    <row r="12" spans="1:14" ht="54.75" customHeight="1" thickBot="1" x14ac:dyDescent="0.3">
      <c r="A12" s="550" t="s">
        <v>50</v>
      </c>
      <c r="B12" s="551"/>
      <c r="C12" s="552"/>
      <c r="D12" s="546">
        <f>'Ед. поставщик п.4 ч.1'!H2</f>
        <v>1092589.0699999998</v>
      </c>
      <c r="E12" s="546"/>
      <c r="F12" s="546"/>
      <c r="G12" s="546">
        <f>D12</f>
        <v>1092589.0699999998</v>
      </c>
      <c r="H12" s="546"/>
      <c r="I12" s="546"/>
      <c r="J12" s="543">
        <f>'Ед. поставщик п.4 ч.1'!V2</f>
        <v>12893.4</v>
      </c>
      <c r="K12" s="544"/>
      <c r="L12" s="545"/>
      <c r="M12" s="546">
        <f t="shared" si="0"/>
        <v>0</v>
      </c>
      <c r="N12" s="546"/>
    </row>
    <row r="13" spans="1:14" ht="45.75" customHeight="1" thickBot="1" x14ac:dyDescent="0.3">
      <c r="A13" s="550" t="s">
        <v>51</v>
      </c>
      <c r="B13" s="551"/>
      <c r="C13" s="552"/>
      <c r="D13" s="546">
        <f>'Ед. поставщик п.5 ч.1'!H2</f>
        <v>3811257.64</v>
      </c>
      <c r="E13" s="546"/>
      <c r="F13" s="546"/>
      <c r="G13" s="546">
        <f>D13</f>
        <v>3811257.64</v>
      </c>
      <c r="H13" s="546"/>
      <c r="I13" s="546"/>
      <c r="J13" s="543">
        <f>'Ед. поставщик п.5 ч.1'!V2</f>
        <v>304279.30000000005</v>
      </c>
      <c r="K13" s="544"/>
      <c r="L13" s="545"/>
      <c r="M13" s="546">
        <f t="shared" si="0"/>
        <v>0</v>
      </c>
      <c r="N13" s="546"/>
    </row>
    <row r="14" spans="1:14" ht="45.75" customHeight="1" thickBot="1" x14ac:dyDescent="0.3">
      <c r="A14" s="540" t="s">
        <v>52</v>
      </c>
      <c r="B14" s="541"/>
      <c r="C14" s="542"/>
      <c r="D14" s="543">
        <f>'Ед.поставщик за искл. п.4,5 ч.1'!G2</f>
        <v>766492</v>
      </c>
      <c r="E14" s="544"/>
      <c r="F14" s="545"/>
      <c r="G14" s="543">
        <f>D14</f>
        <v>766492</v>
      </c>
      <c r="H14" s="544"/>
      <c r="I14" s="545"/>
      <c r="J14" s="543">
        <f>'Ед.поставщик за искл. п.4,5 ч.1'!T2</f>
        <v>140225.44</v>
      </c>
      <c r="K14" s="544"/>
      <c r="L14" s="545"/>
      <c r="M14" s="546">
        <f t="shared" si="0"/>
        <v>0</v>
      </c>
      <c r="N14" s="546"/>
    </row>
    <row r="15" spans="1:14" ht="21" thickBot="1" x14ac:dyDescent="0.3">
      <c r="A15" s="553" t="s">
        <v>143</v>
      </c>
      <c r="B15" s="554"/>
      <c r="C15" s="555"/>
      <c r="D15" s="546">
        <f>SUM(D9:D14)</f>
        <v>6928801.5600000005</v>
      </c>
      <c r="E15" s="546"/>
      <c r="F15" s="546"/>
      <c r="G15" s="543">
        <f>SUM(G9:G14)</f>
        <v>6862261.5600000005</v>
      </c>
      <c r="H15" s="544"/>
      <c r="I15" s="545"/>
      <c r="J15" s="543">
        <f>SUM(J9:J14)</f>
        <v>678579.79</v>
      </c>
      <c r="K15" s="544"/>
      <c r="L15" s="545"/>
      <c r="M15" s="546">
        <f t="shared" si="0"/>
        <v>66540</v>
      </c>
      <c r="N15" s="546"/>
    </row>
    <row r="18" spans="1:12" thickBot="1" x14ac:dyDescent="0.35"/>
    <row r="19" spans="1:12" ht="23.25" customHeight="1" x14ac:dyDescent="0.25">
      <c r="A19" s="528" t="s">
        <v>35</v>
      </c>
      <c r="B19" s="529"/>
      <c r="C19" s="530"/>
      <c r="D19" s="534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5247102.6799999988</v>
      </c>
      <c r="E19" s="535"/>
      <c r="F19" s="535"/>
      <c r="G19" s="536"/>
      <c r="I19" s="20"/>
      <c r="J19" s="20"/>
      <c r="K19" s="20"/>
      <c r="L19" s="20"/>
    </row>
    <row r="20" spans="1:12" ht="24" customHeight="1" thickBot="1" x14ac:dyDescent="0.3">
      <c r="A20" s="531"/>
      <c r="B20" s="532"/>
      <c r="C20" s="533"/>
      <c r="D20" s="537"/>
      <c r="E20" s="538"/>
      <c r="F20" s="538"/>
      <c r="G20" s="539"/>
      <c r="I20" s="20"/>
      <c r="J20" s="20"/>
      <c r="K20" s="20"/>
      <c r="L20" s="20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84"/>
  <sheetViews>
    <sheetView showGridLines="0" zoomScale="50" zoomScaleNormal="50" workbookViewId="0">
      <pane ySplit="8" topLeftCell="A73" activePane="bottomLeft" state="frozen"/>
      <selection activeCell="I1" sqref="I1"/>
      <selection pane="bottomLeft" activeCell="O78" sqref="O78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2" customWidth="1"/>
    <col min="6" max="6" width="27.5703125" style="3" customWidth="1"/>
    <col min="7" max="7" width="49.140625" style="3" customWidth="1"/>
    <col min="8" max="8" width="26.85546875" style="11" customWidth="1"/>
    <col min="9" max="9" width="21.85546875" style="11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2" customWidth="1"/>
    <col min="15" max="15" width="28.85546875" style="3" customWidth="1"/>
    <col min="16" max="16" width="24" style="32" customWidth="1"/>
    <col min="17" max="17" width="24" style="12" bestFit="1" customWidth="1"/>
    <col min="18" max="18" width="23.42578125" style="8" customWidth="1"/>
    <col min="19" max="20" width="23.7109375" style="8" customWidth="1"/>
    <col min="21" max="21" width="24.5703125" style="12" customWidth="1"/>
    <col min="22" max="22" width="25.5703125" style="32" customWidth="1"/>
    <col min="23" max="23" width="17.7109375" style="8" customWidth="1"/>
    <col min="24" max="16384" width="9.140625" style="8" hidden="1"/>
  </cols>
  <sheetData>
    <row r="1" spans="1:24" ht="18.600000000000001" thickBot="1" x14ac:dyDescent="0.35"/>
    <row r="2" spans="1:24" ht="39.950000000000003" customHeight="1" thickBot="1" x14ac:dyDescent="0.3">
      <c r="A2" s="86"/>
      <c r="B2" s="86"/>
      <c r="C2" s="86"/>
      <c r="D2" s="86"/>
      <c r="E2" s="86"/>
      <c r="F2" s="43"/>
      <c r="G2" s="101" t="s">
        <v>24</v>
      </c>
      <c r="H2" s="98">
        <f>SUM(H9:H9999)</f>
        <v>1092589.0699999998</v>
      </c>
      <c r="K2" s="632"/>
      <c r="L2" s="632"/>
      <c r="M2" s="632"/>
      <c r="N2" s="633" t="s">
        <v>137</v>
      </c>
      <c r="O2" s="635"/>
      <c r="P2" s="87">
        <f>SUM(P9:P9999)</f>
        <v>815708.74999999988</v>
      </c>
      <c r="R2" s="86"/>
      <c r="S2" s="633" t="s">
        <v>45</v>
      </c>
      <c r="T2" s="634"/>
      <c r="U2" s="635"/>
      <c r="V2" s="88">
        <f>SUM(V9:V9999)</f>
        <v>12893.4</v>
      </c>
    </row>
    <row r="3" spans="1:24" ht="18" x14ac:dyDescent="0.3">
      <c r="A3" s="632"/>
      <c r="B3" s="632"/>
      <c r="C3" s="632"/>
      <c r="D3" s="632"/>
      <c r="E3" s="632"/>
      <c r="F3" s="45"/>
      <c r="N3" s="86"/>
    </row>
    <row r="4" spans="1:24" ht="39.950000000000003" customHeight="1" x14ac:dyDescent="0.3">
      <c r="A4" s="14"/>
      <c r="B4" s="14"/>
      <c r="C4" s="14"/>
      <c r="D4" s="14"/>
      <c r="E4" s="29"/>
      <c r="F4" s="14"/>
      <c r="J4" s="636"/>
      <c r="K4" s="636"/>
      <c r="M4" s="636"/>
      <c r="N4" s="636"/>
      <c r="O4" s="636"/>
      <c r="P4" s="636"/>
    </row>
    <row r="5" spans="1:24" ht="18" x14ac:dyDescent="0.3">
      <c r="A5" s="14"/>
      <c r="B5" s="14"/>
      <c r="C5" s="14"/>
      <c r="D5" s="14"/>
      <c r="E5" s="29"/>
      <c r="F5" s="14"/>
      <c r="G5" s="14"/>
      <c r="H5" s="15"/>
    </row>
    <row r="6" spans="1:24" ht="159" customHeight="1" x14ac:dyDescent="0.25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ht="18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3.75" x14ac:dyDescent="0.25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7" customFormat="1" ht="93.75" x14ac:dyDescent="0.25">
      <c r="A9" s="109">
        <v>1</v>
      </c>
      <c r="B9" s="110" t="s">
        <v>56</v>
      </c>
      <c r="C9" s="110"/>
      <c r="D9" s="110"/>
      <c r="E9" s="111" t="s">
        <v>163</v>
      </c>
      <c r="F9" s="116">
        <v>44574</v>
      </c>
      <c r="G9" s="110" t="s">
        <v>164</v>
      </c>
      <c r="H9" s="117">
        <v>3849.15</v>
      </c>
      <c r="I9" s="118">
        <f>IF(X9 = 1, H9 + SUM(S9:S9) - SUM(T9:T9) - SUM(P9:P9) - V9,0)</f>
        <v>0</v>
      </c>
      <c r="J9" s="110" t="s">
        <v>165</v>
      </c>
      <c r="K9" s="110" t="s">
        <v>166</v>
      </c>
      <c r="L9" s="110"/>
      <c r="M9" s="110" t="s">
        <v>167</v>
      </c>
      <c r="N9" s="116">
        <v>44574</v>
      </c>
      <c r="O9" s="116" t="s">
        <v>159</v>
      </c>
      <c r="P9" s="117">
        <v>3849.15</v>
      </c>
      <c r="Q9" s="111">
        <v>44589</v>
      </c>
      <c r="R9" s="110"/>
      <c r="S9" s="117"/>
      <c r="T9" s="117"/>
      <c r="U9" s="117"/>
      <c r="V9" s="120"/>
      <c r="W9" s="115"/>
      <c r="X9" s="107">
        <v>1</v>
      </c>
    </row>
    <row r="10" spans="1:24" s="107" customFormat="1" ht="93.75" x14ac:dyDescent="0.25">
      <c r="A10" s="122">
        <v>2</v>
      </c>
      <c r="B10" s="123" t="s">
        <v>56</v>
      </c>
      <c r="C10" s="123"/>
      <c r="D10" s="123"/>
      <c r="E10" s="124" t="s">
        <v>192</v>
      </c>
      <c r="F10" s="130">
        <v>44607</v>
      </c>
      <c r="G10" s="123" t="s">
        <v>194</v>
      </c>
      <c r="H10" s="125">
        <v>9972</v>
      </c>
      <c r="I10" s="126">
        <f>IF(X10 = 2, H10 + SUM(S10:S10) - SUM(T10:T10) - SUM(P10:P10) - V10,0)</f>
        <v>0</v>
      </c>
      <c r="J10" s="123" t="s">
        <v>193</v>
      </c>
      <c r="K10" s="123" t="s">
        <v>360</v>
      </c>
      <c r="L10" s="123"/>
      <c r="M10" s="123" t="s">
        <v>316</v>
      </c>
      <c r="N10" s="130">
        <v>44607</v>
      </c>
      <c r="O10" s="130" t="s">
        <v>159</v>
      </c>
      <c r="P10" s="125">
        <v>9972</v>
      </c>
      <c r="Q10" s="124">
        <v>44614</v>
      </c>
      <c r="R10" s="123"/>
      <c r="S10" s="125"/>
      <c r="T10" s="125"/>
      <c r="U10" s="125"/>
      <c r="V10" s="131"/>
      <c r="W10" s="119"/>
      <c r="X10" s="107">
        <v>2</v>
      </c>
    </row>
    <row r="11" spans="1:24" s="107" customFormat="1" ht="93.75" x14ac:dyDescent="0.25">
      <c r="A11" s="122">
        <v>3</v>
      </c>
      <c r="B11" s="123" t="s">
        <v>56</v>
      </c>
      <c r="C11" s="123"/>
      <c r="D11" s="123"/>
      <c r="E11" s="124" t="s">
        <v>195</v>
      </c>
      <c r="F11" s="130">
        <v>44620</v>
      </c>
      <c r="G11" s="123" t="s">
        <v>196</v>
      </c>
      <c r="H11" s="125">
        <v>2300</v>
      </c>
      <c r="I11" s="126">
        <f>IF(X11 = 3, H11 + SUM(S11:S11) - SUM(T11:T11) - SUM(P11:P11) - V11,0)</f>
        <v>0</v>
      </c>
      <c r="J11" s="123" t="s">
        <v>197</v>
      </c>
      <c r="K11" s="123" t="s">
        <v>198</v>
      </c>
      <c r="L11" s="123"/>
      <c r="M11" s="123" t="s">
        <v>199</v>
      </c>
      <c r="N11" s="130">
        <v>44620</v>
      </c>
      <c r="O11" s="130" t="s">
        <v>159</v>
      </c>
      <c r="P11" s="125">
        <v>2300</v>
      </c>
      <c r="Q11" s="124">
        <v>44622</v>
      </c>
      <c r="R11" s="123"/>
      <c r="S11" s="125"/>
      <c r="T11" s="125"/>
      <c r="U11" s="125"/>
      <c r="V11" s="131"/>
      <c r="W11" s="119"/>
      <c r="X11" s="107">
        <v>3</v>
      </c>
    </row>
    <row r="12" spans="1:24" s="107" customFormat="1" ht="72" customHeight="1" x14ac:dyDescent="0.25">
      <c r="A12" s="637">
        <v>4</v>
      </c>
      <c r="B12" s="615" t="s">
        <v>56</v>
      </c>
      <c r="C12" s="615"/>
      <c r="D12" s="615" t="s">
        <v>417</v>
      </c>
      <c r="E12" s="618" t="s">
        <v>206</v>
      </c>
      <c r="F12" s="621">
        <v>44581</v>
      </c>
      <c r="G12" s="615" t="s">
        <v>207</v>
      </c>
      <c r="H12" s="624">
        <v>40488</v>
      </c>
      <c r="I12" s="627">
        <f>IF(X12 = 5, H12 + SUM(S12:S21) - SUM(T12:T21) - SUM(P12:P21) - V12,0)</f>
        <v>0</v>
      </c>
      <c r="J12" s="615" t="s">
        <v>208</v>
      </c>
      <c r="K12" s="615" t="s">
        <v>204</v>
      </c>
      <c r="L12" s="615"/>
      <c r="M12" s="615" t="s">
        <v>209</v>
      </c>
      <c r="N12" s="264">
        <v>44592</v>
      </c>
      <c r="O12" s="621" t="s">
        <v>159</v>
      </c>
      <c r="P12" s="258">
        <v>4992</v>
      </c>
      <c r="Q12" s="259">
        <v>44608</v>
      </c>
      <c r="R12" s="260"/>
      <c r="S12" s="258"/>
      <c r="T12" s="258"/>
      <c r="U12" s="624" t="s">
        <v>418</v>
      </c>
      <c r="V12" s="610">
        <v>1832</v>
      </c>
      <c r="W12" s="607"/>
      <c r="X12" s="107">
        <v>5</v>
      </c>
    </row>
    <row r="13" spans="1:24" s="106" customFormat="1" x14ac:dyDescent="0.25">
      <c r="A13" s="638"/>
      <c r="B13" s="616"/>
      <c r="C13" s="616"/>
      <c r="D13" s="616"/>
      <c r="E13" s="619"/>
      <c r="F13" s="622"/>
      <c r="G13" s="616"/>
      <c r="H13" s="625"/>
      <c r="I13" s="628"/>
      <c r="J13" s="616"/>
      <c r="K13" s="616"/>
      <c r="L13" s="616"/>
      <c r="M13" s="616"/>
      <c r="N13" s="269">
        <v>44592</v>
      </c>
      <c r="O13" s="622"/>
      <c r="P13" s="266">
        <v>2480</v>
      </c>
      <c r="Q13" s="267">
        <v>44608</v>
      </c>
      <c r="R13" s="268"/>
      <c r="S13" s="266"/>
      <c r="T13" s="266"/>
      <c r="U13" s="625"/>
      <c r="V13" s="611"/>
      <c r="W13" s="608"/>
      <c r="X13" s="106">
        <v>5</v>
      </c>
    </row>
    <row r="14" spans="1:24" s="133" customFormat="1" x14ac:dyDescent="0.25">
      <c r="A14" s="638"/>
      <c r="B14" s="616"/>
      <c r="C14" s="616"/>
      <c r="D14" s="616"/>
      <c r="E14" s="619"/>
      <c r="F14" s="622"/>
      <c r="G14" s="616"/>
      <c r="H14" s="625"/>
      <c r="I14" s="628"/>
      <c r="J14" s="616"/>
      <c r="K14" s="616"/>
      <c r="L14" s="616"/>
      <c r="M14" s="616"/>
      <c r="N14" s="269">
        <v>44620</v>
      </c>
      <c r="O14" s="622"/>
      <c r="P14" s="266">
        <v>2540</v>
      </c>
      <c r="Q14" s="267">
        <v>44631</v>
      </c>
      <c r="R14" s="268"/>
      <c r="S14" s="266"/>
      <c r="T14" s="266"/>
      <c r="U14" s="625"/>
      <c r="V14" s="611"/>
      <c r="W14" s="608"/>
      <c r="X14" s="133">
        <v>5</v>
      </c>
    </row>
    <row r="15" spans="1:24" s="133" customFormat="1" x14ac:dyDescent="0.25">
      <c r="A15" s="638"/>
      <c r="B15" s="616"/>
      <c r="C15" s="616"/>
      <c r="D15" s="616"/>
      <c r="E15" s="619"/>
      <c r="F15" s="622"/>
      <c r="G15" s="616"/>
      <c r="H15" s="625"/>
      <c r="I15" s="628"/>
      <c r="J15" s="616"/>
      <c r="K15" s="616"/>
      <c r="L15" s="616"/>
      <c r="M15" s="616"/>
      <c r="N15" s="269">
        <v>44620</v>
      </c>
      <c r="O15" s="622"/>
      <c r="P15" s="266">
        <v>6030</v>
      </c>
      <c r="Q15" s="267">
        <v>44631</v>
      </c>
      <c r="R15" s="268"/>
      <c r="S15" s="266"/>
      <c r="T15" s="266"/>
      <c r="U15" s="625"/>
      <c r="V15" s="611"/>
      <c r="W15" s="608"/>
      <c r="X15" s="133">
        <v>5</v>
      </c>
    </row>
    <row r="16" spans="1:24" s="176" customFormat="1" x14ac:dyDescent="0.25">
      <c r="A16" s="638"/>
      <c r="B16" s="616"/>
      <c r="C16" s="616"/>
      <c r="D16" s="616"/>
      <c r="E16" s="619"/>
      <c r="F16" s="622"/>
      <c r="G16" s="616"/>
      <c r="H16" s="625"/>
      <c r="I16" s="628"/>
      <c r="J16" s="616"/>
      <c r="K16" s="616"/>
      <c r="L16" s="616"/>
      <c r="M16" s="616"/>
      <c r="N16" s="269">
        <v>44651</v>
      </c>
      <c r="O16" s="622"/>
      <c r="P16" s="266">
        <v>5970</v>
      </c>
      <c r="Q16" s="267" t="s">
        <v>254</v>
      </c>
      <c r="R16" s="268"/>
      <c r="S16" s="266"/>
      <c r="T16" s="266"/>
      <c r="U16" s="625"/>
      <c r="V16" s="611"/>
      <c r="W16" s="608"/>
      <c r="X16" s="176">
        <v>5</v>
      </c>
    </row>
    <row r="17" spans="1:24" s="176" customFormat="1" x14ac:dyDescent="0.25">
      <c r="A17" s="638"/>
      <c r="B17" s="616"/>
      <c r="C17" s="616"/>
      <c r="D17" s="616"/>
      <c r="E17" s="619"/>
      <c r="F17" s="622"/>
      <c r="G17" s="616"/>
      <c r="H17" s="625"/>
      <c r="I17" s="628"/>
      <c r="J17" s="616"/>
      <c r="K17" s="616"/>
      <c r="L17" s="616"/>
      <c r="M17" s="616"/>
      <c r="N17" s="269">
        <v>44651</v>
      </c>
      <c r="O17" s="622"/>
      <c r="P17" s="266">
        <v>2690</v>
      </c>
      <c r="Q17" s="267" t="s">
        <v>254</v>
      </c>
      <c r="R17" s="268"/>
      <c r="S17" s="266"/>
      <c r="T17" s="266"/>
      <c r="U17" s="625"/>
      <c r="V17" s="611"/>
      <c r="W17" s="608"/>
      <c r="X17" s="176">
        <v>5</v>
      </c>
    </row>
    <row r="18" spans="1:24" s="176" customFormat="1" x14ac:dyDescent="0.25">
      <c r="A18" s="638"/>
      <c r="B18" s="616"/>
      <c r="C18" s="616"/>
      <c r="D18" s="616"/>
      <c r="E18" s="619"/>
      <c r="F18" s="622"/>
      <c r="G18" s="616"/>
      <c r="H18" s="625"/>
      <c r="I18" s="628"/>
      <c r="J18" s="616"/>
      <c r="K18" s="616"/>
      <c r="L18" s="616"/>
      <c r="M18" s="616"/>
      <c r="N18" s="269">
        <v>44680</v>
      </c>
      <c r="O18" s="622"/>
      <c r="P18" s="266">
        <v>6504</v>
      </c>
      <c r="Q18" s="267" t="s">
        <v>243</v>
      </c>
      <c r="R18" s="268"/>
      <c r="S18" s="266"/>
      <c r="T18" s="266"/>
      <c r="U18" s="625"/>
      <c r="V18" s="611"/>
      <c r="W18" s="608"/>
      <c r="X18" s="176">
        <v>5</v>
      </c>
    </row>
    <row r="19" spans="1:24" s="176" customFormat="1" x14ac:dyDescent="0.25">
      <c r="A19" s="638"/>
      <c r="B19" s="616"/>
      <c r="C19" s="616"/>
      <c r="D19" s="616"/>
      <c r="E19" s="619"/>
      <c r="F19" s="622"/>
      <c r="G19" s="616"/>
      <c r="H19" s="625"/>
      <c r="I19" s="628"/>
      <c r="J19" s="616"/>
      <c r="K19" s="616"/>
      <c r="L19" s="616"/>
      <c r="M19" s="616"/>
      <c r="N19" s="269">
        <v>44680</v>
      </c>
      <c r="O19" s="622"/>
      <c r="P19" s="266">
        <v>2860</v>
      </c>
      <c r="Q19" s="267" t="s">
        <v>243</v>
      </c>
      <c r="R19" s="268"/>
      <c r="S19" s="266"/>
      <c r="T19" s="266"/>
      <c r="U19" s="625"/>
      <c r="V19" s="611"/>
      <c r="W19" s="608"/>
      <c r="X19" s="176">
        <v>5</v>
      </c>
    </row>
    <row r="20" spans="1:24" s="251" customFormat="1" x14ac:dyDescent="0.25">
      <c r="A20" s="638"/>
      <c r="B20" s="616"/>
      <c r="C20" s="616"/>
      <c r="D20" s="616"/>
      <c r="E20" s="619"/>
      <c r="F20" s="622"/>
      <c r="G20" s="616"/>
      <c r="H20" s="625"/>
      <c r="I20" s="628"/>
      <c r="J20" s="616"/>
      <c r="K20" s="616"/>
      <c r="L20" s="616"/>
      <c r="M20" s="616"/>
      <c r="N20" s="269">
        <v>44701</v>
      </c>
      <c r="O20" s="622"/>
      <c r="P20" s="266">
        <v>3180</v>
      </c>
      <c r="Q20" s="267" t="s">
        <v>381</v>
      </c>
      <c r="R20" s="268"/>
      <c r="S20" s="266"/>
      <c r="T20" s="266"/>
      <c r="U20" s="625"/>
      <c r="V20" s="611"/>
      <c r="W20" s="608"/>
      <c r="X20" s="251">
        <v>5</v>
      </c>
    </row>
    <row r="21" spans="1:24" s="251" customFormat="1" x14ac:dyDescent="0.25">
      <c r="A21" s="639"/>
      <c r="B21" s="617"/>
      <c r="C21" s="617"/>
      <c r="D21" s="617"/>
      <c r="E21" s="620"/>
      <c r="F21" s="623"/>
      <c r="G21" s="617"/>
      <c r="H21" s="626"/>
      <c r="I21" s="629"/>
      <c r="J21" s="617"/>
      <c r="K21" s="617"/>
      <c r="L21" s="617"/>
      <c r="M21" s="617"/>
      <c r="N21" s="265">
        <v>44701</v>
      </c>
      <c r="O21" s="623"/>
      <c r="P21" s="261">
        <v>1410</v>
      </c>
      <c r="Q21" s="262" t="s">
        <v>381</v>
      </c>
      <c r="R21" s="263"/>
      <c r="S21" s="261"/>
      <c r="T21" s="261"/>
      <c r="U21" s="626"/>
      <c r="V21" s="612"/>
      <c r="W21" s="609"/>
      <c r="X21" s="251">
        <v>5</v>
      </c>
    </row>
    <row r="22" spans="1:24" s="107" customFormat="1" ht="93.75" x14ac:dyDescent="0.25">
      <c r="A22" s="134">
        <v>5</v>
      </c>
      <c r="B22" s="135" t="s">
        <v>56</v>
      </c>
      <c r="C22" s="135"/>
      <c r="D22" s="135"/>
      <c r="E22" s="136" t="s">
        <v>355</v>
      </c>
      <c r="F22" s="140">
        <v>44621</v>
      </c>
      <c r="G22" s="135" t="s">
        <v>216</v>
      </c>
      <c r="H22" s="137">
        <v>1500</v>
      </c>
      <c r="I22" s="138">
        <f>IF(X22 = 6, H22 + SUM(S22:S22) - SUM(T22:T22) - SUM(P22:P22) - V22,0)</f>
        <v>0</v>
      </c>
      <c r="J22" s="135" t="s">
        <v>217</v>
      </c>
      <c r="K22" s="135" t="s">
        <v>218</v>
      </c>
      <c r="L22" s="135"/>
      <c r="M22" s="135" t="s">
        <v>317</v>
      </c>
      <c r="N22" s="140">
        <v>44621</v>
      </c>
      <c r="O22" s="140" t="s">
        <v>159</v>
      </c>
      <c r="P22" s="137">
        <v>1500</v>
      </c>
      <c r="Q22" s="136">
        <v>44645</v>
      </c>
      <c r="R22" s="135"/>
      <c r="S22" s="137"/>
      <c r="T22" s="137"/>
      <c r="U22" s="137"/>
      <c r="V22" s="139"/>
      <c r="W22" s="132"/>
      <c r="X22" s="107">
        <v>6</v>
      </c>
    </row>
    <row r="23" spans="1:24" s="107" customFormat="1" ht="72" customHeight="1" x14ac:dyDescent="0.25">
      <c r="A23" s="640">
        <v>6</v>
      </c>
      <c r="B23" s="604" t="s">
        <v>56</v>
      </c>
      <c r="C23" s="604"/>
      <c r="D23" s="604"/>
      <c r="E23" s="630" t="s">
        <v>361</v>
      </c>
      <c r="F23" s="575">
        <v>44581</v>
      </c>
      <c r="G23" s="604" t="s">
        <v>225</v>
      </c>
      <c r="H23" s="577">
        <v>7200</v>
      </c>
      <c r="I23" s="656">
        <f>IF(X23 = 7, H23 + SUM(S23:S24) - SUM(T23:T24) - SUM(P23:P24) - V23,0)</f>
        <v>3600</v>
      </c>
      <c r="J23" s="604" t="s">
        <v>226</v>
      </c>
      <c r="K23" s="604" t="s">
        <v>227</v>
      </c>
      <c r="L23" s="604"/>
      <c r="M23" s="604" t="s">
        <v>228</v>
      </c>
      <c r="N23" s="346">
        <v>44651</v>
      </c>
      <c r="O23" s="575" t="s">
        <v>159</v>
      </c>
      <c r="P23" s="340">
        <v>1800</v>
      </c>
      <c r="Q23" s="341">
        <v>44651</v>
      </c>
      <c r="R23" s="342"/>
      <c r="S23" s="340"/>
      <c r="T23" s="340"/>
      <c r="U23" s="577"/>
      <c r="V23" s="613"/>
      <c r="W23" s="601"/>
      <c r="X23" s="107">
        <v>7</v>
      </c>
    </row>
    <row r="24" spans="1:24" s="338" customFormat="1" x14ac:dyDescent="0.25">
      <c r="A24" s="641"/>
      <c r="B24" s="606"/>
      <c r="C24" s="606"/>
      <c r="D24" s="606"/>
      <c r="E24" s="631"/>
      <c r="F24" s="576"/>
      <c r="G24" s="606"/>
      <c r="H24" s="578"/>
      <c r="I24" s="657"/>
      <c r="J24" s="606"/>
      <c r="K24" s="606"/>
      <c r="L24" s="606"/>
      <c r="M24" s="606"/>
      <c r="N24" s="347">
        <v>44742</v>
      </c>
      <c r="O24" s="576"/>
      <c r="P24" s="343">
        <v>1800</v>
      </c>
      <c r="Q24" s="344" t="s">
        <v>441</v>
      </c>
      <c r="R24" s="345"/>
      <c r="S24" s="343"/>
      <c r="T24" s="343"/>
      <c r="U24" s="578"/>
      <c r="V24" s="614"/>
      <c r="W24" s="603"/>
      <c r="X24" s="338">
        <v>7</v>
      </c>
    </row>
    <row r="25" spans="1:24" s="107" customFormat="1" ht="72" customHeight="1" x14ac:dyDescent="0.25">
      <c r="A25" s="637">
        <v>7</v>
      </c>
      <c r="B25" s="615" t="s">
        <v>56</v>
      </c>
      <c r="C25" s="615"/>
      <c r="D25" s="615"/>
      <c r="E25" s="618" t="s">
        <v>229</v>
      </c>
      <c r="F25" s="621">
        <v>44581</v>
      </c>
      <c r="G25" s="615" t="s">
        <v>230</v>
      </c>
      <c r="H25" s="624">
        <v>69291.600000000006</v>
      </c>
      <c r="I25" s="627">
        <f>IF(X25 = 8, H25 + SUM(S25:S34) - SUM(T25:T34) - SUM(P25:P34) - V25,0)</f>
        <v>9.0949470177292824E-12</v>
      </c>
      <c r="J25" s="615" t="s">
        <v>208</v>
      </c>
      <c r="K25" s="615" t="s">
        <v>204</v>
      </c>
      <c r="L25" s="615"/>
      <c r="M25" s="615" t="s">
        <v>209</v>
      </c>
      <c r="N25" s="264">
        <v>44592</v>
      </c>
      <c r="O25" s="621" t="s">
        <v>159</v>
      </c>
      <c r="P25" s="258">
        <v>6562.64</v>
      </c>
      <c r="Q25" s="259">
        <v>44625</v>
      </c>
      <c r="R25" s="260"/>
      <c r="S25" s="258"/>
      <c r="T25" s="258"/>
      <c r="U25" s="624" t="s">
        <v>418</v>
      </c>
      <c r="V25" s="610">
        <v>7921.4</v>
      </c>
      <c r="W25" s="607"/>
      <c r="X25" s="107">
        <v>8</v>
      </c>
    </row>
    <row r="26" spans="1:24" s="121" customFormat="1" x14ac:dyDescent="0.25">
      <c r="A26" s="638"/>
      <c r="B26" s="616"/>
      <c r="C26" s="616"/>
      <c r="D26" s="616"/>
      <c r="E26" s="619"/>
      <c r="F26" s="622"/>
      <c r="G26" s="616"/>
      <c r="H26" s="625"/>
      <c r="I26" s="628"/>
      <c r="J26" s="616"/>
      <c r="K26" s="616"/>
      <c r="L26" s="616"/>
      <c r="M26" s="616"/>
      <c r="N26" s="269">
        <v>44592</v>
      </c>
      <c r="O26" s="622"/>
      <c r="P26" s="266">
        <v>5369.56</v>
      </c>
      <c r="Q26" s="267">
        <v>44625</v>
      </c>
      <c r="R26" s="268"/>
      <c r="S26" s="266"/>
      <c r="T26" s="266"/>
      <c r="U26" s="625"/>
      <c r="V26" s="611"/>
      <c r="W26" s="608"/>
      <c r="X26" s="121">
        <v>8</v>
      </c>
    </row>
    <row r="27" spans="1:24" s="121" customFormat="1" x14ac:dyDescent="0.25">
      <c r="A27" s="638"/>
      <c r="B27" s="616"/>
      <c r="C27" s="616"/>
      <c r="D27" s="616"/>
      <c r="E27" s="619"/>
      <c r="F27" s="622"/>
      <c r="G27" s="616"/>
      <c r="H27" s="625"/>
      <c r="I27" s="628"/>
      <c r="J27" s="616"/>
      <c r="K27" s="616"/>
      <c r="L27" s="616"/>
      <c r="M27" s="616"/>
      <c r="N27" s="269">
        <v>44620</v>
      </c>
      <c r="O27" s="622"/>
      <c r="P27" s="266">
        <v>7294.52</v>
      </c>
      <c r="Q27" s="267">
        <v>44631</v>
      </c>
      <c r="R27" s="268"/>
      <c r="S27" s="266"/>
      <c r="T27" s="266"/>
      <c r="U27" s="625"/>
      <c r="V27" s="611"/>
      <c r="W27" s="608"/>
      <c r="X27" s="121">
        <v>8</v>
      </c>
    </row>
    <row r="28" spans="1:24" s="133" customFormat="1" x14ac:dyDescent="0.25">
      <c r="A28" s="638"/>
      <c r="B28" s="616"/>
      <c r="C28" s="616"/>
      <c r="D28" s="616"/>
      <c r="E28" s="619"/>
      <c r="F28" s="622"/>
      <c r="G28" s="616"/>
      <c r="H28" s="625"/>
      <c r="I28" s="628"/>
      <c r="J28" s="616"/>
      <c r="K28" s="616"/>
      <c r="L28" s="616"/>
      <c r="M28" s="616"/>
      <c r="N28" s="269">
        <v>44620</v>
      </c>
      <c r="O28" s="622"/>
      <c r="P28" s="266">
        <v>5968.38</v>
      </c>
      <c r="Q28" s="267">
        <v>44631</v>
      </c>
      <c r="R28" s="268"/>
      <c r="S28" s="266"/>
      <c r="T28" s="266"/>
      <c r="U28" s="625"/>
      <c r="V28" s="611"/>
      <c r="W28" s="608"/>
      <c r="X28" s="133">
        <v>8</v>
      </c>
    </row>
    <row r="29" spans="1:24" s="176" customFormat="1" x14ac:dyDescent="0.25">
      <c r="A29" s="638"/>
      <c r="B29" s="616"/>
      <c r="C29" s="616"/>
      <c r="D29" s="616"/>
      <c r="E29" s="619"/>
      <c r="F29" s="622"/>
      <c r="G29" s="616"/>
      <c r="H29" s="625"/>
      <c r="I29" s="628"/>
      <c r="J29" s="616"/>
      <c r="K29" s="616"/>
      <c r="L29" s="616"/>
      <c r="M29" s="616"/>
      <c r="N29" s="269">
        <v>44651</v>
      </c>
      <c r="O29" s="622"/>
      <c r="P29" s="266">
        <v>5598.71</v>
      </c>
      <c r="Q29" s="267" t="s">
        <v>255</v>
      </c>
      <c r="R29" s="268"/>
      <c r="S29" s="266"/>
      <c r="T29" s="266"/>
      <c r="U29" s="625"/>
      <c r="V29" s="611"/>
      <c r="W29" s="608"/>
      <c r="X29" s="176">
        <v>8</v>
      </c>
    </row>
    <row r="30" spans="1:24" s="176" customFormat="1" x14ac:dyDescent="0.25">
      <c r="A30" s="638"/>
      <c r="B30" s="616"/>
      <c r="C30" s="616"/>
      <c r="D30" s="616"/>
      <c r="E30" s="619"/>
      <c r="F30" s="622"/>
      <c r="G30" s="616"/>
      <c r="H30" s="625"/>
      <c r="I30" s="628"/>
      <c r="J30" s="616"/>
      <c r="K30" s="616"/>
      <c r="L30" s="616"/>
      <c r="M30" s="616"/>
      <c r="N30" s="269">
        <v>44651</v>
      </c>
      <c r="O30" s="622"/>
      <c r="P30" s="266">
        <v>6842.69</v>
      </c>
      <c r="Q30" s="267" t="s">
        <v>255</v>
      </c>
      <c r="R30" s="268"/>
      <c r="S30" s="266"/>
      <c r="T30" s="266"/>
      <c r="U30" s="625"/>
      <c r="V30" s="611"/>
      <c r="W30" s="608"/>
      <c r="X30" s="176">
        <v>8</v>
      </c>
    </row>
    <row r="31" spans="1:24" s="176" customFormat="1" x14ac:dyDescent="0.25">
      <c r="A31" s="638"/>
      <c r="B31" s="616"/>
      <c r="C31" s="616"/>
      <c r="D31" s="616"/>
      <c r="E31" s="619"/>
      <c r="F31" s="622"/>
      <c r="G31" s="616"/>
      <c r="H31" s="625"/>
      <c r="I31" s="628"/>
      <c r="J31" s="616"/>
      <c r="K31" s="616"/>
      <c r="L31" s="616"/>
      <c r="M31" s="616"/>
      <c r="N31" s="269">
        <v>44680</v>
      </c>
      <c r="O31" s="622"/>
      <c r="P31" s="266">
        <v>8690.1200000000008</v>
      </c>
      <c r="Q31" s="267" t="s">
        <v>243</v>
      </c>
      <c r="R31" s="268"/>
      <c r="S31" s="266"/>
      <c r="T31" s="266"/>
      <c r="U31" s="625"/>
      <c r="V31" s="611"/>
      <c r="W31" s="608"/>
      <c r="X31" s="176">
        <v>8</v>
      </c>
    </row>
    <row r="32" spans="1:24" s="176" customFormat="1" x14ac:dyDescent="0.25">
      <c r="A32" s="638"/>
      <c r="B32" s="616"/>
      <c r="C32" s="616"/>
      <c r="D32" s="616"/>
      <c r="E32" s="619"/>
      <c r="F32" s="622"/>
      <c r="G32" s="616"/>
      <c r="H32" s="625"/>
      <c r="I32" s="628"/>
      <c r="J32" s="616"/>
      <c r="K32" s="616"/>
      <c r="L32" s="616"/>
      <c r="M32" s="616"/>
      <c r="N32" s="269">
        <v>44680</v>
      </c>
      <c r="O32" s="622"/>
      <c r="P32" s="266">
        <v>7110.28</v>
      </c>
      <c r="Q32" s="267" t="s">
        <v>243</v>
      </c>
      <c r="R32" s="268"/>
      <c r="S32" s="266"/>
      <c r="T32" s="266"/>
      <c r="U32" s="625"/>
      <c r="V32" s="611"/>
      <c r="W32" s="608"/>
      <c r="X32" s="176">
        <v>8</v>
      </c>
    </row>
    <row r="33" spans="1:24" s="251" customFormat="1" x14ac:dyDescent="0.25">
      <c r="A33" s="638"/>
      <c r="B33" s="616"/>
      <c r="C33" s="616"/>
      <c r="D33" s="616"/>
      <c r="E33" s="619"/>
      <c r="F33" s="622"/>
      <c r="G33" s="616"/>
      <c r="H33" s="625"/>
      <c r="I33" s="628"/>
      <c r="J33" s="616"/>
      <c r="K33" s="616"/>
      <c r="L33" s="616"/>
      <c r="M33" s="616"/>
      <c r="N33" s="269">
        <v>44701</v>
      </c>
      <c r="O33" s="622"/>
      <c r="P33" s="266">
        <v>4363.2700000000004</v>
      </c>
      <c r="Q33" s="267" t="s">
        <v>381</v>
      </c>
      <c r="R33" s="268"/>
      <c r="S33" s="266"/>
      <c r="T33" s="266"/>
      <c r="U33" s="625"/>
      <c r="V33" s="611"/>
      <c r="W33" s="608"/>
      <c r="X33" s="251">
        <v>8</v>
      </c>
    </row>
    <row r="34" spans="1:24" s="251" customFormat="1" x14ac:dyDescent="0.25">
      <c r="A34" s="639"/>
      <c r="B34" s="617"/>
      <c r="C34" s="617"/>
      <c r="D34" s="617"/>
      <c r="E34" s="620"/>
      <c r="F34" s="623"/>
      <c r="G34" s="617"/>
      <c r="H34" s="626"/>
      <c r="I34" s="629"/>
      <c r="J34" s="617"/>
      <c r="K34" s="617"/>
      <c r="L34" s="617"/>
      <c r="M34" s="617"/>
      <c r="N34" s="265">
        <v>44701</v>
      </c>
      <c r="O34" s="623"/>
      <c r="P34" s="261">
        <v>3570.03</v>
      </c>
      <c r="Q34" s="262" t="s">
        <v>381</v>
      </c>
      <c r="R34" s="263"/>
      <c r="S34" s="261"/>
      <c r="T34" s="261"/>
      <c r="U34" s="626"/>
      <c r="V34" s="612"/>
      <c r="W34" s="609"/>
      <c r="X34" s="251">
        <v>8</v>
      </c>
    </row>
    <row r="35" spans="1:24" s="107" customFormat="1" ht="87.6" customHeight="1" x14ac:dyDescent="0.25">
      <c r="A35" s="308">
        <v>8</v>
      </c>
      <c r="B35" s="299" t="s">
        <v>56</v>
      </c>
      <c r="C35" s="299"/>
      <c r="D35" s="299"/>
      <c r="E35" s="301" t="s">
        <v>256</v>
      </c>
      <c r="F35" s="303">
        <v>44629</v>
      </c>
      <c r="G35" s="299" t="s">
        <v>257</v>
      </c>
      <c r="H35" s="304">
        <v>3265.6</v>
      </c>
      <c r="I35" s="306">
        <f>IF(X35 = 10, H35 + SUM(S35:S35) - SUM(T35:T35) - SUM(P35:P35) - V35,0)</f>
        <v>0</v>
      </c>
      <c r="J35" s="299" t="s">
        <v>208</v>
      </c>
      <c r="K35" s="299" t="s">
        <v>259</v>
      </c>
      <c r="L35" s="299"/>
      <c r="M35" s="299" t="s">
        <v>405</v>
      </c>
      <c r="N35" s="296">
        <v>44638</v>
      </c>
      <c r="O35" s="303" t="s">
        <v>258</v>
      </c>
      <c r="P35" s="293">
        <v>125.6</v>
      </c>
      <c r="Q35" s="294" t="s">
        <v>260</v>
      </c>
      <c r="R35" s="295"/>
      <c r="S35" s="293"/>
      <c r="T35" s="293"/>
      <c r="U35" s="304" t="s">
        <v>419</v>
      </c>
      <c r="V35" s="310">
        <v>3140</v>
      </c>
      <c r="W35" s="297"/>
      <c r="X35" s="107">
        <v>10</v>
      </c>
    </row>
    <row r="36" spans="1:24" s="107" customFormat="1" ht="56.25" x14ac:dyDescent="0.25">
      <c r="A36" s="183">
        <v>9</v>
      </c>
      <c r="B36" s="184" t="s">
        <v>56</v>
      </c>
      <c r="C36" s="184"/>
      <c r="D36" s="184"/>
      <c r="E36" s="185" t="s">
        <v>274</v>
      </c>
      <c r="F36" s="219">
        <v>44608</v>
      </c>
      <c r="G36" s="184" t="s">
        <v>275</v>
      </c>
      <c r="H36" s="186">
        <v>22598.7</v>
      </c>
      <c r="I36" s="187">
        <f>IF(X36 = 11, H36 + SUM(S36:S36) - SUM(T36:T36) - SUM(P36:P36) - V36,0)</f>
        <v>0</v>
      </c>
      <c r="J36" s="184" t="s">
        <v>276</v>
      </c>
      <c r="K36" s="184" t="s">
        <v>277</v>
      </c>
      <c r="L36" s="184"/>
      <c r="M36" s="184" t="s">
        <v>278</v>
      </c>
      <c r="N36" s="219">
        <v>44635</v>
      </c>
      <c r="O36" s="219" t="s">
        <v>280</v>
      </c>
      <c r="P36" s="186">
        <v>22598.7</v>
      </c>
      <c r="Q36" s="185" t="s">
        <v>279</v>
      </c>
      <c r="R36" s="184"/>
      <c r="S36" s="186"/>
      <c r="T36" s="186"/>
      <c r="U36" s="186"/>
      <c r="V36" s="218"/>
      <c r="W36" s="194"/>
      <c r="X36" s="107">
        <v>11</v>
      </c>
    </row>
    <row r="37" spans="1:24" s="107" customFormat="1" ht="72" customHeight="1" x14ac:dyDescent="0.25">
      <c r="A37" s="640">
        <v>10</v>
      </c>
      <c r="B37" s="604" t="s">
        <v>56</v>
      </c>
      <c r="C37" s="604"/>
      <c r="D37" s="604"/>
      <c r="E37" s="630" t="s">
        <v>285</v>
      </c>
      <c r="F37" s="575">
        <v>44662</v>
      </c>
      <c r="G37" s="604" t="s">
        <v>286</v>
      </c>
      <c r="H37" s="577">
        <v>114706.35</v>
      </c>
      <c r="I37" s="656">
        <f>IF(X37 = 12, H37 + SUM(S37:S39) - SUM(T37:T39) - SUM(P37:P39) - V37,0)</f>
        <v>0</v>
      </c>
      <c r="J37" s="604" t="s">
        <v>287</v>
      </c>
      <c r="K37" s="604" t="s">
        <v>288</v>
      </c>
      <c r="L37" s="604"/>
      <c r="M37" s="604" t="s">
        <v>289</v>
      </c>
      <c r="N37" s="346">
        <v>44667</v>
      </c>
      <c r="O37" s="575" t="s">
        <v>290</v>
      </c>
      <c r="P37" s="340">
        <v>36611.300000000003</v>
      </c>
      <c r="Q37" s="341" t="s">
        <v>291</v>
      </c>
      <c r="R37" s="342"/>
      <c r="S37" s="340"/>
      <c r="T37" s="340"/>
      <c r="U37" s="577"/>
      <c r="V37" s="613"/>
      <c r="W37" s="601"/>
      <c r="X37" s="107">
        <v>12</v>
      </c>
    </row>
    <row r="38" spans="1:24" s="338" customFormat="1" x14ac:dyDescent="0.25">
      <c r="A38" s="668"/>
      <c r="B38" s="605"/>
      <c r="C38" s="605"/>
      <c r="D38" s="605"/>
      <c r="E38" s="667"/>
      <c r="F38" s="659"/>
      <c r="G38" s="605"/>
      <c r="H38" s="642"/>
      <c r="I38" s="669"/>
      <c r="J38" s="605"/>
      <c r="K38" s="605"/>
      <c r="L38" s="605"/>
      <c r="M38" s="605"/>
      <c r="N38" s="348">
        <v>44724</v>
      </c>
      <c r="O38" s="659"/>
      <c r="P38" s="349">
        <v>46541</v>
      </c>
      <c r="Q38" s="350" t="s">
        <v>441</v>
      </c>
      <c r="R38" s="351"/>
      <c r="S38" s="349"/>
      <c r="T38" s="349"/>
      <c r="U38" s="642"/>
      <c r="V38" s="643"/>
      <c r="W38" s="602"/>
      <c r="X38" s="338">
        <v>12</v>
      </c>
    </row>
    <row r="39" spans="1:24" s="338" customFormat="1" x14ac:dyDescent="0.25">
      <c r="A39" s="641"/>
      <c r="B39" s="606"/>
      <c r="C39" s="606"/>
      <c r="D39" s="606"/>
      <c r="E39" s="631"/>
      <c r="F39" s="576"/>
      <c r="G39" s="606"/>
      <c r="H39" s="578"/>
      <c r="I39" s="657"/>
      <c r="J39" s="606"/>
      <c r="K39" s="606"/>
      <c r="L39" s="606"/>
      <c r="M39" s="606"/>
      <c r="N39" s="347">
        <v>44751</v>
      </c>
      <c r="O39" s="576"/>
      <c r="P39" s="343">
        <v>31554.05</v>
      </c>
      <c r="Q39" s="344" t="s">
        <v>442</v>
      </c>
      <c r="R39" s="345"/>
      <c r="S39" s="343"/>
      <c r="T39" s="343"/>
      <c r="U39" s="578"/>
      <c r="V39" s="614"/>
      <c r="W39" s="603"/>
      <c r="X39" s="338">
        <v>12</v>
      </c>
    </row>
    <row r="40" spans="1:24" s="107" customFormat="1" ht="75" x14ac:dyDescent="0.25">
      <c r="A40" s="183">
        <v>11</v>
      </c>
      <c r="B40" s="184" t="s">
        <v>56</v>
      </c>
      <c r="C40" s="184"/>
      <c r="D40" s="184"/>
      <c r="E40" s="185" t="s">
        <v>292</v>
      </c>
      <c r="F40" s="219">
        <v>44650</v>
      </c>
      <c r="G40" s="184" t="s">
        <v>293</v>
      </c>
      <c r="H40" s="186">
        <v>9515</v>
      </c>
      <c r="I40" s="187">
        <f>IF(X40 = 13, H40 + SUM(S40:S40) - SUM(T40:T40) - SUM(P40:P40) - V40,0)</f>
        <v>0</v>
      </c>
      <c r="J40" s="184" t="s">
        <v>294</v>
      </c>
      <c r="K40" s="184" t="s">
        <v>295</v>
      </c>
      <c r="L40" s="184"/>
      <c r="M40" s="184" t="s">
        <v>296</v>
      </c>
      <c r="N40" s="219" t="s">
        <v>297</v>
      </c>
      <c r="O40" s="219" t="s">
        <v>290</v>
      </c>
      <c r="P40" s="186">
        <v>9515</v>
      </c>
      <c r="Q40" s="185" t="s">
        <v>291</v>
      </c>
      <c r="R40" s="184"/>
      <c r="S40" s="186"/>
      <c r="T40" s="186"/>
      <c r="U40" s="186"/>
      <c r="V40" s="218"/>
      <c r="W40" s="194"/>
      <c r="X40" s="107">
        <v>13</v>
      </c>
    </row>
    <row r="41" spans="1:24" s="107" customFormat="1" ht="72" customHeight="1" x14ac:dyDescent="0.25">
      <c r="A41" s="579">
        <v>12</v>
      </c>
      <c r="B41" s="585" t="s">
        <v>56</v>
      </c>
      <c r="C41" s="585"/>
      <c r="D41" s="585"/>
      <c r="E41" s="591" t="s">
        <v>57</v>
      </c>
      <c r="F41" s="581">
        <v>44650</v>
      </c>
      <c r="G41" s="585" t="s">
        <v>298</v>
      </c>
      <c r="H41" s="583">
        <v>54000</v>
      </c>
      <c r="I41" s="593">
        <f>IF(X41 = 14, H41 + SUM(S41:S46) - SUM(T41:T46) - SUM(P41:P46) - V41,0)</f>
        <v>18000</v>
      </c>
      <c r="J41" s="585" t="s">
        <v>299</v>
      </c>
      <c r="K41" s="585" t="s">
        <v>300</v>
      </c>
      <c r="L41" s="585"/>
      <c r="M41" s="585" t="s">
        <v>301</v>
      </c>
      <c r="N41" s="520">
        <v>44681</v>
      </c>
      <c r="O41" s="581" t="s">
        <v>159</v>
      </c>
      <c r="P41" s="511">
        <v>6000</v>
      </c>
      <c r="Q41" s="512" t="s">
        <v>248</v>
      </c>
      <c r="R41" s="513"/>
      <c r="S41" s="511"/>
      <c r="T41" s="511"/>
      <c r="U41" s="583"/>
      <c r="V41" s="587"/>
      <c r="W41" s="589"/>
      <c r="X41" s="107">
        <v>14</v>
      </c>
    </row>
    <row r="42" spans="1:24" s="251" customFormat="1" x14ac:dyDescent="0.25">
      <c r="A42" s="666"/>
      <c r="B42" s="654"/>
      <c r="C42" s="654"/>
      <c r="D42" s="654"/>
      <c r="E42" s="658"/>
      <c r="F42" s="650"/>
      <c r="G42" s="654"/>
      <c r="H42" s="651"/>
      <c r="I42" s="655"/>
      <c r="J42" s="654"/>
      <c r="K42" s="654"/>
      <c r="L42" s="654"/>
      <c r="M42" s="654"/>
      <c r="N42" s="521">
        <v>44712</v>
      </c>
      <c r="O42" s="650"/>
      <c r="P42" s="514">
        <v>6000</v>
      </c>
      <c r="Q42" s="515" t="s">
        <v>387</v>
      </c>
      <c r="R42" s="516"/>
      <c r="S42" s="514"/>
      <c r="T42" s="514"/>
      <c r="U42" s="651"/>
      <c r="V42" s="652"/>
      <c r="W42" s="653"/>
      <c r="X42" s="251">
        <v>14</v>
      </c>
    </row>
    <row r="43" spans="1:24" s="338" customFormat="1" x14ac:dyDescent="0.25">
      <c r="A43" s="666"/>
      <c r="B43" s="654"/>
      <c r="C43" s="654"/>
      <c r="D43" s="654"/>
      <c r="E43" s="658"/>
      <c r="F43" s="650"/>
      <c r="G43" s="654"/>
      <c r="H43" s="651"/>
      <c r="I43" s="655"/>
      <c r="J43" s="654"/>
      <c r="K43" s="654"/>
      <c r="L43" s="654"/>
      <c r="M43" s="654"/>
      <c r="N43" s="521">
        <v>44742</v>
      </c>
      <c r="O43" s="650"/>
      <c r="P43" s="514">
        <v>6000</v>
      </c>
      <c r="Q43" s="515" t="s">
        <v>443</v>
      </c>
      <c r="R43" s="516"/>
      <c r="S43" s="514"/>
      <c r="T43" s="514"/>
      <c r="U43" s="651"/>
      <c r="V43" s="652"/>
      <c r="W43" s="653"/>
      <c r="X43" s="338">
        <v>14</v>
      </c>
    </row>
    <row r="44" spans="1:24" s="386" customFormat="1" x14ac:dyDescent="0.25">
      <c r="A44" s="666"/>
      <c r="B44" s="654"/>
      <c r="C44" s="654"/>
      <c r="D44" s="654"/>
      <c r="E44" s="658"/>
      <c r="F44" s="650"/>
      <c r="G44" s="654"/>
      <c r="H44" s="651"/>
      <c r="I44" s="655"/>
      <c r="J44" s="654"/>
      <c r="K44" s="654"/>
      <c r="L44" s="654"/>
      <c r="M44" s="654"/>
      <c r="N44" s="521">
        <v>44773</v>
      </c>
      <c r="O44" s="650"/>
      <c r="P44" s="514">
        <v>6000</v>
      </c>
      <c r="Q44" s="515" t="s">
        <v>488</v>
      </c>
      <c r="R44" s="516"/>
      <c r="S44" s="514"/>
      <c r="T44" s="514"/>
      <c r="U44" s="651"/>
      <c r="V44" s="652"/>
      <c r="W44" s="653"/>
      <c r="X44" s="386">
        <v>14</v>
      </c>
    </row>
    <row r="45" spans="1:24" s="428" customFormat="1" x14ac:dyDescent="0.25">
      <c r="A45" s="666"/>
      <c r="B45" s="654"/>
      <c r="C45" s="654"/>
      <c r="D45" s="654"/>
      <c r="E45" s="658"/>
      <c r="F45" s="650"/>
      <c r="G45" s="654"/>
      <c r="H45" s="651"/>
      <c r="I45" s="655"/>
      <c r="J45" s="654"/>
      <c r="K45" s="654"/>
      <c r="L45" s="654"/>
      <c r="M45" s="654"/>
      <c r="N45" s="521">
        <v>44824</v>
      </c>
      <c r="O45" s="650"/>
      <c r="P45" s="514">
        <v>6000</v>
      </c>
      <c r="Q45" s="515" t="s">
        <v>530</v>
      </c>
      <c r="R45" s="516"/>
      <c r="S45" s="514"/>
      <c r="T45" s="514"/>
      <c r="U45" s="651"/>
      <c r="V45" s="652"/>
      <c r="W45" s="653"/>
      <c r="X45" s="428">
        <v>14</v>
      </c>
    </row>
    <row r="46" spans="1:24" s="502" customFormat="1" x14ac:dyDescent="0.25">
      <c r="A46" s="580"/>
      <c r="B46" s="586"/>
      <c r="C46" s="586"/>
      <c r="D46" s="586"/>
      <c r="E46" s="592"/>
      <c r="F46" s="582"/>
      <c r="G46" s="586"/>
      <c r="H46" s="584"/>
      <c r="I46" s="594"/>
      <c r="J46" s="586"/>
      <c r="K46" s="586"/>
      <c r="L46" s="586"/>
      <c r="M46" s="586"/>
      <c r="N46" s="522">
        <v>44834</v>
      </c>
      <c r="O46" s="582"/>
      <c r="P46" s="517">
        <v>6000</v>
      </c>
      <c r="Q46" s="518" t="s">
        <v>578</v>
      </c>
      <c r="R46" s="519"/>
      <c r="S46" s="517"/>
      <c r="T46" s="517"/>
      <c r="U46" s="584"/>
      <c r="V46" s="588"/>
      <c r="W46" s="590"/>
      <c r="X46" s="502">
        <v>14</v>
      </c>
    </row>
    <row r="47" spans="1:24" s="107" customFormat="1" ht="75" x14ac:dyDescent="0.25">
      <c r="A47" s="183">
        <v>13</v>
      </c>
      <c r="B47" s="184" t="s">
        <v>56</v>
      </c>
      <c r="C47" s="184"/>
      <c r="D47" s="184"/>
      <c r="E47" s="185" t="s">
        <v>302</v>
      </c>
      <c r="F47" s="219">
        <v>44651</v>
      </c>
      <c r="G47" s="184" t="s">
        <v>303</v>
      </c>
      <c r="H47" s="186">
        <v>8112</v>
      </c>
      <c r="I47" s="187">
        <f>IF(X47 = 15, H47 + SUM(S47:S47) - SUM(T47:T47) - SUM(P47:P47) - V47,0)</f>
        <v>0</v>
      </c>
      <c r="J47" s="184" t="s">
        <v>304</v>
      </c>
      <c r="K47" s="184" t="s">
        <v>305</v>
      </c>
      <c r="L47" s="184"/>
      <c r="M47" s="184" t="s">
        <v>306</v>
      </c>
      <c r="N47" s="219">
        <v>44655</v>
      </c>
      <c r="O47" s="219" t="s">
        <v>308</v>
      </c>
      <c r="P47" s="186">
        <v>8112</v>
      </c>
      <c r="Q47" s="185" t="s">
        <v>307</v>
      </c>
      <c r="R47" s="184"/>
      <c r="S47" s="186"/>
      <c r="T47" s="186"/>
      <c r="U47" s="186"/>
      <c r="V47" s="218"/>
      <c r="W47" s="194"/>
      <c r="X47" s="107">
        <v>15</v>
      </c>
    </row>
    <row r="48" spans="1:24" s="107" customFormat="1" ht="75" x14ac:dyDescent="0.25">
      <c r="A48" s="230">
        <v>14</v>
      </c>
      <c r="B48" s="231" t="s">
        <v>56</v>
      </c>
      <c r="C48" s="231"/>
      <c r="D48" s="231"/>
      <c r="E48" s="232" t="s">
        <v>325</v>
      </c>
      <c r="F48" s="250">
        <v>44721</v>
      </c>
      <c r="G48" s="231" t="s">
        <v>59</v>
      </c>
      <c r="H48" s="233">
        <v>5400</v>
      </c>
      <c r="I48" s="234">
        <f>IF(X48 = 16, H48 + SUM(S48:S48) - SUM(T48:T48) - SUM(P48:P48) - V48,0)</f>
        <v>0</v>
      </c>
      <c r="J48" s="231" t="s">
        <v>326</v>
      </c>
      <c r="K48" s="231" t="s">
        <v>327</v>
      </c>
      <c r="L48" s="231"/>
      <c r="M48" s="231" t="s">
        <v>328</v>
      </c>
      <c r="N48" s="250">
        <v>44721</v>
      </c>
      <c r="O48" s="250" t="s">
        <v>290</v>
      </c>
      <c r="P48" s="233">
        <v>5400</v>
      </c>
      <c r="Q48" s="232" t="s">
        <v>385</v>
      </c>
      <c r="R48" s="231"/>
      <c r="S48" s="233"/>
      <c r="T48" s="233"/>
      <c r="U48" s="233"/>
      <c r="V48" s="249"/>
      <c r="W48" s="239"/>
      <c r="X48" s="107">
        <v>16</v>
      </c>
    </row>
    <row r="49" spans="1:24" s="107" customFormat="1" ht="93.75" x14ac:dyDescent="0.25">
      <c r="A49" s="230">
        <v>15</v>
      </c>
      <c r="B49" s="231" t="s">
        <v>56</v>
      </c>
      <c r="C49" s="231"/>
      <c r="D49" s="231"/>
      <c r="E49" s="232" t="s">
        <v>329</v>
      </c>
      <c r="F49" s="250">
        <v>44721</v>
      </c>
      <c r="G49" s="231" t="s">
        <v>330</v>
      </c>
      <c r="H49" s="233">
        <v>16100</v>
      </c>
      <c r="I49" s="234">
        <f>IF(X49 = 17, H49 + SUM(S49:S49) - SUM(T49:T49) - SUM(P49:P49) - V49,0)</f>
        <v>0</v>
      </c>
      <c r="J49" s="231" t="s">
        <v>326</v>
      </c>
      <c r="K49" s="231" t="s">
        <v>327</v>
      </c>
      <c r="L49" s="231"/>
      <c r="M49" s="231" t="s">
        <v>328</v>
      </c>
      <c r="N49" s="250">
        <v>44721</v>
      </c>
      <c r="O49" s="250" t="s">
        <v>331</v>
      </c>
      <c r="P49" s="233">
        <v>16100</v>
      </c>
      <c r="Q49" s="232" t="s">
        <v>385</v>
      </c>
      <c r="R49" s="231"/>
      <c r="S49" s="233"/>
      <c r="T49" s="233"/>
      <c r="U49" s="233"/>
      <c r="V49" s="249"/>
      <c r="W49" s="239"/>
      <c r="X49" s="107">
        <v>17</v>
      </c>
    </row>
    <row r="50" spans="1:24" s="107" customFormat="1" ht="75" x14ac:dyDescent="0.25">
      <c r="A50" s="230">
        <v>16</v>
      </c>
      <c r="B50" s="231" t="s">
        <v>56</v>
      </c>
      <c r="C50" s="231"/>
      <c r="D50" s="231"/>
      <c r="E50" s="232" t="s">
        <v>332</v>
      </c>
      <c r="F50" s="250">
        <v>44718</v>
      </c>
      <c r="G50" s="231" t="s">
        <v>286</v>
      </c>
      <c r="H50" s="233">
        <v>15575</v>
      </c>
      <c r="I50" s="234">
        <f>IF(X50 = 18, H50 + SUM(S50:S50) - SUM(T50:T50) - SUM(P50:P50) - V50,0)</f>
        <v>0</v>
      </c>
      <c r="J50" s="231" t="s">
        <v>333</v>
      </c>
      <c r="K50" s="231" t="s">
        <v>334</v>
      </c>
      <c r="L50" s="231"/>
      <c r="M50" s="231" t="s">
        <v>336</v>
      </c>
      <c r="N50" s="250">
        <v>44718</v>
      </c>
      <c r="O50" s="250" t="s">
        <v>335</v>
      </c>
      <c r="P50" s="233">
        <v>15575</v>
      </c>
      <c r="Q50" s="232" t="s">
        <v>386</v>
      </c>
      <c r="R50" s="231"/>
      <c r="S50" s="233"/>
      <c r="T50" s="233"/>
      <c r="U50" s="233"/>
      <c r="V50" s="249"/>
      <c r="W50" s="239"/>
      <c r="X50" s="107">
        <v>18</v>
      </c>
    </row>
    <row r="51" spans="1:24" s="107" customFormat="1" ht="75" x14ac:dyDescent="0.25">
      <c r="A51" s="230">
        <v>17</v>
      </c>
      <c r="B51" s="231" t="s">
        <v>56</v>
      </c>
      <c r="C51" s="231"/>
      <c r="D51" s="231"/>
      <c r="E51" s="232" t="s">
        <v>342</v>
      </c>
      <c r="F51" s="250">
        <v>44708</v>
      </c>
      <c r="G51" s="231" t="s">
        <v>337</v>
      </c>
      <c r="H51" s="233">
        <v>6596</v>
      </c>
      <c r="I51" s="234">
        <f>IF(X51 = 19, H51 + SUM(S51:S51) - SUM(T51:T51) - SUM(P51:P51) - V51,0)</f>
        <v>0</v>
      </c>
      <c r="J51" s="231" t="s">
        <v>338</v>
      </c>
      <c r="K51" s="231" t="s">
        <v>339</v>
      </c>
      <c r="L51" s="231"/>
      <c r="M51" s="231" t="s">
        <v>341</v>
      </c>
      <c r="N51" s="250">
        <v>44708</v>
      </c>
      <c r="O51" s="250" t="s">
        <v>340</v>
      </c>
      <c r="P51" s="233">
        <v>6596</v>
      </c>
      <c r="Q51" s="232" t="s">
        <v>381</v>
      </c>
      <c r="R51" s="231"/>
      <c r="S51" s="233"/>
      <c r="T51" s="233"/>
      <c r="U51" s="233"/>
      <c r="V51" s="249"/>
      <c r="W51" s="239"/>
      <c r="X51" s="107">
        <v>19</v>
      </c>
    </row>
    <row r="52" spans="1:24" s="107" customFormat="1" ht="93.75" x14ac:dyDescent="0.25">
      <c r="A52" s="230">
        <v>18</v>
      </c>
      <c r="B52" s="231" t="s">
        <v>56</v>
      </c>
      <c r="C52" s="231"/>
      <c r="D52" s="231"/>
      <c r="E52" s="232" t="s">
        <v>343</v>
      </c>
      <c r="F52" s="250">
        <v>44706</v>
      </c>
      <c r="G52" s="231" t="s">
        <v>344</v>
      </c>
      <c r="H52" s="233">
        <v>4000</v>
      </c>
      <c r="I52" s="234">
        <f>IF(X52 = 20, H52 + SUM(S52:S52) - SUM(T52:T52) - SUM(P52:P52) - V52,0)</f>
        <v>0</v>
      </c>
      <c r="J52" s="231" t="s">
        <v>345</v>
      </c>
      <c r="K52" s="231" t="s">
        <v>346</v>
      </c>
      <c r="L52" s="231"/>
      <c r="M52" s="231" t="s">
        <v>348</v>
      </c>
      <c r="N52" s="250">
        <v>44707</v>
      </c>
      <c r="O52" s="250" t="s">
        <v>347</v>
      </c>
      <c r="P52" s="233">
        <v>4000</v>
      </c>
      <c r="Q52" s="232" t="s">
        <v>323</v>
      </c>
      <c r="R52" s="231"/>
      <c r="S52" s="233"/>
      <c r="T52" s="233"/>
      <c r="U52" s="233"/>
      <c r="V52" s="249"/>
      <c r="W52" s="239"/>
      <c r="X52" s="107">
        <v>20</v>
      </c>
    </row>
    <row r="53" spans="1:24" s="107" customFormat="1" ht="93.75" x14ac:dyDescent="0.25">
      <c r="A53" s="230">
        <v>19</v>
      </c>
      <c r="B53" s="231" t="s">
        <v>56</v>
      </c>
      <c r="C53" s="231"/>
      <c r="D53" s="231"/>
      <c r="E53" s="232" t="s">
        <v>349</v>
      </c>
      <c r="F53" s="250">
        <v>44671</v>
      </c>
      <c r="G53" s="231" t="s">
        <v>352</v>
      </c>
      <c r="H53" s="233">
        <v>39283</v>
      </c>
      <c r="I53" s="234">
        <f>IF(X53 = 21, H53 + SUM(S53:S53) - SUM(T53:T53) - SUM(P53:P53) - V53,0)</f>
        <v>0</v>
      </c>
      <c r="J53" s="231" t="s">
        <v>351</v>
      </c>
      <c r="K53" s="231" t="s">
        <v>350</v>
      </c>
      <c r="L53" s="231"/>
      <c r="M53" s="231" t="s">
        <v>353</v>
      </c>
      <c r="N53" s="250">
        <v>44706</v>
      </c>
      <c r="O53" s="250" t="s">
        <v>347</v>
      </c>
      <c r="P53" s="233">
        <v>39283</v>
      </c>
      <c r="Q53" s="232" t="s">
        <v>382</v>
      </c>
      <c r="R53" s="231"/>
      <c r="S53" s="233"/>
      <c r="T53" s="233"/>
      <c r="U53" s="233"/>
      <c r="V53" s="249"/>
      <c r="W53" s="239"/>
      <c r="X53" s="107">
        <v>21</v>
      </c>
    </row>
    <row r="54" spans="1:24" s="107" customFormat="1" ht="93.75" x14ac:dyDescent="0.25">
      <c r="A54" s="230">
        <v>20</v>
      </c>
      <c r="B54" s="231" t="s">
        <v>56</v>
      </c>
      <c r="C54" s="231"/>
      <c r="D54" s="231"/>
      <c r="E54" s="232" t="s">
        <v>354</v>
      </c>
      <c r="F54" s="250">
        <v>44671</v>
      </c>
      <c r="G54" s="231" t="s">
        <v>352</v>
      </c>
      <c r="H54" s="233">
        <v>8718</v>
      </c>
      <c r="I54" s="234">
        <f>IF(X54 = 22, H54 + SUM(S54:S54) - SUM(T54:T54) - SUM(P54:P54) - V54,0)</f>
        <v>0</v>
      </c>
      <c r="J54" s="231" t="s">
        <v>351</v>
      </c>
      <c r="K54" s="231" t="s">
        <v>350</v>
      </c>
      <c r="L54" s="231"/>
      <c r="M54" s="231" t="s">
        <v>353</v>
      </c>
      <c r="N54" s="250">
        <v>44706</v>
      </c>
      <c r="O54" s="250" t="s">
        <v>347</v>
      </c>
      <c r="P54" s="233">
        <v>8718</v>
      </c>
      <c r="Q54" s="232" t="s">
        <v>382</v>
      </c>
      <c r="R54" s="231"/>
      <c r="S54" s="233"/>
      <c r="T54" s="233"/>
      <c r="U54" s="233"/>
      <c r="V54" s="249"/>
      <c r="W54" s="239"/>
      <c r="X54" s="107">
        <v>22</v>
      </c>
    </row>
    <row r="55" spans="1:24" s="107" customFormat="1" ht="75" x14ac:dyDescent="0.25">
      <c r="A55" s="230">
        <v>21</v>
      </c>
      <c r="B55" s="231" t="s">
        <v>56</v>
      </c>
      <c r="C55" s="231"/>
      <c r="D55" s="231"/>
      <c r="E55" s="232" t="s">
        <v>356</v>
      </c>
      <c r="F55" s="250">
        <v>44711</v>
      </c>
      <c r="G55" s="231" t="s">
        <v>357</v>
      </c>
      <c r="H55" s="233">
        <v>2500</v>
      </c>
      <c r="I55" s="234">
        <f>IF(X55 = 23, H55 + SUM(S55:S55) - SUM(T55:T55) - SUM(P55:P55) - V55,0)</f>
        <v>0</v>
      </c>
      <c r="J55" s="231" t="s">
        <v>197</v>
      </c>
      <c r="K55" s="231" t="s">
        <v>198</v>
      </c>
      <c r="L55" s="231"/>
      <c r="M55" s="231" t="s">
        <v>358</v>
      </c>
      <c r="N55" s="250">
        <v>44711</v>
      </c>
      <c r="O55" s="250" t="s">
        <v>359</v>
      </c>
      <c r="P55" s="233">
        <v>2500</v>
      </c>
      <c r="Q55" s="232" t="s">
        <v>323</v>
      </c>
      <c r="R55" s="231"/>
      <c r="S55" s="233"/>
      <c r="T55" s="233"/>
      <c r="U55" s="233"/>
      <c r="V55" s="249"/>
      <c r="W55" s="239"/>
      <c r="X55" s="107">
        <v>23</v>
      </c>
    </row>
    <row r="56" spans="1:24" s="107" customFormat="1" ht="75" x14ac:dyDescent="0.25">
      <c r="A56" s="253">
        <v>22</v>
      </c>
      <c r="B56" s="254" t="s">
        <v>56</v>
      </c>
      <c r="C56" s="254"/>
      <c r="D56" s="254"/>
      <c r="E56" s="255" t="s">
        <v>396</v>
      </c>
      <c r="F56" s="271" t="s">
        <v>397</v>
      </c>
      <c r="G56" s="254" t="s">
        <v>398</v>
      </c>
      <c r="H56" s="256">
        <v>18302.55</v>
      </c>
      <c r="I56" s="257">
        <f>IF(X56 = 24, H56 + SUM(S56:S56) - SUM(T56:T56) - SUM(P56:P56) - V56,0)</f>
        <v>0</v>
      </c>
      <c r="J56" s="254" t="s">
        <v>165</v>
      </c>
      <c r="K56" s="254" t="s">
        <v>166</v>
      </c>
      <c r="L56" s="254"/>
      <c r="M56" s="254" t="s">
        <v>399</v>
      </c>
      <c r="N56" s="271">
        <v>44719</v>
      </c>
      <c r="O56" s="271" t="s">
        <v>400</v>
      </c>
      <c r="P56" s="256">
        <v>18302.55</v>
      </c>
      <c r="Q56" s="255" t="s">
        <v>387</v>
      </c>
      <c r="R56" s="254"/>
      <c r="S56" s="256"/>
      <c r="T56" s="256"/>
      <c r="U56" s="256"/>
      <c r="V56" s="270"/>
      <c r="W56" s="252"/>
      <c r="X56" s="107">
        <v>24</v>
      </c>
    </row>
    <row r="57" spans="1:24" s="107" customFormat="1" ht="36" customHeight="1" x14ac:dyDescent="0.25">
      <c r="A57" s="288">
        <v>23</v>
      </c>
      <c r="B57" s="287" t="s">
        <v>56</v>
      </c>
      <c r="C57" s="287"/>
      <c r="D57" s="287"/>
      <c r="E57" s="289" t="s">
        <v>406</v>
      </c>
      <c r="F57" s="290" t="s">
        <v>407</v>
      </c>
      <c r="G57" s="287" t="s">
        <v>415</v>
      </c>
      <c r="H57" s="291">
        <v>1654.9</v>
      </c>
      <c r="I57" s="292">
        <f>IF(X57 = 25, H57 + SUM(S57:S57) - SUM(T57:T57) - SUM(P57:P57) - V57,0)</f>
        <v>0</v>
      </c>
      <c r="J57" s="287" t="s">
        <v>208</v>
      </c>
      <c r="K57" s="287" t="s">
        <v>266</v>
      </c>
      <c r="L57" s="287"/>
      <c r="M57" s="287" t="s">
        <v>408</v>
      </c>
      <c r="N57" s="273">
        <v>44680</v>
      </c>
      <c r="O57" s="290" t="s">
        <v>409</v>
      </c>
      <c r="P57" s="274">
        <v>1654.9</v>
      </c>
      <c r="Q57" s="275" t="s">
        <v>381</v>
      </c>
      <c r="R57" s="276"/>
      <c r="S57" s="274"/>
      <c r="T57" s="274"/>
      <c r="U57" s="291"/>
      <c r="V57" s="285"/>
      <c r="W57" s="286"/>
      <c r="X57" s="107">
        <v>25</v>
      </c>
    </row>
    <row r="58" spans="1:24" s="107" customFormat="1" ht="36" customHeight="1" x14ac:dyDescent="0.25">
      <c r="A58" s="660">
        <v>24</v>
      </c>
      <c r="B58" s="646" t="s">
        <v>56</v>
      </c>
      <c r="C58" s="646"/>
      <c r="D58" s="646"/>
      <c r="E58" s="662" t="s">
        <v>406</v>
      </c>
      <c r="F58" s="595" t="s">
        <v>407</v>
      </c>
      <c r="G58" s="646" t="s">
        <v>257</v>
      </c>
      <c r="H58" s="597">
        <v>1642.3</v>
      </c>
      <c r="I58" s="648">
        <f>IF(X58 = 26, H58 + SUM(S58:S59) - SUM(T58:T59) - SUM(P58:P59) - V58,0)</f>
        <v>0</v>
      </c>
      <c r="J58" s="646" t="s">
        <v>208</v>
      </c>
      <c r="K58" s="646" t="s">
        <v>266</v>
      </c>
      <c r="L58" s="646"/>
      <c r="M58" s="646" t="s">
        <v>410</v>
      </c>
      <c r="N58" s="281">
        <v>44701</v>
      </c>
      <c r="O58" s="595" t="s">
        <v>409</v>
      </c>
      <c r="P58" s="282">
        <v>1400.3</v>
      </c>
      <c r="Q58" s="283" t="s">
        <v>381</v>
      </c>
      <c r="R58" s="284"/>
      <c r="S58" s="282"/>
      <c r="T58" s="282"/>
      <c r="U58" s="597"/>
      <c r="V58" s="599"/>
      <c r="W58" s="644"/>
      <c r="X58" s="107">
        <v>26</v>
      </c>
    </row>
    <row r="59" spans="1:24" s="272" customFormat="1" x14ac:dyDescent="0.25">
      <c r="A59" s="661"/>
      <c r="B59" s="647"/>
      <c r="C59" s="647"/>
      <c r="D59" s="647"/>
      <c r="E59" s="663"/>
      <c r="F59" s="596"/>
      <c r="G59" s="647"/>
      <c r="H59" s="598"/>
      <c r="I59" s="649"/>
      <c r="J59" s="647"/>
      <c r="K59" s="647"/>
      <c r="L59" s="647"/>
      <c r="M59" s="647"/>
      <c r="N59" s="277">
        <v>44701</v>
      </c>
      <c r="O59" s="596"/>
      <c r="P59" s="278">
        <v>242</v>
      </c>
      <c r="Q59" s="279" t="s">
        <v>381</v>
      </c>
      <c r="R59" s="280"/>
      <c r="S59" s="278"/>
      <c r="T59" s="278"/>
      <c r="U59" s="598"/>
      <c r="V59" s="600"/>
      <c r="W59" s="645"/>
      <c r="X59" s="272">
        <v>26</v>
      </c>
    </row>
    <row r="60" spans="1:24" s="107" customFormat="1" ht="56.25" x14ac:dyDescent="0.25">
      <c r="A60" s="309">
        <v>25</v>
      </c>
      <c r="B60" s="300" t="s">
        <v>56</v>
      </c>
      <c r="C60" s="300"/>
      <c r="D60" s="300"/>
      <c r="E60" s="302" t="s">
        <v>406</v>
      </c>
      <c r="F60" s="312" t="s">
        <v>412</v>
      </c>
      <c r="G60" s="300" t="s">
        <v>413</v>
      </c>
      <c r="H60" s="305">
        <v>286</v>
      </c>
      <c r="I60" s="307">
        <f>IF(X60 = 27, H60 + SUM(S60:S60) - SUM(T60:T60) - SUM(P60:P60) - V60,0)</f>
        <v>0</v>
      </c>
      <c r="J60" s="300" t="s">
        <v>208</v>
      </c>
      <c r="K60" s="300" t="s">
        <v>266</v>
      </c>
      <c r="L60" s="300"/>
      <c r="M60" s="300" t="s">
        <v>408</v>
      </c>
      <c r="N60" s="312">
        <v>44680</v>
      </c>
      <c r="O60" s="312" t="s">
        <v>409</v>
      </c>
      <c r="P60" s="305">
        <v>286</v>
      </c>
      <c r="Q60" s="302" t="s">
        <v>414</v>
      </c>
      <c r="R60" s="300"/>
      <c r="S60" s="305"/>
      <c r="T60" s="305"/>
      <c r="U60" s="305"/>
      <c r="V60" s="311"/>
      <c r="W60" s="298"/>
      <c r="X60" s="107">
        <v>27</v>
      </c>
    </row>
    <row r="61" spans="1:24" s="107" customFormat="1" ht="75" x14ac:dyDescent="0.25">
      <c r="A61" s="323">
        <v>26</v>
      </c>
      <c r="B61" s="324" t="s">
        <v>56</v>
      </c>
      <c r="C61" s="324"/>
      <c r="D61" s="324"/>
      <c r="E61" s="325" t="s">
        <v>427</v>
      </c>
      <c r="F61" s="337" t="s">
        <v>428</v>
      </c>
      <c r="G61" s="324" t="s">
        <v>429</v>
      </c>
      <c r="H61" s="326">
        <v>66888</v>
      </c>
      <c r="I61" s="327">
        <f>IF(X61 = 28, H61 + SUM(S61:S61) - SUM(T61:T61) - SUM(P61:P61) - V61,0)</f>
        <v>0</v>
      </c>
      <c r="J61" s="324" t="s">
        <v>351</v>
      </c>
      <c r="K61" s="324" t="s">
        <v>350</v>
      </c>
      <c r="L61" s="324"/>
      <c r="M61" s="324" t="s">
        <v>430</v>
      </c>
      <c r="N61" s="337">
        <v>44761</v>
      </c>
      <c r="O61" s="337" t="s">
        <v>431</v>
      </c>
      <c r="P61" s="326">
        <v>66888</v>
      </c>
      <c r="Q61" s="325" t="s">
        <v>449</v>
      </c>
      <c r="R61" s="324"/>
      <c r="S61" s="326"/>
      <c r="T61" s="326"/>
      <c r="U61" s="326"/>
      <c r="V61" s="336"/>
      <c r="W61" s="331"/>
      <c r="X61" s="107">
        <v>28</v>
      </c>
    </row>
    <row r="62" spans="1:24" s="107" customFormat="1" ht="75" x14ac:dyDescent="0.25">
      <c r="A62" s="323">
        <v>27</v>
      </c>
      <c r="B62" s="324" t="s">
        <v>56</v>
      </c>
      <c r="C62" s="324"/>
      <c r="D62" s="324"/>
      <c r="E62" s="325" t="s">
        <v>432</v>
      </c>
      <c r="F62" s="337" t="s">
        <v>428</v>
      </c>
      <c r="G62" s="324" t="s">
        <v>429</v>
      </c>
      <c r="H62" s="326">
        <v>2447</v>
      </c>
      <c r="I62" s="327">
        <f>IF(X62 = 29, H62 + SUM(S62:S62) - SUM(T62:T62) - SUM(P62:P62) - V62,0)</f>
        <v>0</v>
      </c>
      <c r="J62" s="324" t="s">
        <v>351</v>
      </c>
      <c r="K62" s="324" t="s">
        <v>350</v>
      </c>
      <c r="L62" s="324"/>
      <c r="M62" s="324" t="s">
        <v>430</v>
      </c>
      <c r="N62" s="337">
        <v>44761</v>
      </c>
      <c r="O62" s="337" t="s">
        <v>431</v>
      </c>
      <c r="P62" s="326">
        <v>2274</v>
      </c>
      <c r="Q62" s="325" t="s">
        <v>449</v>
      </c>
      <c r="R62" s="324" t="s">
        <v>435</v>
      </c>
      <c r="S62" s="326"/>
      <c r="T62" s="326">
        <v>173</v>
      </c>
      <c r="U62" s="326"/>
      <c r="V62" s="336"/>
      <c r="W62" s="331"/>
      <c r="X62" s="107">
        <v>29</v>
      </c>
    </row>
    <row r="63" spans="1:24" s="107" customFormat="1" ht="75" x14ac:dyDescent="0.25">
      <c r="A63" s="352">
        <v>28</v>
      </c>
      <c r="B63" s="353" t="s">
        <v>56</v>
      </c>
      <c r="C63" s="353"/>
      <c r="D63" s="353"/>
      <c r="E63" s="354" t="s">
        <v>213</v>
      </c>
      <c r="F63" s="365" t="s">
        <v>451</v>
      </c>
      <c r="G63" s="353" t="s">
        <v>452</v>
      </c>
      <c r="H63" s="355">
        <v>25000</v>
      </c>
      <c r="I63" s="356">
        <f>IF(X63 = 30, H63 + SUM(S63:S63) - SUM(T63:T63) - SUM(P63:P63) - V63,0)</f>
        <v>0</v>
      </c>
      <c r="J63" s="353" t="s">
        <v>453</v>
      </c>
      <c r="K63" s="353" t="s">
        <v>454</v>
      </c>
      <c r="L63" s="353"/>
      <c r="M63" s="353" t="s">
        <v>455</v>
      </c>
      <c r="N63" s="365">
        <v>44782</v>
      </c>
      <c r="O63" s="365" t="s">
        <v>456</v>
      </c>
      <c r="P63" s="355">
        <v>25000</v>
      </c>
      <c r="Q63" s="354" t="s">
        <v>480</v>
      </c>
      <c r="R63" s="353"/>
      <c r="S63" s="355"/>
      <c r="T63" s="355"/>
      <c r="U63" s="355"/>
      <c r="V63" s="364"/>
      <c r="W63" s="357"/>
      <c r="X63" s="107">
        <v>30</v>
      </c>
    </row>
    <row r="64" spans="1:24" s="107" customFormat="1" ht="75" x14ac:dyDescent="0.25">
      <c r="A64" s="358">
        <v>29</v>
      </c>
      <c r="B64" s="360" t="s">
        <v>56</v>
      </c>
      <c r="C64" s="360"/>
      <c r="D64" s="360"/>
      <c r="E64" s="362" t="s">
        <v>457</v>
      </c>
      <c r="F64" s="375" t="s">
        <v>458</v>
      </c>
      <c r="G64" s="360" t="s">
        <v>459</v>
      </c>
      <c r="H64" s="359">
        <v>4000</v>
      </c>
      <c r="I64" s="363">
        <f>IF(X64 = 31, H64 + SUM(S64:S64) - SUM(T64:T64) - SUM(P64:P64) - V64,0)</f>
        <v>0</v>
      </c>
      <c r="J64" s="360" t="s">
        <v>217</v>
      </c>
      <c r="K64" s="360" t="s">
        <v>218</v>
      </c>
      <c r="L64" s="360"/>
      <c r="M64" s="360" t="s">
        <v>460</v>
      </c>
      <c r="N64" s="375">
        <v>44788</v>
      </c>
      <c r="O64" s="375" t="s">
        <v>461</v>
      </c>
      <c r="P64" s="359">
        <v>4000</v>
      </c>
      <c r="Q64" s="362" t="s">
        <v>489</v>
      </c>
      <c r="R64" s="360"/>
      <c r="S64" s="359"/>
      <c r="T64" s="359"/>
      <c r="U64" s="359"/>
      <c r="V64" s="364"/>
      <c r="W64" s="361"/>
      <c r="X64" s="107">
        <v>31</v>
      </c>
    </row>
    <row r="65" spans="1:24" s="107" customFormat="1" ht="72" customHeight="1" x14ac:dyDescent="0.25">
      <c r="A65" s="664">
        <v>30</v>
      </c>
      <c r="B65" s="672" t="s">
        <v>56</v>
      </c>
      <c r="C65" s="672"/>
      <c r="D65" s="672"/>
      <c r="E65" s="674" t="s">
        <v>471</v>
      </c>
      <c r="F65" s="676" t="s">
        <v>472</v>
      </c>
      <c r="G65" s="672" t="s">
        <v>473</v>
      </c>
      <c r="H65" s="678">
        <v>28400</v>
      </c>
      <c r="I65" s="680">
        <f>IF(X65 = 32, H65 + SUM(S65:S66) - SUM(T65:T66) - SUM(P65:P66) - V65,0)</f>
        <v>0</v>
      </c>
      <c r="J65" s="672" t="s">
        <v>226</v>
      </c>
      <c r="K65" s="672" t="s">
        <v>227</v>
      </c>
      <c r="L65" s="672"/>
      <c r="M65" s="672" t="s">
        <v>474</v>
      </c>
      <c r="N65" s="402">
        <v>44796</v>
      </c>
      <c r="O65" s="676" t="s">
        <v>475</v>
      </c>
      <c r="P65" s="396">
        <v>23000</v>
      </c>
      <c r="Q65" s="397" t="s">
        <v>491</v>
      </c>
      <c r="R65" s="398"/>
      <c r="S65" s="396"/>
      <c r="T65" s="396"/>
      <c r="U65" s="678"/>
      <c r="V65" s="682"/>
      <c r="W65" s="670"/>
      <c r="X65" s="107">
        <v>32</v>
      </c>
    </row>
    <row r="66" spans="1:24" s="386" customFormat="1" x14ac:dyDescent="0.25">
      <c r="A66" s="665"/>
      <c r="B66" s="673"/>
      <c r="C66" s="673"/>
      <c r="D66" s="673"/>
      <c r="E66" s="675"/>
      <c r="F66" s="677"/>
      <c r="G66" s="673"/>
      <c r="H66" s="679"/>
      <c r="I66" s="681"/>
      <c r="J66" s="673"/>
      <c r="K66" s="673"/>
      <c r="L66" s="673"/>
      <c r="M66" s="673"/>
      <c r="N66" s="403">
        <v>44796</v>
      </c>
      <c r="O66" s="677"/>
      <c r="P66" s="399">
        <v>5400</v>
      </c>
      <c r="Q66" s="400" t="s">
        <v>491</v>
      </c>
      <c r="R66" s="401"/>
      <c r="S66" s="399"/>
      <c r="T66" s="399"/>
      <c r="U66" s="679"/>
      <c r="V66" s="683"/>
      <c r="W66" s="671"/>
      <c r="X66" s="386">
        <v>32</v>
      </c>
    </row>
    <row r="67" spans="1:24" s="107" customFormat="1" ht="93.75" x14ac:dyDescent="0.25">
      <c r="A67" s="404">
        <v>31</v>
      </c>
      <c r="B67" s="405" t="s">
        <v>56</v>
      </c>
      <c r="C67" s="405"/>
      <c r="D67" s="405"/>
      <c r="E67" s="406" t="s">
        <v>374</v>
      </c>
      <c r="F67" s="415" t="s">
        <v>496</v>
      </c>
      <c r="G67" s="405" t="s">
        <v>498</v>
      </c>
      <c r="H67" s="407">
        <v>71174</v>
      </c>
      <c r="I67" s="408">
        <f>IF(X67 = 33, H67 + SUM(S67:S67) - SUM(T67:T67) - SUM(P67:P67) - V67,0)</f>
        <v>0</v>
      </c>
      <c r="J67" s="405" t="s">
        <v>503</v>
      </c>
      <c r="K67" s="405" t="s">
        <v>221</v>
      </c>
      <c r="L67" s="405"/>
      <c r="M67" s="405" t="s">
        <v>499</v>
      </c>
      <c r="N67" s="415">
        <v>44802</v>
      </c>
      <c r="O67" s="415" t="s">
        <v>347</v>
      </c>
      <c r="P67" s="407">
        <v>71174</v>
      </c>
      <c r="Q67" s="406" t="s">
        <v>526</v>
      </c>
      <c r="R67" s="405"/>
      <c r="S67" s="407"/>
      <c r="T67" s="407"/>
      <c r="U67" s="407"/>
      <c r="V67" s="416"/>
      <c r="W67" s="409"/>
      <c r="X67" s="107">
        <v>33</v>
      </c>
    </row>
    <row r="68" spans="1:24" s="107" customFormat="1" ht="93.75" x14ac:dyDescent="0.25">
      <c r="A68" s="404">
        <v>32</v>
      </c>
      <c r="B68" s="405" t="s">
        <v>56</v>
      </c>
      <c r="C68" s="405"/>
      <c r="D68" s="405"/>
      <c r="E68" s="406" t="s">
        <v>374</v>
      </c>
      <c r="F68" s="415" t="s">
        <v>497</v>
      </c>
      <c r="G68" s="405" t="s">
        <v>498</v>
      </c>
      <c r="H68" s="407">
        <v>53073</v>
      </c>
      <c r="I68" s="408">
        <f>IF(X68 = 34, H68 + SUM(S68:S68) - SUM(T68:T68) - SUM(P68:P68) - V68,0)</f>
        <v>0</v>
      </c>
      <c r="J68" s="405" t="s">
        <v>503</v>
      </c>
      <c r="K68" s="405" t="s">
        <v>221</v>
      </c>
      <c r="L68" s="405"/>
      <c r="M68" s="405" t="s">
        <v>500</v>
      </c>
      <c r="N68" s="415">
        <v>44804</v>
      </c>
      <c r="O68" s="415" t="s">
        <v>347</v>
      </c>
      <c r="P68" s="407">
        <v>53073</v>
      </c>
      <c r="Q68" s="406" t="s">
        <v>526</v>
      </c>
      <c r="R68" s="405"/>
      <c r="S68" s="407"/>
      <c r="T68" s="407"/>
      <c r="U68" s="407"/>
      <c r="V68" s="416"/>
      <c r="W68" s="409"/>
      <c r="X68" s="107">
        <v>34</v>
      </c>
    </row>
    <row r="69" spans="1:24" s="107" customFormat="1" ht="75" x14ac:dyDescent="0.25">
      <c r="A69" s="427">
        <v>33</v>
      </c>
      <c r="B69" s="424" t="s">
        <v>56</v>
      </c>
      <c r="C69" s="424"/>
      <c r="D69" s="424"/>
      <c r="E69" s="417" t="s">
        <v>520</v>
      </c>
      <c r="F69" s="430" t="s">
        <v>521</v>
      </c>
      <c r="G69" s="424" t="s">
        <v>522</v>
      </c>
      <c r="H69" s="425">
        <v>2270</v>
      </c>
      <c r="I69" s="426">
        <f>IF(X69 = 35, H69 + SUM(S69:S69) - SUM(T69:T69) - SUM(P69:P69) - V69,0)</f>
        <v>0</v>
      </c>
      <c r="J69" s="424" t="s">
        <v>276</v>
      </c>
      <c r="K69" s="424" t="s">
        <v>277</v>
      </c>
      <c r="L69" s="424"/>
      <c r="M69" s="424" t="s">
        <v>523</v>
      </c>
      <c r="N69" s="430">
        <v>44820</v>
      </c>
      <c r="O69" s="422" t="s">
        <v>524</v>
      </c>
      <c r="P69" s="425">
        <v>2270</v>
      </c>
      <c r="Q69" s="417" t="s">
        <v>531</v>
      </c>
      <c r="R69" s="424"/>
      <c r="S69" s="425"/>
      <c r="T69" s="425"/>
      <c r="U69" s="425"/>
      <c r="V69" s="429"/>
      <c r="W69" s="423"/>
      <c r="X69" s="107">
        <v>35</v>
      </c>
    </row>
    <row r="70" spans="1:24" s="107" customFormat="1" ht="75" x14ac:dyDescent="0.25">
      <c r="A70" s="442">
        <v>34</v>
      </c>
      <c r="B70" s="443" t="s">
        <v>56</v>
      </c>
      <c r="C70" s="443"/>
      <c r="D70" s="443"/>
      <c r="E70" s="444" t="s">
        <v>406</v>
      </c>
      <c r="F70" s="469" t="s">
        <v>505</v>
      </c>
      <c r="G70" s="443" t="s">
        <v>539</v>
      </c>
      <c r="H70" s="445">
        <v>12016.8</v>
      </c>
      <c r="I70" s="446">
        <f>IF(X70 = 36, H70 + SUM(S70:S70) - SUM(T70:T70) - SUM(P70:P70) - V70,0)</f>
        <v>12016.8</v>
      </c>
      <c r="J70" s="443" t="s">
        <v>208</v>
      </c>
      <c r="K70" s="287" t="s">
        <v>266</v>
      </c>
      <c r="L70" s="443"/>
      <c r="M70" s="443" t="s">
        <v>540</v>
      </c>
      <c r="N70" s="469"/>
      <c r="O70" s="431" t="s">
        <v>431</v>
      </c>
      <c r="P70" s="445"/>
      <c r="Q70" s="444"/>
      <c r="R70" s="443"/>
      <c r="S70" s="445"/>
      <c r="T70" s="445"/>
      <c r="U70" s="445"/>
      <c r="V70" s="460"/>
      <c r="W70" s="450"/>
      <c r="X70" s="107">
        <v>36</v>
      </c>
    </row>
    <row r="71" spans="1:24" s="107" customFormat="1" ht="75" x14ac:dyDescent="0.25">
      <c r="A71" s="467">
        <v>35</v>
      </c>
      <c r="B71" s="462" t="s">
        <v>56</v>
      </c>
      <c r="C71" s="462"/>
      <c r="D71" s="462"/>
      <c r="E71" s="464" t="s">
        <v>262</v>
      </c>
      <c r="F71" s="470" t="s">
        <v>505</v>
      </c>
      <c r="G71" s="462" t="s">
        <v>541</v>
      </c>
      <c r="H71" s="465">
        <v>45760</v>
      </c>
      <c r="I71" s="466">
        <f>IF(X71 = 37, H71 + SUM(S71:S71) - SUM(T71:T71) - SUM(P71:P71) - V71,0)</f>
        <v>43384</v>
      </c>
      <c r="J71" s="462" t="s">
        <v>208</v>
      </c>
      <c r="K71" s="287" t="s">
        <v>266</v>
      </c>
      <c r="L71" s="462"/>
      <c r="M71" s="462" t="s">
        <v>540</v>
      </c>
      <c r="N71" s="470">
        <v>44848</v>
      </c>
      <c r="O71" s="468" t="s">
        <v>431</v>
      </c>
      <c r="P71" s="465">
        <v>2376</v>
      </c>
      <c r="Q71" s="464" t="s">
        <v>580</v>
      </c>
      <c r="R71" s="462"/>
      <c r="S71" s="465"/>
      <c r="T71" s="465"/>
      <c r="U71" s="465"/>
      <c r="V71" s="461"/>
      <c r="W71" s="463"/>
      <c r="X71" s="107">
        <v>37</v>
      </c>
    </row>
    <row r="72" spans="1:24" s="107" customFormat="1" ht="72" customHeight="1" x14ac:dyDescent="0.25">
      <c r="A72" s="579">
        <v>36</v>
      </c>
      <c r="B72" s="585" t="s">
        <v>56</v>
      </c>
      <c r="C72" s="585"/>
      <c r="D72" s="585"/>
      <c r="E72" s="591" t="s">
        <v>542</v>
      </c>
      <c r="F72" s="581" t="s">
        <v>505</v>
      </c>
      <c r="G72" s="585" t="s">
        <v>543</v>
      </c>
      <c r="H72" s="583">
        <v>189556.8</v>
      </c>
      <c r="I72" s="593">
        <f>IF(X72 = 38, H72 + SUM(S72:S73) - SUM(T72:T73) - SUM(P72:P73) - V72,0)</f>
        <v>160653.12</v>
      </c>
      <c r="J72" s="585" t="s">
        <v>208</v>
      </c>
      <c r="K72" s="585" t="s">
        <v>266</v>
      </c>
      <c r="L72" s="585"/>
      <c r="M72" s="585" t="s">
        <v>540</v>
      </c>
      <c r="N72" s="520">
        <v>44834</v>
      </c>
      <c r="O72" s="581" t="s">
        <v>431</v>
      </c>
      <c r="P72" s="511">
        <v>15896.85</v>
      </c>
      <c r="Q72" s="512" t="s">
        <v>585</v>
      </c>
      <c r="R72" s="513"/>
      <c r="S72" s="511"/>
      <c r="T72" s="511"/>
      <c r="U72" s="583"/>
      <c r="V72" s="587"/>
      <c r="W72" s="589"/>
      <c r="X72" s="107">
        <v>38</v>
      </c>
    </row>
    <row r="73" spans="1:24" s="502" customFormat="1" x14ac:dyDescent="0.25">
      <c r="A73" s="580"/>
      <c r="B73" s="586"/>
      <c r="C73" s="586"/>
      <c r="D73" s="586"/>
      <c r="E73" s="592"/>
      <c r="F73" s="582"/>
      <c r="G73" s="586"/>
      <c r="H73" s="584"/>
      <c r="I73" s="594"/>
      <c r="J73" s="586"/>
      <c r="K73" s="586"/>
      <c r="L73" s="586"/>
      <c r="M73" s="586"/>
      <c r="N73" s="522">
        <v>44834</v>
      </c>
      <c r="O73" s="582"/>
      <c r="P73" s="517">
        <v>13006.83</v>
      </c>
      <c r="Q73" s="518" t="s">
        <v>585</v>
      </c>
      <c r="R73" s="519"/>
      <c r="S73" s="517"/>
      <c r="T73" s="517"/>
      <c r="U73" s="584"/>
      <c r="V73" s="588"/>
      <c r="W73" s="590"/>
      <c r="X73" s="502">
        <v>38</v>
      </c>
    </row>
    <row r="74" spans="1:24" s="107" customFormat="1" ht="75" x14ac:dyDescent="0.25">
      <c r="A74" s="471">
        <v>37</v>
      </c>
      <c r="B74" s="474" t="s">
        <v>56</v>
      </c>
      <c r="C74" s="474"/>
      <c r="D74" s="474"/>
      <c r="E74" s="477" t="s">
        <v>547</v>
      </c>
      <c r="F74" s="472" t="s">
        <v>505</v>
      </c>
      <c r="G74" s="474" t="s">
        <v>548</v>
      </c>
      <c r="H74" s="473">
        <v>3520</v>
      </c>
      <c r="I74" s="478">
        <f>IF(X74 = 39, H74 + SUM(S74:S74) - SUM(T74:T74) - SUM(P74:P74) - V74,0)</f>
        <v>3520</v>
      </c>
      <c r="J74" s="474" t="s">
        <v>208</v>
      </c>
      <c r="K74" s="287" t="s">
        <v>266</v>
      </c>
      <c r="L74" s="474"/>
      <c r="M74" s="474" t="s">
        <v>540</v>
      </c>
      <c r="N74" s="480"/>
      <c r="O74" s="479" t="s">
        <v>431</v>
      </c>
      <c r="P74" s="473"/>
      <c r="Q74" s="477"/>
      <c r="R74" s="474"/>
      <c r="S74" s="473"/>
      <c r="T74" s="473"/>
      <c r="U74" s="473"/>
      <c r="V74" s="475"/>
      <c r="W74" s="476"/>
      <c r="X74" s="107">
        <v>39</v>
      </c>
    </row>
    <row r="75" spans="1:24" s="107" customFormat="1" ht="168.75" x14ac:dyDescent="0.25">
      <c r="A75" s="493">
        <v>38</v>
      </c>
      <c r="B75" s="492" t="s">
        <v>56</v>
      </c>
      <c r="C75" s="492"/>
      <c r="D75" s="492"/>
      <c r="E75" s="496" t="s">
        <v>556</v>
      </c>
      <c r="F75" s="509" t="s">
        <v>557</v>
      </c>
      <c r="G75" s="492" t="s">
        <v>558</v>
      </c>
      <c r="H75" s="497">
        <v>5200</v>
      </c>
      <c r="I75" s="498">
        <f>IF(X75 = 40, H75 + SUM(S75:S75) - SUM(T75:T75) - SUM(P75:P75) - V75,0)</f>
        <v>3640</v>
      </c>
      <c r="J75" s="492" t="s">
        <v>559</v>
      </c>
      <c r="K75" s="492" t="s">
        <v>560</v>
      </c>
      <c r="L75" s="492"/>
      <c r="M75" s="492" t="s">
        <v>561</v>
      </c>
      <c r="N75" s="509">
        <v>44855</v>
      </c>
      <c r="O75" s="509" t="s">
        <v>562</v>
      </c>
      <c r="P75" s="497">
        <v>1560</v>
      </c>
      <c r="Q75" s="496" t="s">
        <v>587</v>
      </c>
      <c r="R75" s="492"/>
      <c r="S75" s="497"/>
      <c r="T75" s="497"/>
      <c r="U75" s="497"/>
      <c r="V75" s="494"/>
      <c r="W75" s="495"/>
      <c r="X75" s="107">
        <v>40</v>
      </c>
    </row>
    <row r="76" spans="1:24" s="107" customFormat="1" ht="75" x14ac:dyDescent="0.25">
      <c r="A76" s="493">
        <v>39</v>
      </c>
      <c r="B76" s="492" t="s">
        <v>56</v>
      </c>
      <c r="C76" s="492"/>
      <c r="D76" s="492"/>
      <c r="E76" s="496" t="s">
        <v>213</v>
      </c>
      <c r="F76" s="509" t="s">
        <v>563</v>
      </c>
      <c r="G76" s="492" t="s">
        <v>564</v>
      </c>
      <c r="H76" s="497">
        <v>20827.32</v>
      </c>
      <c r="I76" s="498">
        <f>IF(X76 = 41, H76 + SUM(S76:S76) - SUM(T76:T76) - SUM(P76:P76) - V76,0)</f>
        <v>0</v>
      </c>
      <c r="J76" s="492" t="s">
        <v>565</v>
      </c>
      <c r="K76" s="492" t="s">
        <v>566</v>
      </c>
      <c r="L76" s="492"/>
      <c r="M76" s="492" t="s">
        <v>567</v>
      </c>
      <c r="N76" s="509">
        <v>44853</v>
      </c>
      <c r="O76" s="499" t="s">
        <v>568</v>
      </c>
      <c r="P76" s="497">
        <v>20827.32</v>
      </c>
      <c r="Q76" s="496" t="s">
        <v>583</v>
      </c>
      <c r="R76" s="492"/>
      <c r="S76" s="497"/>
      <c r="T76" s="497"/>
      <c r="U76" s="497"/>
      <c r="V76" s="494"/>
      <c r="W76" s="495"/>
      <c r="X76" s="107">
        <v>41</v>
      </c>
    </row>
    <row r="77" spans="1:24" s="107" customFormat="1" ht="112.5" x14ac:dyDescent="0.25">
      <c r="A77" s="493">
        <v>40</v>
      </c>
      <c r="B77" s="492" t="s">
        <v>56</v>
      </c>
      <c r="C77" s="492"/>
      <c r="D77" s="492"/>
      <c r="E77" s="510" t="s">
        <v>569</v>
      </c>
      <c r="F77" s="509" t="s">
        <v>570</v>
      </c>
      <c r="G77" s="492" t="s">
        <v>571</v>
      </c>
      <c r="H77" s="497">
        <v>76600</v>
      </c>
      <c r="I77" s="498">
        <f>IF(X77 = 42, H77 + SUM(S77:S77) - SUM(T77:T77) - SUM(P77:P77) - V77,0)</f>
        <v>0</v>
      </c>
      <c r="J77" s="492" t="s">
        <v>572</v>
      </c>
      <c r="K77" s="492" t="s">
        <v>573</v>
      </c>
      <c r="L77" s="492"/>
      <c r="M77" s="492" t="s">
        <v>574</v>
      </c>
      <c r="N77" s="509">
        <v>44854</v>
      </c>
      <c r="O77" s="499" t="s">
        <v>575</v>
      </c>
      <c r="P77" s="497">
        <v>76600</v>
      </c>
      <c r="Q77" s="496" t="s">
        <v>588</v>
      </c>
      <c r="R77" s="492"/>
      <c r="S77" s="497"/>
      <c r="T77" s="497"/>
      <c r="U77" s="497"/>
      <c r="V77" s="494"/>
      <c r="W77" s="495"/>
      <c r="X77" s="107">
        <v>42</v>
      </c>
    </row>
    <row r="78" spans="1:24" s="107" customFormat="1" ht="75" x14ac:dyDescent="0.25">
      <c r="A78" s="507">
        <v>41</v>
      </c>
      <c r="B78" s="500" t="s">
        <v>56</v>
      </c>
      <c r="C78" s="500"/>
      <c r="D78" s="500"/>
      <c r="E78" s="510" t="s">
        <v>589</v>
      </c>
      <c r="F78" s="523" t="s">
        <v>590</v>
      </c>
      <c r="G78" s="500" t="s">
        <v>591</v>
      </c>
      <c r="H78" s="501">
        <v>19000</v>
      </c>
      <c r="I78" s="506">
        <f>IF(X78 = 43, H78 + SUM(S78:S78) - SUM(T78:T78) - SUM(P78:P78) - V78,0)</f>
        <v>19000</v>
      </c>
      <c r="J78" s="500" t="s">
        <v>592</v>
      </c>
      <c r="K78" s="500" t="s">
        <v>593</v>
      </c>
      <c r="L78" s="500"/>
      <c r="M78" s="500" t="s">
        <v>594</v>
      </c>
      <c r="N78" s="523"/>
      <c r="O78" s="508" t="s">
        <v>568</v>
      </c>
      <c r="P78" s="501"/>
      <c r="Q78" s="505"/>
      <c r="R78" s="500"/>
      <c r="S78" s="501"/>
      <c r="T78" s="501"/>
      <c r="U78" s="501"/>
      <c r="V78" s="503"/>
      <c r="W78" s="504"/>
      <c r="X78" s="107">
        <v>43</v>
      </c>
    </row>
    <row r="79" spans="1:24" ht="18" x14ac:dyDescent="0.3">
      <c r="A79" s="14"/>
      <c r="B79" s="14"/>
      <c r="C79" s="14"/>
      <c r="D79" s="14"/>
      <c r="E79" s="29"/>
      <c r="F79" s="14"/>
      <c r="G79" s="14"/>
      <c r="H79" s="15"/>
      <c r="I79" s="15"/>
      <c r="J79" s="14"/>
      <c r="K79" s="14"/>
      <c r="L79" s="14"/>
      <c r="M79" s="14"/>
      <c r="N79" s="29"/>
      <c r="O79" s="14"/>
      <c r="P79" s="104"/>
      <c r="Q79" s="29"/>
      <c r="R79" s="16"/>
      <c r="S79" s="16"/>
      <c r="T79" s="16"/>
      <c r="U79" s="29"/>
      <c r="V79" s="104"/>
      <c r="W79" s="16"/>
      <c r="X79" s="8">
        <v>44</v>
      </c>
    </row>
    <row r="80" spans="1:24" s="2" customFormat="1" ht="18" x14ac:dyDescent="0.3">
      <c r="A80" s="41"/>
      <c r="B80" s="41"/>
      <c r="C80" s="41"/>
      <c r="D80" s="41"/>
      <c r="E80" s="42"/>
      <c r="F80" s="41"/>
      <c r="G80" s="41"/>
      <c r="H80" s="44"/>
      <c r="I80" s="44"/>
      <c r="J80" s="41"/>
      <c r="K80" s="41"/>
      <c r="L80" s="41"/>
      <c r="M80" s="41"/>
      <c r="N80" s="42"/>
      <c r="O80" s="41"/>
      <c r="P80" s="40"/>
      <c r="Q80" s="42"/>
      <c r="U80" s="42"/>
      <c r="V80" s="40"/>
    </row>
    <row r="81" spans="1:22" s="2" customFormat="1" ht="18" x14ac:dyDescent="0.3">
      <c r="A81" s="41"/>
      <c r="B81" s="41"/>
      <c r="C81" s="41"/>
      <c r="D81" s="41"/>
      <c r="E81" s="42"/>
      <c r="F81" s="41"/>
      <c r="G81" s="41"/>
      <c r="H81" s="44"/>
      <c r="I81" s="44"/>
      <c r="J81" s="41"/>
      <c r="K81" s="41"/>
      <c r="L81" s="41"/>
      <c r="M81" s="41"/>
      <c r="N81" s="42"/>
      <c r="O81" s="41"/>
      <c r="P81" s="40"/>
      <c r="Q81" s="42"/>
      <c r="U81" s="42"/>
      <c r="V81" s="40"/>
    </row>
    <row r="82" spans="1:22" s="2" customFormat="1" ht="18" x14ac:dyDescent="0.3">
      <c r="A82" s="41"/>
      <c r="B82" s="41"/>
      <c r="C82" s="41"/>
      <c r="D82" s="41"/>
      <c r="E82" s="42"/>
      <c r="F82" s="41"/>
      <c r="G82" s="41"/>
      <c r="H82" s="44"/>
      <c r="I82" s="44"/>
      <c r="J82" s="41"/>
      <c r="K82" s="41"/>
      <c r="L82" s="41"/>
      <c r="M82" s="41"/>
      <c r="N82" s="42"/>
      <c r="O82" s="41"/>
      <c r="P82" s="40"/>
      <c r="Q82" s="42"/>
      <c r="U82" s="42"/>
      <c r="V82" s="40"/>
    </row>
    <row r="83" spans="1:22" s="2" customFormat="1" ht="18" x14ac:dyDescent="0.3">
      <c r="A83" s="41"/>
      <c r="B83" s="41"/>
      <c r="C83" s="41"/>
      <c r="D83" s="41"/>
      <c r="E83" s="42"/>
      <c r="F83" s="41"/>
      <c r="G83" s="41"/>
      <c r="H83" s="44"/>
      <c r="I83" s="44"/>
      <c r="J83" s="41"/>
      <c r="K83" s="41"/>
      <c r="L83" s="41"/>
      <c r="M83" s="41"/>
      <c r="N83" s="42"/>
      <c r="O83" s="41"/>
      <c r="P83" s="40"/>
      <c r="Q83" s="42"/>
      <c r="U83" s="42"/>
      <c r="V83" s="40"/>
    </row>
    <row r="84" spans="1:22" s="2" customFormat="1" ht="18" x14ac:dyDescent="0.3">
      <c r="A84" s="41"/>
      <c r="B84" s="41"/>
      <c r="C84" s="41"/>
      <c r="D84" s="41"/>
      <c r="E84" s="42"/>
      <c r="F84" s="41"/>
      <c r="G84" s="41"/>
      <c r="H84" s="44"/>
      <c r="I84" s="44"/>
      <c r="J84" s="41"/>
      <c r="K84" s="41"/>
      <c r="L84" s="41"/>
      <c r="M84" s="41"/>
      <c r="N84" s="42"/>
      <c r="O84" s="41"/>
      <c r="P84" s="40"/>
      <c r="Q84" s="42"/>
      <c r="U84" s="42"/>
      <c r="V84" s="40"/>
    </row>
  </sheetData>
  <sheetProtection algorithmName="SHA-512" hashValue="GnHP8nzrHChe9/R0yQXUasSlsfZLA7cWAiYUJ3Yk4Ov3KL1ijNNKFX7w18f+np3yzhCw5pYhABnXaAqVdTdEAg==" saltValue="omedhoxvABsCAY5xAljQhQ==" spinCount="100000" sheet="1" objects="1" scenarios="1" formatCells="0" formatColumns="0" formatRows="0"/>
  <mergeCells count="143">
    <mergeCell ref="B23:B24"/>
    <mergeCell ref="O37:O39"/>
    <mergeCell ref="A37:A39"/>
    <mergeCell ref="B37:B39"/>
    <mergeCell ref="H37:H39"/>
    <mergeCell ref="I37:I39"/>
    <mergeCell ref="M25:M34"/>
    <mergeCell ref="J37:J39"/>
    <mergeCell ref="W65:W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U65:U66"/>
    <mergeCell ref="V65:V66"/>
    <mergeCell ref="O65:O66"/>
    <mergeCell ref="B65:B66"/>
    <mergeCell ref="C65:C66"/>
    <mergeCell ref="A58:A59"/>
    <mergeCell ref="B58:B59"/>
    <mergeCell ref="C58:C59"/>
    <mergeCell ref="D58:D59"/>
    <mergeCell ref="E58:E59"/>
    <mergeCell ref="A65:A66"/>
    <mergeCell ref="A41:A46"/>
    <mergeCell ref="B41:B46"/>
    <mergeCell ref="C37:C39"/>
    <mergeCell ref="E37:E39"/>
    <mergeCell ref="C23:C24"/>
    <mergeCell ref="L58:L59"/>
    <mergeCell ref="M58:M59"/>
    <mergeCell ref="C41:C46"/>
    <mergeCell ref="H41:H46"/>
    <mergeCell ref="I41:I46"/>
    <mergeCell ref="J41:J46"/>
    <mergeCell ref="K41:K46"/>
    <mergeCell ref="L41:L46"/>
    <mergeCell ref="M41:M46"/>
    <mergeCell ref="I23:I24"/>
    <mergeCell ref="J23:J24"/>
    <mergeCell ref="K23:K24"/>
    <mergeCell ref="L23:L24"/>
    <mergeCell ref="D41:D46"/>
    <mergeCell ref="E41:E46"/>
    <mergeCell ref="F41:F46"/>
    <mergeCell ref="G41:G46"/>
    <mergeCell ref="F37:F39"/>
    <mergeCell ref="G37:G39"/>
    <mergeCell ref="M23:M24"/>
    <mergeCell ref="L37:L39"/>
    <mergeCell ref="M37:M39"/>
    <mergeCell ref="K37:K39"/>
    <mergeCell ref="U37:U39"/>
    <mergeCell ref="V37:V39"/>
    <mergeCell ref="W58:W59"/>
    <mergeCell ref="J58:J59"/>
    <mergeCell ref="K58:K59"/>
    <mergeCell ref="F58:F59"/>
    <mergeCell ref="G58:G59"/>
    <mergeCell ref="H58:H59"/>
    <mergeCell ref="I58:I59"/>
    <mergeCell ref="O41:O46"/>
    <mergeCell ref="U41:U46"/>
    <mergeCell ref="V41:V46"/>
    <mergeCell ref="W41:W46"/>
    <mergeCell ref="A3:E3"/>
    <mergeCell ref="S2:U2"/>
    <mergeCell ref="N2:O2"/>
    <mergeCell ref="J4:K4"/>
    <mergeCell ref="M4:N4"/>
    <mergeCell ref="O4:P4"/>
    <mergeCell ref="K2:M2"/>
    <mergeCell ref="A25:A34"/>
    <mergeCell ref="O25:O34"/>
    <mergeCell ref="U25:U34"/>
    <mergeCell ref="B25:B34"/>
    <mergeCell ref="C25:C34"/>
    <mergeCell ref="D25:D34"/>
    <mergeCell ref="A12:A21"/>
    <mergeCell ref="E25:E34"/>
    <mergeCell ref="F25:F34"/>
    <mergeCell ref="G25:G34"/>
    <mergeCell ref="H25:H34"/>
    <mergeCell ref="I25:I34"/>
    <mergeCell ref="A23:A24"/>
    <mergeCell ref="O12:O21"/>
    <mergeCell ref="U12:U21"/>
    <mergeCell ref="B12:B21"/>
    <mergeCell ref="C12:C21"/>
    <mergeCell ref="W12:W21"/>
    <mergeCell ref="V25:V34"/>
    <mergeCell ref="W25:W34"/>
    <mergeCell ref="V23:V24"/>
    <mergeCell ref="V12:V21"/>
    <mergeCell ref="D12:D21"/>
    <mergeCell ref="E12:E21"/>
    <mergeCell ref="F12:F21"/>
    <mergeCell ref="G12:G21"/>
    <mergeCell ref="H12:H21"/>
    <mergeCell ref="I12:I21"/>
    <mergeCell ref="J12:J21"/>
    <mergeCell ref="K12:K21"/>
    <mergeCell ref="L12:L21"/>
    <mergeCell ref="M12:M21"/>
    <mergeCell ref="W23:W24"/>
    <mergeCell ref="D23:D24"/>
    <mergeCell ref="E23:E24"/>
    <mergeCell ref="F23:F24"/>
    <mergeCell ref="J25:J34"/>
    <mergeCell ref="K25:K34"/>
    <mergeCell ref="L25:L34"/>
    <mergeCell ref="G23:G24"/>
    <mergeCell ref="H23:H24"/>
    <mergeCell ref="O23:O24"/>
    <mergeCell ref="U23:U24"/>
    <mergeCell ref="A72:A73"/>
    <mergeCell ref="O72:O73"/>
    <mergeCell ref="U72:U73"/>
    <mergeCell ref="B72:B73"/>
    <mergeCell ref="V72:V73"/>
    <mergeCell ref="C72:C73"/>
    <mergeCell ref="W72:W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O58:O59"/>
    <mergeCell ref="U58:U59"/>
    <mergeCell ref="V58:V59"/>
    <mergeCell ref="W37:W39"/>
    <mergeCell ref="D37:D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72"/>
  <sheetViews>
    <sheetView showGridLines="0" tabSelected="1" topLeftCell="G1" zoomScale="50" zoomScaleNormal="50" workbookViewId="0">
      <pane ySplit="8" topLeftCell="A42" activePane="bottomLeft" state="frozen"/>
      <selection pane="bottomLeft" activeCell="S47" sqref="S47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27.42578125" style="12" customWidth="1"/>
    <col min="8" max="8" width="38.42578125" style="3" bestFit="1" customWidth="1"/>
    <col min="9" max="9" width="33" style="3" customWidth="1"/>
    <col min="10" max="11" width="27.28515625" style="32" customWidth="1"/>
    <col min="12" max="12" width="21.42578125" style="3" customWidth="1"/>
    <col min="13" max="13" width="26.5703125" style="3" customWidth="1"/>
    <col min="14" max="14" width="28.140625" style="12" customWidth="1"/>
    <col min="15" max="15" width="39.28515625" style="3" customWidth="1"/>
    <col min="16" max="16" width="24.7109375" style="32" customWidth="1"/>
    <col min="17" max="17" width="24.42578125" style="12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2" customWidth="1"/>
    <col min="22" max="22" width="24" style="11" customWidth="1"/>
    <col min="23" max="23" width="21.85546875" style="8" customWidth="1"/>
    <col min="24" max="16384" width="9.140625" style="8" hidden="1"/>
  </cols>
  <sheetData>
    <row r="1" spans="1:24" ht="18.600000000000001" thickBot="1" x14ac:dyDescent="0.35"/>
    <row r="2" spans="1:24" ht="39.950000000000003" customHeight="1" thickBot="1" x14ac:dyDescent="0.3">
      <c r="E2" s="86"/>
      <c r="F2" s="794" t="s">
        <v>24</v>
      </c>
      <c r="G2" s="795"/>
      <c r="H2" s="98">
        <f>SUM(H9:H9999)</f>
        <v>3811257.64</v>
      </c>
      <c r="I2" s="86"/>
      <c r="J2" s="39"/>
      <c r="N2" s="633" t="s">
        <v>137</v>
      </c>
      <c r="O2" s="635"/>
      <c r="P2" s="87">
        <f>SUM(P9:P9999)</f>
        <v>2697627.169999999</v>
      </c>
      <c r="R2" s="86"/>
      <c r="S2" s="633" t="s">
        <v>45</v>
      </c>
      <c r="T2" s="634"/>
      <c r="U2" s="635"/>
      <c r="V2" s="88">
        <f>SUM(V9:V9999)</f>
        <v>304279.30000000005</v>
      </c>
    </row>
    <row r="3" spans="1:24" ht="18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50000000000003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150" x14ac:dyDescent="0.25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ht="18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31.25" x14ac:dyDescent="0.25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8" customFormat="1" ht="54" customHeight="1" x14ac:dyDescent="0.25">
      <c r="A9" s="579">
        <v>1</v>
      </c>
      <c r="B9" s="585" t="s">
        <v>56</v>
      </c>
      <c r="C9" s="585"/>
      <c r="D9" s="585"/>
      <c r="E9" s="585" t="s">
        <v>146</v>
      </c>
      <c r="F9" s="581">
        <v>44561</v>
      </c>
      <c r="G9" s="591" t="s">
        <v>147</v>
      </c>
      <c r="H9" s="583">
        <v>365926</v>
      </c>
      <c r="I9" s="593">
        <f>IF(X9 = 1, H9 + SUM(S9:S29) - SUM(T9:T29) - SUM(P9:P29) - V9,0)</f>
        <v>50089.589999999967</v>
      </c>
      <c r="J9" s="687">
        <v>0</v>
      </c>
      <c r="K9" s="690" t="s">
        <v>148</v>
      </c>
      <c r="L9" s="585"/>
      <c r="M9" s="585" t="s">
        <v>150</v>
      </c>
      <c r="N9" s="520">
        <v>44562</v>
      </c>
      <c r="O9" s="581" t="s">
        <v>149</v>
      </c>
      <c r="P9" s="511">
        <v>12783.17</v>
      </c>
      <c r="Q9" s="512">
        <v>44580</v>
      </c>
      <c r="R9" s="513"/>
      <c r="S9" s="511"/>
      <c r="T9" s="511"/>
      <c r="U9" s="583"/>
      <c r="V9" s="684"/>
      <c r="W9" s="589"/>
      <c r="X9" s="108">
        <v>1</v>
      </c>
    </row>
    <row r="10" spans="1:24" s="2" customFormat="1" x14ac:dyDescent="0.25">
      <c r="A10" s="666"/>
      <c r="B10" s="654"/>
      <c r="C10" s="654"/>
      <c r="D10" s="654"/>
      <c r="E10" s="654"/>
      <c r="F10" s="650"/>
      <c r="G10" s="658"/>
      <c r="H10" s="651"/>
      <c r="I10" s="655"/>
      <c r="J10" s="688"/>
      <c r="K10" s="691"/>
      <c r="L10" s="654"/>
      <c r="M10" s="654"/>
      <c r="N10" s="521">
        <v>44593</v>
      </c>
      <c r="O10" s="650"/>
      <c r="P10" s="514">
        <v>20920.5</v>
      </c>
      <c r="Q10" s="515">
        <v>44593</v>
      </c>
      <c r="R10" s="516"/>
      <c r="S10" s="514"/>
      <c r="T10" s="514"/>
      <c r="U10" s="651"/>
      <c r="V10" s="685"/>
      <c r="W10" s="653"/>
      <c r="X10" s="2">
        <v>1</v>
      </c>
    </row>
    <row r="11" spans="1:24" s="2" customFormat="1" x14ac:dyDescent="0.25">
      <c r="A11" s="666"/>
      <c r="B11" s="654"/>
      <c r="C11" s="654"/>
      <c r="D11" s="654"/>
      <c r="E11" s="654"/>
      <c r="F11" s="650"/>
      <c r="G11" s="658"/>
      <c r="H11" s="651"/>
      <c r="I11" s="655"/>
      <c r="J11" s="688"/>
      <c r="K11" s="691"/>
      <c r="L11" s="654"/>
      <c r="M11" s="654"/>
      <c r="N11" s="521">
        <v>44621</v>
      </c>
      <c r="O11" s="650"/>
      <c r="P11" s="514">
        <v>2312.64</v>
      </c>
      <c r="Q11" s="515">
        <v>44622</v>
      </c>
      <c r="R11" s="516"/>
      <c r="S11" s="514"/>
      <c r="T11" s="514"/>
      <c r="U11" s="651"/>
      <c r="V11" s="685"/>
      <c r="W11" s="653"/>
      <c r="X11" s="2">
        <v>1</v>
      </c>
    </row>
    <row r="12" spans="1:24" s="2" customFormat="1" x14ac:dyDescent="0.25">
      <c r="A12" s="666"/>
      <c r="B12" s="654"/>
      <c r="C12" s="654"/>
      <c r="D12" s="654"/>
      <c r="E12" s="654"/>
      <c r="F12" s="650"/>
      <c r="G12" s="658"/>
      <c r="H12" s="651"/>
      <c r="I12" s="655"/>
      <c r="J12" s="688"/>
      <c r="K12" s="691"/>
      <c r="L12" s="654"/>
      <c r="M12" s="654"/>
      <c r="N12" s="521">
        <v>44620</v>
      </c>
      <c r="O12" s="650"/>
      <c r="P12" s="514">
        <v>37985.5</v>
      </c>
      <c r="Q12" s="515">
        <v>44634</v>
      </c>
      <c r="R12" s="516"/>
      <c r="S12" s="514"/>
      <c r="T12" s="514"/>
      <c r="U12" s="651"/>
      <c r="V12" s="685"/>
      <c r="W12" s="653"/>
      <c r="X12" s="2">
        <v>1</v>
      </c>
    </row>
    <row r="13" spans="1:24" s="2" customFormat="1" x14ac:dyDescent="0.25">
      <c r="A13" s="666"/>
      <c r="B13" s="654"/>
      <c r="C13" s="654"/>
      <c r="D13" s="654"/>
      <c r="E13" s="654"/>
      <c r="F13" s="650"/>
      <c r="G13" s="658"/>
      <c r="H13" s="651"/>
      <c r="I13" s="655"/>
      <c r="J13" s="688"/>
      <c r="K13" s="691"/>
      <c r="L13" s="654"/>
      <c r="M13" s="654"/>
      <c r="N13" s="521">
        <v>44621</v>
      </c>
      <c r="O13" s="650"/>
      <c r="P13" s="514">
        <v>31610.44</v>
      </c>
      <c r="Q13" s="515" t="s">
        <v>251</v>
      </c>
      <c r="R13" s="516"/>
      <c r="S13" s="514"/>
      <c r="T13" s="514"/>
      <c r="U13" s="651"/>
      <c r="V13" s="685"/>
      <c r="W13" s="653"/>
      <c r="X13" s="2">
        <v>1</v>
      </c>
    </row>
    <row r="14" spans="1:24" s="2" customFormat="1" x14ac:dyDescent="0.25">
      <c r="A14" s="666"/>
      <c r="B14" s="654"/>
      <c r="C14" s="654"/>
      <c r="D14" s="654"/>
      <c r="E14" s="654"/>
      <c r="F14" s="650"/>
      <c r="G14" s="658"/>
      <c r="H14" s="651"/>
      <c r="I14" s="655"/>
      <c r="J14" s="688"/>
      <c r="K14" s="691"/>
      <c r="L14" s="654"/>
      <c r="M14" s="654"/>
      <c r="N14" s="521">
        <v>44652</v>
      </c>
      <c r="O14" s="650"/>
      <c r="P14" s="514">
        <v>23707.82</v>
      </c>
      <c r="Q14" s="515" t="s">
        <v>238</v>
      </c>
      <c r="R14" s="516"/>
      <c r="S14" s="514"/>
      <c r="T14" s="514"/>
      <c r="U14" s="651"/>
      <c r="V14" s="685"/>
      <c r="W14" s="653"/>
      <c r="X14" s="2">
        <v>1</v>
      </c>
    </row>
    <row r="15" spans="1:24" s="2" customFormat="1" x14ac:dyDescent="0.25">
      <c r="A15" s="666"/>
      <c r="B15" s="654"/>
      <c r="C15" s="654"/>
      <c r="D15" s="654"/>
      <c r="E15" s="654"/>
      <c r="F15" s="650"/>
      <c r="G15" s="658"/>
      <c r="H15" s="651"/>
      <c r="I15" s="655"/>
      <c r="J15" s="688"/>
      <c r="K15" s="691"/>
      <c r="L15" s="654"/>
      <c r="M15" s="654"/>
      <c r="N15" s="521">
        <v>44651</v>
      </c>
      <c r="O15" s="650"/>
      <c r="P15" s="514">
        <v>5788.03</v>
      </c>
      <c r="Q15" s="515" t="s">
        <v>239</v>
      </c>
      <c r="R15" s="516"/>
      <c r="S15" s="514"/>
      <c r="T15" s="514"/>
      <c r="U15" s="651"/>
      <c r="V15" s="685"/>
      <c r="W15" s="653"/>
      <c r="X15" s="2">
        <v>1</v>
      </c>
    </row>
    <row r="16" spans="1:24" s="2" customFormat="1" x14ac:dyDescent="0.25">
      <c r="A16" s="666"/>
      <c r="B16" s="654"/>
      <c r="C16" s="654"/>
      <c r="D16" s="654"/>
      <c r="E16" s="654"/>
      <c r="F16" s="650"/>
      <c r="G16" s="658"/>
      <c r="H16" s="651"/>
      <c r="I16" s="655"/>
      <c r="J16" s="688"/>
      <c r="K16" s="691"/>
      <c r="L16" s="654"/>
      <c r="M16" s="654"/>
      <c r="N16" s="521">
        <v>44652</v>
      </c>
      <c r="O16" s="650"/>
      <c r="P16" s="514">
        <v>15884.45</v>
      </c>
      <c r="Q16" s="515" t="s">
        <v>239</v>
      </c>
      <c r="R16" s="516"/>
      <c r="S16" s="514"/>
      <c r="T16" s="514"/>
      <c r="U16" s="651"/>
      <c r="V16" s="685"/>
      <c r="W16" s="653"/>
      <c r="X16" s="2">
        <v>1</v>
      </c>
    </row>
    <row r="17" spans="1:24" s="2" customFormat="1" x14ac:dyDescent="0.25">
      <c r="A17" s="666"/>
      <c r="B17" s="654"/>
      <c r="C17" s="654"/>
      <c r="D17" s="654"/>
      <c r="E17" s="654"/>
      <c r="F17" s="650"/>
      <c r="G17" s="658"/>
      <c r="H17" s="651"/>
      <c r="I17" s="655"/>
      <c r="J17" s="688"/>
      <c r="K17" s="691"/>
      <c r="L17" s="654"/>
      <c r="M17" s="654"/>
      <c r="N17" s="521">
        <v>44682</v>
      </c>
      <c r="O17" s="650"/>
      <c r="P17" s="514">
        <v>11913.34</v>
      </c>
      <c r="Q17" s="515" t="s">
        <v>240</v>
      </c>
      <c r="R17" s="516"/>
      <c r="S17" s="514"/>
      <c r="T17" s="514"/>
      <c r="U17" s="651"/>
      <c r="V17" s="685"/>
      <c r="W17" s="653"/>
      <c r="X17" s="2">
        <v>1</v>
      </c>
    </row>
    <row r="18" spans="1:24" s="2" customFormat="1" x14ac:dyDescent="0.25">
      <c r="A18" s="666"/>
      <c r="B18" s="654"/>
      <c r="C18" s="654"/>
      <c r="D18" s="654"/>
      <c r="E18" s="654"/>
      <c r="F18" s="650"/>
      <c r="G18" s="658"/>
      <c r="H18" s="651"/>
      <c r="I18" s="655"/>
      <c r="J18" s="688"/>
      <c r="K18" s="691"/>
      <c r="L18" s="654"/>
      <c r="M18" s="654"/>
      <c r="N18" s="521">
        <v>44713</v>
      </c>
      <c r="O18" s="650"/>
      <c r="P18" s="514">
        <v>12787.33</v>
      </c>
      <c r="Q18" s="515" t="s">
        <v>382</v>
      </c>
      <c r="R18" s="516"/>
      <c r="S18" s="514"/>
      <c r="T18" s="514"/>
      <c r="U18" s="651"/>
      <c r="V18" s="685"/>
      <c r="W18" s="653"/>
      <c r="X18" s="2">
        <v>1</v>
      </c>
    </row>
    <row r="19" spans="1:24" s="2" customFormat="1" x14ac:dyDescent="0.25">
      <c r="A19" s="666"/>
      <c r="B19" s="654"/>
      <c r="C19" s="654"/>
      <c r="D19" s="654"/>
      <c r="E19" s="654"/>
      <c r="F19" s="650"/>
      <c r="G19" s="658"/>
      <c r="H19" s="651"/>
      <c r="I19" s="655"/>
      <c r="J19" s="688"/>
      <c r="K19" s="691"/>
      <c r="L19" s="654"/>
      <c r="M19" s="654"/>
      <c r="N19" s="521">
        <v>44712</v>
      </c>
      <c r="O19" s="650"/>
      <c r="P19" s="514">
        <v>16747.54</v>
      </c>
      <c r="Q19" s="515" t="s">
        <v>387</v>
      </c>
      <c r="R19" s="516"/>
      <c r="S19" s="514"/>
      <c r="T19" s="514"/>
      <c r="U19" s="651"/>
      <c r="V19" s="685"/>
      <c r="W19" s="653"/>
      <c r="X19" s="2">
        <v>1</v>
      </c>
    </row>
    <row r="20" spans="1:24" s="2" customFormat="1" x14ac:dyDescent="0.25">
      <c r="A20" s="666"/>
      <c r="B20" s="654"/>
      <c r="C20" s="654"/>
      <c r="D20" s="654"/>
      <c r="E20" s="654"/>
      <c r="F20" s="650"/>
      <c r="G20" s="658"/>
      <c r="H20" s="651"/>
      <c r="I20" s="655"/>
      <c r="J20" s="688"/>
      <c r="K20" s="691"/>
      <c r="L20" s="654"/>
      <c r="M20" s="654"/>
      <c r="N20" s="521">
        <v>44713</v>
      </c>
      <c r="O20" s="650"/>
      <c r="P20" s="514">
        <v>16192.45</v>
      </c>
      <c r="Q20" s="515" t="s">
        <v>387</v>
      </c>
      <c r="R20" s="516"/>
      <c r="S20" s="514"/>
      <c r="T20" s="514"/>
      <c r="U20" s="651"/>
      <c r="V20" s="685"/>
      <c r="W20" s="653"/>
      <c r="X20" s="2">
        <v>1</v>
      </c>
    </row>
    <row r="21" spans="1:24" s="2" customFormat="1" x14ac:dyDescent="0.25">
      <c r="A21" s="666"/>
      <c r="B21" s="654"/>
      <c r="C21" s="654"/>
      <c r="D21" s="654"/>
      <c r="E21" s="654"/>
      <c r="F21" s="650"/>
      <c r="G21" s="658"/>
      <c r="H21" s="651"/>
      <c r="I21" s="655"/>
      <c r="J21" s="688"/>
      <c r="K21" s="691"/>
      <c r="L21" s="654"/>
      <c r="M21" s="654"/>
      <c r="N21" s="521">
        <v>44743</v>
      </c>
      <c r="O21" s="650"/>
      <c r="P21" s="514">
        <v>12144.34</v>
      </c>
      <c r="Q21" s="515" t="s">
        <v>441</v>
      </c>
      <c r="R21" s="516"/>
      <c r="S21" s="514"/>
      <c r="T21" s="514"/>
      <c r="U21" s="651"/>
      <c r="V21" s="685"/>
      <c r="W21" s="653"/>
      <c r="X21" s="2">
        <v>1</v>
      </c>
    </row>
    <row r="22" spans="1:24" s="2" customFormat="1" x14ac:dyDescent="0.25">
      <c r="A22" s="666"/>
      <c r="B22" s="654"/>
      <c r="C22" s="654"/>
      <c r="D22" s="654"/>
      <c r="E22" s="654"/>
      <c r="F22" s="650"/>
      <c r="G22" s="658"/>
      <c r="H22" s="651"/>
      <c r="I22" s="655"/>
      <c r="J22" s="688"/>
      <c r="K22" s="691"/>
      <c r="L22" s="654"/>
      <c r="M22" s="654"/>
      <c r="N22" s="521">
        <v>44742</v>
      </c>
      <c r="O22" s="650"/>
      <c r="P22" s="514">
        <v>910.25</v>
      </c>
      <c r="Q22" s="515" t="s">
        <v>447</v>
      </c>
      <c r="R22" s="516"/>
      <c r="S22" s="514"/>
      <c r="T22" s="514"/>
      <c r="U22" s="651"/>
      <c r="V22" s="685"/>
      <c r="W22" s="653"/>
      <c r="X22" s="2">
        <v>1</v>
      </c>
    </row>
    <row r="23" spans="1:24" s="2" customFormat="1" x14ac:dyDescent="0.25">
      <c r="A23" s="666"/>
      <c r="B23" s="654"/>
      <c r="C23" s="654"/>
      <c r="D23" s="654"/>
      <c r="E23" s="654"/>
      <c r="F23" s="650"/>
      <c r="G23" s="658"/>
      <c r="H23" s="651"/>
      <c r="I23" s="655"/>
      <c r="J23" s="688"/>
      <c r="K23" s="691"/>
      <c r="L23" s="654"/>
      <c r="M23" s="654"/>
      <c r="N23" s="521">
        <v>44743</v>
      </c>
      <c r="O23" s="650"/>
      <c r="P23" s="514">
        <v>13305.29</v>
      </c>
      <c r="Q23" s="515" t="s">
        <v>447</v>
      </c>
      <c r="R23" s="516"/>
      <c r="S23" s="514"/>
      <c r="T23" s="514"/>
      <c r="U23" s="651"/>
      <c r="V23" s="685"/>
      <c r="W23" s="653"/>
      <c r="X23" s="2">
        <v>1</v>
      </c>
    </row>
    <row r="24" spans="1:24" s="2" customFormat="1" x14ac:dyDescent="0.25">
      <c r="A24" s="666"/>
      <c r="B24" s="654"/>
      <c r="C24" s="654"/>
      <c r="D24" s="654"/>
      <c r="E24" s="654"/>
      <c r="F24" s="650"/>
      <c r="G24" s="658"/>
      <c r="H24" s="651"/>
      <c r="I24" s="655"/>
      <c r="J24" s="688"/>
      <c r="K24" s="691"/>
      <c r="L24" s="654"/>
      <c r="M24" s="654"/>
      <c r="N24" s="521">
        <v>44774</v>
      </c>
      <c r="O24" s="650"/>
      <c r="P24" s="514">
        <v>9978.9699999999993</v>
      </c>
      <c r="Q24" s="515" t="s">
        <v>481</v>
      </c>
      <c r="R24" s="516"/>
      <c r="S24" s="514"/>
      <c r="T24" s="514"/>
      <c r="U24" s="651"/>
      <c r="V24" s="685"/>
      <c r="W24" s="653"/>
      <c r="X24" s="2">
        <v>1</v>
      </c>
    </row>
    <row r="25" spans="1:24" s="2" customFormat="1" x14ac:dyDescent="0.25">
      <c r="A25" s="666"/>
      <c r="B25" s="654"/>
      <c r="C25" s="654"/>
      <c r="D25" s="654"/>
      <c r="E25" s="654"/>
      <c r="F25" s="650"/>
      <c r="G25" s="658"/>
      <c r="H25" s="651"/>
      <c r="I25" s="655"/>
      <c r="J25" s="688"/>
      <c r="K25" s="691"/>
      <c r="L25" s="654"/>
      <c r="M25" s="654"/>
      <c r="N25" s="521">
        <v>44774</v>
      </c>
      <c r="O25" s="650"/>
      <c r="P25" s="514">
        <v>5421</v>
      </c>
      <c r="Q25" s="515" t="s">
        <v>489</v>
      </c>
      <c r="R25" s="516"/>
      <c r="S25" s="514"/>
      <c r="T25" s="514"/>
      <c r="U25" s="651"/>
      <c r="V25" s="685"/>
      <c r="W25" s="653"/>
      <c r="X25" s="2">
        <v>1</v>
      </c>
    </row>
    <row r="26" spans="1:24" s="2" customFormat="1" x14ac:dyDescent="0.25">
      <c r="A26" s="666"/>
      <c r="B26" s="654"/>
      <c r="C26" s="654"/>
      <c r="D26" s="654"/>
      <c r="E26" s="654"/>
      <c r="F26" s="650"/>
      <c r="G26" s="658"/>
      <c r="H26" s="651"/>
      <c r="I26" s="655"/>
      <c r="J26" s="688"/>
      <c r="K26" s="691"/>
      <c r="L26" s="654"/>
      <c r="M26" s="654"/>
      <c r="N26" s="521">
        <v>44805</v>
      </c>
      <c r="O26" s="650"/>
      <c r="P26" s="514">
        <v>4065.74</v>
      </c>
      <c r="Q26" s="515" t="s">
        <v>493</v>
      </c>
      <c r="R26" s="516"/>
      <c r="S26" s="514"/>
      <c r="T26" s="514"/>
      <c r="U26" s="651"/>
      <c r="V26" s="685"/>
      <c r="W26" s="653"/>
      <c r="X26" s="2">
        <v>1</v>
      </c>
    </row>
    <row r="27" spans="1:24" s="2" customFormat="1" x14ac:dyDescent="0.25">
      <c r="A27" s="666"/>
      <c r="B27" s="654"/>
      <c r="C27" s="654"/>
      <c r="D27" s="654"/>
      <c r="E27" s="654"/>
      <c r="F27" s="650"/>
      <c r="G27" s="658"/>
      <c r="H27" s="651"/>
      <c r="I27" s="655"/>
      <c r="J27" s="688"/>
      <c r="K27" s="691"/>
      <c r="L27" s="654"/>
      <c r="M27" s="654"/>
      <c r="N27" s="521">
        <v>44835</v>
      </c>
      <c r="O27" s="650"/>
      <c r="P27" s="514">
        <v>6152.29</v>
      </c>
      <c r="Q27" s="515" t="s">
        <v>576</v>
      </c>
      <c r="R27" s="516"/>
      <c r="S27" s="514"/>
      <c r="T27" s="514"/>
      <c r="U27" s="651"/>
      <c r="V27" s="685"/>
      <c r="W27" s="653"/>
      <c r="X27" s="2">
        <v>1</v>
      </c>
    </row>
    <row r="28" spans="1:24" s="2" customFormat="1" x14ac:dyDescent="0.25">
      <c r="A28" s="666"/>
      <c r="B28" s="654"/>
      <c r="C28" s="654"/>
      <c r="D28" s="654"/>
      <c r="E28" s="654"/>
      <c r="F28" s="650"/>
      <c r="G28" s="658"/>
      <c r="H28" s="651"/>
      <c r="I28" s="655"/>
      <c r="J28" s="688"/>
      <c r="K28" s="691"/>
      <c r="L28" s="654"/>
      <c r="M28" s="654"/>
      <c r="N28" s="521">
        <v>44834</v>
      </c>
      <c r="O28" s="650"/>
      <c r="P28" s="514">
        <v>30594.12</v>
      </c>
      <c r="Q28" s="515" t="s">
        <v>580</v>
      </c>
      <c r="R28" s="516"/>
      <c r="S28" s="514"/>
      <c r="T28" s="514"/>
      <c r="U28" s="651"/>
      <c r="V28" s="685"/>
      <c r="W28" s="653"/>
      <c r="X28" s="2">
        <v>1</v>
      </c>
    </row>
    <row r="29" spans="1:24" s="2" customFormat="1" x14ac:dyDescent="0.25">
      <c r="A29" s="580"/>
      <c r="B29" s="586"/>
      <c r="C29" s="586"/>
      <c r="D29" s="586"/>
      <c r="E29" s="586"/>
      <c r="F29" s="582"/>
      <c r="G29" s="592"/>
      <c r="H29" s="584"/>
      <c r="I29" s="594"/>
      <c r="J29" s="689"/>
      <c r="K29" s="692"/>
      <c r="L29" s="586"/>
      <c r="M29" s="586"/>
      <c r="N29" s="522">
        <v>44835</v>
      </c>
      <c r="O29" s="582"/>
      <c r="P29" s="517">
        <v>24631.200000000001</v>
      </c>
      <c r="Q29" s="518" t="s">
        <v>580</v>
      </c>
      <c r="R29" s="519"/>
      <c r="S29" s="517"/>
      <c r="T29" s="517"/>
      <c r="U29" s="584"/>
      <c r="V29" s="686"/>
      <c r="W29" s="590"/>
      <c r="X29" s="2">
        <v>1</v>
      </c>
    </row>
    <row r="30" spans="1:24" s="108" customFormat="1" ht="72" customHeight="1" x14ac:dyDescent="0.25">
      <c r="A30" s="579">
        <v>2</v>
      </c>
      <c r="B30" s="585" t="s">
        <v>56</v>
      </c>
      <c r="C30" s="585"/>
      <c r="D30" s="585"/>
      <c r="E30" s="585" t="s">
        <v>151</v>
      </c>
      <c r="F30" s="581">
        <v>44561</v>
      </c>
      <c r="G30" s="591" t="s">
        <v>152</v>
      </c>
      <c r="H30" s="583">
        <v>41067</v>
      </c>
      <c r="I30" s="593">
        <f>IF(X30 = 2, H30 + SUM(S30:S38) - SUM(T30:T38) - SUM(P30:P38) - V30,0)</f>
        <v>10467.989999999998</v>
      </c>
      <c r="J30" s="687">
        <v>2308131994</v>
      </c>
      <c r="K30" s="690" t="s">
        <v>153</v>
      </c>
      <c r="L30" s="585"/>
      <c r="M30" s="585" t="s">
        <v>150</v>
      </c>
      <c r="N30" s="520">
        <v>44592</v>
      </c>
      <c r="O30" s="581" t="s">
        <v>154</v>
      </c>
      <c r="P30" s="511">
        <v>3355.17</v>
      </c>
      <c r="Q30" s="512" t="s">
        <v>388</v>
      </c>
      <c r="R30" s="513"/>
      <c r="S30" s="511"/>
      <c r="T30" s="511"/>
      <c r="U30" s="583"/>
      <c r="V30" s="684"/>
      <c r="W30" s="589"/>
      <c r="X30" s="108">
        <v>2</v>
      </c>
    </row>
    <row r="31" spans="1:24" s="2" customFormat="1" x14ac:dyDescent="0.25">
      <c r="A31" s="666"/>
      <c r="B31" s="654"/>
      <c r="C31" s="654"/>
      <c r="D31" s="654"/>
      <c r="E31" s="654"/>
      <c r="F31" s="650"/>
      <c r="G31" s="658"/>
      <c r="H31" s="651"/>
      <c r="I31" s="655"/>
      <c r="J31" s="688"/>
      <c r="K31" s="691"/>
      <c r="L31" s="654"/>
      <c r="M31" s="654"/>
      <c r="N31" s="521">
        <v>44620</v>
      </c>
      <c r="O31" s="650"/>
      <c r="P31" s="514">
        <v>3355.17</v>
      </c>
      <c r="Q31" s="515" t="s">
        <v>241</v>
      </c>
      <c r="R31" s="516"/>
      <c r="S31" s="514"/>
      <c r="T31" s="514"/>
      <c r="U31" s="651"/>
      <c r="V31" s="685"/>
      <c r="W31" s="653"/>
      <c r="X31" s="2">
        <v>2</v>
      </c>
    </row>
    <row r="32" spans="1:24" s="2" customFormat="1" x14ac:dyDescent="0.25">
      <c r="A32" s="666"/>
      <c r="B32" s="654"/>
      <c r="C32" s="654"/>
      <c r="D32" s="654"/>
      <c r="E32" s="654"/>
      <c r="F32" s="650"/>
      <c r="G32" s="658"/>
      <c r="H32" s="651"/>
      <c r="I32" s="655"/>
      <c r="J32" s="688"/>
      <c r="K32" s="691"/>
      <c r="L32" s="654"/>
      <c r="M32" s="654"/>
      <c r="N32" s="521">
        <v>44651</v>
      </c>
      <c r="O32" s="650"/>
      <c r="P32" s="514">
        <v>3355.17</v>
      </c>
      <c r="Q32" s="515" t="s">
        <v>242</v>
      </c>
      <c r="R32" s="516"/>
      <c r="S32" s="514"/>
      <c r="T32" s="514"/>
      <c r="U32" s="651"/>
      <c r="V32" s="685"/>
      <c r="W32" s="653"/>
      <c r="X32" s="2">
        <v>2</v>
      </c>
    </row>
    <row r="33" spans="1:24" s="2" customFormat="1" x14ac:dyDescent="0.25">
      <c r="A33" s="666"/>
      <c r="B33" s="654"/>
      <c r="C33" s="654"/>
      <c r="D33" s="654"/>
      <c r="E33" s="654"/>
      <c r="F33" s="650"/>
      <c r="G33" s="658"/>
      <c r="H33" s="651"/>
      <c r="I33" s="655"/>
      <c r="J33" s="688"/>
      <c r="K33" s="691"/>
      <c r="L33" s="654"/>
      <c r="M33" s="654"/>
      <c r="N33" s="521">
        <v>44681</v>
      </c>
      <c r="O33" s="650"/>
      <c r="P33" s="514">
        <v>3355.17</v>
      </c>
      <c r="Q33" s="515" t="s">
        <v>243</v>
      </c>
      <c r="R33" s="516"/>
      <c r="S33" s="514"/>
      <c r="T33" s="514"/>
      <c r="U33" s="651"/>
      <c r="V33" s="685"/>
      <c r="W33" s="653"/>
      <c r="X33" s="2">
        <v>2</v>
      </c>
    </row>
    <row r="34" spans="1:24" s="2" customFormat="1" x14ac:dyDescent="0.25">
      <c r="A34" s="666"/>
      <c r="B34" s="654"/>
      <c r="C34" s="654"/>
      <c r="D34" s="654"/>
      <c r="E34" s="654"/>
      <c r="F34" s="650"/>
      <c r="G34" s="658"/>
      <c r="H34" s="651"/>
      <c r="I34" s="655"/>
      <c r="J34" s="688"/>
      <c r="K34" s="691"/>
      <c r="L34" s="654"/>
      <c r="M34" s="654"/>
      <c r="N34" s="521">
        <v>44712</v>
      </c>
      <c r="O34" s="650"/>
      <c r="P34" s="514">
        <v>3355.17</v>
      </c>
      <c r="Q34" s="515" t="s">
        <v>380</v>
      </c>
      <c r="R34" s="516"/>
      <c r="S34" s="514"/>
      <c r="T34" s="514"/>
      <c r="U34" s="651"/>
      <c r="V34" s="685"/>
      <c r="W34" s="653"/>
      <c r="X34" s="2">
        <v>2</v>
      </c>
    </row>
    <row r="35" spans="1:24" s="2" customFormat="1" x14ac:dyDescent="0.25">
      <c r="A35" s="666"/>
      <c r="B35" s="654"/>
      <c r="C35" s="654"/>
      <c r="D35" s="654"/>
      <c r="E35" s="654"/>
      <c r="F35" s="650"/>
      <c r="G35" s="658"/>
      <c r="H35" s="651"/>
      <c r="I35" s="655"/>
      <c r="J35" s="688"/>
      <c r="K35" s="691"/>
      <c r="L35" s="654"/>
      <c r="M35" s="654"/>
      <c r="N35" s="521">
        <v>44742</v>
      </c>
      <c r="O35" s="650"/>
      <c r="P35" s="514">
        <v>3355.17</v>
      </c>
      <c r="Q35" s="515" t="s">
        <v>445</v>
      </c>
      <c r="R35" s="516"/>
      <c r="S35" s="514"/>
      <c r="T35" s="514"/>
      <c r="U35" s="651"/>
      <c r="V35" s="685"/>
      <c r="W35" s="653"/>
      <c r="X35" s="2">
        <v>2</v>
      </c>
    </row>
    <row r="36" spans="1:24" s="2" customFormat="1" x14ac:dyDescent="0.25">
      <c r="A36" s="666"/>
      <c r="B36" s="654"/>
      <c r="C36" s="654"/>
      <c r="D36" s="654"/>
      <c r="E36" s="654"/>
      <c r="F36" s="650"/>
      <c r="G36" s="658"/>
      <c r="H36" s="651"/>
      <c r="I36" s="655"/>
      <c r="J36" s="688"/>
      <c r="K36" s="691"/>
      <c r="L36" s="654"/>
      <c r="M36" s="654"/>
      <c r="N36" s="521">
        <v>44773</v>
      </c>
      <c r="O36" s="650"/>
      <c r="P36" s="514">
        <v>3489.33</v>
      </c>
      <c r="Q36" s="515" t="s">
        <v>486</v>
      </c>
      <c r="R36" s="516"/>
      <c r="S36" s="514"/>
      <c r="T36" s="514"/>
      <c r="U36" s="651"/>
      <c r="V36" s="685"/>
      <c r="W36" s="653"/>
      <c r="X36" s="2">
        <v>2</v>
      </c>
    </row>
    <row r="37" spans="1:24" s="2" customFormat="1" x14ac:dyDescent="0.25">
      <c r="A37" s="666"/>
      <c r="B37" s="654"/>
      <c r="C37" s="654"/>
      <c r="D37" s="654"/>
      <c r="E37" s="654"/>
      <c r="F37" s="650"/>
      <c r="G37" s="658"/>
      <c r="H37" s="651"/>
      <c r="I37" s="655"/>
      <c r="J37" s="688"/>
      <c r="K37" s="691"/>
      <c r="L37" s="654"/>
      <c r="M37" s="654"/>
      <c r="N37" s="521">
        <v>44804</v>
      </c>
      <c r="O37" s="650"/>
      <c r="P37" s="514">
        <v>3489.33</v>
      </c>
      <c r="Q37" s="515" t="s">
        <v>525</v>
      </c>
      <c r="R37" s="516"/>
      <c r="S37" s="514"/>
      <c r="T37" s="514"/>
      <c r="U37" s="651"/>
      <c r="V37" s="685"/>
      <c r="W37" s="653"/>
      <c r="X37" s="2">
        <v>2</v>
      </c>
    </row>
    <row r="38" spans="1:24" s="2" customFormat="1" x14ac:dyDescent="0.25">
      <c r="A38" s="580"/>
      <c r="B38" s="586"/>
      <c r="C38" s="586"/>
      <c r="D38" s="586"/>
      <c r="E38" s="586"/>
      <c r="F38" s="582"/>
      <c r="G38" s="592"/>
      <c r="H38" s="584"/>
      <c r="I38" s="594"/>
      <c r="J38" s="689"/>
      <c r="K38" s="692"/>
      <c r="L38" s="586"/>
      <c r="M38" s="586"/>
      <c r="N38" s="522">
        <v>44834</v>
      </c>
      <c r="O38" s="582"/>
      <c r="P38" s="517">
        <v>3489.33</v>
      </c>
      <c r="Q38" s="518" t="s">
        <v>578</v>
      </c>
      <c r="R38" s="519"/>
      <c r="S38" s="517"/>
      <c r="T38" s="517"/>
      <c r="U38" s="584"/>
      <c r="V38" s="686"/>
      <c r="W38" s="590"/>
      <c r="X38" s="2">
        <v>2</v>
      </c>
    </row>
    <row r="39" spans="1:24" s="108" customFormat="1" ht="54" customHeight="1" x14ac:dyDescent="0.25">
      <c r="A39" s="713">
        <v>3</v>
      </c>
      <c r="B39" s="715" t="s">
        <v>56</v>
      </c>
      <c r="C39" s="715"/>
      <c r="D39" s="715"/>
      <c r="E39" s="715" t="s">
        <v>155</v>
      </c>
      <c r="F39" s="764">
        <v>44560</v>
      </c>
      <c r="G39" s="838" t="s">
        <v>156</v>
      </c>
      <c r="H39" s="766">
        <v>113280</v>
      </c>
      <c r="I39" s="832">
        <f>IF(X39 = 3, H39 + SUM(S39:S40) - SUM(T39:T40) - SUM(P39:P40) - V39,0)</f>
        <v>0</v>
      </c>
      <c r="J39" s="834">
        <v>2304067057</v>
      </c>
      <c r="K39" s="836" t="s">
        <v>157</v>
      </c>
      <c r="L39" s="715"/>
      <c r="M39" s="715" t="s">
        <v>158</v>
      </c>
      <c r="N39" s="174">
        <v>44592</v>
      </c>
      <c r="O39" s="764" t="s">
        <v>159</v>
      </c>
      <c r="P39" s="168">
        <v>59520</v>
      </c>
      <c r="Q39" s="169">
        <v>44601</v>
      </c>
      <c r="R39" s="170"/>
      <c r="S39" s="168"/>
      <c r="T39" s="168"/>
      <c r="U39" s="766"/>
      <c r="V39" s="872"/>
      <c r="W39" s="786"/>
      <c r="X39" s="108">
        <v>3</v>
      </c>
    </row>
    <row r="40" spans="1:24" s="2" customFormat="1" x14ac:dyDescent="0.25">
      <c r="A40" s="714"/>
      <c r="B40" s="716"/>
      <c r="C40" s="716"/>
      <c r="D40" s="716"/>
      <c r="E40" s="716"/>
      <c r="F40" s="765"/>
      <c r="G40" s="839"/>
      <c r="H40" s="767"/>
      <c r="I40" s="833"/>
      <c r="J40" s="835"/>
      <c r="K40" s="837"/>
      <c r="L40" s="716"/>
      <c r="M40" s="716"/>
      <c r="N40" s="175">
        <v>44620</v>
      </c>
      <c r="O40" s="765"/>
      <c r="P40" s="171">
        <v>53760</v>
      </c>
      <c r="Q40" s="172">
        <v>44634</v>
      </c>
      <c r="R40" s="173"/>
      <c r="S40" s="171"/>
      <c r="T40" s="171"/>
      <c r="U40" s="767"/>
      <c r="V40" s="873"/>
      <c r="W40" s="787"/>
      <c r="X40" s="2">
        <v>3</v>
      </c>
    </row>
    <row r="41" spans="1:24" s="108" customFormat="1" ht="54" customHeight="1" x14ac:dyDescent="0.25">
      <c r="A41" s="829">
        <v>4</v>
      </c>
      <c r="B41" s="710" t="s">
        <v>56</v>
      </c>
      <c r="C41" s="710"/>
      <c r="D41" s="710"/>
      <c r="E41" s="710" t="s">
        <v>57</v>
      </c>
      <c r="F41" s="768">
        <v>44581</v>
      </c>
      <c r="G41" s="771" t="s">
        <v>160</v>
      </c>
      <c r="H41" s="774">
        <v>298200</v>
      </c>
      <c r="I41" s="777">
        <f>IF(X41 = 4, H41 + SUM(S41:S43) - SUM(T41:T43) - SUM(P41:P43) - V41,0)</f>
        <v>0</v>
      </c>
      <c r="J41" s="780">
        <v>235300578903</v>
      </c>
      <c r="K41" s="783" t="s">
        <v>161</v>
      </c>
      <c r="L41" s="710"/>
      <c r="M41" s="710" t="s">
        <v>162</v>
      </c>
      <c r="N41" s="195">
        <v>44592</v>
      </c>
      <c r="O41" s="768" t="s">
        <v>159</v>
      </c>
      <c r="P41" s="177">
        <v>93684.5</v>
      </c>
      <c r="Q41" s="178">
        <v>44602</v>
      </c>
      <c r="R41" s="179"/>
      <c r="S41" s="177"/>
      <c r="T41" s="177"/>
      <c r="U41" s="774" t="s">
        <v>544</v>
      </c>
      <c r="V41" s="707">
        <v>15655.5</v>
      </c>
      <c r="W41" s="761"/>
      <c r="X41" s="108">
        <v>4</v>
      </c>
    </row>
    <row r="42" spans="1:24" s="2" customFormat="1" x14ac:dyDescent="0.25">
      <c r="A42" s="830"/>
      <c r="B42" s="711"/>
      <c r="C42" s="711"/>
      <c r="D42" s="711"/>
      <c r="E42" s="711"/>
      <c r="F42" s="769"/>
      <c r="G42" s="772"/>
      <c r="H42" s="775"/>
      <c r="I42" s="778"/>
      <c r="J42" s="781"/>
      <c r="K42" s="784"/>
      <c r="L42" s="711"/>
      <c r="M42" s="711"/>
      <c r="N42" s="196">
        <v>44620</v>
      </c>
      <c r="O42" s="769"/>
      <c r="P42" s="180">
        <v>106358</v>
      </c>
      <c r="Q42" s="181">
        <v>44624</v>
      </c>
      <c r="R42" s="182"/>
      <c r="S42" s="180"/>
      <c r="T42" s="180"/>
      <c r="U42" s="775"/>
      <c r="V42" s="708"/>
      <c r="W42" s="762"/>
      <c r="X42" s="2">
        <v>4</v>
      </c>
    </row>
    <row r="43" spans="1:24" s="2" customFormat="1" x14ac:dyDescent="0.25">
      <c r="A43" s="831"/>
      <c r="B43" s="712"/>
      <c r="C43" s="712"/>
      <c r="D43" s="712"/>
      <c r="E43" s="712"/>
      <c r="F43" s="770"/>
      <c r="G43" s="773"/>
      <c r="H43" s="776"/>
      <c r="I43" s="779"/>
      <c r="J43" s="782"/>
      <c r="K43" s="785"/>
      <c r="L43" s="712"/>
      <c r="M43" s="712"/>
      <c r="N43" s="197">
        <v>44651</v>
      </c>
      <c r="O43" s="770"/>
      <c r="P43" s="190">
        <v>82502</v>
      </c>
      <c r="Q43" s="191" t="s">
        <v>238</v>
      </c>
      <c r="R43" s="192"/>
      <c r="S43" s="190"/>
      <c r="T43" s="190"/>
      <c r="U43" s="776"/>
      <c r="V43" s="709"/>
      <c r="W43" s="763"/>
      <c r="X43" s="2">
        <v>4</v>
      </c>
    </row>
    <row r="44" spans="1:24" s="108" customFormat="1" ht="75" x14ac:dyDescent="0.25">
      <c r="A44" s="109">
        <v>5</v>
      </c>
      <c r="B44" s="110" t="s">
        <v>56</v>
      </c>
      <c r="C44" s="110"/>
      <c r="D44" s="110"/>
      <c r="E44" s="110" t="s">
        <v>168</v>
      </c>
      <c r="F44" s="116">
        <v>44585</v>
      </c>
      <c r="G44" s="111" t="s">
        <v>169</v>
      </c>
      <c r="H44" s="117">
        <v>14290</v>
      </c>
      <c r="I44" s="118">
        <f>IF(X44 = 5, H44 + SUM(S44:S44) - SUM(T44:T44) - SUM(P44:P44) - V44,0)</f>
        <v>0</v>
      </c>
      <c r="J44" s="113">
        <v>2353002623</v>
      </c>
      <c r="K44" s="114" t="s">
        <v>170</v>
      </c>
      <c r="L44" s="110"/>
      <c r="M44" s="110" t="s">
        <v>171</v>
      </c>
      <c r="N44" s="116">
        <v>44585</v>
      </c>
      <c r="O44" s="116" t="s">
        <v>159</v>
      </c>
      <c r="P44" s="117">
        <v>14290</v>
      </c>
      <c r="Q44" s="111">
        <v>44593</v>
      </c>
      <c r="R44" s="110"/>
      <c r="S44" s="117"/>
      <c r="T44" s="117"/>
      <c r="U44" s="117"/>
      <c r="V44" s="112"/>
      <c r="W44" s="115"/>
      <c r="X44" s="108">
        <v>5</v>
      </c>
    </row>
    <row r="45" spans="1:24" s="108" customFormat="1" ht="54" customHeight="1" x14ac:dyDescent="0.25">
      <c r="A45" s="579">
        <v>6</v>
      </c>
      <c r="B45" s="585" t="s">
        <v>56</v>
      </c>
      <c r="C45" s="585"/>
      <c r="D45" s="585"/>
      <c r="E45" s="585" t="s">
        <v>176</v>
      </c>
      <c r="F45" s="581">
        <v>44560</v>
      </c>
      <c r="G45" s="591" t="s">
        <v>177</v>
      </c>
      <c r="H45" s="583">
        <v>16405</v>
      </c>
      <c r="I45" s="593">
        <f>IF(X45 = 6, H45 + SUM(S45:S53) - SUM(T45:T53) - SUM(P45:P53) - V45,0)</f>
        <v>6465.75</v>
      </c>
      <c r="J45" s="687">
        <v>2369002347</v>
      </c>
      <c r="K45" s="690" t="s">
        <v>178</v>
      </c>
      <c r="L45" s="585"/>
      <c r="M45" s="585" t="s">
        <v>150</v>
      </c>
      <c r="N45" s="520">
        <v>44592</v>
      </c>
      <c r="O45" s="581" t="s">
        <v>159</v>
      </c>
      <c r="P45" s="511">
        <v>1556.77</v>
      </c>
      <c r="Q45" s="512">
        <v>44608</v>
      </c>
      <c r="R45" s="513" t="s">
        <v>549</v>
      </c>
      <c r="S45" s="511">
        <v>943.25</v>
      </c>
      <c r="T45" s="511"/>
      <c r="U45" s="583"/>
      <c r="V45" s="684"/>
      <c r="W45" s="589"/>
      <c r="X45" s="108">
        <v>6</v>
      </c>
    </row>
    <row r="46" spans="1:24" s="2" customFormat="1" ht="56.25" x14ac:dyDescent="0.25">
      <c r="A46" s="666"/>
      <c r="B46" s="654"/>
      <c r="C46" s="654"/>
      <c r="D46" s="654"/>
      <c r="E46" s="654"/>
      <c r="F46" s="650"/>
      <c r="G46" s="658"/>
      <c r="H46" s="651"/>
      <c r="I46" s="655"/>
      <c r="J46" s="688"/>
      <c r="K46" s="691"/>
      <c r="L46" s="654"/>
      <c r="M46" s="654"/>
      <c r="N46" s="521">
        <v>44620</v>
      </c>
      <c r="O46" s="650"/>
      <c r="P46" s="514">
        <v>4176.7</v>
      </c>
      <c r="Q46" s="515">
        <v>44645</v>
      </c>
      <c r="R46" s="524" t="s">
        <v>595</v>
      </c>
      <c r="S46" s="514">
        <v>6465.75</v>
      </c>
      <c r="T46" s="514"/>
      <c r="U46" s="651"/>
      <c r="V46" s="685"/>
      <c r="W46" s="653"/>
      <c r="X46" s="2">
        <v>6</v>
      </c>
    </row>
    <row r="47" spans="1:24" s="2" customFormat="1" x14ac:dyDescent="0.25">
      <c r="A47" s="666"/>
      <c r="B47" s="654"/>
      <c r="C47" s="654"/>
      <c r="D47" s="654"/>
      <c r="E47" s="654"/>
      <c r="F47" s="650"/>
      <c r="G47" s="658"/>
      <c r="H47" s="651"/>
      <c r="I47" s="655"/>
      <c r="J47" s="688"/>
      <c r="K47" s="691"/>
      <c r="L47" s="654"/>
      <c r="M47" s="654"/>
      <c r="N47" s="521">
        <v>44651</v>
      </c>
      <c r="O47" s="650"/>
      <c r="P47" s="514">
        <v>2392.11</v>
      </c>
      <c r="Q47" s="515" t="s">
        <v>244</v>
      </c>
      <c r="R47" s="516"/>
      <c r="S47" s="514"/>
      <c r="T47" s="514"/>
      <c r="U47" s="651"/>
      <c r="V47" s="685"/>
      <c r="W47" s="653"/>
      <c r="X47" s="2">
        <v>6</v>
      </c>
    </row>
    <row r="48" spans="1:24" s="2" customFormat="1" x14ac:dyDescent="0.25">
      <c r="A48" s="666"/>
      <c r="B48" s="654"/>
      <c r="C48" s="654"/>
      <c r="D48" s="654"/>
      <c r="E48" s="654"/>
      <c r="F48" s="650"/>
      <c r="G48" s="658"/>
      <c r="H48" s="651"/>
      <c r="I48" s="655"/>
      <c r="J48" s="688"/>
      <c r="K48" s="691"/>
      <c r="L48" s="654"/>
      <c r="M48" s="654"/>
      <c r="N48" s="521">
        <v>44681</v>
      </c>
      <c r="O48" s="650"/>
      <c r="P48" s="514">
        <v>1936.47</v>
      </c>
      <c r="Q48" s="515" t="s">
        <v>245</v>
      </c>
      <c r="R48" s="516"/>
      <c r="S48" s="514"/>
      <c r="T48" s="514"/>
      <c r="U48" s="651"/>
      <c r="V48" s="685"/>
      <c r="W48" s="653"/>
      <c r="X48" s="2">
        <v>6</v>
      </c>
    </row>
    <row r="49" spans="1:24" s="2" customFormat="1" x14ac:dyDescent="0.25">
      <c r="A49" s="666"/>
      <c r="B49" s="654"/>
      <c r="C49" s="654"/>
      <c r="D49" s="654"/>
      <c r="E49" s="654"/>
      <c r="F49" s="650"/>
      <c r="G49" s="658"/>
      <c r="H49" s="651"/>
      <c r="I49" s="655"/>
      <c r="J49" s="688"/>
      <c r="K49" s="691"/>
      <c r="L49" s="654"/>
      <c r="M49" s="654"/>
      <c r="N49" s="521">
        <v>44736</v>
      </c>
      <c r="O49" s="650"/>
      <c r="P49" s="514">
        <v>3341.36</v>
      </c>
      <c r="Q49" s="515" t="s">
        <v>411</v>
      </c>
      <c r="R49" s="516"/>
      <c r="S49" s="514"/>
      <c r="T49" s="514"/>
      <c r="U49" s="651"/>
      <c r="V49" s="685"/>
      <c r="W49" s="653"/>
      <c r="X49" s="2">
        <v>6</v>
      </c>
    </row>
    <row r="50" spans="1:24" s="2" customFormat="1" x14ac:dyDescent="0.25">
      <c r="A50" s="666"/>
      <c r="B50" s="654"/>
      <c r="C50" s="654"/>
      <c r="D50" s="654"/>
      <c r="E50" s="654"/>
      <c r="F50" s="650"/>
      <c r="G50" s="658"/>
      <c r="H50" s="651"/>
      <c r="I50" s="655"/>
      <c r="J50" s="688"/>
      <c r="K50" s="691"/>
      <c r="L50" s="654"/>
      <c r="M50" s="654"/>
      <c r="N50" s="521">
        <v>44742</v>
      </c>
      <c r="O50" s="650"/>
      <c r="P50" s="514">
        <v>151.88</v>
      </c>
      <c r="Q50" s="515" t="s">
        <v>448</v>
      </c>
      <c r="R50" s="516"/>
      <c r="S50" s="514"/>
      <c r="T50" s="514"/>
      <c r="U50" s="651"/>
      <c r="V50" s="685"/>
      <c r="W50" s="653"/>
      <c r="X50" s="2">
        <v>6</v>
      </c>
    </row>
    <row r="51" spans="1:24" s="2" customFormat="1" x14ac:dyDescent="0.25">
      <c r="A51" s="666"/>
      <c r="B51" s="654"/>
      <c r="C51" s="654"/>
      <c r="D51" s="654"/>
      <c r="E51" s="654"/>
      <c r="F51" s="650"/>
      <c r="G51" s="658"/>
      <c r="H51" s="651"/>
      <c r="I51" s="655"/>
      <c r="J51" s="688"/>
      <c r="K51" s="691"/>
      <c r="L51" s="654"/>
      <c r="M51" s="654"/>
      <c r="N51" s="521">
        <v>44773</v>
      </c>
      <c r="O51" s="650"/>
      <c r="P51" s="514">
        <v>276.57</v>
      </c>
      <c r="Q51" s="515" t="s">
        <v>484</v>
      </c>
      <c r="R51" s="516"/>
      <c r="S51" s="514"/>
      <c r="T51" s="514"/>
      <c r="U51" s="651"/>
      <c r="V51" s="685"/>
      <c r="W51" s="653"/>
      <c r="X51" s="2">
        <v>6</v>
      </c>
    </row>
    <row r="52" spans="1:24" s="2" customFormat="1" x14ac:dyDescent="0.25">
      <c r="A52" s="666"/>
      <c r="B52" s="654"/>
      <c r="C52" s="654"/>
      <c r="D52" s="654"/>
      <c r="E52" s="654"/>
      <c r="F52" s="650"/>
      <c r="G52" s="658"/>
      <c r="H52" s="651"/>
      <c r="I52" s="655"/>
      <c r="J52" s="688"/>
      <c r="K52" s="691"/>
      <c r="L52" s="654"/>
      <c r="M52" s="654"/>
      <c r="N52" s="521">
        <v>44811</v>
      </c>
      <c r="O52" s="650"/>
      <c r="P52" s="514">
        <v>1185.3</v>
      </c>
      <c r="Q52" s="515" t="s">
        <v>527</v>
      </c>
      <c r="R52" s="516"/>
      <c r="S52" s="514"/>
      <c r="T52" s="514"/>
      <c r="U52" s="651"/>
      <c r="V52" s="685"/>
      <c r="W52" s="653"/>
      <c r="X52" s="2">
        <v>6</v>
      </c>
    </row>
    <row r="53" spans="1:24" s="2" customFormat="1" x14ac:dyDescent="0.25">
      <c r="A53" s="580"/>
      <c r="B53" s="586"/>
      <c r="C53" s="586"/>
      <c r="D53" s="586"/>
      <c r="E53" s="586"/>
      <c r="F53" s="582"/>
      <c r="G53" s="592"/>
      <c r="H53" s="584"/>
      <c r="I53" s="594"/>
      <c r="J53" s="689"/>
      <c r="K53" s="692"/>
      <c r="L53" s="586"/>
      <c r="M53" s="586"/>
      <c r="N53" s="522">
        <v>44834</v>
      </c>
      <c r="O53" s="582"/>
      <c r="P53" s="517">
        <v>2331.09</v>
      </c>
      <c r="Q53" s="518" t="s">
        <v>580</v>
      </c>
      <c r="R53" s="519"/>
      <c r="S53" s="517"/>
      <c r="T53" s="517"/>
      <c r="U53" s="584"/>
      <c r="V53" s="686"/>
      <c r="W53" s="590"/>
      <c r="X53" s="2">
        <v>6</v>
      </c>
    </row>
    <row r="54" spans="1:24" s="108" customFormat="1" ht="72" customHeight="1" x14ac:dyDescent="0.25">
      <c r="A54" s="579">
        <v>7</v>
      </c>
      <c r="B54" s="585" t="s">
        <v>56</v>
      </c>
      <c r="C54" s="585"/>
      <c r="D54" s="585"/>
      <c r="E54" s="585" t="s">
        <v>179</v>
      </c>
      <c r="F54" s="581">
        <v>44560</v>
      </c>
      <c r="G54" s="591" t="s">
        <v>180</v>
      </c>
      <c r="H54" s="583">
        <v>27288.84</v>
      </c>
      <c r="I54" s="593">
        <f>IF(X54 = 7, H54 + SUM(S54:S62) - SUM(T54:T62) - SUM(P54:P62) - V54,0)</f>
        <v>6822.2099999999991</v>
      </c>
      <c r="J54" s="687">
        <v>2310163739</v>
      </c>
      <c r="K54" s="690" t="s">
        <v>181</v>
      </c>
      <c r="L54" s="585"/>
      <c r="M54" s="585" t="s">
        <v>150</v>
      </c>
      <c r="N54" s="520">
        <v>44592</v>
      </c>
      <c r="O54" s="581" t="s">
        <v>159</v>
      </c>
      <c r="P54" s="511">
        <v>2274.0700000000002</v>
      </c>
      <c r="Q54" s="512">
        <v>44608</v>
      </c>
      <c r="R54" s="513"/>
      <c r="S54" s="511"/>
      <c r="T54" s="511"/>
      <c r="U54" s="583"/>
      <c r="V54" s="684"/>
      <c r="W54" s="589"/>
      <c r="X54" s="108">
        <v>7</v>
      </c>
    </row>
    <row r="55" spans="1:24" s="2" customFormat="1" x14ac:dyDescent="0.25">
      <c r="A55" s="666"/>
      <c r="B55" s="654"/>
      <c r="C55" s="654"/>
      <c r="D55" s="654"/>
      <c r="E55" s="654"/>
      <c r="F55" s="650"/>
      <c r="G55" s="658"/>
      <c r="H55" s="651"/>
      <c r="I55" s="655"/>
      <c r="J55" s="688"/>
      <c r="K55" s="691"/>
      <c r="L55" s="654"/>
      <c r="M55" s="654"/>
      <c r="N55" s="521">
        <v>44620</v>
      </c>
      <c r="O55" s="650"/>
      <c r="P55" s="514">
        <v>2274.0700000000002</v>
      </c>
      <c r="Q55" s="515" t="s">
        <v>241</v>
      </c>
      <c r="R55" s="516"/>
      <c r="S55" s="514"/>
      <c r="T55" s="514"/>
      <c r="U55" s="651"/>
      <c r="V55" s="685"/>
      <c r="W55" s="653"/>
      <c r="X55" s="2">
        <v>7</v>
      </c>
    </row>
    <row r="56" spans="1:24" s="2" customFormat="1" x14ac:dyDescent="0.25">
      <c r="A56" s="666"/>
      <c r="B56" s="654"/>
      <c r="C56" s="654"/>
      <c r="D56" s="654"/>
      <c r="E56" s="654"/>
      <c r="F56" s="650"/>
      <c r="G56" s="658"/>
      <c r="H56" s="651"/>
      <c r="I56" s="655"/>
      <c r="J56" s="688"/>
      <c r="K56" s="691"/>
      <c r="L56" s="654"/>
      <c r="M56" s="654"/>
      <c r="N56" s="521">
        <v>44651</v>
      </c>
      <c r="O56" s="650"/>
      <c r="P56" s="514">
        <v>2274.0700000000002</v>
      </c>
      <c r="Q56" s="515" t="s">
        <v>246</v>
      </c>
      <c r="R56" s="516"/>
      <c r="S56" s="514"/>
      <c r="T56" s="514"/>
      <c r="U56" s="651"/>
      <c r="V56" s="685"/>
      <c r="W56" s="653"/>
      <c r="X56" s="2">
        <v>7</v>
      </c>
    </row>
    <row r="57" spans="1:24" s="2" customFormat="1" x14ac:dyDescent="0.25">
      <c r="A57" s="666"/>
      <c r="B57" s="654"/>
      <c r="C57" s="654"/>
      <c r="D57" s="654"/>
      <c r="E57" s="654"/>
      <c r="F57" s="650"/>
      <c r="G57" s="658"/>
      <c r="H57" s="651"/>
      <c r="I57" s="655"/>
      <c r="J57" s="688"/>
      <c r="K57" s="691"/>
      <c r="L57" s="654"/>
      <c r="M57" s="654"/>
      <c r="N57" s="521">
        <v>44680</v>
      </c>
      <c r="O57" s="650"/>
      <c r="P57" s="514">
        <v>2274.0700000000002</v>
      </c>
      <c r="Q57" s="515" t="s">
        <v>380</v>
      </c>
      <c r="R57" s="516"/>
      <c r="S57" s="514"/>
      <c r="T57" s="514"/>
      <c r="U57" s="651"/>
      <c r="V57" s="685"/>
      <c r="W57" s="653"/>
      <c r="X57" s="2">
        <v>7</v>
      </c>
    </row>
    <row r="58" spans="1:24" s="2" customFormat="1" x14ac:dyDescent="0.25">
      <c r="A58" s="666"/>
      <c r="B58" s="654"/>
      <c r="C58" s="654"/>
      <c r="D58" s="654"/>
      <c r="E58" s="654"/>
      <c r="F58" s="650"/>
      <c r="G58" s="658"/>
      <c r="H58" s="651"/>
      <c r="I58" s="655"/>
      <c r="J58" s="688"/>
      <c r="K58" s="691"/>
      <c r="L58" s="654"/>
      <c r="M58" s="654"/>
      <c r="N58" s="521">
        <v>44712</v>
      </c>
      <c r="O58" s="650"/>
      <c r="P58" s="514">
        <v>2274.0700000000002</v>
      </c>
      <c r="Q58" s="515" t="s">
        <v>380</v>
      </c>
      <c r="R58" s="516"/>
      <c r="S58" s="514"/>
      <c r="T58" s="514"/>
      <c r="U58" s="651"/>
      <c r="V58" s="685"/>
      <c r="W58" s="653"/>
      <c r="X58" s="2">
        <v>7</v>
      </c>
    </row>
    <row r="59" spans="1:24" s="2" customFormat="1" x14ac:dyDescent="0.25">
      <c r="A59" s="666"/>
      <c r="B59" s="654"/>
      <c r="C59" s="654"/>
      <c r="D59" s="654"/>
      <c r="E59" s="654"/>
      <c r="F59" s="650"/>
      <c r="G59" s="658"/>
      <c r="H59" s="651"/>
      <c r="I59" s="655"/>
      <c r="J59" s="688"/>
      <c r="K59" s="691"/>
      <c r="L59" s="654"/>
      <c r="M59" s="654"/>
      <c r="N59" s="521">
        <v>44742</v>
      </c>
      <c r="O59" s="650"/>
      <c r="P59" s="514">
        <v>2274.0700000000002</v>
      </c>
      <c r="Q59" s="515" t="s">
        <v>441</v>
      </c>
      <c r="R59" s="516"/>
      <c r="S59" s="514"/>
      <c r="T59" s="514"/>
      <c r="U59" s="651"/>
      <c r="V59" s="685"/>
      <c r="W59" s="653"/>
      <c r="X59" s="2">
        <v>7</v>
      </c>
    </row>
    <row r="60" spans="1:24" s="2" customFormat="1" x14ac:dyDescent="0.25">
      <c r="A60" s="666"/>
      <c r="B60" s="654"/>
      <c r="C60" s="654"/>
      <c r="D60" s="654"/>
      <c r="E60" s="654"/>
      <c r="F60" s="650"/>
      <c r="G60" s="658"/>
      <c r="H60" s="651"/>
      <c r="I60" s="655"/>
      <c r="J60" s="688"/>
      <c r="K60" s="691"/>
      <c r="L60" s="654"/>
      <c r="M60" s="654"/>
      <c r="N60" s="521">
        <v>44771</v>
      </c>
      <c r="O60" s="650"/>
      <c r="P60" s="514">
        <v>2274.0700000000002</v>
      </c>
      <c r="Q60" s="515" t="s">
        <v>450</v>
      </c>
      <c r="R60" s="516"/>
      <c r="S60" s="514"/>
      <c r="T60" s="514"/>
      <c r="U60" s="651"/>
      <c r="V60" s="685"/>
      <c r="W60" s="653"/>
      <c r="X60" s="2">
        <v>7</v>
      </c>
    </row>
    <row r="61" spans="1:24" s="2" customFormat="1" x14ac:dyDescent="0.25">
      <c r="A61" s="666"/>
      <c r="B61" s="654"/>
      <c r="C61" s="654"/>
      <c r="D61" s="654"/>
      <c r="E61" s="654"/>
      <c r="F61" s="650"/>
      <c r="G61" s="658"/>
      <c r="H61" s="651"/>
      <c r="I61" s="655"/>
      <c r="J61" s="688"/>
      <c r="K61" s="691"/>
      <c r="L61" s="654"/>
      <c r="M61" s="654"/>
      <c r="N61" s="521">
        <v>44804</v>
      </c>
      <c r="O61" s="650"/>
      <c r="P61" s="514">
        <v>2274.0700000000002</v>
      </c>
      <c r="Q61" s="515" t="s">
        <v>492</v>
      </c>
      <c r="R61" s="516"/>
      <c r="S61" s="514"/>
      <c r="T61" s="514"/>
      <c r="U61" s="651"/>
      <c r="V61" s="685"/>
      <c r="W61" s="653"/>
      <c r="X61" s="2">
        <v>7</v>
      </c>
    </row>
    <row r="62" spans="1:24" s="2" customFormat="1" x14ac:dyDescent="0.25">
      <c r="A62" s="580"/>
      <c r="B62" s="586"/>
      <c r="C62" s="586"/>
      <c r="D62" s="586"/>
      <c r="E62" s="586"/>
      <c r="F62" s="582"/>
      <c r="G62" s="592"/>
      <c r="H62" s="584"/>
      <c r="I62" s="594"/>
      <c r="J62" s="689"/>
      <c r="K62" s="692"/>
      <c r="L62" s="586"/>
      <c r="M62" s="586"/>
      <c r="N62" s="522">
        <v>44841</v>
      </c>
      <c r="O62" s="582"/>
      <c r="P62" s="517">
        <v>2274.0700000000002</v>
      </c>
      <c r="Q62" s="518" t="s">
        <v>580</v>
      </c>
      <c r="R62" s="519"/>
      <c r="S62" s="517"/>
      <c r="T62" s="517"/>
      <c r="U62" s="584"/>
      <c r="V62" s="686"/>
      <c r="W62" s="590"/>
      <c r="X62" s="2">
        <v>7</v>
      </c>
    </row>
    <row r="63" spans="1:24" s="108" customFormat="1" ht="54" customHeight="1" x14ac:dyDescent="0.25">
      <c r="A63" s="579">
        <v>8</v>
      </c>
      <c r="B63" s="585" t="s">
        <v>56</v>
      </c>
      <c r="C63" s="585"/>
      <c r="D63" s="585"/>
      <c r="E63" s="585" t="s">
        <v>182</v>
      </c>
      <c r="F63" s="581">
        <v>44561</v>
      </c>
      <c r="G63" s="591" t="s">
        <v>183</v>
      </c>
      <c r="H63" s="583">
        <v>36000</v>
      </c>
      <c r="I63" s="593">
        <f>IF(X63 = 8, H63 + SUM(S63:S71) - SUM(T63:T71) - SUM(P63:P71) - V63,0)</f>
        <v>9000</v>
      </c>
      <c r="J63" s="687">
        <v>2353002302</v>
      </c>
      <c r="K63" s="690" t="s">
        <v>184</v>
      </c>
      <c r="L63" s="585"/>
      <c r="M63" s="585" t="s">
        <v>150</v>
      </c>
      <c r="N63" s="520">
        <v>44620</v>
      </c>
      <c r="O63" s="581" t="s">
        <v>159</v>
      </c>
      <c r="P63" s="511">
        <v>3000</v>
      </c>
      <c r="Q63" s="512">
        <v>44608</v>
      </c>
      <c r="R63" s="513"/>
      <c r="S63" s="511"/>
      <c r="T63" s="511"/>
      <c r="U63" s="583"/>
      <c r="V63" s="684"/>
      <c r="W63" s="589"/>
      <c r="X63" s="108">
        <v>8</v>
      </c>
    </row>
    <row r="64" spans="1:24" s="2" customFormat="1" x14ac:dyDescent="0.25">
      <c r="A64" s="666"/>
      <c r="B64" s="654"/>
      <c r="C64" s="654"/>
      <c r="D64" s="654"/>
      <c r="E64" s="654"/>
      <c r="F64" s="650"/>
      <c r="G64" s="658"/>
      <c r="H64" s="651"/>
      <c r="I64" s="655"/>
      <c r="J64" s="688"/>
      <c r="K64" s="691"/>
      <c r="L64" s="654"/>
      <c r="M64" s="654"/>
      <c r="N64" s="521">
        <v>44592</v>
      </c>
      <c r="O64" s="650"/>
      <c r="P64" s="514">
        <v>3000</v>
      </c>
      <c r="Q64" s="515">
        <v>44622</v>
      </c>
      <c r="R64" s="516"/>
      <c r="S64" s="514"/>
      <c r="T64" s="514"/>
      <c r="U64" s="651"/>
      <c r="V64" s="685"/>
      <c r="W64" s="653"/>
      <c r="X64" s="2">
        <v>8</v>
      </c>
    </row>
    <row r="65" spans="1:24" s="2" customFormat="1" x14ac:dyDescent="0.25">
      <c r="A65" s="666"/>
      <c r="B65" s="654"/>
      <c r="C65" s="654"/>
      <c r="D65" s="654"/>
      <c r="E65" s="654"/>
      <c r="F65" s="650"/>
      <c r="G65" s="658"/>
      <c r="H65" s="651"/>
      <c r="I65" s="655"/>
      <c r="J65" s="688"/>
      <c r="K65" s="691"/>
      <c r="L65" s="654"/>
      <c r="M65" s="654"/>
      <c r="N65" s="521">
        <v>44651</v>
      </c>
      <c r="O65" s="650"/>
      <c r="P65" s="514">
        <v>3000</v>
      </c>
      <c r="Q65" s="515" t="s">
        <v>242</v>
      </c>
      <c r="R65" s="516"/>
      <c r="S65" s="514"/>
      <c r="T65" s="514"/>
      <c r="U65" s="651"/>
      <c r="V65" s="685"/>
      <c r="W65" s="653"/>
      <c r="X65" s="2">
        <v>8</v>
      </c>
    </row>
    <row r="66" spans="1:24" s="2" customFormat="1" x14ac:dyDescent="0.25">
      <c r="A66" s="666"/>
      <c r="B66" s="654"/>
      <c r="C66" s="654"/>
      <c r="D66" s="654"/>
      <c r="E66" s="654"/>
      <c r="F66" s="650"/>
      <c r="G66" s="658"/>
      <c r="H66" s="651"/>
      <c r="I66" s="655"/>
      <c r="J66" s="688"/>
      <c r="K66" s="691"/>
      <c r="L66" s="654"/>
      <c r="M66" s="654"/>
      <c r="N66" s="521">
        <v>44681</v>
      </c>
      <c r="O66" s="650"/>
      <c r="P66" s="514">
        <v>3000</v>
      </c>
      <c r="Q66" s="515" t="s">
        <v>380</v>
      </c>
      <c r="R66" s="516"/>
      <c r="S66" s="514"/>
      <c r="T66" s="514"/>
      <c r="U66" s="651"/>
      <c r="V66" s="685"/>
      <c r="W66" s="653"/>
      <c r="X66" s="2">
        <v>8</v>
      </c>
    </row>
    <row r="67" spans="1:24" s="2" customFormat="1" x14ac:dyDescent="0.25">
      <c r="A67" s="666"/>
      <c r="B67" s="654"/>
      <c r="C67" s="654"/>
      <c r="D67" s="654"/>
      <c r="E67" s="654"/>
      <c r="F67" s="650"/>
      <c r="G67" s="658"/>
      <c r="H67" s="651"/>
      <c r="I67" s="655"/>
      <c r="J67" s="688"/>
      <c r="K67" s="691"/>
      <c r="L67" s="654"/>
      <c r="M67" s="654"/>
      <c r="N67" s="521">
        <v>44712</v>
      </c>
      <c r="O67" s="650"/>
      <c r="P67" s="514">
        <v>3000</v>
      </c>
      <c r="Q67" s="515" t="s">
        <v>384</v>
      </c>
      <c r="R67" s="516"/>
      <c r="S67" s="514"/>
      <c r="T67" s="514"/>
      <c r="U67" s="651"/>
      <c r="V67" s="685"/>
      <c r="W67" s="653"/>
      <c r="X67" s="2">
        <v>8</v>
      </c>
    </row>
    <row r="68" spans="1:24" s="2" customFormat="1" x14ac:dyDescent="0.25">
      <c r="A68" s="666"/>
      <c r="B68" s="654"/>
      <c r="C68" s="654"/>
      <c r="D68" s="654"/>
      <c r="E68" s="654"/>
      <c r="F68" s="650"/>
      <c r="G68" s="658"/>
      <c r="H68" s="651"/>
      <c r="I68" s="655"/>
      <c r="J68" s="688"/>
      <c r="K68" s="691"/>
      <c r="L68" s="654"/>
      <c r="M68" s="654"/>
      <c r="N68" s="521">
        <v>44742</v>
      </c>
      <c r="O68" s="650"/>
      <c r="P68" s="514">
        <v>3000</v>
      </c>
      <c r="Q68" s="515" t="s">
        <v>441</v>
      </c>
      <c r="R68" s="516"/>
      <c r="S68" s="514"/>
      <c r="T68" s="514"/>
      <c r="U68" s="651"/>
      <c r="V68" s="685"/>
      <c r="W68" s="653"/>
      <c r="X68" s="2">
        <v>8</v>
      </c>
    </row>
    <row r="69" spans="1:24" s="2" customFormat="1" x14ac:dyDescent="0.25">
      <c r="A69" s="666"/>
      <c r="B69" s="654"/>
      <c r="C69" s="654"/>
      <c r="D69" s="654"/>
      <c r="E69" s="654"/>
      <c r="F69" s="650"/>
      <c r="G69" s="658"/>
      <c r="H69" s="651"/>
      <c r="I69" s="655"/>
      <c r="J69" s="688"/>
      <c r="K69" s="691"/>
      <c r="L69" s="654"/>
      <c r="M69" s="654"/>
      <c r="N69" s="521">
        <v>44773</v>
      </c>
      <c r="O69" s="650"/>
      <c r="P69" s="514">
        <v>3000</v>
      </c>
      <c r="Q69" s="515" t="s">
        <v>482</v>
      </c>
      <c r="R69" s="516"/>
      <c r="S69" s="514"/>
      <c r="T69" s="514"/>
      <c r="U69" s="651"/>
      <c r="V69" s="685"/>
      <c r="W69" s="653"/>
      <c r="X69" s="2">
        <v>8</v>
      </c>
    </row>
    <row r="70" spans="1:24" s="2" customFormat="1" x14ac:dyDescent="0.25">
      <c r="A70" s="666"/>
      <c r="B70" s="654"/>
      <c r="C70" s="654"/>
      <c r="D70" s="654"/>
      <c r="E70" s="654"/>
      <c r="F70" s="650"/>
      <c r="G70" s="658"/>
      <c r="H70" s="651"/>
      <c r="I70" s="655"/>
      <c r="J70" s="688"/>
      <c r="K70" s="691"/>
      <c r="L70" s="654"/>
      <c r="M70" s="654"/>
      <c r="N70" s="521">
        <v>44804</v>
      </c>
      <c r="O70" s="650"/>
      <c r="P70" s="514">
        <v>3000</v>
      </c>
      <c r="Q70" s="515" t="s">
        <v>492</v>
      </c>
      <c r="R70" s="516"/>
      <c r="S70" s="514"/>
      <c r="T70" s="514"/>
      <c r="U70" s="651"/>
      <c r="V70" s="685"/>
      <c r="W70" s="653"/>
      <c r="X70" s="2">
        <v>8</v>
      </c>
    </row>
    <row r="71" spans="1:24" s="2" customFormat="1" x14ac:dyDescent="0.25">
      <c r="A71" s="580"/>
      <c r="B71" s="586"/>
      <c r="C71" s="586"/>
      <c r="D71" s="586"/>
      <c r="E71" s="586"/>
      <c r="F71" s="582"/>
      <c r="G71" s="592"/>
      <c r="H71" s="584"/>
      <c r="I71" s="594"/>
      <c r="J71" s="689"/>
      <c r="K71" s="692"/>
      <c r="L71" s="586"/>
      <c r="M71" s="586"/>
      <c r="N71" s="522">
        <v>44834</v>
      </c>
      <c r="O71" s="582"/>
      <c r="P71" s="517">
        <v>3000</v>
      </c>
      <c r="Q71" s="518" t="s">
        <v>578</v>
      </c>
      <c r="R71" s="519"/>
      <c r="S71" s="517"/>
      <c r="T71" s="517"/>
      <c r="U71" s="584"/>
      <c r="V71" s="686"/>
      <c r="W71" s="590"/>
      <c r="X71" s="2">
        <v>8</v>
      </c>
    </row>
    <row r="72" spans="1:24" s="108" customFormat="1" ht="54" customHeight="1" x14ac:dyDescent="0.25">
      <c r="A72" s="579">
        <v>9</v>
      </c>
      <c r="B72" s="585" t="s">
        <v>56</v>
      </c>
      <c r="C72" s="585"/>
      <c r="D72" s="585"/>
      <c r="E72" s="585" t="s">
        <v>185</v>
      </c>
      <c r="F72" s="581" t="s">
        <v>426</v>
      </c>
      <c r="G72" s="591" t="s">
        <v>186</v>
      </c>
      <c r="H72" s="583">
        <v>72240</v>
      </c>
      <c r="I72" s="593">
        <f>IF(X72 = 9, H72 + SUM(S72:S89) - SUM(T72:T89) - SUM(P72:P89) - V72,0)</f>
        <v>9120</v>
      </c>
      <c r="J72" s="687">
        <v>2353017179</v>
      </c>
      <c r="K72" s="690" t="s">
        <v>187</v>
      </c>
      <c r="L72" s="585"/>
      <c r="M72" s="585" t="s">
        <v>150</v>
      </c>
      <c r="N72" s="520">
        <v>44592</v>
      </c>
      <c r="O72" s="581" t="s">
        <v>159</v>
      </c>
      <c r="P72" s="511">
        <v>3740</v>
      </c>
      <c r="Q72" s="512">
        <v>44608</v>
      </c>
      <c r="R72" s="513"/>
      <c r="S72" s="511"/>
      <c r="T72" s="511"/>
      <c r="U72" s="583"/>
      <c r="V72" s="684"/>
      <c r="W72" s="589"/>
      <c r="X72" s="108">
        <v>9</v>
      </c>
    </row>
    <row r="73" spans="1:24" s="2" customFormat="1" x14ac:dyDescent="0.25">
      <c r="A73" s="666"/>
      <c r="B73" s="654"/>
      <c r="C73" s="654"/>
      <c r="D73" s="654"/>
      <c r="E73" s="654"/>
      <c r="F73" s="650"/>
      <c r="G73" s="658"/>
      <c r="H73" s="651"/>
      <c r="I73" s="655"/>
      <c r="J73" s="688"/>
      <c r="K73" s="691"/>
      <c r="L73" s="654"/>
      <c r="M73" s="654"/>
      <c r="N73" s="521">
        <v>44592</v>
      </c>
      <c r="O73" s="650"/>
      <c r="P73" s="514">
        <v>4420</v>
      </c>
      <c r="Q73" s="515">
        <v>44608</v>
      </c>
      <c r="R73" s="516"/>
      <c r="S73" s="514"/>
      <c r="T73" s="514"/>
      <c r="U73" s="651"/>
      <c r="V73" s="685"/>
      <c r="W73" s="653"/>
      <c r="X73" s="2">
        <v>9</v>
      </c>
    </row>
    <row r="74" spans="1:24" s="2" customFormat="1" x14ac:dyDescent="0.25">
      <c r="A74" s="666"/>
      <c r="B74" s="654"/>
      <c r="C74" s="654"/>
      <c r="D74" s="654"/>
      <c r="E74" s="654"/>
      <c r="F74" s="650"/>
      <c r="G74" s="658"/>
      <c r="H74" s="651"/>
      <c r="I74" s="655"/>
      <c r="J74" s="688"/>
      <c r="K74" s="691"/>
      <c r="L74" s="654"/>
      <c r="M74" s="654"/>
      <c r="N74" s="521">
        <v>44620</v>
      </c>
      <c r="O74" s="650"/>
      <c r="P74" s="514">
        <v>5060</v>
      </c>
      <c r="Q74" s="515">
        <v>44642</v>
      </c>
      <c r="R74" s="516"/>
      <c r="S74" s="514"/>
      <c r="T74" s="514"/>
      <c r="U74" s="651"/>
      <c r="V74" s="685"/>
      <c r="W74" s="653"/>
      <c r="X74" s="2">
        <v>9</v>
      </c>
    </row>
    <row r="75" spans="1:24" s="2" customFormat="1" x14ac:dyDescent="0.25">
      <c r="A75" s="666"/>
      <c r="B75" s="654"/>
      <c r="C75" s="654"/>
      <c r="D75" s="654"/>
      <c r="E75" s="654"/>
      <c r="F75" s="650"/>
      <c r="G75" s="658"/>
      <c r="H75" s="651"/>
      <c r="I75" s="655"/>
      <c r="J75" s="688"/>
      <c r="K75" s="691"/>
      <c r="L75" s="654"/>
      <c r="M75" s="654"/>
      <c r="N75" s="521">
        <v>44620</v>
      </c>
      <c r="O75" s="650"/>
      <c r="P75" s="514">
        <v>5980</v>
      </c>
      <c r="Q75" s="515">
        <v>44642</v>
      </c>
      <c r="R75" s="516"/>
      <c r="S75" s="514"/>
      <c r="T75" s="514"/>
      <c r="U75" s="651"/>
      <c r="V75" s="685"/>
      <c r="W75" s="653"/>
      <c r="X75" s="2">
        <v>9</v>
      </c>
    </row>
    <row r="76" spans="1:24" s="2" customFormat="1" x14ac:dyDescent="0.25">
      <c r="A76" s="666"/>
      <c r="B76" s="654"/>
      <c r="C76" s="654"/>
      <c r="D76" s="654"/>
      <c r="E76" s="654"/>
      <c r="F76" s="650"/>
      <c r="G76" s="658"/>
      <c r="H76" s="651"/>
      <c r="I76" s="655"/>
      <c r="J76" s="688"/>
      <c r="K76" s="691"/>
      <c r="L76" s="654"/>
      <c r="M76" s="654"/>
      <c r="N76" s="521">
        <v>44651</v>
      </c>
      <c r="O76" s="650"/>
      <c r="P76" s="514">
        <v>5170</v>
      </c>
      <c r="Q76" s="515" t="s">
        <v>246</v>
      </c>
      <c r="R76" s="516"/>
      <c r="S76" s="514"/>
      <c r="T76" s="514"/>
      <c r="U76" s="651"/>
      <c r="V76" s="685"/>
      <c r="W76" s="653"/>
      <c r="X76" s="2">
        <v>9</v>
      </c>
    </row>
    <row r="77" spans="1:24" s="2" customFormat="1" x14ac:dyDescent="0.25">
      <c r="A77" s="666"/>
      <c r="B77" s="654"/>
      <c r="C77" s="654"/>
      <c r="D77" s="654"/>
      <c r="E77" s="654"/>
      <c r="F77" s="650"/>
      <c r="G77" s="658"/>
      <c r="H77" s="651"/>
      <c r="I77" s="655"/>
      <c r="J77" s="688"/>
      <c r="K77" s="691"/>
      <c r="L77" s="654"/>
      <c r="M77" s="654"/>
      <c r="N77" s="521">
        <v>44651</v>
      </c>
      <c r="O77" s="650"/>
      <c r="P77" s="514">
        <v>6110</v>
      </c>
      <c r="Q77" s="515" t="s">
        <v>246</v>
      </c>
      <c r="R77" s="516"/>
      <c r="S77" s="514"/>
      <c r="T77" s="514"/>
      <c r="U77" s="651"/>
      <c r="V77" s="685"/>
      <c r="W77" s="653"/>
      <c r="X77" s="2">
        <v>9</v>
      </c>
    </row>
    <row r="78" spans="1:24" s="2" customFormat="1" x14ac:dyDescent="0.25">
      <c r="A78" s="666"/>
      <c r="B78" s="654"/>
      <c r="C78" s="654"/>
      <c r="D78" s="654"/>
      <c r="E78" s="654"/>
      <c r="F78" s="650"/>
      <c r="G78" s="658"/>
      <c r="H78" s="651"/>
      <c r="I78" s="655"/>
      <c r="J78" s="688"/>
      <c r="K78" s="691"/>
      <c r="L78" s="654"/>
      <c r="M78" s="654"/>
      <c r="N78" s="521">
        <v>44681</v>
      </c>
      <c r="O78" s="650"/>
      <c r="P78" s="514">
        <v>2860</v>
      </c>
      <c r="Q78" s="515" t="s">
        <v>247</v>
      </c>
      <c r="R78" s="516"/>
      <c r="S78" s="514"/>
      <c r="T78" s="514"/>
      <c r="U78" s="651"/>
      <c r="V78" s="685"/>
      <c r="W78" s="653"/>
      <c r="X78" s="2">
        <v>9</v>
      </c>
    </row>
    <row r="79" spans="1:24" s="2" customFormat="1" x14ac:dyDescent="0.25">
      <c r="A79" s="666"/>
      <c r="B79" s="654"/>
      <c r="C79" s="654"/>
      <c r="D79" s="654"/>
      <c r="E79" s="654"/>
      <c r="F79" s="650"/>
      <c r="G79" s="658"/>
      <c r="H79" s="651"/>
      <c r="I79" s="655"/>
      <c r="J79" s="688"/>
      <c r="K79" s="691"/>
      <c r="L79" s="654"/>
      <c r="M79" s="654"/>
      <c r="N79" s="521">
        <v>44681</v>
      </c>
      <c r="O79" s="650"/>
      <c r="P79" s="514">
        <v>3380</v>
      </c>
      <c r="Q79" s="515" t="s">
        <v>248</v>
      </c>
      <c r="R79" s="516"/>
      <c r="S79" s="514"/>
      <c r="T79" s="514"/>
      <c r="U79" s="651"/>
      <c r="V79" s="685"/>
      <c r="W79" s="653"/>
      <c r="X79" s="2">
        <v>9</v>
      </c>
    </row>
    <row r="80" spans="1:24" s="2" customFormat="1" x14ac:dyDescent="0.25">
      <c r="A80" s="666"/>
      <c r="B80" s="654"/>
      <c r="C80" s="654"/>
      <c r="D80" s="654"/>
      <c r="E80" s="654"/>
      <c r="F80" s="650"/>
      <c r="G80" s="658"/>
      <c r="H80" s="651"/>
      <c r="I80" s="655"/>
      <c r="J80" s="688"/>
      <c r="K80" s="691"/>
      <c r="L80" s="654"/>
      <c r="M80" s="654"/>
      <c r="N80" s="521">
        <v>44712</v>
      </c>
      <c r="O80" s="650"/>
      <c r="P80" s="514">
        <v>5460</v>
      </c>
      <c r="Q80" s="515" t="s">
        <v>387</v>
      </c>
      <c r="R80" s="516"/>
      <c r="S80" s="514"/>
      <c r="T80" s="514"/>
      <c r="U80" s="651"/>
      <c r="V80" s="685"/>
      <c r="W80" s="653"/>
      <c r="X80" s="2">
        <v>9</v>
      </c>
    </row>
    <row r="81" spans="1:24" s="2" customFormat="1" x14ac:dyDescent="0.25">
      <c r="A81" s="666"/>
      <c r="B81" s="654"/>
      <c r="C81" s="654"/>
      <c r="D81" s="654"/>
      <c r="E81" s="654"/>
      <c r="F81" s="650"/>
      <c r="G81" s="658"/>
      <c r="H81" s="651"/>
      <c r="I81" s="655"/>
      <c r="J81" s="688"/>
      <c r="K81" s="691"/>
      <c r="L81" s="654"/>
      <c r="M81" s="654"/>
      <c r="N81" s="521">
        <v>44712</v>
      </c>
      <c r="O81" s="650"/>
      <c r="P81" s="514">
        <v>4620</v>
      </c>
      <c r="Q81" s="515" t="s">
        <v>387</v>
      </c>
      <c r="R81" s="516"/>
      <c r="S81" s="514"/>
      <c r="T81" s="514"/>
      <c r="U81" s="651"/>
      <c r="V81" s="685"/>
      <c r="W81" s="653"/>
      <c r="X81" s="2">
        <v>9</v>
      </c>
    </row>
    <row r="82" spans="1:24" s="2" customFormat="1" x14ac:dyDescent="0.25">
      <c r="A82" s="666"/>
      <c r="B82" s="654"/>
      <c r="C82" s="654"/>
      <c r="D82" s="654"/>
      <c r="E82" s="654"/>
      <c r="F82" s="650"/>
      <c r="G82" s="658"/>
      <c r="H82" s="651"/>
      <c r="I82" s="655"/>
      <c r="J82" s="688"/>
      <c r="K82" s="691"/>
      <c r="L82" s="654"/>
      <c r="M82" s="654"/>
      <c r="N82" s="521">
        <v>44742</v>
      </c>
      <c r="O82" s="650"/>
      <c r="P82" s="514">
        <v>3080</v>
      </c>
      <c r="Q82" s="515" t="s">
        <v>443</v>
      </c>
      <c r="R82" s="516"/>
      <c r="S82" s="514"/>
      <c r="T82" s="514"/>
      <c r="U82" s="651"/>
      <c r="V82" s="685"/>
      <c r="W82" s="653"/>
      <c r="X82" s="2">
        <v>9</v>
      </c>
    </row>
    <row r="83" spans="1:24" s="2" customFormat="1" x14ac:dyDescent="0.25">
      <c r="A83" s="666"/>
      <c r="B83" s="654"/>
      <c r="C83" s="654"/>
      <c r="D83" s="654"/>
      <c r="E83" s="654"/>
      <c r="F83" s="650"/>
      <c r="G83" s="658"/>
      <c r="H83" s="651"/>
      <c r="I83" s="655"/>
      <c r="J83" s="688"/>
      <c r="K83" s="691"/>
      <c r="L83" s="654"/>
      <c r="M83" s="654"/>
      <c r="N83" s="521">
        <v>44742</v>
      </c>
      <c r="O83" s="650"/>
      <c r="P83" s="514">
        <v>3640</v>
      </c>
      <c r="Q83" s="515" t="s">
        <v>443</v>
      </c>
      <c r="R83" s="516"/>
      <c r="S83" s="514"/>
      <c r="T83" s="514"/>
      <c r="U83" s="651"/>
      <c r="V83" s="685"/>
      <c r="W83" s="653"/>
      <c r="X83" s="2">
        <v>9</v>
      </c>
    </row>
    <row r="84" spans="1:24" s="2" customFormat="1" x14ac:dyDescent="0.25">
      <c r="A84" s="666"/>
      <c r="B84" s="654"/>
      <c r="C84" s="654"/>
      <c r="D84" s="654"/>
      <c r="E84" s="654"/>
      <c r="F84" s="650"/>
      <c r="G84" s="658"/>
      <c r="H84" s="651"/>
      <c r="I84" s="655"/>
      <c r="J84" s="688"/>
      <c r="K84" s="691"/>
      <c r="L84" s="654"/>
      <c r="M84" s="654"/>
      <c r="N84" s="521">
        <v>44773</v>
      </c>
      <c r="O84" s="650"/>
      <c r="P84" s="514">
        <v>1320</v>
      </c>
      <c r="Q84" s="515" t="s">
        <v>488</v>
      </c>
      <c r="R84" s="516"/>
      <c r="S84" s="514"/>
      <c r="T84" s="514"/>
      <c r="U84" s="651"/>
      <c r="V84" s="685"/>
      <c r="W84" s="653"/>
      <c r="X84" s="2">
        <v>9</v>
      </c>
    </row>
    <row r="85" spans="1:24" s="2" customFormat="1" x14ac:dyDescent="0.25">
      <c r="A85" s="666"/>
      <c r="B85" s="654"/>
      <c r="C85" s="654"/>
      <c r="D85" s="654"/>
      <c r="E85" s="654"/>
      <c r="F85" s="650"/>
      <c r="G85" s="658"/>
      <c r="H85" s="651"/>
      <c r="I85" s="655"/>
      <c r="J85" s="688"/>
      <c r="K85" s="691"/>
      <c r="L85" s="654"/>
      <c r="M85" s="654"/>
      <c r="N85" s="521">
        <v>44773</v>
      </c>
      <c r="O85" s="650"/>
      <c r="P85" s="514">
        <v>1560</v>
      </c>
      <c r="Q85" s="515" t="s">
        <v>488</v>
      </c>
      <c r="R85" s="516"/>
      <c r="S85" s="514"/>
      <c r="T85" s="514"/>
      <c r="U85" s="651"/>
      <c r="V85" s="685"/>
      <c r="W85" s="653"/>
      <c r="X85" s="2">
        <v>9</v>
      </c>
    </row>
    <row r="86" spans="1:24" s="2" customFormat="1" x14ac:dyDescent="0.25">
      <c r="A86" s="666"/>
      <c r="B86" s="654"/>
      <c r="C86" s="654"/>
      <c r="D86" s="654"/>
      <c r="E86" s="654"/>
      <c r="F86" s="650"/>
      <c r="G86" s="658"/>
      <c r="H86" s="651"/>
      <c r="I86" s="655"/>
      <c r="J86" s="688"/>
      <c r="K86" s="691"/>
      <c r="L86" s="654"/>
      <c r="M86" s="654"/>
      <c r="N86" s="521">
        <v>44793</v>
      </c>
      <c r="O86" s="650"/>
      <c r="P86" s="514">
        <v>330</v>
      </c>
      <c r="Q86" s="515" t="s">
        <v>530</v>
      </c>
      <c r="R86" s="516"/>
      <c r="S86" s="514"/>
      <c r="T86" s="514"/>
      <c r="U86" s="651"/>
      <c r="V86" s="685"/>
      <c r="W86" s="653"/>
      <c r="X86" s="2">
        <v>9</v>
      </c>
    </row>
    <row r="87" spans="1:24" s="2" customFormat="1" x14ac:dyDescent="0.25">
      <c r="A87" s="666"/>
      <c r="B87" s="654"/>
      <c r="C87" s="654"/>
      <c r="D87" s="654"/>
      <c r="E87" s="654"/>
      <c r="F87" s="650"/>
      <c r="G87" s="658"/>
      <c r="H87" s="651"/>
      <c r="I87" s="655"/>
      <c r="J87" s="688"/>
      <c r="K87" s="691"/>
      <c r="L87" s="654"/>
      <c r="M87" s="654"/>
      <c r="N87" s="521">
        <v>44824</v>
      </c>
      <c r="O87" s="650"/>
      <c r="P87" s="514">
        <v>390</v>
      </c>
      <c r="Q87" s="515" t="s">
        <v>530</v>
      </c>
      <c r="R87" s="516"/>
      <c r="S87" s="514"/>
      <c r="T87" s="514"/>
      <c r="U87" s="651"/>
      <c r="V87" s="685"/>
      <c r="W87" s="653"/>
      <c r="X87" s="2">
        <v>9</v>
      </c>
    </row>
    <row r="88" spans="1:24" s="2" customFormat="1" x14ac:dyDescent="0.25">
      <c r="A88" s="666"/>
      <c r="B88" s="654"/>
      <c r="C88" s="654"/>
      <c r="D88" s="654"/>
      <c r="E88" s="654"/>
      <c r="F88" s="650"/>
      <c r="G88" s="658"/>
      <c r="H88" s="651"/>
      <c r="I88" s="655"/>
      <c r="J88" s="688"/>
      <c r="K88" s="691"/>
      <c r="L88" s="654"/>
      <c r="M88" s="654"/>
      <c r="N88" s="521">
        <v>44834</v>
      </c>
      <c r="O88" s="650"/>
      <c r="P88" s="514">
        <v>2750</v>
      </c>
      <c r="Q88" s="515" t="s">
        <v>578</v>
      </c>
      <c r="R88" s="516"/>
      <c r="S88" s="514"/>
      <c r="T88" s="514"/>
      <c r="U88" s="651"/>
      <c r="V88" s="685"/>
      <c r="W88" s="653"/>
      <c r="X88" s="2">
        <v>9</v>
      </c>
    </row>
    <row r="89" spans="1:24" s="2" customFormat="1" x14ac:dyDescent="0.25">
      <c r="A89" s="580"/>
      <c r="B89" s="586"/>
      <c r="C89" s="586"/>
      <c r="D89" s="586"/>
      <c r="E89" s="586"/>
      <c r="F89" s="582"/>
      <c r="G89" s="592"/>
      <c r="H89" s="584"/>
      <c r="I89" s="594"/>
      <c r="J89" s="689"/>
      <c r="K89" s="692"/>
      <c r="L89" s="586"/>
      <c r="M89" s="586"/>
      <c r="N89" s="522">
        <v>44834</v>
      </c>
      <c r="O89" s="582"/>
      <c r="P89" s="517">
        <v>3250</v>
      </c>
      <c r="Q89" s="518" t="s">
        <v>578</v>
      </c>
      <c r="R89" s="519"/>
      <c r="S89" s="517"/>
      <c r="T89" s="517"/>
      <c r="U89" s="584"/>
      <c r="V89" s="686"/>
      <c r="W89" s="590"/>
      <c r="X89" s="2">
        <v>9</v>
      </c>
    </row>
    <row r="90" spans="1:24" s="108" customFormat="1" ht="75" x14ac:dyDescent="0.25">
      <c r="A90" s="122">
        <v>10</v>
      </c>
      <c r="B90" s="123" t="s">
        <v>56</v>
      </c>
      <c r="C90" s="123"/>
      <c r="D90" s="123"/>
      <c r="E90" s="123" t="s">
        <v>188</v>
      </c>
      <c r="F90" s="130">
        <v>44581</v>
      </c>
      <c r="G90" s="124" t="s">
        <v>189</v>
      </c>
      <c r="H90" s="125">
        <v>7500</v>
      </c>
      <c r="I90" s="126">
        <f>IF(X90 = 10, H90 + SUM(S90:S90) - SUM(T90:T90) - SUM(P90:P90) - V90,0)</f>
        <v>0</v>
      </c>
      <c r="J90" s="127">
        <v>2353015365</v>
      </c>
      <c r="K90" s="128" t="s">
        <v>190</v>
      </c>
      <c r="L90" s="123"/>
      <c r="M90" s="123" t="s">
        <v>191</v>
      </c>
      <c r="N90" s="130">
        <v>44609</v>
      </c>
      <c r="O90" s="130" t="s">
        <v>159</v>
      </c>
      <c r="P90" s="125">
        <v>7500</v>
      </c>
      <c r="Q90" s="124">
        <v>44614</v>
      </c>
      <c r="R90" s="123"/>
      <c r="S90" s="125"/>
      <c r="T90" s="125"/>
      <c r="U90" s="125"/>
      <c r="V90" s="129"/>
      <c r="W90" s="119"/>
      <c r="X90" s="108">
        <v>10</v>
      </c>
    </row>
    <row r="91" spans="1:24" s="108" customFormat="1" ht="54" customHeight="1" x14ac:dyDescent="0.25">
      <c r="A91" s="823">
        <v>11</v>
      </c>
      <c r="B91" s="749" t="s">
        <v>56</v>
      </c>
      <c r="C91" s="749"/>
      <c r="D91" s="749"/>
      <c r="E91" s="749" t="s">
        <v>202</v>
      </c>
      <c r="F91" s="752">
        <v>44581</v>
      </c>
      <c r="G91" s="755" t="s">
        <v>203</v>
      </c>
      <c r="H91" s="814">
        <v>112420</v>
      </c>
      <c r="I91" s="817">
        <f>IF(X91 = 11, H91 + SUM(S91:S95) - SUM(T91:T95) - SUM(P91:P95) - V91,0)</f>
        <v>0</v>
      </c>
      <c r="J91" s="820">
        <v>2353020735</v>
      </c>
      <c r="K91" s="826" t="s">
        <v>204</v>
      </c>
      <c r="L91" s="749"/>
      <c r="M91" s="749" t="s">
        <v>205</v>
      </c>
      <c r="N91" s="153">
        <v>44592</v>
      </c>
      <c r="O91" s="752" t="s">
        <v>159</v>
      </c>
      <c r="P91" s="144">
        <v>14322</v>
      </c>
      <c r="Q91" s="145">
        <v>44606</v>
      </c>
      <c r="R91" s="146"/>
      <c r="S91" s="144"/>
      <c r="T91" s="144"/>
      <c r="U91" s="814" t="s">
        <v>401</v>
      </c>
      <c r="V91" s="758">
        <v>26378</v>
      </c>
      <c r="W91" s="746"/>
      <c r="X91" s="108">
        <v>11</v>
      </c>
    </row>
    <row r="92" spans="1:24" s="2" customFormat="1" x14ac:dyDescent="0.25">
      <c r="A92" s="824"/>
      <c r="B92" s="750"/>
      <c r="C92" s="750"/>
      <c r="D92" s="750"/>
      <c r="E92" s="750"/>
      <c r="F92" s="753"/>
      <c r="G92" s="756"/>
      <c r="H92" s="815"/>
      <c r="I92" s="818"/>
      <c r="J92" s="821"/>
      <c r="K92" s="827"/>
      <c r="L92" s="750"/>
      <c r="M92" s="750"/>
      <c r="N92" s="154">
        <v>44582</v>
      </c>
      <c r="O92" s="753"/>
      <c r="P92" s="147">
        <v>26862</v>
      </c>
      <c r="Q92" s="148">
        <v>44606</v>
      </c>
      <c r="R92" s="149"/>
      <c r="S92" s="147"/>
      <c r="T92" s="147"/>
      <c r="U92" s="815"/>
      <c r="V92" s="759"/>
      <c r="W92" s="747"/>
      <c r="X92" s="2">
        <v>11</v>
      </c>
    </row>
    <row r="93" spans="1:24" s="2" customFormat="1" x14ac:dyDescent="0.25">
      <c r="A93" s="824"/>
      <c r="B93" s="750"/>
      <c r="C93" s="750"/>
      <c r="D93" s="750"/>
      <c r="E93" s="750"/>
      <c r="F93" s="753"/>
      <c r="G93" s="756"/>
      <c r="H93" s="815"/>
      <c r="I93" s="818"/>
      <c r="J93" s="821"/>
      <c r="K93" s="827"/>
      <c r="L93" s="750"/>
      <c r="M93" s="750"/>
      <c r="N93" s="154">
        <v>44596</v>
      </c>
      <c r="O93" s="753"/>
      <c r="P93" s="147">
        <v>9526</v>
      </c>
      <c r="Q93" s="148">
        <v>44616</v>
      </c>
      <c r="R93" s="149"/>
      <c r="S93" s="147"/>
      <c r="T93" s="147"/>
      <c r="U93" s="815"/>
      <c r="V93" s="759"/>
      <c r="W93" s="747"/>
      <c r="X93" s="2">
        <v>11</v>
      </c>
    </row>
    <row r="94" spans="1:24" s="2" customFormat="1" x14ac:dyDescent="0.25">
      <c r="A94" s="824"/>
      <c r="B94" s="750"/>
      <c r="C94" s="750"/>
      <c r="D94" s="750"/>
      <c r="E94" s="750"/>
      <c r="F94" s="753"/>
      <c r="G94" s="756"/>
      <c r="H94" s="815"/>
      <c r="I94" s="818"/>
      <c r="J94" s="821"/>
      <c r="K94" s="827"/>
      <c r="L94" s="750"/>
      <c r="M94" s="750"/>
      <c r="N94" s="154">
        <v>44610</v>
      </c>
      <c r="O94" s="753"/>
      <c r="P94" s="147">
        <v>21604</v>
      </c>
      <c r="Q94" s="148">
        <v>44631</v>
      </c>
      <c r="R94" s="149"/>
      <c r="S94" s="147"/>
      <c r="T94" s="147"/>
      <c r="U94" s="815"/>
      <c r="V94" s="759"/>
      <c r="W94" s="747"/>
      <c r="X94" s="2">
        <v>11</v>
      </c>
    </row>
    <row r="95" spans="1:24" s="2" customFormat="1" x14ac:dyDescent="0.25">
      <c r="A95" s="825"/>
      <c r="B95" s="751"/>
      <c r="C95" s="751"/>
      <c r="D95" s="751"/>
      <c r="E95" s="751"/>
      <c r="F95" s="754"/>
      <c r="G95" s="757"/>
      <c r="H95" s="816"/>
      <c r="I95" s="819"/>
      <c r="J95" s="822"/>
      <c r="K95" s="828"/>
      <c r="L95" s="751"/>
      <c r="M95" s="751"/>
      <c r="N95" s="155">
        <v>44620</v>
      </c>
      <c r="O95" s="754"/>
      <c r="P95" s="150">
        <v>13728</v>
      </c>
      <c r="Q95" s="151">
        <v>44631</v>
      </c>
      <c r="R95" s="152"/>
      <c r="S95" s="150"/>
      <c r="T95" s="150"/>
      <c r="U95" s="816"/>
      <c r="V95" s="760"/>
      <c r="W95" s="748"/>
      <c r="X95" s="2">
        <v>11</v>
      </c>
    </row>
    <row r="96" spans="1:24" s="108" customFormat="1" ht="54" customHeight="1" x14ac:dyDescent="0.25">
      <c r="A96" s="788">
        <v>12</v>
      </c>
      <c r="B96" s="791" t="s">
        <v>56</v>
      </c>
      <c r="C96" s="791"/>
      <c r="D96" s="791"/>
      <c r="E96" s="791" t="s">
        <v>210</v>
      </c>
      <c r="F96" s="796">
        <v>44581</v>
      </c>
      <c r="G96" s="802" t="s">
        <v>211</v>
      </c>
      <c r="H96" s="799">
        <v>354123</v>
      </c>
      <c r="I96" s="805">
        <f>IF(X96 = 12, H96 + SUM(S96:S105) - SUM(T96:T105) - SUM(P96:P105) - V96,0)</f>
        <v>-4.3655745685100555E-11</v>
      </c>
      <c r="J96" s="808">
        <v>2353020735</v>
      </c>
      <c r="K96" s="811" t="s">
        <v>204</v>
      </c>
      <c r="L96" s="791"/>
      <c r="M96" s="791" t="s">
        <v>205</v>
      </c>
      <c r="N96" s="165">
        <v>44596</v>
      </c>
      <c r="O96" s="796" t="s">
        <v>159</v>
      </c>
      <c r="P96" s="156">
        <v>28206.47</v>
      </c>
      <c r="Q96" s="157">
        <v>44616</v>
      </c>
      <c r="R96" s="158"/>
      <c r="S96" s="156"/>
      <c r="T96" s="156"/>
      <c r="U96" s="799" t="s">
        <v>402</v>
      </c>
      <c r="V96" s="874">
        <v>83090.7</v>
      </c>
      <c r="W96" s="743"/>
      <c r="X96" s="108">
        <v>12</v>
      </c>
    </row>
    <row r="97" spans="1:24" s="2" customFormat="1" x14ac:dyDescent="0.25">
      <c r="A97" s="789"/>
      <c r="B97" s="792"/>
      <c r="C97" s="792"/>
      <c r="D97" s="792"/>
      <c r="E97" s="792"/>
      <c r="F97" s="797"/>
      <c r="G97" s="803"/>
      <c r="H97" s="800"/>
      <c r="I97" s="806"/>
      <c r="J97" s="809"/>
      <c r="K97" s="812"/>
      <c r="L97" s="792"/>
      <c r="M97" s="792"/>
      <c r="N97" s="166">
        <v>44596</v>
      </c>
      <c r="O97" s="797"/>
      <c r="P97" s="159">
        <v>1800.43</v>
      </c>
      <c r="Q97" s="160">
        <v>44616</v>
      </c>
      <c r="R97" s="161"/>
      <c r="S97" s="159"/>
      <c r="T97" s="159"/>
      <c r="U97" s="800"/>
      <c r="V97" s="875"/>
      <c r="W97" s="744"/>
      <c r="X97" s="2">
        <v>12</v>
      </c>
    </row>
    <row r="98" spans="1:24" s="2" customFormat="1" x14ac:dyDescent="0.25">
      <c r="A98" s="789"/>
      <c r="B98" s="792"/>
      <c r="C98" s="792"/>
      <c r="D98" s="792"/>
      <c r="E98" s="792"/>
      <c r="F98" s="797"/>
      <c r="G98" s="803"/>
      <c r="H98" s="800"/>
      <c r="I98" s="806"/>
      <c r="J98" s="809"/>
      <c r="K98" s="812"/>
      <c r="L98" s="792"/>
      <c r="M98" s="792"/>
      <c r="N98" s="166">
        <v>44592</v>
      </c>
      <c r="O98" s="797"/>
      <c r="P98" s="159">
        <v>42407.41</v>
      </c>
      <c r="Q98" s="160">
        <v>44616</v>
      </c>
      <c r="R98" s="161"/>
      <c r="S98" s="159"/>
      <c r="T98" s="159"/>
      <c r="U98" s="800"/>
      <c r="V98" s="875"/>
      <c r="W98" s="744"/>
      <c r="X98" s="2">
        <v>12</v>
      </c>
    </row>
    <row r="99" spans="1:24" s="2" customFormat="1" x14ac:dyDescent="0.25">
      <c r="A99" s="789"/>
      <c r="B99" s="792"/>
      <c r="C99" s="792"/>
      <c r="D99" s="792"/>
      <c r="E99" s="792"/>
      <c r="F99" s="797"/>
      <c r="G99" s="803"/>
      <c r="H99" s="800"/>
      <c r="I99" s="806"/>
      <c r="J99" s="809"/>
      <c r="K99" s="812"/>
      <c r="L99" s="792"/>
      <c r="M99" s="792"/>
      <c r="N99" s="166">
        <v>44592</v>
      </c>
      <c r="O99" s="797"/>
      <c r="P99" s="159">
        <v>2706.89</v>
      </c>
      <c r="Q99" s="160">
        <v>44616</v>
      </c>
      <c r="R99" s="161"/>
      <c r="S99" s="159"/>
      <c r="T99" s="159"/>
      <c r="U99" s="800"/>
      <c r="V99" s="875"/>
      <c r="W99" s="744"/>
      <c r="X99" s="2">
        <v>12</v>
      </c>
    </row>
    <row r="100" spans="1:24" s="2" customFormat="1" x14ac:dyDescent="0.25">
      <c r="A100" s="789"/>
      <c r="B100" s="792"/>
      <c r="C100" s="792"/>
      <c r="D100" s="792"/>
      <c r="E100" s="792"/>
      <c r="F100" s="797"/>
      <c r="G100" s="803"/>
      <c r="H100" s="800"/>
      <c r="I100" s="806"/>
      <c r="J100" s="809"/>
      <c r="K100" s="812"/>
      <c r="L100" s="792"/>
      <c r="M100" s="792"/>
      <c r="N100" s="166">
        <v>44582</v>
      </c>
      <c r="O100" s="797"/>
      <c r="P100" s="159">
        <v>79538.33</v>
      </c>
      <c r="Q100" s="160">
        <v>44616</v>
      </c>
      <c r="R100" s="161"/>
      <c r="S100" s="159"/>
      <c r="T100" s="159"/>
      <c r="U100" s="800"/>
      <c r="V100" s="875"/>
      <c r="W100" s="744"/>
      <c r="X100" s="2">
        <v>12</v>
      </c>
    </row>
    <row r="101" spans="1:24" s="2" customFormat="1" x14ac:dyDescent="0.25">
      <c r="A101" s="789"/>
      <c r="B101" s="792"/>
      <c r="C101" s="792"/>
      <c r="D101" s="792"/>
      <c r="E101" s="792"/>
      <c r="F101" s="797"/>
      <c r="G101" s="803"/>
      <c r="H101" s="800"/>
      <c r="I101" s="806"/>
      <c r="J101" s="809"/>
      <c r="K101" s="812"/>
      <c r="L101" s="792"/>
      <c r="M101" s="792"/>
      <c r="N101" s="166">
        <v>44582</v>
      </c>
      <c r="O101" s="797"/>
      <c r="P101" s="159">
        <v>5076.97</v>
      </c>
      <c r="Q101" s="160">
        <v>44616</v>
      </c>
      <c r="R101" s="161"/>
      <c r="S101" s="159"/>
      <c r="T101" s="159"/>
      <c r="U101" s="800"/>
      <c r="V101" s="875"/>
      <c r="W101" s="744"/>
      <c r="X101" s="2">
        <v>12</v>
      </c>
    </row>
    <row r="102" spans="1:24" s="2" customFormat="1" x14ac:dyDescent="0.25">
      <c r="A102" s="789"/>
      <c r="B102" s="792"/>
      <c r="C102" s="792"/>
      <c r="D102" s="792"/>
      <c r="E102" s="792"/>
      <c r="F102" s="797"/>
      <c r="G102" s="803"/>
      <c r="H102" s="800"/>
      <c r="I102" s="806"/>
      <c r="J102" s="809"/>
      <c r="K102" s="812"/>
      <c r="L102" s="792"/>
      <c r="M102" s="792"/>
      <c r="N102" s="166">
        <v>44620</v>
      </c>
      <c r="O102" s="797"/>
      <c r="P102" s="159">
        <v>40648.58</v>
      </c>
      <c r="Q102" s="160">
        <v>44636</v>
      </c>
      <c r="R102" s="161"/>
      <c r="S102" s="159"/>
      <c r="T102" s="159"/>
      <c r="U102" s="800"/>
      <c r="V102" s="875"/>
      <c r="W102" s="744"/>
      <c r="X102" s="2">
        <v>12</v>
      </c>
    </row>
    <row r="103" spans="1:24" s="2" customFormat="1" x14ac:dyDescent="0.25">
      <c r="A103" s="789"/>
      <c r="B103" s="792"/>
      <c r="C103" s="792"/>
      <c r="D103" s="792"/>
      <c r="E103" s="792"/>
      <c r="F103" s="797"/>
      <c r="G103" s="803"/>
      <c r="H103" s="800"/>
      <c r="I103" s="806"/>
      <c r="J103" s="809"/>
      <c r="K103" s="812"/>
      <c r="L103" s="792"/>
      <c r="M103" s="792"/>
      <c r="N103" s="166">
        <v>44620</v>
      </c>
      <c r="O103" s="797"/>
      <c r="P103" s="159">
        <v>2594.62</v>
      </c>
      <c r="Q103" s="160">
        <v>44636</v>
      </c>
      <c r="R103" s="161"/>
      <c r="S103" s="159"/>
      <c r="T103" s="159"/>
      <c r="U103" s="800"/>
      <c r="V103" s="875"/>
      <c r="W103" s="744"/>
      <c r="X103" s="2">
        <v>12</v>
      </c>
    </row>
    <row r="104" spans="1:24" s="2" customFormat="1" x14ac:dyDescent="0.25">
      <c r="A104" s="789"/>
      <c r="B104" s="792"/>
      <c r="C104" s="792"/>
      <c r="D104" s="792"/>
      <c r="E104" s="792"/>
      <c r="F104" s="797"/>
      <c r="G104" s="803"/>
      <c r="H104" s="800"/>
      <c r="I104" s="806"/>
      <c r="J104" s="809"/>
      <c r="K104" s="812"/>
      <c r="L104" s="792"/>
      <c r="M104" s="792"/>
      <c r="N104" s="166">
        <v>44610</v>
      </c>
      <c r="O104" s="797"/>
      <c r="P104" s="159">
        <v>63969.4</v>
      </c>
      <c r="Q104" s="160">
        <v>44651</v>
      </c>
      <c r="R104" s="161"/>
      <c r="S104" s="159"/>
      <c r="T104" s="159"/>
      <c r="U104" s="800"/>
      <c r="V104" s="875"/>
      <c r="W104" s="744"/>
      <c r="X104" s="2">
        <v>12</v>
      </c>
    </row>
    <row r="105" spans="1:24" s="2" customFormat="1" x14ac:dyDescent="0.25">
      <c r="A105" s="790"/>
      <c r="B105" s="793"/>
      <c r="C105" s="793"/>
      <c r="D105" s="793"/>
      <c r="E105" s="793"/>
      <c r="F105" s="798"/>
      <c r="G105" s="804"/>
      <c r="H105" s="801"/>
      <c r="I105" s="807"/>
      <c r="J105" s="810"/>
      <c r="K105" s="813"/>
      <c r="L105" s="793"/>
      <c r="M105" s="793"/>
      <c r="N105" s="167">
        <v>44610</v>
      </c>
      <c r="O105" s="798"/>
      <c r="P105" s="162">
        <v>4083.2</v>
      </c>
      <c r="Q105" s="163">
        <v>44651</v>
      </c>
      <c r="R105" s="164"/>
      <c r="S105" s="162"/>
      <c r="T105" s="162"/>
      <c r="U105" s="801"/>
      <c r="V105" s="876"/>
      <c r="W105" s="745"/>
      <c r="X105" s="2">
        <v>12</v>
      </c>
    </row>
    <row r="106" spans="1:24" s="108" customFormat="1" ht="54" customHeight="1" x14ac:dyDescent="0.25">
      <c r="A106" s="579">
        <v>13</v>
      </c>
      <c r="B106" s="585" t="s">
        <v>56</v>
      </c>
      <c r="C106" s="585"/>
      <c r="D106" s="585"/>
      <c r="E106" s="585" t="s">
        <v>212</v>
      </c>
      <c r="F106" s="581">
        <v>44560</v>
      </c>
      <c r="G106" s="591" t="s">
        <v>200</v>
      </c>
      <c r="H106" s="583">
        <v>11000</v>
      </c>
      <c r="I106" s="593">
        <f>IF(X106 = 13, H106 + SUM(S106:S115) - SUM(T106:T115) - SUM(P106:P115) - V106,0)</f>
        <v>3870.88</v>
      </c>
      <c r="J106" s="687">
        <v>7707049388</v>
      </c>
      <c r="K106" s="690" t="s">
        <v>201</v>
      </c>
      <c r="L106" s="585"/>
      <c r="M106" s="585" t="s">
        <v>199</v>
      </c>
      <c r="N106" s="520">
        <v>44592</v>
      </c>
      <c r="O106" s="581" t="s">
        <v>159</v>
      </c>
      <c r="P106" s="511">
        <v>726.62</v>
      </c>
      <c r="Q106" s="512">
        <v>44608</v>
      </c>
      <c r="R106" s="513"/>
      <c r="S106" s="511"/>
      <c r="T106" s="511"/>
      <c r="U106" s="583"/>
      <c r="V106" s="684"/>
      <c r="W106" s="589"/>
      <c r="X106" s="108">
        <v>13</v>
      </c>
    </row>
    <row r="107" spans="1:24" s="2" customFormat="1" x14ac:dyDescent="0.25">
      <c r="A107" s="666"/>
      <c r="B107" s="654"/>
      <c r="C107" s="654"/>
      <c r="D107" s="654"/>
      <c r="E107" s="654"/>
      <c r="F107" s="650"/>
      <c r="G107" s="658"/>
      <c r="H107" s="651"/>
      <c r="I107" s="655"/>
      <c r="J107" s="688"/>
      <c r="K107" s="691"/>
      <c r="L107" s="654"/>
      <c r="M107" s="654"/>
      <c r="N107" s="521">
        <v>44620</v>
      </c>
      <c r="O107" s="650"/>
      <c r="P107" s="514">
        <v>682.42</v>
      </c>
      <c r="Q107" s="515">
        <v>44641</v>
      </c>
      <c r="R107" s="516"/>
      <c r="S107" s="514"/>
      <c r="T107" s="514"/>
      <c r="U107" s="651"/>
      <c r="V107" s="685"/>
      <c r="W107" s="653"/>
      <c r="X107" s="2">
        <v>13</v>
      </c>
    </row>
    <row r="108" spans="1:24" s="2" customFormat="1" x14ac:dyDescent="0.25">
      <c r="A108" s="666"/>
      <c r="B108" s="654"/>
      <c r="C108" s="654"/>
      <c r="D108" s="654"/>
      <c r="E108" s="654"/>
      <c r="F108" s="650"/>
      <c r="G108" s="658"/>
      <c r="H108" s="651"/>
      <c r="I108" s="655"/>
      <c r="J108" s="688"/>
      <c r="K108" s="691"/>
      <c r="L108" s="654"/>
      <c r="M108" s="654"/>
      <c r="N108" s="521">
        <v>44651</v>
      </c>
      <c r="O108" s="650"/>
      <c r="P108" s="514">
        <v>943.67</v>
      </c>
      <c r="Q108" s="515" t="s">
        <v>249</v>
      </c>
      <c r="R108" s="516"/>
      <c r="S108" s="514"/>
      <c r="T108" s="514"/>
      <c r="U108" s="651"/>
      <c r="V108" s="685"/>
      <c r="W108" s="653"/>
      <c r="X108" s="2">
        <v>13</v>
      </c>
    </row>
    <row r="109" spans="1:24" s="2" customFormat="1" x14ac:dyDescent="0.25">
      <c r="A109" s="666"/>
      <c r="B109" s="654"/>
      <c r="C109" s="654"/>
      <c r="D109" s="654"/>
      <c r="E109" s="654"/>
      <c r="F109" s="650"/>
      <c r="G109" s="658"/>
      <c r="H109" s="651"/>
      <c r="I109" s="655"/>
      <c r="J109" s="688"/>
      <c r="K109" s="691"/>
      <c r="L109" s="654"/>
      <c r="M109" s="654"/>
      <c r="N109" s="521">
        <v>44681</v>
      </c>
      <c r="O109" s="650"/>
      <c r="P109" s="514">
        <v>769.14</v>
      </c>
      <c r="Q109" s="515" t="s">
        <v>250</v>
      </c>
      <c r="R109" s="516"/>
      <c r="S109" s="514"/>
      <c r="T109" s="514"/>
      <c r="U109" s="651"/>
      <c r="V109" s="685"/>
      <c r="W109" s="653"/>
      <c r="X109" s="2">
        <v>13</v>
      </c>
    </row>
    <row r="110" spans="1:24" s="2" customFormat="1" x14ac:dyDescent="0.25">
      <c r="A110" s="666"/>
      <c r="B110" s="654"/>
      <c r="C110" s="654"/>
      <c r="D110" s="654"/>
      <c r="E110" s="654"/>
      <c r="F110" s="650"/>
      <c r="G110" s="658"/>
      <c r="H110" s="651"/>
      <c r="I110" s="655"/>
      <c r="J110" s="688"/>
      <c r="K110" s="691"/>
      <c r="L110" s="654"/>
      <c r="M110" s="654"/>
      <c r="N110" s="521">
        <v>44712</v>
      </c>
      <c r="O110" s="650"/>
      <c r="P110" s="514">
        <v>973.78</v>
      </c>
      <c r="Q110" s="515" t="s">
        <v>384</v>
      </c>
      <c r="R110" s="516"/>
      <c r="S110" s="514"/>
      <c r="T110" s="514"/>
      <c r="U110" s="651"/>
      <c r="V110" s="685"/>
      <c r="W110" s="653"/>
      <c r="X110" s="2">
        <v>13</v>
      </c>
    </row>
    <row r="111" spans="1:24" s="2" customFormat="1" x14ac:dyDescent="0.25">
      <c r="A111" s="666"/>
      <c r="B111" s="654"/>
      <c r="C111" s="654"/>
      <c r="D111" s="654"/>
      <c r="E111" s="654"/>
      <c r="F111" s="650"/>
      <c r="G111" s="658"/>
      <c r="H111" s="651"/>
      <c r="I111" s="655"/>
      <c r="J111" s="688"/>
      <c r="K111" s="691"/>
      <c r="L111" s="654"/>
      <c r="M111" s="654"/>
      <c r="N111" s="521">
        <v>44742</v>
      </c>
      <c r="O111" s="650"/>
      <c r="P111" s="514">
        <v>772.94</v>
      </c>
      <c r="Q111" s="515" t="s">
        <v>444</v>
      </c>
      <c r="R111" s="516"/>
      <c r="S111" s="514"/>
      <c r="T111" s="514"/>
      <c r="U111" s="651"/>
      <c r="V111" s="685"/>
      <c r="W111" s="653"/>
      <c r="X111" s="2">
        <v>13</v>
      </c>
    </row>
    <row r="112" spans="1:24" s="2" customFormat="1" x14ac:dyDescent="0.25">
      <c r="A112" s="666"/>
      <c r="B112" s="654"/>
      <c r="C112" s="654"/>
      <c r="D112" s="654"/>
      <c r="E112" s="654"/>
      <c r="F112" s="650"/>
      <c r="G112" s="658"/>
      <c r="H112" s="651"/>
      <c r="I112" s="655"/>
      <c r="J112" s="688"/>
      <c r="K112" s="691"/>
      <c r="L112" s="654"/>
      <c r="M112" s="654"/>
      <c r="N112" s="521">
        <v>44773</v>
      </c>
      <c r="O112" s="650"/>
      <c r="P112" s="514">
        <v>717.13</v>
      </c>
      <c r="Q112" s="515" t="s">
        <v>487</v>
      </c>
      <c r="R112" s="516"/>
      <c r="S112" s="514"/>
      <c r="T112" s="514"/>
      <c r="U112" s="651"/>
      <c r="V112" s="685"/>
      <c r="W112" s="653"/>
      <c r="X112" s="2">
        <v>13</v>
      </c>
    </row>
    <row r="113" spans="1:24" s="2" customFormat="1" x14ac:dyDescent="0.25">
      <c r="A113" s="666"/>
      <c r="B113" s="654"/>
      <c r="C113" s="654"/>
      <c r="D113" s="654"/>
      <c r="E113" s="654"/>
      <c r="F113" s="650"/>
      <c r="G113" s="658"/>
      <c r="H113" s="651"/>
      <c r="I113" s="655"/>
      <c r="J113" s="688"/>
      <c r="K113" s="691"/>
      <c r="L113" s="654"/>
      <c r="M113" s="654"/>
      <c r="N113" s="521">
        <v>44804</v>
      </c>
      <c r="O113" s="650"/>
      <c r="P113" s="514">
        <v>704.78</v>
      </c>
      <c r="Q113" s="515" t="s">
        <v>527</v>
      </c>
      <c r="R113" s="516"/>
      <c r="S113" s="514"/>
      <c r="T113" s="514"/>
      <c r="U113" s="651"/>
      <c r="V113" s="685"/>
      <c r="W113" s="653"/>
      <c r="X113" s="2">
        <v>13</v>
      </c>
    </row>
    <row r="114" spans="1:24" s="2" customFormat="1" x14ac:dyDescent="0.25">
      <c r="A114" s="666"/>
      <c r="B114" s="654"/>
      <c r="C114" s="654"/>
      <c r="D114" s="654"/>
      <c r="E114" s="654"/>
      <c r="F114" s="650"/>
      <c r="G114" s="658"/>
      <c r="H114" s="651"/>
      <c r="I114" s="655"/>
      <c r="J114" s="688"/>
      <c r="K114" s="691"/>
      <c r="L114" s="654"/>
      <c r="M114" s="654"/>
      <c r="N114" s="521">
        <v>44834</v>
      </c>
      <c r="O114" s="650"/>
      <c r="P114" s="514">
        <v>33.020000000000003</v>
      </c>
      <c r="Q114" s="515" t="s">
        <v>581</v>
      </c>
      <c r="R114" s="516"/>
      <c r="S114" s="514"/>
      <c r="T114" s="514"/>
      <c r="U114" s="651"/>
      <c r="V114" s="685"/>
      <c r="W114" s="653"/>
      <c r="X114" s="2">
        <v>13</v>
      </c>
    </row>
    <row r="115" spans="1:24" s="2" customFormat="1" x14ac:dyDescent="0.25">
      <c r="A115" s="580"/>
      <c r="B115" s="586"/>
      <c r="C115" s="586"/>
      <c r="D115" s="586"/>
      <c r="E115" s="586"/>
      <c r="F115" s="582"/>
      <c r="G115" s="592"/>
      <c r="H115" s="584"/>
      <c r="I115" s="594"/>
      <c r="J115" s="689"/>
      <c r="K115" s="692"/>
      <c r="L115" s="586"/>
      <c r="M115" s="586"/>
      <c r="N115" s="522">
        <v>44834</v>
      </c>
      <c r="O115" s="582"/>
      <c r="P115" s="517">
        <v>805.62</v>
      </c>
      <c r="Q115" s="518" t="s">
        <v>581</v>
      </c>
      <c r="R115" s="519"/>
      <c r="S115" s="517"/>
      <c r="T115" s="517"/>
      <c r="U115" s="584"/>
      <c r="V115" s="686"/>
      <c r="W115" s="590"/>
      <c r="X115" s="2">
        <v>13</v>
      </c>
    </row>
    <row r="116" spans="1:24" s="108" customFormat="1" ht="75" x14ac:dyDescent="0.25">
      <c r="A116" s="134">
        <v>14</v>
      </c>
      <c r="B116" s="135" t="s">
        <v>56</v>
      </c>
      <c r="C116" s="135"/>
      <c r="D116" s="135"/>
      <c r="E116" s="135" t="s">
        <v>213</v>
      </c>
      <c r="F116" s="140">
        <v>44634</v>
      </c>
      <c r="G116" s="136" t="s">
        <v>214</v>
      </c>
      <c r="H116" s="137">
        <v>3000</v>
      </c>
      <c r="I116" s="138">
        <f>IF(X116 = 14, H116 + SUM(S116:S116) - SUM(T116:T116) - SUM(P116:P116) - V116,0)</f>
        <v>0</v>
      </c>
      <c r="J116" s="141">
        <v>2311187588</v>
      </c>
      <c r="K116" s="142" t="s">
        <v>215</v>
      </c>
      <c r="L116" s="135"/>
      <c r="M116" s="135" t="s">
        <v>309</v>
      </c>
      <c r="N116" s="140">
        <v>45008</v>
      </c>
      <c r="O116" s="140" t="s">
        <v>159</v>
      </c>
      <c r="P116" s="137">
        <v>3000</v>
      </c>
      <c r="Q116" s="136">
        <v>44644</v>
      </c>
      <c r="R116" s="135"/>
      <c r="S116" s="137"/>
      <c r="T116" s="137"/>
      <c r="U116" s="137"/>
      <c r="V116" s="143"/>
      <c r="W116" s="132"/>
      <c r="X116" s="108">
        <v>14</v>
      </c>
    </row>
    <row r="117" spans="1:24" s="108" customFormat="1" ht="56.25" x14ac:dyDescent="0.25">
      <c r="A117" s="134">
        <v>15</v>
      </c>
      <c r="B117" s="135" t="s">
        <v>56</v>
      </c>
      <c r="C117" s="135"/>
      <c r="D117" s="135"/>
      <c r="E117" s="135" t="s">
        <v>219</v>
      </c>
      <c r="F117" s="140">
        <v>44645</v>
      </c>
      <c r="G117" s="136" t="s">
        <v>220</v>
      </c>
      <c r="H117" s="137">
        <v>19360</v>
      </c>
      <c r="I117" s="138">
        <f>IF(X117 = 15, H117 + SUM(S117:S117) - SUM(T117:T117) - SUM(P117:P117) - V117,0)</f>
        <v>0</v>
      </c>
      <c r="J117" s="141">
        <v>235303483777</v>
      </c>
      <c r="K117" s="142" t="s">
        <v>221</v>
      </c>
      <c r="L117" s="135"/>
      <c r="M117" s="135" t="s">
        <v>318</v>
      </c>
      <c r="N117" s="140">
        <v>44645</v>
      </c>
      <c r="O117" s="140" t="s">
        <v>159</v>
      </c>
      <c r="P117" s="137">
        <v>19360</v>
      </c>
      <c r="Q117" s="136">
        <v>44648</v>
      </c>
      <c r="R117" s="135"/>
      <c r="S117" s="137"/>
      <c r="T117" s="137"/>
      <c r="U117" s="137"/>
      <c r="V117" s="143"/>
      <c r="W117" s="132"/>
      <c r="X117" s="108">
        <v>15</v>
      </c>
    </row>
    <row r="118" spans="1:24" s="108" customFormat="1" ht="54" customHeight="1" x14ac:dyDescent="0.25">
      <c r="A118" s="693">
        <v>16</v>
      </c>
      <c r="B118" s="696" t="s">
        <v>56</v>
      </c>
      <c r="C118" s="696"/>
      <c r="D118" s="696"/>
      <c r="E118" s="696" t="s">
        <v>222</v>
      </c>
      <c r="F118" s="719">
        <v>44561</v>
      </c>
      <c r="G118" s="721" t="s">
        <v>223</v>
      </c>
      <c r="H118" s="723">
        <v>28583</v>
      </c>
      <c r="I118" s="725">
        <f>IF(X118 = 16, H118 + SUM(S118:S120) - SUM(T118:T120) - SUM(P118:P120) - V118,0)</f>
        <v>7145.75</v>
      </c>
      <c r="J118" s="727">
        <v>2353018870</v>
      </c>
      <c r="K118" s="729" t="s">
        <v>224</v>
      </c>
      <c r="L118" s="696"/>
      <c r="M118" s="696" t="s">
        <v>322</v>
      </c>
      <c r="N118" s="451">
        <v>44648</v>
      </c>
      <c r="O118" s="719" t="s">
        <v>159</v>
      </c>
      <c r="P118" s="436">
        <v>7145.75</v>
      </c>
      <c r="Q118" s="437">
        <v>44650</v>
      </c>
      <c r="R118" s="438"/>
      <c r="S118" s="436"/>
      <c r="T118" s="436"/>
      <c r="U118" s="723"/>
      <c r="V118" s="733"/>
      <c r="W118" s="736"/>
      <c r="X118" s="108">
        <v>16</v>
      </c>
    </row>
    <row r="119" spans="1:24" s="2" customFormat="1" x14ac:dyDescent="0.25">
      <c r="A119" s="694"/>
      <c r="B119" s="697"/>
      <c r="C119" s="697"/>
      <c r="D119" s="697"/>
      <c r="E119" s="697"/>
      <c r="F119" s="731"/>
      <c r="G119" s="739"/>
      <c r="H119" s="732"/>
      <c r="I119" s="740"/>
      <c r="J119" s="741"/>
      <c r="K119" s="742"/>
      <c r="L119" s="697"/>
      <c r="M119" s="697"/>
      <c r="N119" s="452">
        <v>44739</v>
      </c>
      <c r="O119" s="731"/>
      <c r="P119" s="439">
        <v>7145.75</v>
      </c>
      <c r="Q119" s="440" t="s">
        <v>411</v>
      </c>
      <c r="R119" s="441"/>
      <c r="S119" s="439"/>
      <c r="T119" s="439"/>
      <c r="U119" s="732"/>
      <c r="V119" s="734"/>
      <c r="W119" s="737"/>
      <c r="X119" s="2">
        <v>16</v>
      </c>
    </row>
    <row r="120" spans="1:24" s="2" customFormat="1" x14ac:dyDescent="0.25">
      <c r="A120" s="695"/>
      <c r="B120" s="698"/>
      <c r="C120" s="698"/>
      <c r="D120" s="698"/>
      <c r="E120" s="698"/>
      <c r="F120" s="720"/>
      <c r="G120" s="722"/>
      <c r="H120" s="724"/>
      <c r="I120" s="726"/>
      <c r="J120" s="728"/>
      <c r="K120" s="730"/>
      <c r="L120" s="698"/>
      <c r="M120" s="698"/>
      <c r="N120" s="453">
        <v>44831</v>
      </c>
      <c r="O120" s="720"/>
      <c r="P120" s="447">
        <v>7145.75</v>
      </c>
      <c r="Q120" s="448" t="s">
        <v>531</v>
      </c>
      <c r="R120" s="449"/>
      <c r="S120" s="447"/>
      <c r="T120" s="447"/>
      <c r="U120" s="724"/>
      <c r="V120" s="735"/>
      <c r="W120" s="738"/>
      <c r="X120" s="2">
        <v>16</v>
      </c>
    </row>
    <row r="121" spans="1:24" s="108" customFormat="1" ht="54" customHeight="1" x14ac:dyDescent="0.25">
      <c r="A121" s="891">
        <v>17</v>
      </c>
      <c r="B121" s="863" t="s">
        <v>56</v>
      </c>
      <c r="C121" s="863"/>
      <c r="D121" s="863"/>
      <c r="E121" s="863" t="s">
        <v>202</v>
      </c>
      <c r="F121" s="849">
        <v>44621</v>
      </c>
      <c r="G121" s="893" t="s">
        <v>203</v>
      </c>
      <c r="H121" s="851">
        <v>41756</v>
      </c>
      <c r="I121" s="895">
        <f>IF(X121 = 17, H121 + SUM(S121:S122) - SUM(T121:T122) - SUM(P121:P122) - V121,0)</f>
        <v>0</v>
      </c>
      <c r="J121" s="859">
        <v>2353020735</v>
      </c>
      <c r="K121" s="861" t="s">
        <v>204</v>
      </c>
      <c r="L121" s="863"/>
      <c r="M121" s="863" t="s">
        <v>231</v>
      </c>
      <c r="N121" s="204">
        <v>44624</v>
      </c>
      <c r="O121" s="849" t="s">
        <v>159</v>
      </c>
      <c r="P121" s="198">
        <v>10956</v>
      </c>
      <c r="Q121" s="199">
        <v>44650</v>
      </c>
      <c r="R121" s="200"/>
      <c r="S121" s="198"/>
      <c r="T121" s="198"/>
      <c r="U121" s="851" t="s">
        <v>403</v>
      </c>
      <c r="V121" s="877">
        <v>7414</v>
      </c>
      <c r="W121" s="883"/>
      <c r="X121" s="108">
        <v>17</v>
      </c>
    </row>
    <row r="122" spans="1:24" s="2" customFormat="1" x14ac:dyDescent="0.25">
      <c r="A122" s="892"/>
      <c r="B122" s="864"/>
      <c r="C122" s="864"/>
      <c r="D122" s="864"/>
      <c r="E122" s="864"/>
      <c r="F122" s="850"/>
      <c r="G122" s="894"/>
      <c r="H122" s="852"/>
      <c r="I122" s="896"/>
      <c r="J122" s="860"/>
      <c r="K122" s="862"/>
      <c r="L122" s="864"/>
      <c r="M122" s="864"/>
      <c r="N122" s="205">
        <v>44638</v>
      </c>
      <c r="O122" s="850"/>
      <c r="P122" s="201">
        <v>23386</v>
      </c>
      <c r="Q122" s="202" t="s">
        <v>252</v>
      </c>
      <c r="R122" s="203"/>
      <c r="S122" s="201"/>
      <c r="T122" s="201"/>
      <c r="U122" s="852"/>
      <c r="V122" s="878"/>
      <c r="W122" s="884"/>
      <c r="X122" s="2">
        <v>17</v>
      </c>
    </row>
    <row r="123" spans="1:24" s="108" customFormat="1" ht="36" customHeight="1" x14ac:dyDescent="0.25">
      <c r="A123" s="704">
        <v>18</v>
      </c>
      <c r="B123" s="699" t="s">
        <v>56</v>
      </c>
      <c r="C123" s="699"/>
      <c r="D123" s="699"/>
      <c r="E123" s="699" t="s">
        <v>213</v>
      </c>
      <c r="F123" s="866">
        <v>44621</v>
      </c>
      <c r="G123" s="888" t="s">
        <v>211</v>
      </c>
      <c r="H123" s="869">
        <v>131531.4</v>
      </c>
      <c r="I123" s="897">
        <f>IF(X123 = 18, H123 + SUM(S123:S126) - SUM(T123:T126) - SUM(P123:P126) - V123,0)</f>
        <v>7.2759576141834259E-12</v>
      </c>
      <c r="J123" s="853">
        <v>2353020735</v>
      </c>
      <c r="K123" s="856" t="s">
        <v>204</v>
      </c>
      <c r="L123" s="699"/>
      <c r="M123" s="699" t="s">
        <v>231</v>
      </c>
      <c r="N123" s="215">
        <v>44624</v>
      </c>
      <c r="O123" s="866" t="s">
        <v>159</v>
      </c>
      <c r="P123" s="206">
        <v>32440.69</v>
      </c>
      <c r="Q123" s="207">
        <v>44651</v>
      </c>
      <c r="R123" s="208"/>
      <c r="S123" s="206"/>
      <c r="T123" s="206"/>
      <c r="U123" s="869" t="s">
        <v>404</v>
      </c>
      <c r="V123" s="885">
        <v>23354.1</v>
      </c>
      <c r="W123" s="846"/>
      <c r="X123" s="108">
        <v>18</v>
      </c>
    </row>
    <row r="124" spans="1:24" s="2" customFormat="1" x14ac:dyDescent="0.25">
      <c r="A124" s="705"/>
      <c r="B124" s="700"/>
      <c r="C124" s="700"/>
      <c r="D124" s="700"/>
      <c r="E124" s="700"/>
      <c r="F124" s="867"/>
      <c r="G124" s="889"/>
      <c r="H124" s="870"/>
      <c r="I124" s="898"/>
      <c r="J124" s="854"/>
      <c r="K124" s="857"/>
      <c r="L124" s="700"/>
      <c r="M124" s="700"/>
      <c r="N124" s="216">
        <v>44624</v>
      </c>
      <c r="O124" s="867"/>
      <c r="P124" s="209">
        <v>2070.71</v>
      </c>
      <c r="Q124" s="210">
        <v>44651</v>
      </c>
      <c r="R124" s="211"/>
      <c r="S124" s="209"/>
      <c r="T124" s="209"/>
      <c r="U124" s="870"/>
      <c r="V124" s="886"/>
      <c r="W124" s="847"/>
      <c r="X124" s="2">
        <v>18</v>
      </c>
    </row>
    <row r="125" spans="1:24" s="2" customFormat="1" x14ac:dyDescent="0.25">
      <c r="A125" s="705"/>
      <c r="B125" s="700"/>
      <c r="C125" s="700"/>
      <c r="D125" s="700"/>
      <c r="E125" s="700"/>
      <c r="F125" s="867"/>
      <c r="G125" s="889"/>
      <c r="H125" s="870"/>
      <c r="I125" s="898"/>
      <c r="J125" s="854"/>
      <c r="K125" s="857"/>
      <c r="L125" s="700"/>
      <c r="M125" s="700"/>
      <c r="N125" s="216">
        <v>44638</v>
      </c>
      <c r="O125" s="867"/>
      <c r="P125" s="209">
        <v>69245.899999999994</v>
      </c>
      <c r="Q125" s="210" t="s">
        <v>253</v>
      </c>
      <c r="R125" s="211"/>
      <c r="S125" s="209"/>
      <c r="T125" s="209"/>
      <c r="U125" s="870"/>
      <c r="V125" s="886"/>
      <c r="W125" s="847"/>
      <c r="X125" s="2">
        <v>18</v>
      </c>
    </row>
    <row r="126" spans="1:24" s="2" customFormat="1" x14ac:dyDescent="0.25">
      <c r="A126" s="706"/>
      <c r="B126" s="701"/>
      <c r="C126" s="701"/>
      <c r="D126" s="701"/>
      <c r="E126" s="701"/>
      <c r="F126" s="868"/>
      <c r="G126" s="890"/>
      <c r="H126" s="871"/>
      <c r="I126" s="899"/>
      <c r="J126" s="855"/>
      <c r="K126" s="858"/>
      <c r="L126" s="701"/>
      <c r="M126" s="701"/>
      <c r="N126" s="217">
        <v>44638</v>
      </c>
      <c r="O126" s="868"/>
      <c r="P126" s="212">
        <v>4420</v>
      </c>
      <c r="Q126" s="213" t="s">
        <v>253</v>
      </c>
      <c r="R126" s="214"/>
      <c r="S126" s="212"/>
      <c r="T126" s="212"/>
      <c r="U126" s="871"/>
      <c r="V126" s="887"/>
      <c r="W126" s="848"/>
      <c r="X126" s="2">
        <v>18</v>
      </c>
    </row>
    <row r="127" spans="1:24" s="108" customFormat="1" ht="54" customHeight="1" x14ac:dyDescent="0.25">
      <c r="A127" s="637">
        <v>19</v>
      </c>
      <c r="B127" s="699" t="s">
        <v>56</v>
      </c>
      <c r="C127" s="615" t="s">
        <v>261</v>
      </c>
      <c r="D127" s="615"/>
      <c r="E127" s="615" t="s">
        <v>262</v>
      </c>
      <c r="F127" s="621">
        <v>44581</v>
      </c>
      <c r="G127" s="618" t="s">
        <v>257</v>
      </c>
      <c r="H127" s="624">
        <v>9240</v>
      </c>
      <c r="I127" s="627">
        <f>IF(X127 = 19, H127 + SUM(S127:S130) - SUM(T127:T130) - SUM(P127:P130) - V127,0)</f>
        <v>0</v>
      </c>
      <c r="J127" s="843">
        <v>2353020735</v>
      </c>
      <c r="K127" s="840" t="s">
        <v>204</v>
      </c>
      <c r="L127" s="615"/>
      <c r="M127" s="615" t="s">
        <v>209</v>
      </c>
      <c r="N127" s="264">
        <v>44638</v>
      </c>
      <c r="O127" s="621" t="s">
        <v>258</v>
      </c>
      <c r="P127" s="258">
        <v>1408</v>
      </c>
      <c r="Q127" s="259" t="s">
        <v>263</v>
      </c>
      <c r="R127" s="260"/>
      <c r="S127" s="258"/>
      <c r="T127" s="258"/>
      <c r="U127" s="624" t="s">
        <v>420</v>
      </c>
      <c r="V127" s="717">
        <v>2926</v>
      </c>
      <c r="W127" s="607"/>
      <c r="X127" s="108">
        <v>19</v>
      </c>
    </row>
    <row r="128" spans="1:24" s="2" customFormat="1" x14ac:dyDescent="0.25">
      <c r="A128" s="638"/>
      <c r="B128" s="700"/>
      <c r="C128" s="616"/>
      <c r="D128" s="616"/>
      <c r="E128" s="616"/>
      <c r="F128" s="622"/>
      <c r="G128" s="619"/>
      <c r="H128" s="625"/>
      <c r="I128" s="628"/>
      <c r="J128" s="844"/>
      <c r="K128" s="841"/>
      <c r="L128" s="616"/>
      <c r="M128" s="616"/>
      <c r="N128" s="269">
        <v>44651</v>
      </c>
      <c r="O128" s="622"/>
      <c r="P128" s="266">
        <v>1716</v>
      </c>
      <c r="Q128" s="267" t="s">
        <v>255</v>
      </c>
      <c r="R128" s="268"/>
      <c r="S128" s="266"/>
      <c r="T128" s="266"/>
      <c r="U128" s="625"/>
      <c r="V128" s="865"/>
      <c r="W128" s="608"/>
      <c r="X128" s="2">
        <v>19</v>
      </c>
    </row>
    <row r="129" spans="1:24" s="2" customFormat="1" x14ac:dyDescent="0.25">
      <c r="A129" s="638"/>
      <c r="B129" s="700"/>
      <c r="C129" s="616"/>
      <c r="D129" s="616"/>
      <c r="E129" s="616"/>
      <c r="F129" s="622"/>
      <c r="G129" s="619"/>
      <c r="H129" s="625"/>
      <c r="I129" s="628"/>
      <c r="J129" s="844"/>
      <c r="K129" s="841"/>
      <c r="L129" s="616"/>
      <c r="M129" s="616"/>
      <c r="N129" s="269">
        <v>44680</v>
      </c>
      <c r="O129" s="622"/>
      <c r="P129" s="266">
        <v>2112</v>
      </c>
      <c r="Q129" s="267" t="s">
        <v>243</v>
      </c>
      <c r="R129" s="268"/>
      <c r="S129" s="266"/>
      <c r="T129" s="266"/>
      <c r="U129" s="625"/>
      <c r="V129" s="865"/>
      <c r="W129" s="608"/>
      <c r="X129" s="2">
        <v>19</v>
      </c>
    </row>
    <row r="130" spans="1:24" s="2" customFormat="1" x14ac:dyDescent="0.25">
      <c r="A130" s="639"/>
      <c r="B130" s="701"/>
      <c r="C130" s="617"/>
      <c r="D130" s="617"/>
      <c r="E130" s="617"/>
      <c r="F130" s="623"/>
      <c r="G130" s="620"/>
      <c r="H130" s="626"/>
      <c r="I130" s="629"/>
      <c r="J130" s="845"/>
      <c r="K130" s="842"/>
      <c r="L130" s="617"/>
      <c r="M130" s="617"/>
      <c r="N130" s="265">
        <v>44701</v>
      </c>
      <c r="O130" s="623"/>
      <c r="P130" s="261">
        <v>1078</v>
      </c>
      <c r="Q130" s="262" t="s">
        <v>381</v>
      </c>
      <c r="R130" s="263"/>
      <c r="S130" s="261"/>
      <c r="T130" s="261"/>
      <c r="U130" s="626"/>
      <c r="V130" s="718"/>
      <c r="W130" s="609"/>
      <c r="X130" s="2">
        <v>19</v>
      </c>
    </row>
    <row r="131" spans="1:24" s="108" customFormat="1" ht="56.25" x14ac:dyDescent="0.25">
      <c r="A131" s="183">
        <v>20</v>
      </c>
      <c r="B131" s="184" t="s">
        <v>56</v>
      </c>
      <c r="C131" s="184"/>
      <c r="D131" s="184"/>
      <c r="E131" s="184" t="s">
        <v>271</v>
      </c>
      <c r="F131" s="219">
        <v>44621</v>
      </c>
      <c r="G131" s="185" t="s">
        <v>156</v>
      </c>
      <c r="H131" s="186">
        <v>59520</v>
      </c>
      <c r="I131" s="187">
        <f>IF(X131 = 20, H131 + SUM(S131:S131) - SUM(T131:T131) - SUM(P131:P131) - V131,0)</f>
        <v>0</v>
      </c>
      <c r="J131" s="188">
        <v>2304067057</v>
      </c>
      <c r="K131" s="189" t="s">
        <v>157</v>
      </c>
      <c r="L131" s="184"/>
      <c r="M131" s="184" t="s">
        <v>272</v>
      </c>
      <c r="N131" s="219">
        <v>44651</v>
      </c>
      <c r="O131" s="219" t="s">
        <v>273</v>
      </c>
      <c r="P131" s="186">
        <v>59520</v>
      </c>
      <c r="Q131" s="185" t="s">
        <v>238</v>
      </c>
      <c r="R131" s="184"/>
      <c r="S131" s="186"/>
      <c r="T131" s="186"/>
      <c r="U131" s="186"/>
      <c r="V131" s="193"/>
      <c r="W131" s="194"/>
      <c r="X131" s="108">
        <v>20</v>
      </c>
    </row>
    <row r="132" spans="1:24" s="108" customFormat="1" ht="75" x14ac:dyDescent="0.25">
      <c r="A132" s="183">
        <v>21</v>
      </c>
      <c r="B132" s="184" t="s">
        <v>56</v>
      </c>
      <c r="C132" s="184"/>
      <c r="D132" s="184"/>
      <c r="E132" s="184" t="s">
        <v>281</v>
      </c>
      <c r="F132" s="219">
        <v>44652</v>
      </c>
      <c r="G132" s="185" t="s">
        <v>160</v>
      </c>
      <c r="H132" s="186">
        <v>120540</v>
      </c>
      <c r="I132" s="187">
        <f>IF(X132 = 21, H132 + SUM(S132:S132) - SUM(T132:T132) - SUM(P132:P132) - V132,0)</f>
        <v>0</v>
      </c>
      <c r="J132" s="188">
        <v>235300578903</v>
      </c>
      <c r="K132" s="189" t="s">
        <v>161</v>
      </c>
      <c r="L132" s="184"/>
      <c r="M132" s="184" t="s">
        <v>284</v>
      </c>
      <c r="N132" s="219">
        <v>44681</v>
      </c>
      <c r="O132" s="219" t="s">
        <v>283</v>
      </c>
      <c r="P132" s="186">
        <v>120540</v>
      </c>
      <c r="Q132" s="185" t="s">
        <v>282</v>
      </c>
      <c r="R132" s="184"/>
      <c r="S132" s="186"/>
      <c r="T132" s="186"/>
      <c r="U132" s="186"/>
      <c r="V132" s="193"/>
      <c r="W132" s="194"/>
      <c r="X132" s="108">
        <v>21</v>
      </c>
    </row>
    <row r="133" spans="1:24" s="108" customFormat="1" ht="56.25" x14ac:dyDescent="0.25">
      <c r="A133" s="230">
        <v>22</v>
      </c>
      <c r="B133" s="231" t="s">
        <v>56</v>
      </c>
      <c r="C133" s="231"/>
      <c r="D133" s="231"/>
      <c r="E133" s="231" t="s">
        <v>319</v>
      </c>
      <c r="F133" s="238">
        <v>44656</v>
      </c>
      <c r="G133" s="232" t="s">
        <v>320</v>
      </c>
      <c r="H133" s="233">
        <v>6500</v>
      </c>
      <c r="I133" s="234">
        <f>IF(X133 = 23, H133 + SUM(S133:S133) - SUM(T133:T133) - SUM(P133:P133) - V133,0)</f>
        <v>0</v>
      </c>
      <c r="J133" s="235">
        <v>2353018870</v>
      </c>
      <c r="K133" s="236" t="s">
        <v>224</v>
      </c>
      <c r="L133" s="231"/>
      <c r="M133" s="231" t="s">
        <v>321</v>
      </c>
      <c r="N133" s="238">
        <v>44704</v>
      </c>
      <c r="O133" s="238" t="s">
        <v>502</v>
      </c>
      <c r="P133" s="233">
        <v>6500</v>
      </c>
      <c r="Q133" s="232" t="s">
        <v>245</v>
      </c>
      <c r="R133" s="231"/>
      <c r="S133" s="233"/>
      <c r="T133" s="233"/>
      <c r="U133" s="233"/>
      <c r="V133" s="237"/>
      <c r="W133" s="226"/>
      <c r="X133" s="108">
        <v>23</v>
      </c>
    </row>
    <row r="134" spans="1:24" s="108" customFormat="1" ht="54" customHeight="1" x14ac:dyDescent="0.25">
      <c r="A134" s="693">
        <v>23</v>
      </c>
      <c r="B134" s="696" t="s">
        <v>56</v>
      </c>
      <c r="C134" s="696"/>
      <c r="D134" s="696"/>
      <c r="E134" s="696" t="s">
        <v>362</v>
      </c>
      <c r="F134" s="719">
        <v>44682</v>
      </c>
      <c r="G134" s="721" t="s">
        <v>160</v>
      </c>
      <c r="H134" s="723">
        <v>289800</v>
      </c>
      <c r="I134" s="725">
        <f>IF(X134 = 24, H134 + SUM(S134:S137) - SUM(T134:T137) - SUM(P134:P137) - V134,0)</f>
        <v>0</v>
      </c>
      <c r="J134" s="727">
        <v>235300578903</v>
      </c>
      <c r="K134" s="729" t="s">
        <v>161</v>
      </c>
      <c r="L134" s="696"/>
      <c r="M134" s="696" t="s">
        <v>363</v>
      </c>
      <c r="N134" s="451">
        <v>44712</v>
      </c>
      <c r="O134" s="719" t="s">
        <v>364</v>
      </c>
      <c r="P134" s="436">
        <v>102154.5</v>
      </c>
      <c r="Q134" s="437" t="s">
        <v>383</v>
      </c>
      <c r="R134" s="438"/>
      <c r="S134" s="436"/>
      <c r="T134" s="436"/>
      <c r="U134" s="723" t="s">
        <v>545</v>
      </c>
      <c r="V134" s="733">
        <v>67620</v>
      </c>
      <c r="W134" s="736"/>
      <c r="X134" s="108">
        <v>24</v>
      </c>
    </row>
    <row r="135" spans="1:24" s="2" customFormat="1" x14ac:dyDescent="0.25">
      <c r="A135" s="694"/>
      <c r="B135" s="697"/>
      <c r="C135" s="697"/>
      <c r="D135" s="697"/>
      <c r="E135" s="697"/>
      <c r="F135" s="731"/>
      <c r="G135" s="739"/>
      <c r="H135" s="732"/>
      <c r="I135" s="740"/>
      <c r="J135" s="741"/>
      <c r="K135" s="742"/>
      <c r="L135" s="697"/>
      <c r="M135" s="697"/>
      <c r="N135" s="452">
        <v>44742</v>
      </c>
      <c r="O135" s="731"/>
      <c r="P135" s="439">
        <v>83800.5</v>
      </c>
      <c r="Q135" s="440" t="s">
        <v>443</v>
      </c>
      <c r="R135" s="441"/>
      <c r="S135" s="439"/>
      <c r="T135" s="439"/>
      <c r="U135" s="732"/>
      <c r="V135" s="734"/>
      <c r="W135" s="737"/>
      <c r="X135" s="2">
        <v>24</v>
      </c>
    </row>
    <row r="136" spans="1:24" s="2" customFormat="1" x14ac:dyDescent="0.25">
      <c r="A136" s="694"/>
      <c r="B136" s="697"/>
      <c r="C136" s="697"/>
      <c r="D136" s="697"/>
      <c r="E136" s="697"/>
      <c r="F136" s="731"/>
      <c r="G136" s="739"/>
      <c r="H136" s="732"/>
      <c r="I136" s="740"/>
      <c r="J136" s="741"/>
      <c r="K136" s="742"/>
      <c r="L136" s="697"/>
      <c r="M136" s="697"/>
      <c r="N136" s="452">
        <v>44771</v>
      </c>
      <c r="O136" s="731"/>
      <c r="P136" s="439">
        <v>26806.5</v>
      </c>
      <c r="Q136" s="440" t="s">
        <v>488</v>
      </c>
      <c r="R136" s="441"/>
      <c r="S136" s="439"/>
      <c r="T136" s="439"/>
      <c r="U136" s="732"/>
      <c r="V136" s="734"/>
      <c r="W136" s="737"/>
      <c r="X136" s="2">
        <v>24</v>
      </c>
    </row>
    <row r="137" spans="1:24" s="2" customFormat="1" x14ac:dyDescent="0.25">
      <c r="A137" s="695"/>
      <c r="B137" s="698"/>
      <c r="C137" s="698"/>
      <c r="D137" s="698"/>
      <c r="E137" s="698"/>
      <c r="F137" s="720"/>
      <c r="G137" s="722"/>
      <c r="H137" s="724"/>
      <c r="I137" s="726"/>
      <c r="J137" s="728"/>
      <c r="K137" s="730"/>
      <c r="L137" s="698"/>
      <c r="M137" s="698"/>
      <c r="N137" s="453">
        <v>44804</v>
      </c>
      <c r="O137" s="720"/>
      <c r="P137" s="447">
        <v>9418.5</v>
      </c>
      <c r="Q137" s="448" t="s">
        <v>529</v>
      </c>
      <c r="R137" s="449"/>
      <c r="S137" s="447"/>
      <c r="T137" s="447"/>
      <c r="U137" s="724"/>
      <c r="V137" s="735"/>
      <c r="W137" s="738"/>
      <c r="X137" s="2">
        <v>24</v>
      </c>
    </row>
    <row r="138" spans="1:24" s="108" customFormat="1" ht="56.25" x14ac:dyDescent="0.25">
      <c r="A138" s="230">
        <v>24</v>
      </c>
      <c r="B138" s="231" t="s">
        <v>56</v>
      </c>
      <c r="C138" s="231"/>
      <c r="D138" s="231"/>
      <c r="E138" s="231" t="s">
        <v>365</v>
      </c>
      <c r="F138" s="250">
        <v>44686</v>
      </c>
      <c r="G138" s="232" t="s">
        <v>286</v>
      </c>
      <c r="H138" s="233">
        <v>97900</v>
      </c>
      <c r="I138" s="234">
        <f>IF(X138 = 25, H138 + SUM(S138:S138) - SUM(T138:T138) - SUM(P138:P138) - V138,0)</f>
        <v>0</v>
      </c>
      <c r="J138" s="235">
        <v>7729656731</v>
      </c>
      <c r="K138" s="236" t="s">
        <v>366</v>
      </c>
      <c r="L138" s="231"/>
      <c r="M138" s="231" t="s">
        <v>367</v>
      </c>
      <c r="N138" s="250">
        <v>44713</v>
      </c>
      <c r="O138" s="250" t="s">
        <v>368</v>
      </c>
      <c r="P138" s="233">
        <v>97900</v>
      </c>
      <c r="Q138" s="232" t="s">
        <v>385</v>
      </c>
      <c r="R138" s="231"/>
      <c r="S138" s="233"/>
      <c r="T138" s="233"/>
      <c r="U138" s="233"/>
      <c r="V138" s="237"/>
      <c r="W138" s="239"/>
      <c r="X138" s="108">
        <v>25</v>
      </c>
    </row>
    <row r="139" spans="1:24" s="108" customFormat="1" ht="54" customHeight="1" x14ac:dyDescent="0.25">
      <c r="A139" s="637">
        <v>25</v>
      </c>
      <c r="B139" s="615" t="s">
        <v>56</v>
      </c>
      <c r="C139" s="615"/>
      <c r="D139" s="615"/>
      <c r="E139" s="615" t="s">
        <v>369</v>
      </c>
      <c r="F139" s="621">
        <v>44695</v>
      </c>
      <c r="G139" s="618" t="s">
        <v>370</v>
      </c>
      <c r="H139" s="624">
        <v>7815</v>
      </c>
      <c r="I139" s="627">
        <f>IF(X139 = 26, H139 + SUM(S139:S140) - SUM(T139:T140) - SUM(P139:P140) - V139,0)</f>
        <v>0</v>
      </c>
      <c r="J139" s="843">
        <v>2636040789</v>
      </c>
      <c r="K139" s="840" t="s">
        <v>372</v>
      </c>
      <c r="L139" s="615"/>
      <c r="M139" s="615" t="s">
        <v>371</v>
      </c>
      <c r="N139" s="264">
        <v>44708</v>
      </c>
      <c r="O139" s="621" t="s">
        <v>373</v>
      </c>
      <c r="P139" s="258">
        <v>6925</v>
      </c>
      <c r="Q139" s="259" t="s">
        <v>323</v>
      </c>
      <c r="R139" s="260"/>
      <c r="S139" s="258"/>
      <c r="T139" s="258"/>
      <c r="U139" s="624"/>
      <c r="V139" s="717"/>
      <c r="W139" s="607"/>
      <c r="X139" s="108">
        <v>26</v>
      </c>
    </row>
    <row r="140" spans="1:24" s="2" customFormat="1" x14ac:dyDescent="0.25">
      <c r="A140" s="639"/>
      <c r="B140" s="617"/>
      <c r="C140" s="617"/>
      <c r="D140" s="617"/>
      <c r="E140" s="617"/>
      <c r="F140" s="623"/>
      <c r="G140" s="620"/>
      <c r="H140" s="626"/>
      <c r="I140" s="629"/>
      <c r="J140" s="845"/>
      <c r="K140" s="842"/>
      <c r="L140" s="617"/>
      <c r="M140" s="617"/>
      <c r="N140" s="265">
        <v>44708</v>
      </c>
      <c r="O140" s="623"/>
      <c r="P140" s="261">
        <v>890</v>
      </c>
      <c r="Q140" s="262" t="s">
        <v>323</v>
      </c>
      <c r="R140" s="263"/>
      <c r="S140" s="261"/>
      <c r="T140" s="261"/>
      <c r="U140" s="626"/>
      <c r="V140" s="718"/>
      <c r="W140" s="609"/>
      <c r="X140" s="2">
        <v>26</v>
      </c>
    </row>
    <row r="141" spans="1:24" s="108" customFormat="1" ht="75" x14ac:dyDescent="0.25">
      <c r="A141" s="230">
        <v>26</v>
      </c>
      <c r="B141" s="231" t="s">
        <v>56</v>
      </c>
      <c r="C141" s="231"/>
      <c r="D141" s="231"/>
      <c r="E141" s="231" t="s">
        <v>374</v>
      </c>
      <c r="F141" s="250" t="s">
        <v>375</v>
      </c>
      <c r="G141" s="232" t="s">
        <v>376</v>
      </c>
      <c r="H141" s="233">
        <v>6400</v>
      </c>
      <c r="I141" s="234">
        <f>IF(X141 = 27, H141 + SUM(S141:S141) - SUM(T141:T141) - SUM(P141:P141) - V141,0)</f>
        <v>0</v>
      </c>
      <c r="J141" s="235">
        <v>234602203000</v>
      </c>
      <c r="K141" s="236" t="s">
        <v>378</v>
      </c>
      <c r="L141" s="231"/>
      <c r="M141" s="231" t="s">
        <v>150</v>
      </c>
      <c r="N141" s="250">
        <v>44708</v>
      </c>
      <c r="O141" s="250" t="s">
        <v>377</v>
      </c>
      <c r="P141" s="233">
        <v>6400</v>
      </c>
      <c r="Q141" s="232" t="s">
        <v>323</v>
      </c>
      <c r="R141" s="231"/>
      <c r="S141" s="233"/>
      <c r="T141" s="233"/>
      <c r="U141" s="233"/>
      <c r="V141" s="237"/>
      <c r="W141" s="239"/>
      <c r="X141" s="108">
        <v>27</v>
      </c>
    </row>
    <row r="142" spans="1:24" s="108" customFormat="1" ht="54" customHeight="1" x14ac:dyDescent="0.25">
      <c r="A142" s="317">
        <v>27</v>
      </c>
      <c r="B142" s="315" t="s">
        <v>56</v>
      </c>
      <c r="C142" s="315"/>
      <c r="D142" s="315"/>
      <c r="E142" s="315" t="s">
        <v>390</v>
      </c>
      <c r="F142" s="316" t="s">
        <v>391</v>
      </c>
      <c r="G142" s="314" t="s">
        <v>392</v>
      </c>
      <c r="H142" s="313">
        <v>19500</v>
      </c>
      <c r="I142" s="318">
        <f>IF(X142 = 29, H142 + SUM(S142:S142) - SUM(T142:T142) - SUM(P142:P142) - V142,0)</f>
        <v>0</v>
      </c>
      <c r="J142" s="319">
        <v>2312068671</v>
      </c>
      <c r="K142" s="320" t="s">
        <v>393</v>
      </c>
      <c r="L142" s="315"/>
      <c r="M142" s="315" t="s">
        <v>394</v>
      </c>
      <c r="N142" s="316">
        <v>44733</v>
      </c>
      <c r="O142" s="316" t="s">
        <v>395</v>
      </c>
      <c r="P142" s="313">
        <v>19500</v>
      </c>
      <c r="Q142" s="314" t="s">
        <v>389</v>
      </c>
      <c r="R142" s="315"/>
      <c r="S142" s="313"/>
      <c r="T142" s="313"/>
      <c r="U142" s="313"/>
      <c r="V142" s="321"/>
      <c r="W142" s="322"/>
      <c r="X142" s="108">
        <v>29</v>
      </c>
    </row>
    <row r="143" spans="1:24" s="108" customFormat="1" ht="54" customHeight="1" x14ac:dyDescent="0.25">
      <c r="A143" s="640">
        <v>28</v>
      </c>
      <c r="B143" s="604" t="s">
        <v>56</v>
      </c>
      <c r="C143" s="604"/>
      <c r="D143" s="604"/>
      <c r="E143" s="604" t="s">
        <v>421</v>
      </c>
      <c r="F143" s="575" t="s">
        <v>375</v>
      </c>
      <c r="G143" s="630" t="s">
        <v>422</v>
      </c>
      <c r="H143" s="577">
        <v>34104</v>
      </c>
      <c r="I143" s="656">
        <f>IF(X143 = 30, H143 + SUM(S143:S144) - SUM(T143:T144) - SUM(P143:P144) - V143,0)</f>
        <v>0</v>
      </c>
      <c r="J143" s="879">
        <v>23530020735</v>
      </c>
      <c r="K143" s="881" t="s">
        <v>204</v>
      </c>
      <c r="L143" s="604"/>
      <c r="M143" s="604" t="s">
        <v>423</v>
      </c>
      <c r="N143" s="346">
        <v>44731</v>
      </c>
      <c r="O143" s="575" t="s">
        <v>424</v>
      </c>
      <c r="P143" s="340">
        <v>14616</v>
      </c>
      <c r="Q143" s="341" t="s">
        <v>441</v>
      </c>
      <c r="R143" s="342"/>
      <c r="S143" s="340"/>
      <c r="T143" s="340"/>
      <c r="U143" s="577"/>
      <c r="V143" s="702"/>
      <c r="W143" s="601"/>
      <c r="X143" s="108">
        <v>30</v>
      </c>
    </row>
    <row r="144" spans="1:24" s="2" customFormat="1" x14ac:dyDescent="0.25">
      <c r="A144" s="641"/>
      <c r="B144" s="606"/>
      <c r="C144" s="606"/>
      <c r="D144" s="606"/>
      <c r="E144" s="606"/>
      <c r="F144" s="576"/>
      <c r="G144" s="631"/>
      <c r="H144" s="578"/>
      <c r="I144" s="657"/>
      <c r="J144" s="880"/>
      <c r="K144" s="882"/>
      <c r="L144" s="606"/>
      <c r="M144" s="606"/>
      <c r="N144" s="347">
        <v>44731</v>
      </c>
      <c r="O144" s="576"/>
      <c r="P144" s="343">
        <v>19488</v>
      </c>
      <c r="Q144" s="344" t="s">
        <v>441</v>
      </c>
      <c r="R144" s="345"/>
      <c r="S144" s="343"/>
      <c r="T144" s="343"/>
      <c r="U144" s="578"/>
      <c r="V144" s="703"/>
      <c r="W144" s="603"/>
      <c r="X144" s="2">
        <v>30</v>
      </c>
    </row>
    <row r="145" spans="1:24" s="108" customFormat="1" ht="75" x14ac:dyDescent="0.25">
      <c r="A145" s="309">
        <v>29</v>
      </c>
      <c r="B145" s="300" t="s">
        <v>56</v>
      </c>
      <c r="C145" s="300"/>
      <c r="D145" s="300"/>
      <c r="E145" s="300" t="s">
        <v>425</v>
      </c>
      <c r="F145" s="332" t="s">
        <v>375</v>
      </c>
      <c r="G145" s="302" t="s">
        <v>422</v>
      </c>
      <c r="H145" s="305">
        <v>77940</v>
      </c>
      <c r="I145" s="307">
        <f>IF(X145 = 31, H145 + SUM(S145:S145) - SUM(T145:T145) - SUM(P145:P145) - V145,0)</f>
        <v>0</v>
      </c>
      <c r="J145" s="333">
        <v>23530020735</v>
      </c>
      <c r="K145" s="334" t="s">
        <v>204</v>
      </c>
      <c r="L145" s="300"/>
      <c r="M145" s="300" t="s">
        <v>423</v>
      </c>
      <c r="N145" s="332">
        <v>44731</v>
      </c>
      <c r="O145" s="332" t="s">
        <v>424</v>
      </c>
      <c r="P145" s="305">
        <v>77940</v>
      </c>
      <c r="Q145" s="302" t="s">
        <v>441</v>
      </c>
      <c r="R145" s="300"/>
      <c r="S145" s="305"/>
      <c r="T145" s="305"/>
      <c r="U145" s="305"/>
      <c r="V145" s="335"/>
      <c r="W145" s="298"/>
      <c r="X145" s="108">
        <v>31</v>
      </c>
    </row>
    <row r="146" spans="1:24" s="108" customFormat="1" ht="56.25" x14ac:dyDescent="0.25">
      <c r="A146" s="323">
        <v>30</v>
      </c>
      <c r="B146" s="324" t="s">
        <v>56</v>
      </c>
      <c r="C146" s="324"/>
      <c r="D146" s="324"/>
      <c r="E146" s="324" t="s">
        <v>436</v>
      </c>
      <c r="F146" s="339" t="s">
        <v>437</v>
      </c>
      <c r="G146" s="325" t="s">
        <v>438</v>
      </c>
      <c r="H146" s="326">
        <v>94468</v>
      </c>
      <c r="I146" s="327">
        <f>IF(X146 = 32, H146 + SUM(S146:S146) - SUM(T146:T146) - SUM(P146:P146) - V146,0)</f>
        <v>0</v>
      </c>
      <c r="J146" s="328">
        <v>235305536400</v>
      </c>
      <c r="K146" s="329" t="s">
        <v>439</v>
      </c>
      <c r="L146" s="324"/>
      <c r="M146" s="324" t="s">
        <v>440</v>
      </c>
      <c r="N146" s="339">
        <v>44769</v>
      </c>
      <c r="O146" s="339" t="s">
        <v>501</v>
      </c>
      <c r="P146" s="326">
        <v>94468</v>
      </c>
      <c r="Q146" s="325" t="s">
        <v>485</v>
      </c>
      <c r="R146" s="324"/>
      <c r="S146" s="326"/>
      <c r="T146" s="326"/>
      <c r="U146" s="326"/>
      <c r="V146" s="330"/>
      <c r="W146" s="331"/>
      <c r="X146" s="108">
        <v>32</v>
      </c>
    </row>
    <row r="147" spans="1:24" s="108" customFormat="1" ht="56.25" x14ac:dyDescent="0.25">
      <c r="A147" s="366">
        <v>31</v>
      </c>
      <c r="B147" s="368" t="s">
        <v>56</v>
      </c>
      <c r="C147" s="368"/>
      <c r="D147" s="368"/>
      <c r="E147" s="368" t="s">
        <v>462</v>
      </c>
      <c r="F147" s="385" t="s">
        <v>463</v>
      </c>
      <c r="G147" s="371" t="s">
        <v>504</v>
      </c>
      <c r="H147" s="367">
        <v>2840</v>
      </c>
      <c r="I147" s="372">
        <f>IF(X147 = 33, H147 + SUM(S147:S147) - SUM(T147:T147) - SUM(P147:P147) - V147,0)</f>
        <v>0</v>
      </c>
      <c r="J147" s="373">
        <v>235000239811</v>
      </c>
      <c r="K147" s="374" t="s">
        <v>464</v>
      </c>
      <c r="L147" s="368"/>
      <c r="M147" s="368" t="s">
        <v>465</v>
      </c>
      <c r="N147" s="385">
        <v>44792</v>
      </c>
      <c r="O147" s="385" t="s">
        <v>501</v>
      </c>
      <c r="P147" s="367">
        <v>2840</v>
      </c>
      <c r="Q147" s="371" t="s">
        <v>490</v>
      </c>
      <c r="R147" s="368"/>
      <c r="S147" s="367"/>
      <c r="T147" s="367"/>
      <c r="U147" s="367"/>
      <c r="V147" s="369"/>
      <c r="W147" s="370"/>
      <c r="X147" s="108">
        <v>33</v>
      </c>
    </row>
    <row r="148" spans="1:24" s="108" customFormat="1" ht="54" customHeight="1" x14ac:dyDescent="0.25">
      <c r="A148" s="900">
        <v>32</v>
      </c>
      <c r="B148" s="906" t="s">
        <v>56</v>
      </c>
      <c r="C148" s="906"/>
      <c r="D148" s="906"/>
      <c r="E148" s="906" t="s">
        <v>470</v>
      </c>
      <c r="F148" s="902" t="s">
        <v>469</v>
      </c>
      <c r="G148" s="912" t="s">
        <v>468</v>
      </c>
      <c r="H148" s="904">
        <v>6310</v>
      </c>
      <c r="I148" s="914">
        <f>IF(X148 = 34, H148 + SUM(S148:S149) - SUM(T148:T149) - SUM(P148:P149) - V148,0)</f>
        <v>0</v>
      </c>
      <c r="J148" s="916">
        <v>235306893387</v>
      </c>
      <c r="K148" s="918" t="s">
        <v>467</v>
      </c>
      <c r="L148" s="906"/>
      <c r="M148" s="906" t="s">
        <v>466</v>
      </c>
      <c r="N148" s="394">
        <v>44797</v>
      </c>
      <c r="O148" s="902" t="s">
        <v>501</v>
      </c>
      <c r="P148" s="388">
        <v>2710</v>
      </c>
      <c r="Q148" s="389" t="s">
        <v>490</v>
      </c>
      <c r="R148" s="390"/>
      <c r="S148" s="388"/>
      <c r="T148" s="388"/>
      <c r="U148" s="904"/>
      <c r="V148" s="908"/>
      <c r="W148" s="910"/>
      <c r="X148" s="108">
        <v>34</v>
      </c>
    </row>
    <row r="149" spans="1:24" s="2" customFormat="1" x14ac:dyDescent="0.25">
      <c r="A149" s="901"/>
      <c r="B149" s="907"/>
      <c r="C149" s="907"/>
      <c r="D149" s="907"/>
      <c r="E149" s="907"/>
      <c r="F149" s="903"/>
      <c r="G149" s="913"/>
      <c r="H149" s="905"/>
      <c r="I149" s="915"/>
      <c r="J149" s="917"/>
      <c r="K149" s="919"/>
      <c r="L149" s="907"/>
      <c r="M149" s="907"/>
      <c r="N149" s="395">
        <v>44797</v>
      </c>
      <c r="O149" s="903"/>
      <c r="P149" s="391">
        <v>3600</v>
      </c>
      <c r="Q149" s="392" t="s">
        <v>490</v>
      </c>
      <c r="R149" s="393"/>
      <c r="S149" s="391"/>
      <c r="T149" s="391"/>
      <c r="U149" s="905"/>
      <c r="V149" s="909"/>
      <c r="W149" s="911"/>
      <c r="X149" s="2">
        <v>34</v>
      </c>
    </row>
    <row r="150" spans="1:24" s="108" customFormat="1" ht="56.25" x14ac:dyDescent="0.25">
      <c r="A150" s="376">
        <v>33</v>
      </c>
      <c r="B150" s="378" t="s">
        <v>56</v>
      </c>
      <c r="C150" s="378"/>
      <c r="D150" s="378"/>
      <c r="E150" s="378" t="s">
        <v>476</v>
      </c>
      <c r="F150" s="387" t="s">
        <v>477</v>
      </c>
      <c r="G150" s="381" t="s">
        <v>478</v>
      </c>
      <c r="H150" s="377">
        <v>28720</v>
      </c>
      <c r="I150" s="382">
        <f>IF(X150 = 35, H150 + SUM(S150:S150) - SUM(T150:T150) - SUM(P150:P150) - V150,0)</f>
        <v>0</v>
      </c>
      <c r="J150" s="383">
        <v>235000239811</v>
      </c>
      <c r="K150" s="384" t="s">
        <v>464</v>
      </c>
      <c r="L150" s="378"/>
      <c r="M150" s="378" t="s">
        <v>479</v>
      </c>
      <c r="N150" s="387">
        <v>44803</v>
      </c>
      <c r="O150" s="387" t="s">
        <v>501</v>
      </c>
      <c r="P150" s="377">
        <v>28720</v>
      </c>
      <c r="Q150" s="381" t="s">
        <v>492</v>
      </c>
      <c r="R150" s="378"/>
      <c r="S150" s="377"/>
      <c r="T150" s="377"/>
      <c r="U150" s="377"/>
      <c r="V150" s="379"/>
      <c r="W150" s="380"/>
      <c r="X150" s="108">
        <v>35</v>
      </c>
    </row>
    <row r="151" spans="1:24" s="108" customFormat="1" ht="54" customHeight="1" x14ac:dyDescent="0.25">
      <c r="A151" s="693">
        <v>34</v>
      </c>
      <c r="B151" s="696" t="s">
        <v>56</v>
      </c>
      <c r="C151" s="696"/>
      <c r="D151" s="696"/>
      <c r="E151" s="696" t="s">
        <v>213</v>
      </c>
      <c r="F151" s="719" t="s">
        <v>505</v>
      </c>
      <c r="G151" s="721" t="s">
        <v>506</v>
      </c>
      <c r="H151" s="723">
        <v>120931.2</v>
      </c>
      <c r="I151" s="725">
        <f>IF(X151 = 38, H151 + SUM(S151:S152) - SUM(T151:T152) - SUM(P151:P152) - V151,0)</f>
        <v>-7.2759576141834259E-12</v>
      </c>
      <c r="J151" s="727">
        <v>2353020735</v>
      </c>
      <c r="K151" s="729" t="s">
        <v>204</v>
      </c>
      <c r="L151" s="696"/>
      <c r="M151" s="696" t="s">
        <v>507</v>
      </c>
      <c r="N151" s="451">
        <v>44813</v>
      </c>
      <c r="O151" s="719" t="s">
        <v>508</v>
      </c>
      <c r="P151" s="436">
        <v>57255.55</v>
      </c>
      <c r="Q151" s="437" t="s">
        <v>528</v>
      </c>
      <c r="R151" s="438"/>
      <c r="S151" s="436"/>
      <c r="T151" s="436"/>
      <c r="U151" s="723" t="s">
        <v>546</v>
      </c>
      <c r="V151" s="733">
        <v>60021</v>
      </c>
      <c r="W151" s="736"/>
      <c r="X151" s="108">
        <v>38</v>
      </c>
    </row>
    <row r="152" spans="1:24" s="2" customFormat="1" x14ac:dyDescent="0.25">
      <c r="A152" s="695"/>
      <c r="B152" s="698"/>
      <c r="C152" s="698"/>
      <c r="D152" s="698"/>
      <c r="E152" s="698"/>
      <c r="F152" s="720"/>
      <c r="G152" s="722"/>
      <c r="H152" s="724"/>
      <c r="I152" s="726"/>
      <c r="J152" s="728"/>
      <c r="K152" s="730"/>
      <c r="L152" s="698"/>
      <c r="M152" s="698"/>
      <c r="N152" s="453">
        <v>44813</v>
      </c>
      <c r="O152" s="720"/>
      <c r="P152" s="447">
        <v>3654.65</v>
      </c>
      <c r="Q152" s="448" t="s">
        <v>528</v>
      </c>
      <c r="R152" s="449"/>
      <c r="S152" s="447"/>
      <c r="T152" s="447"/>
      <c r="U152" s="724"/>
      <c r="V152" s="735"/>
      <c r="W152" s="738"/>
      <c r="X152" s="2">
        <v>38</v>
      </c>
    </row>
    <row r="153" spans="1:24" s="108" customFormat="1" ht="56.25" x14ac:dyDescent="0.25">
      <c r="A153" s="410">
        <v>35</v>
      </c>
      <c r="B153" s="411" t="s">
        <v>56</v>
      </c>
      <c r="C153" s="411"/>
      <c r="D153" s="411"/>
      <c r="E153" s="411" t="s">
        <v>509</v>
      </c>
      <c r="F153" s="421" t="s">
        <v>505</v>
      </c>
      <c r="G153" s="417" t="s">
        <v>510</v>
      </c>
      <c r="H153" s="412">
        <v>35904</v>
      </c>
      <c r="I153" s="413">
        <f>IF(X153 = 39, H153 + SUM(S153:S153) - SUM(T153:T153) - SUM(P153:P153) - V153,0)</f>
        <v>0</v>
      </c>
      <c r="J153" s="418">
        <v>2353020735</v>
      </c>
      <c r="K153" s="419" t="s">
        <v>204</v>
      </c>
      <c r="L153" s="411"/>
      <c r="M153" s="411" t="s">
        <v>555</v>
      </c>
      <c r="N153" s="421">
        <v>44813</v>
      </c>
      <c r="O153" s="421" t="s">
        <v>508</v>
      </c>
      <c r="P153" s="412">
        <v>18084</v>
      </c>
      <c r="Q153" s="417" t="s">
        <v>532</v>
      </c>
      <c r="R153" s="411"/>
      <c r="S153" s="412"/>
      <c r="T153" s="412"/>
      <c r="U153" s="412" t="s">
        <v>546</v>
      </c>
      <c r="V153" s="420">
        <v>17820</v>
      </c>
      <c r="W153" s="414"/>
      <c r="X153" s="108">
        <v>39</v>
      </c>
    </row>
    <row r="154" spans="1:24" s="108" customFormat="1" ht="56.25" x14ac:dyDescent="0.25">
      <c r="A154" s="410">
        <v>36</v>
      </c>
      <c r="B154" s="411" t="s">
        <v>56</v>
      </c>
      <c r="C154" s="411"/>
      <c r="D154" s="411"/>
      <c r="E154" s="411" t="s">
        <v>511</v>
      </c>
      <c r="F154" s="421" t="s">
        <v>505</v>
      </c>
      <c r="G154" s="417" t="s">
        <v>512</v>
      </c>
      <c r="H154" s="412">
        <v>386400</v>
      </c>
      <c r="I154" s="413">
        <f>IF(X154 = 40, H154 + SUM(S154:S154) - SUM(T154:T154) - SUM(P154:P154) - V154,0)</f>
        <v>259612.5</v>
      </c>
      <c r="J154" s="418">
        <v>235300578903</v>
      </c>
      <c r="K154" s="419" t="s">
        <v>513</v>
      </c>
      <c r="L154" s="411"/>
      <c r="M154" s="411" t="s">
        <v>514</v>
      </c>
      <c r="N154" s="421">
        <v>44834</v>
      </c>
      <c r="O154" s="421" t="s">
        <v>515</v>
      </c>
      <c r="P154" s="412">
        <v>126787.5</v>
      </c>
      <c r="Q154" s="417" t="s">
        <v>579</v>
      </c>
      <c r="R154" s="411"/>
      <c r="S154" s="412"/>
      <c r="T154" s="412"/>
      <c r="U154" s="412"/>
      <c r="V154" s="420"/>
      <c r="W154" s="414"/>
      <c r="X154" s="108">
        <v>40</v>
      </c>
    </row>
    <row r="155" spans="1:24" s="108" customFormat="1" ht="54" customHeight="1" x14ac:dyDescent="0.25">
      <c r="A155" s="454">
        <v>37</v>
      </c>
      <c r="B155" s="434" t="s">
        <v>56</v>
      </c>
      <c r="C155" s="434"/>
      <c r="D155" s="434"/>
      <c r="E155" s="434" t="s">
        <v>516</v>
      </c>
      <c r="F155" s="435" t="s">
        <v>518</v>
      </c>
      <c r="G155" s="433" t="s">
        <v>478</v>
      </c>
      <c r="H155" s="432">
        <v>12110</v>
      </c>
      <c r="I155" s="455">
        <f>IF(X155 = 41, H155 + SUM(S155:S155) - SUM(T155:T155) - SUM(P155:P155) - V155,0)</f>
        <v>0</v>
      </c>
      <c r="J155" s="456">
        <v>235000239811</v>
      </c>
      <c r="K155" s="457" t="s">
        <v>464</v>
      </c>
      <c r="L155" s="434"/>
      <c r="M155" s="434" t="s">
        <v>517</v>
      </c>
      <c r="N155" s="435">
        <v>44813</v>
      </c>
      <c r="O155" s="435" t="s">
        <v>519</v>
      </c>
      <c r="P155" s="432">
        <v>12110</v>
      </c>
      <c r="Q155" s="433" t="s">
        <v>528</v>
      </c>
      <c r="R155" s="434"/>
      <c r="S155" s="432"/>
      <c r="T155" s="432"/>
      <c r="U155" s="432"/>
      <c r="V155" s="458"/>
      <c r="W155" s="459"/>
      <c r="X155" s="108">
        <v>41</v>
      </c>
    </row>
    <row r="156" spans="1:24" s="108" customFormat="1" ht="54" customHeight="1" x14ac:dyDescent="0.25">
      <c r="A156" s="579">
        <v>38</v>
      </c>
      <c r="B156" s="585" t="s">
        <v>56</v>
      </c>
      <c r="C156" s="585"/>
      <c r="D156" s="585"/>
      <c r="E156" s="585" t="s">
        <v>534</v>
      </c>
      <c r="F156" s="581" t="s">
        <v>505</v>
      </c>
      <c r="G156" s="591" t="s">
        <v>535</v>
      </c>
      <c r="H156" s="583">
        <v>61760</v>
      </c>
      <c r="I156" s="593">
        <f>IF(X156 = 42, H156 + SUM(S156:S158) - SUM(T156:T158) - SUM(P156:P158) - V156,0)</f>
        <v>49104</v>
      </c>
      <c r="J156" s="687">
        <v>2353020735</v>
      </c>
      <c r="K156" s="690" t="s">
        <v>204</v>
      </c>
      <c r="L156" s="585"/>
      <c r="M156" s="585" t="s">
        <v>536</v>
      </c>
      <c r="N156" s="520">
        <v>44834</v>
      </c>
      <c r="O156" s="581" t="s">
        <v>508</v>
      </c>
      <c r="P156" s="511">
        <v>3650</v>
      </c>
      <c r="Q156" s="512" t="s">
        <v>585</v>
      </c>
      <c r="R156" s="513"/>
      <c r="S156" s="511"/>
      <c r="T156" s="511"/>
      <c r="U156" s="583"/>
      <c r="V156" s="684"/>
      <c r="W156" s="589"/>
      <c r="X156" s="108">
        <v>42</v>
      </c>
    </row>
    <row r="157" spans="1:24" s="2" customFormat="1" x14ac:dyDescent="0.25">
      <c r="A157" s="666"/>
      <c r="B157" s="654"/>
      <c r="C157" s="654"/>
      <c r="D157" s="654"/>
      <c r="E157" s="654"/>
      <c r="F157" s="650"/>
      <c r="G157" s="658"/>
      <c r="H157" s="651"/>
      <c r="I157" s="655"/>
      <c r="J157" s="688"/>
      <c r="K157" s="691"/>
      <c r="L157" s="654"/>
      <c r="M157" s="654"/>
      <c r="N157" s="521">
        <v>44834</v>
      </c>
      <c r="O157" s="650"/>
      <c r="P157" s="514">
        <v>9000</v>
      </c>
      <c r="Q157" s="515" t="s">
        <v>585</v>
      </c>
      <c r="R157" s="516"/>
      <c r="S157" s="514"/>
      <c r="T157" s="514"/>
      <c r="U157" s="651"/>
      <c r="V157" s="685"/>
      <c r="W157" s="653"/>
      <c r="X157" s="2">
        <v>42</v>
      </c>
    </row>
    <row r="158" spans="1:24" s="2" customFormat="1" x14ac:dyDescent="0.25">
      <c r="A158" s="580"/>
      <c r="B158" s="586"/>
      <c r="C158" s="586"/>
      <c r="D158" s="586"/>
      <c r="E158" s="586"/>
      <c r="F158" s="582"/>
      <c r="G158" s="592"/>
      <c r="H158" s="584"/>
      <c r="I158" s="594"/>
      <c r="J158" s="689"/>
      <c r="K158" s="692"/>
      <c r="L158" s="586"/>
      <c r="M158" s="586"/>
      <c r="N158" s="522" t="s">
        <v>586</v>
      </c>
      <c r="O158" s="582"/>
      <c r="P158" s="517">
        <v>6</v>
      </c>
      <c r="Q158" s="518" t="s">
        <v>581</v>
      </c>
      <c r="R158" s="519"/>
      <c r="S158" s="517"/>
      <c r="T158" s="517"/>
      <c r="U158" s="584"/>
      <c r="V158" s="686"/>
      <c r="W158" s="590"/>
      <c r="X158" s="2">
        <v>42</v>
      </c>
    </row>
    <row r="159" spans="1:24" s="108" customFormat="1" ht="54" customHeight="1" x14ac:dyDescent="0.25">
      <c r="A159" s="579">
        <v>39</v>
      </c>
      <c r="B159" s="585" t="s">
        <v>56</v>
      </c>
      <c r="C159" s="585"/>
      <c r="D159" s="585"/>
      <c r="E159" s="585" t="s">
        <v>213</v>
      </c>
      <c r="F159" s="581" t="s">
        <v>533</v>
      </c>
      <c r="G159" s="591" t="s">
        <v>537</v>
      </c>
      <c r="H159" s="583">
        <v>476611.2</v>
      </c>
      <c r="I159" s="593">
        <f>IF(X159 = 43, H159 + SUM(S159:S164) - SUM(T159:T164) - SUM(P159:P164) - V159,0)</f>
        <v>312331.5</v>
      </c>
      <c r="J159" s="687">
        <v>2353020735</v>
      </c>
      <c r="K159" s="690" t="s">
        <v>204</v>
      </c>
      <c r="L159" s="585"/>
      <c r="M159" s="585" t="s">
        <v>554</v>
      </c>
      <c r="N159" s="520">
        <v>44827</v>
      </c>
      <c r="O159" s="581" t="s">
        <v>508</v>
      </c>
      <c r="P159" s="511">
        <v>4912.88</v>
      </c>
      <c r="Q159" s="512" t="s">
        <v>584</v>
      </c>
      <c r="R159" s="513"/>
      <c r="S159" s="511"/>
      <c r="T159" s="511"/>
      <c r="U159" s="583"/>
      <c r="V159" s="684"/>
      <c r="W159" s="589"/>
      <c r="X159" s="108">
        <v>43</v>
      </c>
    </row>
    <row r="160" spans="1:24" s="2" customFormat="1" x14ac:dyDescent="0.25">
      <c r="A160" s="666"/>
      <c r="B160" s="654"/>
      <c r="C160" s="654"/>
      <c r="D160" s="654"/>
      <c r="E160" s="654"/>
      <c r="F160" s="650"/>
      <c r="G160" s="658"/>
      <c r="H160" s="651"/>
      <c r="I160" s="655"/>
      <c r="J160" s="688"/>
      <c r="K160" s="691"/>
      <c r="L160" s="654"/>
      <c r="M160" s="654"/>
      <c r="N160" s="521">
        <v>44827</v>
      </c>
      <c r="O160" s="650"/>
      <c r="P160" s="514">
        <v>76967.62</v>
      </c>
      <c r="Q160" s="515" t="s">
        <v>584</v>
      </c>
      <c r="R160" s="516"/>
      <c r="S160" s="514"/>
      <c r="T160" s="514"/>
      <c r="U160" s="651"/>
      <c r="V160" s="685"/>
      <c r="W160" s="653"/>
      <c r="X160" s="2">
        <v>43</v>
      </c>
    </row>
    <row r="161" spans="1:24" s="2" customFormat="1" x14ac:dyDescent="0.25">
      <c r="A161" s="666"/>
      <c r="B161" s="654"/>
      <c r="C161" s="654"/>
      <c r="D161" s="654"/>
      <c r="E161" s="654"/>
      <c r="F161" s="650"/>
      <c r="G161" s="658"/>
      <c r="H161" s="651"/>
      <c r="I161" s="655"/>
      <c r="J161" s="688"/>
      <c r="K161" s="691"/>
      <c r="L161" s="654"/>
      <c r="M161" s="654"/>
      <c r="N161" s="521">
        <v>44834</v>
      </c>
      <c r="O161" s="650"/>
      <c r="P161" s="514">
        <v>39284.83</v>
      </c>
      <c r="Q161" s="515" t="s">
        <v>578</v>
      </c>
      <c r="R161" s="516"/>
      <c r="S161" s="514"/>
      <c r="T161" s="514"/>
      <c r="U161" s="651"/>
      <c r="V161" s="685"/>
      <c r="W161" s="653"/>
      <c r="X161" s="2">
        <v>43</v>
      </c>
    </row>
    <row r="162" spans="1:24" s="2" customFormat="1" x14ac:dyDescent="0.25">
      <c r="A162" s="666"/>
      <c r="B162" s="654"/>
      <c r="C162" s="654"/>
      <c r="D162" s="654"/>
      <c r="E162" s="654"/>
      <c r="F162" s="650"/>
      <c r="G162" s="658"/>
      <c r="H162" s="651"/>
      <c r="I162" s="655"/>
      <c r="J162" s="688"/>
      <c r="K162" s="691"/>
      <c r="L162" s="654"/>
      <c r="M162" s="654"/>
      <c r="N162" s="521">
        <v>44834</v>
      </c>
      <c r="O162" s="650"/>
      <c r="P162" s="514">
        <v>2507.5700000000002</v>
      </c>
      <c r="Q162" s="515" t="s">
        <v>578</v>
      </c>
      <c r="R162" s="516"/>
      <c r="S162" s="514"/>
      <c r="T162" s="514"/>
      <c r="U162" s="651"/>
      <c r="V162" s="685"/>
      <c r="W162" s="653"/>
      <c r="X162" s="2">
        <v>43</v>
      </c>
    </row>
    <row r="163" spans="1:24" s="2" customFormat="1" x14ac:dyDescent="0.25">
      <c r="A163" s="666"/>
      <c r="B163" s="654"/>
      <c r="C163" s="654"/>
      <c r="D163" s="654"/>
      <c r="E163" s="654"/>
      <c r="F163" s="650"/>
      <c r="G163" s="658"/>
      <c r="H163" s="651"/>
      <c r="I163" s="655"/>
      <c r="J163" s="688"/>
      <c r="K163" s="691"/>
      <c r="L163" s="654"/>
      <c r="M163" s="654"/>
      <c r="N163" s="521">
        <v>44841</v>
      </c>
      <c r="O163" s="650"/>
      <c r="P163" s="514">
        <v>38170.370000000003</v>
      </c>
      <c r="Q163" s="515" t="s">
        <v>582</v>
      </c>
      <c r="R163" s="516"/>
      <c r="S163" s="514"/>
      <c r="T163" s="514"/>
      <c r="U163" s="651"/>
      <c r="V163" s="685"/>
      <c r="W163" s="653"/>
      <c r="X163" s="2">
        <v>43</v>
      </c>
    </row>
    <row r="164" spans="1:24" s="2" customFormat="1" x14ac:dyDescent="0.25">
      <c r="A164" s="580"/>
      <c r="B164" s="586"/>
      <c r="C164" s="586"/>
      <c r="D164" s="586"/>
      <c r="E164" s="586"/>
      <c r="F164" s="582"/>
      <c r="G164" s="592"/>
      <c r="H164" s="584"/>
      <c r="I164" s="594"/>
      <c r="J164" s="689"/>
      <c r="K164" s="692"/>
      <c r="L164" s="586"/>
      <c r="M164" s="586"/>
      <c r="N164" s="522">
        <v>44841</v>
      </c>
      <c r="O164" s="582"/>
      <c r="P164" s="517">
        <v>2436.4299999999998</v>
      </c>
      <c r="Q164" s="518" t="s">
        <v>582</v>
      </c>
      <c r="R164" s="519"/>
      <c r="S164" s="517"/>
      <c r="T164" s="517"/>
      <c r="U164" s="584"/>
      <c r="V164" s="686"/>
      <c r="W164" s="590"/>
      <c r="X164" s="2">
        <v>43</v>
      </c>
    </row>
    <row r="165" spans="1:24" s="108" customFormat="1" ht="54" customHeight="1" x14ac:dyDescent="0.25">
      <c r="A165" s="579">
        <v>40</v>
      </c>
      <c r="B165" s="585" t="s">
        <v>56</v>
      </c>
      <c r="C165" s="585"/>
      <c r="D165" s="585"/>
      <c r="E165" s="585" t="s">
        <v>509</v>
      </c>
      <c r="F165" s="581" t="s">
        <v>533</v>
      </c>
      <c r="G165" s="591" t="s">
        <v>538</v>
      </c>
      <c r="H165" s="583">
        <v>141504</v>
      </c>
      <c r="I165" s="593">
        <f>IF(X165 = 44, H165 + SUM(S165:S167) - SUM(T165:T167) - SUM(P165:P167) - V165,0)</f>
        <v>92730</v>
      </c>
      <c r="J165" s="687">
        <v>2353020735</v>
      </c>
      <c r="K165" s="690" t="s">
        <v>204</v>
      </c>
      <c r="L165" s="585"/>
      <c r="M165" s="585" t="s">
        <v>554</v>
      </c>
      <c r="N165" s="520">
        <v>44827</v>
      </c>
      <c r="O165" s="581" t="s">
        <v>508</v>
      </c>
      <c r="P165" s="511">
        <v>24310</v>
      </c>
      <c r="Q165" s="512" t="s">
        <v>584</v>
      </c>
      <c r="R165" s="513"/>
      <c r="S165" s="511"/>
      <c r="T165" s="511"/>
      <c r="U165" s="583"/>
      <c r="V165" s="684"/>
      <c r="W165" s="589"/>
      <c r="X165" s="108">
        <v>44</v>
      </c>
    </row>
    <row r="166" spans="1:24" s="2" customFormat="1" x14ac:dyDescent="0.25">
      <c r="A166" s="666"/>
      <c r="B166" s="654"/>
      <c r="C166" s="654"/>
      <c r="D166" s="654"/>
      <c r="E166" s="654"/>
      <c r="F166" s="650"/>
      <c r="G166" s="658"/>
      <c r="H166" s="651"/>
      <c r="I166" s="655"/>
      <c r="J166" s="688"/>
      <c r="K166" s="691"/>
      <c r="L166" s="654"/>
      <c r="M166" s="654"/>
      <c r="N166" s="521">
        <v>44834</v>
      </c>
      <c r="O166" s="650"/>
      <c r="P166" s="514">
        <v>12408</v>
      </c>
      <c r="Q166" s="515" t="s">
        <v>578</v>
      </c>
      <c r="R166" s="516"/>
      <c r="S166" s="514"/>
      <c r="T166" s="514"/>
      <c r="U166" s="651"/>
      <c r="V166" s="685"/>
      <c r="W166" s="653"/>
      <c r="X166" s="2">
        <v>44</v>
      </c>
    </row>
    <row r="167" spans="1:24" s="2" customFormat="1" x14ac:dyDescent="0.25">
      <c r="A167" s="580"/>
      <c r="B167" s="586"/>
      <c r="C167" s="586"/>
      <c r="D167" s="586"/>
      <c r="E167" s="586"/>
      <c r="F167" s="582"/>
      <c r="G167" s="592"/>
      <c r="H167" s="584"/>
      <c r="I167" s="594"/>
      <c r="J167" s="689"/>
      <c r="K167" s="692"/>
      <c r="L167" s="586"/>
      <c r="M167" s="586"/>
      <c r="N167" s="522">
        <v>44841</v>
      </c>
      <c r="O167" s="582"/>
      <c r="P167" s="517">
        <v>12056</v>
      </c>
      <c r="Q167" s="518" t="s">
        <v>582</v>
      </c>
      <c r="R167" s="519"/>
      <c r="S167" s="517"/>
      <c r="T167" s="517"/>
      <c r="U167" s="584"/>
      <c r="V167" s="686"/>
      <c r="W167" s="590"/>
      <c r="X167" s="2">
        <v>44</v>
      </c>
    </row>
    <row r="168" spans="1:24" s="108" customFormat="1" ht="56.25" x14ac:dyDescent="0.25">
      <c r="A168" s="482">
        <v>41</v>
      </c>
      <c r="B168" s="481" t="s">
        <v>56</v>
      </c>
      <c r="C168" s="481"/>
      <c r="D168" s="481"/>
      <c r="E168" s="481" t="s">
        <v>550</v>
      </c>
      <c r="F168" s="491" t="s">
        <v>551</v>
      </c>
      <c r="G168" s="484" t="s">
        <v>552</v>
      </c>
      <c r="H168" s="485">
        <v>20470</v>
      </c>
      <c r="I168" s="486">
        <f>IF(X168 = 45, H168 + SUM(S168:S168) - SUM(T168:T168) - SUM(P168:P168) - V168,0)</f>
        <v>0</v>
      </c>
      <c r="J168" s="488">
        <v>2312068671</v>
      </c>
      <c r="K168" s="489" t="s">
        <v>360</v>
      </c>
      <c r="L168" s="481"/>
      <c r="M168" s="481" t="s">
        <v>553</v>
      </c>
      <c r="N168" s="491">
        <v>44848</v>
      </c>
      <c r="O168" s="490" t="s">
        <v>501</v>
      </c>
      <c r="P168" s="485">
        <v>20470</v>
      </c>
      <c r="Q168" s="484" t="s">
        <v>582</v>
      </c>
      <c r="R168" s="481"/>
      <c r="S168" s="485"/>
      <c r="T168" s="485"/>
      <c r="U168" s="485"/>
      <c r="V168" s="487"/>
      <c r="W168" s="483"/>
      <c r="X168" s="108">
        <v>45</v>
      </c>
    </row>
    <row r="169" spans="1:24" x14ac:dyDescent="0.25">
      <c r="X169" s="8">
        <v>46</v>
      </c>
    </row>
    <row r="172" spans="1:24" x14ac:dyDescent="0.25">
      <c r="E172" s="45"/>
    </row>
  </sheetData>
  <sheetProtection algorithmName="SHA-512" hashValue="tnkY5cn5ejL8r2n7YSKcB9DvcyQ1pMKKafEFIt8BywFUC+oXL6IEXtUKaaQsNdjeE+YU+l5eXJlea4um9wyyGA==" saltValue="c1Ofpa76dKluWWUsQTGnnw==" spinCount="100000" sheet="1" objects="1" scenarios="1" formatCells="0" formatColumns="0" formatRows="0"/>
  <mergeCells count="394">
    <mergeCell ref="A148:A149"/>
    <mergeCell ref="O148:O149"/>
    <mergeCell ref="U148:U149"/>
    <mergeCell ref="B148:B149"/>
    <mergeCell ref="V148:V149"/>
    <mergeCell ref="C148:C149"/>
    <mergeCell ref="W148:W149"/>
    <mergeCell ref="D148:D149"/>
    <mergeCell ref="E148:E149"/>
    <mergeCell ref="F148:F149"/>
    <mergeCell ref="G148:G149"/>
    <mergeCell ref="H148:H149"/>
    <mergeCell ref="I148:I149"/>
    <mergeCell ref="J148:J149"/>
    <mergeCell ref="K148:K149"/>
    <mergeCell ref="L148:L149"/>
    <mergeCell ref="M148:M149"/>
    <mergeCell ref="C123:C126"/>
    <mergeCell ref="A121:A122"/>
    <mergeCell ref="B121:B122"/>
    <mergeCell ref="C121:C122"/>
    <mergeCell ref="E121:E122"/>
    <mergeCell ref="F121:F122"/>
    <mergeCell ref="G121:G122"/>
    <mergeCell ref="H121:H122"/>
    <mergeCell ref="I121:I122"/>
    <mergeCell ref="H123:H126"/>
    <mergeCell ref="I123:I126"/>
    <mergeCell ref="D121:D122"/>
    <mergeCell ref="M121:M122"/>
    <mergeCell ref="W127:W130"/>
    <mergeCell ref="D127:D130"/>
    <mergeCell ref="E127:E130"/>
    <mergeCell ref="F127:F130"/>
    <mergeCell ref="G127:G130"/>
    <mergeCell ref="H127:H130"/>
    <mergeCell ref="V123:V126"/>
    <mergeCell ref="F123:F126"/>
    <mergeCell ref="G123:G126"/>
    <mergeCell ref="D143:D144"/>
    <mergeCell ref="E143:E144"/>
    <mergeCell ref="F143:F144"/>
    <mergeCell ref="G143:G144"/>
    <mergeCell ref="H143:H144"/>
    <mergeCell ref="I143:I144"/>
    <mergeCell ref="J143:J144"/>
    <mergeCell ref="K143:K144"/>
    <mergeCell ref="L143:L144"/>
    <mergeCell ref="O123:O126"/>
    <mergeCell ref="U123:U126"/>
    <mergeCell ref="V39:V40"/>
    <mergeCell ref="V96:V105"/>
    <mergeCell ref="V72:V89"/>
    <mergeCell ref="L106:L115"/>
    <mergeCell ref="M106:M115"/>
    <mergeCell ref="V121:V122"/>
    <mergeCell ref="W143:W144"/>
    <mergeCell ref="M143:M144"/>
    <mergeCell ref="W121:W122"/>
    <mergeCell ref="W139:W140"/>
    <mergeCell ref="D139:D140"/>
    <mergeCell ref="E139:E140"/>
    <mergeCell ref="F139:F140"/>
    <mergeCell ref="G139:G140"/>
    <mergeCell ref="H139:H140"/>
    <mergeCell ref="I139:I140"/>
    <mergeCell ref="J139:J140"/>
    <mergeCell ref="K139:K140"/>
    <mergeCell ref="L139:L140"/>
    <mergeCell ref="M139:M140"/>
    <mergeCell ref="D96:D105"/>
    <mergeCell ref="E96:E105"/>
    <mergeCell ref="L96:L105"/>
    <mergeCell ref="K127:K130"/>
    <mergeCell ref="L127:L130"/>
    <mergeCell ref="I127:I130"/>
    <mergeCell ref="J127:J130"/>
    <mergeCell ref="E123:E126"/>
    <mergeCell ref="W123:W126"/>
    <mergeCell ref="D123:D126"/>
    <mergeCell ref="M123:M126"/>
    <mergeCell ref="O121:O122"/>
    <mergeCell ref="U121:U122"/>
    <mergeCell ref="D106:D115"/>
    <mergeCell ref="E106:E115"/>
    <mergeCell ref="F106:F115"/>
    <mergeCell ref="G106:G115"/>
    <mergeCell ref="H106:H115"/>
    <mergeCell ref="O118:O120"/>
    <mergeCell ref="U118:U120"/>
    <mergeCell ref="V118:V120"/>
    <mergeCell ref="I106:I115"/>
    <mergeCell ref="J106:J115"/>
    <mergeCell ref="K106:K115"/>
    <mergeCell ref="A91:A95"/>
    <mergeCell ref="M41:M43"/>
    <mergeCell ref="C39:C40"/>
    <mergeCell ref="K91:K95"/>
    <mergeCell ref="L91:L95"/>
    <mergeCell ref="M91:M95"/>
    <mergeCell ref="O91:O95"/>
    <mergeCell ref="U91:U95"/>
    <mergeCell ref="A41:A43"/>
    <mergeCell ref="B41:B43"/>
    <mergeCell ref="B91:B95"/>
    <mergeCell ref="D91:D95"/>
    <mergeCell ref="I39:I40"/>
    <mergeCell ref="J39:J40"/>
    <mergeCell ref="K39:K40"/>
    <mergeCell ref="L39:L40"/>
    <mergeCell ref="M39:M40"/>
    <mergeCell ref="F39:F40"/>
    <mergeCell ref="G39:G40"/>
    <mergeCell ref="A72:A89"/>
    <mergeCell ref="B72:B89"/>
    <mergeCell ref="A63:A71"/>
    <mergeCell ref="O63:O71"/>
    <mergeCell ref="U63:U71"/>
    <mergeCell ref="A96:A105"/>
    <mergeCell ref="L123:L126"/>
    <mergeCell ref="B96:B105"/>
    <mergeCell ref="L41:L43"/>
    <mergeCell ref="C96:C105"/>
    <mergeCell ref="S2:U2"/>
    <mergeCell ref="F2:G2"/>
    <mergeCell ref="N2:O2"/>
    <mergeCell ref="O96:O105"/>
    <mergeCell ref="U96:U105"/>
    <mergeCell ref="O41:O43"/>
    <mergeCell ref="U41:U43"/>
    <mergeCell ref="F96:F105"/>
    <mergeCell ref="G96:G105"/>
    <mergeCell ref="H96:H105"/>
    <mergeCell ref="I96:I105"/>
    <mergeCell ref="J96:J105"/>
    <mergeCell ref="K96:K105"/>
    <mergeCell ref="H91:H95"/>
    <mergeCell ref="I91:I95"/>
    <mergeCell ref="J91:J95"/>
    <mergeCell ref="M96:M105"/>
    <mergeCell ref="D39:D40"/>
    <mergeCell ref="E39:E40"/>
    <mergeCell ref="W30:W38"/>
    <mergeCell ref="W41:W43"/>
    <mergeCell ref="D41:D43"/>
    <mergeCell ref="E41:E43"/>
    <mergeCell ref="D30:D38"/>
    <mergeCell ref="E30:E38"/>
    <mergeCell ref="F30:F38"/>
    <mergeCell ref="G30:G38"/>
    <mergeCell ref="H30:H38"/>
    <mergeCell ref="I30:I38"/>
    <mergeCell ref="J30:J38"/>
    <mergeCell ref="K30:K38"/>
    <mergeCell ref="L30:L38"/>
    <mergeCell ref="M30:M38"/>
    <mergeCell ref="O39:O40"/>
    <mergeCell ref="U39:U40"/>
    <mergeCell ref="F41:F43"/>
    <mergeCell ref="G41:G43"/>
    <mergeCell ref="H41:H43"/>
    <mergeCell ref="I41:I43"/>
    <mergeCell ref="J41:J43"/>
    <mergeCell ref="K41:K43"/>
    <mergeCell ref="W39:W40"/>
    <mergeCell ref="H39:H40"/>
    <mergeCell ref="A151:A152"/>
    <mergeCell ref="O151:O152"/>
    <mergeCell ref="U151:U152"/>
    <mergeCell ref="B151:B152"/>
    <mergeCell ref="V151:V152"/>
    <mergeCell ref="C151:C152"/>
    <mergeCell ref="W151:W152"/>
    <mergeCell ref="W96:W105"/>
    <mergeCell ref="W91:W95"/>
    <mergeCell ref="E91:E95"/>
    <mergeCell ref="F91:F95"/>
    <mergeCell ref="G91:G95"/>
    <mergeCell ref="V91:V95"/>
    <mergeCell ref="C91:C95"/>
    <mergeCell ref="W118:W120"/>
    <mergeCell ref="D118:D120"/>
    <mergeCell ref="E118:E120"/>
    <mergeCell ref="F118:F120"/>
    <mergeCell ref="G118:G120"/>
    <mergeCell ref="H118:H120"/>
    <mergeCell ref="I118:I120"/>
    <mergeCell ref="J118:J120"/>
    <mergeCell ref="K118:K120"/>
    <mergeCell ref="L118:L120"/>
    <mergeCell ref="W45:W53"/>
    <mergeCell ref="D45:D53"/>
    <mergeCell ref="E45:E53"/>
    <mergeCell ref="F45:F53"/>
    <mergeCell ref="G45:G53"/>
    <mergeCell ref="H45:H53"/>
    <mergeCell ref="I45:I53"/>
    <mergeCell ref="J45:J53"/>
    <mergeCell ref="K45:K53"/>
    <mergeCell ref="L45:L53"/>
    <mergeCell ref="A134:A137"/>
    <mergeCell ref="O134:O137"/>
    <mergeCell ref="U134:U137"/>
    <mergeCell ref="B134:B137"/>
    <mergeCell ref="V134:V137"/>
    <mergeCell ref="C134:C137"/>
    <mergeCell ref="W134:W137"/>
    <mergeCell ref="D134:D137"/>
    <mergeCell ref="E134:E137"/>
    <mergeCell ref="F134:F137"/>
    <mergeCell ref="G134:G137"/>
    <mergeCell ref="H134:H137"/>
    <mergeCell ref="I134:I137"/>
    <mergeCell ref="J134:J137"/>
    <mergeCell ref="K134:K137"/>
    <mergeCell ref="L134:L137"/>
    <mergeCell ref="M134:M137"/>
    <mergeCell ref="M151:M152"/>
    <mergeCell ref="D151:D152"/>
    <mergeCell ref="E151:E152"/>
    <mergeCell ref="F151:F152"/>
    <mergeCell ref="G151:G152"/>
    <mergeCell ref="H151:H152"/>
    <mergeCell ref="I151:I152"/>
    <mergeCell ref="J151:J152"/>
    <mergeCell ref="K151:K152"/>
    <mergeCell ref="L151:L152"/>
    <mergeCell ref="O143:O144"/>
    <mergeCell ref="O139:O140"/>
    <mergeCell ref="U139:U140"/>
    <mergeCell ref="V139:V140"/>
    <mergeCell ref="M127:M130"/>
    <mergeCell ref="U143:U144"/>
    <mergeCell ref="G72:G89"/>
    <mergeCell ref="H72:H89"/>
    <mergeCell ref="I72:I89"/>
    <mergeCell ref="J72:J89"/>
    <mergeCell ref="K72:K89"/>
    <mergeCell ref="L72:L89"/>
    <mergeCell ref="M72:M89"/>
    <mergeCell ref="O72:O89"/>
    <mergeCell ref="U72:U89"/>
    <mergeCell ref="M118:M120"/>
    <mergeCell ref="O127:O130"/>
    <mergeCell ref="U127:U130"/>
    <mergeCell ref="J123:J126"/>
    <mergeCell ref="K123:K126"/>
    <mergeCell ref="J121:J122"/>
    <mergeCell ref="K121:K122"/>
    <mergeCell ref="L121:L122"/>
    <mergeCell ref="V127:V130"/>
    <mergeCell ref="B63:B71"/>
    <mergeCell ref="V63:V71"/>
    <mergeCell ref="C63:C71"/>
    <mergeCell ref="W63:W71"/>
    <mergeCell ref="D63:D71"/>
    <mergeCell ref="E63:E71"/>
    <mergeCell ref="F63:F71"/>
    <mergeCell ref="G63:G71"/>
    <mergeCell ref="H63:H71"/>
    <mergeCell ref="I63:I71"/>
    <mergeCell ref="J63:J71"/>
    <mergeCell ref="K63:K71"/>
    <mergeCell ref="L63:L71"/>
    <mergeCell ref="M63:M71"/>
    <mergeCell ref="A45:A53"/>
    <mergeCell ref="O45:O53"/>
    <mergeCell ref="U45:U53"/>
    <mergeCell ref="B45:B53"/>
    <mergeCell ref="V45:V53"/>
    <mergeCell ref="C45:C53"/>
    <mergeCell ref="A9:A29"/>
    <mergeCell ref="O9:O29"/>
    <mergeCell ref="U9:U29"/>
    <mergeCell ref="B9:B29"/>
    <mergeCell ref="V9:V29"/>
    <mergeCell ref="C9:C29"/>
    <mergeCell ref="V41:V43"/>
    <mergeCell ref="C41:C43"/>
    <mergeCell ref="A30:A38"/>
    <mergeCell ref="O30:O38"/>
    <mergeCell ref="U30:U38"/>
    <mergeCell ref="B30:B38"/>
    <mergeCell ref="V30:V38"/>
    <mergeCell ref="C30:C38"/>
    <mergeCell ref="A39:A40"/>
    <mergeCell ref="B39:B40"/>
    <mergeCell ref="W9:W29"/>
    <mergeCell ref="D9:D29"/>
    <mergeCell ref="E9:E29"/>
    <mergeCell ref="F9:F29"/>
    <mergeCell ref="G9:G29"/>
    <mergeCell ref="H9:H29"/>
    <mergeCell ref="I9:I29"/>
    <mergeCell ref="J9:J29"/>
    <mergeCell ref="K9:K29"/>
    <mergeCell ref="L9:L29"/>
    <mergeCell ref="M9:M29"/>
    <mergeCell ref="W106:W115"/>
    <mergeCell ref="M45:M53"/>
    <mergeCell ref="A54:A62"/>
    <mergeCell ref="O54:O62"/>
    <mergeCell ref="U54:U62"/>
    <mergeCell ref="B54:B62"/>
    <mergeCell ref="V54:V62"/>
    <mergeCell ref="C54:C62"/>
    <mergeCell ref="W54:W62"/>
    <mergeCell ref="D54:D62"/>
    <mergeCell ref="E54:E62"/>
    <mergeCell ref="F54:F62"/>
    <mergeCell ref="G54:G62"/>
    <mergeCell ref="H54:H62"/>
    <mergeCell ref="I54:I62"/>
    <mergeCell ref="J54:J62"/>
    <mergeCell ref="K54:K62"/>
    <mergeCell ref="L54:L62"/>
    <mergeCell ref="M54:M62"/>
    <mergeCell ref="C72:C89"/>
    <mergeCell ref="W72:W89"/>
    <mergeCell ref="D72:D89"/>
    <mergeCell ref="E72:E89"/>
    <mergeCell ref="F72:F89"/>
    <mergeCell ref="J159:J164"/>
    <mergeCell ref="K159:K164"/>
    <mergeCell ref="L159:L164"/>
    <mergeCell ref="A106:A115"/>
    <mergeCell ref="O106:O115"/>
    <mergeCell ref="U106:U115"/>
    <mergeCell ref="B106:B115"/>
    <mergeCell ref="V106:V115"/>
    <mergeCell ref="C106:C115"/>
    <mergeCell ref="A118:A120"/>
    <mergeCell ref="B118:B120"/>
    <mergeCell ref="C118:C120"/>
    <mergeCell ref="A143:A144"/>
    <mergeCell ref="A139:A140"/>
    <mergeCell ref="B139:B140"/>
    <mergeCell ref="C139:C140"/>
    <mergeCell ref="A127:A130"/>
    <mergeCell ref="B127:B130"/>
    <mergeCell ref="C127:C130"/>
    <mergeCell ref="B143:B144"/>
    <mergeCell ref="V143:V144"/>
    <mergeCell ref="C143:C144"/>
    <mergeCell ref="A123:A126"/>
    <mergeCell ref="B123:B126"/>
    <mergeCell ref="W159:W164"/>
    <mergeCell ref="A156:A158"/>
    <mergeCell ref="O156:O158"/>
    <mergeCell ref="U156:U158"/>
    <mergeCell ref="B156:B158"/>
    <mergeCell ref="V156:V158"/>
    <mergeCell ref="C156:C158"/>
    <mergeCell ref="W156:W158"/>
    <mergeCell ref="D156:D158"/>
    <mergeCell ref="E156:E158"/>
    <mergeCell ref="F156:F158"/>
    <mergeCell ref="G156:G158"/>
    <mergeCell ref="H156:H158"/>
    <mergeCell ref="I156:I158"/>
    <mergeCell ref="J156:J158"/>
    <mergeCell ref="K156:K158"/>
    <mergeCell ref="L156:L158"/>
    <mergeCell ref="M156:M158"/>
    <mergeCell ref="D159:D164"/>
    <mergeCell ref="E159:E164"/>
    <mergeCell ref="F159:F164"/>
    <mergeCell ref="G159:G164"/>
    <mergeCell ref="H159:H164"/>
    <mergeCell ref="I159:I164"/>
    <mergeCell ref="M159:M164"/>
    <mergeCell ref="A165:A167"/>
    <mergeCell ref="O165:O167"/>
    <mergeCell ref="U165:U167"/>
    <mergeCell ref="B165:B167"/>
    <mergeCell ref="V165:V167"/>
    <mergeCell ref="C165:C167"/>
    <mergeCell ref="W165:W167"/>
    <mergeCell ref="D165:D167"/>
    <mergeCell ref="E165:E167"/>
    <mergeCell ref="F165:F167"/>
    <mergeCell ref="G165:G167"/>
    <mergeCell ref="H165:H167"/>
    <mergeCell ref="I165:I167"/>
    <mergeCell ref="J165:J167"/>
    <mergeCell ref="K165:K167"/>
    <mergeCell ref="L165:L167"/>
    <mergeCell ref="M165:M167"/>
    <mergeCell ref="A159:A164"/>
    <mergeCell ref="O159:O164"/>
    <mergeCell ref="U159:U164"/>
    <mergeCell ref="B159:B164"/>
    <mergeCell ref="V159:V164"/>
    <mergeCell ref="C159:C16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3"/>
  <sheetViews>
    <sheetView showGridLines="0" topLeftCell="G1" zoomScale="50" zoomScaleNormal="50" workbookViewId="0">
      <pane ySplit="8" topLeftCell="A9" activePane="bottomLeft" state="frozen"/>
      <selection pane="bottomLeft" activeCell="S9" sqref="S9:S12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2" customWidth="1"/>
    <col min="7" max="7" width="27.42578125" style="3" customWidth="1"/>
    <col min="8" max="8" width="33" style="3" customWidth="1"/>
    <col min="9" max="10" width="27.28515625" style="11" customWidth="1"/>
    <col min="11" max="11" width="26.5703125" style="3" customWidth="1"/>
    <col min="12" max="12" width="38.42578125" style="12" customWidth="1"/>
    <col min="13" max="13" width="37.5703125" style="3" customWidth="1"/>
    <col min="14" max="14" width="24.7109375" style="11" customWidth="1"/>
    <col min="15" max="15" width="24.42578125" style="12" customWidth="1"/>
    <col min="16" max="16" width="24.28515625" style="12" customWidth="1"/>
    <col min="17" max="17" width="27.42578125" style="12" customWidth="1"/>
    <col min="18" max="18" width="27.140625" style="12" customWidth="1"/>
    <col min="19" max="19" width="23.42578125" style="12" customWidth="1"/>
    <col min="20" max="20" width="22.85546875" style="11" customWidth="1"/>
    <col min="21" max="21" width="21.85546875" style="8" customWidth="1"/>
    <col min="22" max="16384" width="9.140625" style="8" hidden="1"/>
  </cols>
  <sheetData>
    <row r="1" spans="1:22" ht="18.600000000000001" thickBot="1" x14ac:dyDescent="0.35"/>
    <row r="2" spans="1:22" ht="39.950000000000003" customHeight="1" thickBot="1" x14ac:dyDescent="0.3">
      <c r="B2" s="86"/>
      <c r="C2" s="86"/>
      <c r="D2" s="86"/>
      <c r="E2" s="794" t="s">
        <v>24</v>
      </c>
      <c r="F2" s="795"/>
      <c r="G2" s="98">
        <f>SUM(G9:G9999)</f>
        <v>766492</v>
      </c>
      <c r="L2" s="944" t="s">
        <v>137</v>
      </c>
      <c r="M2" s="945"/>
      <c r="N2" s="87">
        <f>SUM(N9:N9999)</f>
        <v>957713.56</v>
      </c>
      <c r="P2" s="86"/>
      <c r="Q2" s="633" t="s">
        <v>45</v>
      </c>
      <c r="R2" s="634"/>
      <c r="S2" s="635"/>
      <c r="T2" s="88">
        <f>SUM(T9:T9999)</f>
        <v>140225.44</v>
      </c>
    </row>
    <row r="3" spans="1:22" ht="18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50000000000003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50" x14ac:dyDescent="0.25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ht="18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31.25" x14ac:dyDescent="0.25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8" customFormat="1" ht="36" customHeight="1" x14ac:dyDescent="0.25">
      <c r="A9" s="941">
        <v>1</v>
      </c>
      <c r="B9" s="923" t="s">
        <v>175</v>
      </c>
      <c r="C9" s="923"/>
      <c r="D9" s="923" t="s">
        <v>172</v>
      </c>
      <c r="E9" s="929">
        <v>44560</v>
      </c>
      <c r="F9" s="932" t="s">
        <v>173</v>
      </c>
      <c r="G9" s="920">
        <v>766492</v>
      </c>
      <c r="H9" s="935">
        <f>IF(V9 = 1, G9 + SUM(Q9:Q12) - SUM(R9:R12) - SUM(N9:N12) - T9,0)</f>
        <v>-5.8207660913467407E-11</v>
      </c>
      <c r="I9" s="938">
        <v>2312054894</v>
      </c>
      <c r="J9" s="923" t="s">
        <v>174</v>
      </c>
      <c r="K9" s="923" t="s">
        <v>379</v>
      </c>
      <c r="L9" s="227">
        <v>44592</v>
      </c>
      <c r="M9" s="923"/>
      <c r="N9" s="220">
        <v>380543.32</v>
      </c>
      <c r="O9" s="227">
        <v>44613</v>
      </c>
      <c r="P9" s="221"/>
      <c r="Q9" s="220"/>
      <c r="R9" s="220"/>
      <c r="S9" s="932" t="s">
        <v>433</v>
      </c>
      <c r="T9" s="920">
        <v>140225.44</v>
      </c>
      <c r="U9" s="926"/>
      <c r="V9" s="108">
        <v>1</v>
      </c>
    </row>
    <row r="10" spans="1:22" s="2" customFormat="1" x14ac:dyDescent="0.25">
      <c r="A10" s="942"/>
      <c r="B10" s="924"/>
      <c r="C10" s="924"/>
      <c r="D10" s="924"/>
      <c r="E10" s="930"/>
      <c r="F10" s="933"/>
      <c r="G10" s="921"/>
      <c r="H10" s="936"/>
      <c r="I10" s="939"/>
      <c r="J10" s="924"/>
      <c r="K10" s="924"/>
      <c r="L10" s="228">
        <v>44620</v>
      </c>
      <c r="M10" s="924"/>
      <c r="N10" s="222">
        <v>245701.5</v>
      </c>
      <c r="O10" s="228">
        <v>44634</v>
      </c>
      <c r="P10" s="223"/>
      <c r="Q10" s="222"/>
      <c r="R10" s="222"/>
      <c r="S10" s="933"/>
      <c r="T10" s="921"/>
      <c r="U10" s="927"/>
      <c r="V10" s="2">
        <v>1</v>
      </c>
    </row>
    <row r="11" spans="1:22" s="2" customFormat="1" x14ac:dyDescent="0.25">
      <c r="A11" s="942"/>
      <c r="B11" s="924"/>
      <c r="C11" s="924"/>
      <c r="D11" s="924"/>
      <c r="E11" s="930"/>
      <c r="F11" s="933"/>
      <c r="G11" s="921"/>
      <c r="H11" s="936"/>
      <c r="I11" s="939"/>
      <c r="J11" s="924"/>
      <c r="K11" s="924"/>
      <c r="L11" s="228">
        <v>44651</v>
      </c>
      <c r="M11" s="924"/>
      <c r="N11" s="222">
        <v>220896.89</v>
      </c>
      <c r="O11" s="228">
        <v>44671</v>
      </c>
      <c r="P11" s="223"/>
      <c r="Q11" s="222"/>
      <c r="R11" s="222"/>
      <c r="S11" s="933"/>
      <c r="T11" s="921"/>
      <c r="U11" s="927"/>
      <c r="V11" s="2">
        <v>1</v>
      </c>
    </row>
    <row r="12" spans="1:22" s="2" customFormat="1" ht="37.5" x14ac:dyDescent="0.25">
      <c r="A12" s="943"/>
      <c r="B12" s="925"/>
      <c r="C12" s="925"/>
      <c r="D12" s="925"/>
      <c r="E12" s="931"/>
      <c r="F12" s="934"/>
      <c r="G12" s="922"/>
      <c r="H12" s="937"/>
      <c r="I12" s="940"/>
      <c r="J12" s="925"/>
      <c r="K12" s="925"/>
      <c r="L12" s="229">
        <v>44681</v>
      </c>
      <c r="M12" s="925"/>
      <c r="N12" s="224">
        <v>110571.85</v>
      </c>
      <c r="O12" s="229">
        <v>44705</v>
      </c>
      <c r="P12" s="225" t="s">
        <v>416</v>
      </c>
      <c r="Q12" s="224">
        <v>331447</v>
      </c>
      <c r="R12" s="224"/>
      <c r="S12" s="934"/>
      <c r="T12" s="922"/>
      <c r="U12" s="928"/>
      <c r="V12" s="2">
        <v>1</v>
      </c>
    </row>
    <row r="13" spans="1:22" ht="18" x14ac:dyDescent="0.3">
      <c r="V13" s="8">
        <v>2</v>
      </c>
    </row>
  </sheetData>
  <sheetProtection algorithmName="SHA-512" hashValue="wz9COiXW1vcQaT6ZMf9sLokqw3+kgEBU2ZfQCrAt9YxRg9qorsHQPkcn240SWsiZzpLiYbDfg1P17Mndsv3C/g==" saltValue="OP9UJJfsMpdiBeXr2i/XXA==" spinCount="100000" sheet="1" objects="1" scenarios="1" formatCells="0" formatColumns="0" formatRows="0"/>
  <mergeCells count="18">
    <mergeCell ref="A9:A12"/>
    <mergeCell ref="M9:M12"/>
    <mergeCell ref="S9:S12"/>
    <mergeCell ref="B9:B12"/>
    <mergeCell ref="Q2:S2"/>
    <mergeCell ref="E2:F2"/>
    <mergeCell ref="L2:M2"/>
    <mergeCell ref="T9:T12"/>
    <mergeCell ref="C9:C12"/>
    <mergeCell ref="U9:U12"/>
    <mergeCell ref="D9:D12"/>
    <mergeCell ref="E9:E12"/>
    <mergeCell ref="F9:F12"/>
    <mergeCell ref="G9:G12"/>
    <mergeCell ref="H9:H12"/>
    <mergeCell ref="I9:I12"/>
    <mergeCell ref="J9:J12"/>
    <mergeCell ref="K9:K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1" customWidth="1"/>
    <col min="9" max="9" width="24.28515625" style="35" customWidth="1"/>
    <col min="10" max="10" width="28.42578125" style="35" customWidth="1"/>
    <col min="11" max="12" width="19.5703125" style="3" customWidth="1"/>
    <col min="13" max="13" width="25.7109375" style="3" customWidth="1"/>
    <col min="14" max="14" width="24.42578125" style="12" bestFit="1" customWidth="1"/>
    <col min="15" max="15" width="24.42578125" style="3" customWidth="1"/>
    <col min="16" max="16" width="31.5703125" style="3" customWidth="1"/>
    <col min="17" max="18" width="21.85546875" style="11" customWidth="1"/>
    <col min="19" max="19" width="23.5703125" style="3" customWidth="1"/>
    <col min="20" max="20" width="31.28515625" style="12" customWidth="1"/>
    <col min="21" max="21" width="27.7109375" style="12" customWidth="1"/>
    <col min="22" max="22" width="25.42578125" style="11" customWidth="1"/>
    <col min="23" max="23" width="25" style="12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2" customWidth="1"/>
    <col min="28" max="28" width="19.140625" style="11" customWidth="1"/>
    <col min="29" max="29" width="23.140625" style="3" customWidth="1"/>
    <col min="30" max="30" width="9.140625" style="8" hidden="1" customWidth="1"/>
    <col min="31" max="31" width="8.5703125" style="8" hidden="1" customWidth="1"/>
    <col min="32" max="38" width="0" style="8" hidden="1" customWidth="1"/>
    <col min="39" max="16384" width="9.140625" style="8" hidden="1"/>
  </cols>
  <sheetData>
    <row r="1" spans="1:33" ht="18.600000000000001" thickBot="1" x14ac:dyDescent="0.35"/>
    <row r="2" spans="1:33" ht="39.950000000000003" customHeight="1" thickBot="1" x14ac:dyDescent="0.3">
      <c r="E2" s="794" t="s">
        <v>139</v>
      </c>
      <c r="F2" s="795"/>
      <c r="G2" s="100">
        <f>SUM(G9:G9999)</f>
        <v>0</v>
      </c>
      <c r="H2" s="15"/>
      <c r="O2" s="794" t="s">
        <v>24</v>
      </c>
      <c r="P2" s="795"/>
      <c r="Q2" s="98">
        <f>SUM(Q9:Q9999)</f>
        <v>0</v>
      </c>
      <c r="T2" s="633" t="s">
        <v>137</v>
      </c>
      <c r="U2" s="635"/>
      <c r="V2" s="87">
        <f>SUM(V9:V9999)</f>
        <v>0</v>
      </c>
      <c r="X2" s="86"/>
      <c r="Y2" s="633" t="s">
        <v>45</v>
      </c>
      <c r="Z2" s="634"/>
      <c r="AA2" s="635"/>
      <c r="AB2" s="88">
        <f>SUM(AB9:AB9999)</f>
        <v>0</v>
      </c>
    </row>
    <row r="3" spans="1:33" ht="18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50000000000003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50" x14ac:dyDescent="0.25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ht="18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8.75" x14ac:dyDescent="0.25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ht="18" x14ac:dyDescent="0.3">
      <c r="AD9" s="8">
        <v>2</v>
      </c>
    </row>
  </sheetData>
  <sheetProtection algorithmName="SHA-512" hashValue="Z93DN42fR1pZbN3IJqiSxXrAws7J6KK2Q1t3aA4ma4UcZ4w8YYpXiQ9gKx6rhZAa8wNGfOqkxwpfro1A/hekBw==" saltValue="m7GFa/KFkzi3DrtwFQImW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3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1" customWidth="1"/>
    <col min="8" max="8" width="22.28515625" style="8" customWidth="1"/>
    <col min="9" max="9" width="24.28515625" style="35" customWidth="1"/>
    <col min="10" max="10" width="28.42578125" style="35" customWidth="1"/>
    <col min="11" max="12" width="19.5703125" style="3" customWidth="1"/>
    <col min="13" max="13" width="25.7109375" style="3" customWidth="1"/>
    <col min="14" max="14" width="24.42578125" style="12" bestFit="1" customWidth="1"/>
    <col min="15" max="15" width="24.42578125" style="3" customWidth="1"/>
    <col min="16" max="16" width="31.5703125" style="3" customWidth="1"/>
    <col min="17" max="17" width="27" style="11" customWidth="1"/>
    <col min="18" max="18" width="21.85546875" style="8" customWidth="1"/>
    <col min="19" max="19" width="23.5703125" style="8" customWidth="1"/>
    <col min="20" max="20" width="32.42578125" style="8" customWidth="1"/>
    <col min="21" max="21" width="27.7109375" style="8" customWidth="1"/>
    <col min="22" max="22" width="25.42578125" style="8" customWidth="1"/>
    <col min="23" max="23" width="25" style="8" customWidth="1"/>
    <col min="24" max="26" width="25.140625" style="8" customWidth="1"/>
    <col min="27" max="27" width="23.85546875" style="8" customWidth="1"/>
    <col min="28" max="28" width="20.28515625" style="8" customWidth="1"/>
    <col min="29" max="29" width="20" style="8" customWidth="1"/>
    <col min="30" max="38" width="0" style="8" hidden="1" customWidth="1"/>
    <col min="39" max="16384" width="9.140625" style="8" hidden="1"/>
  </cols>
  <sheetData>
    <row r="1" spans="1:33" ht="18.600000000000001" thickBot="1" x14ac:dyDescent="0.35">
      <c r="T1" s="16"/>
    </row>
    <row r="2" spans="1:33" ht="39.950000000000003" customHeight="1" thickBot="1" x14ac:dyDescent="0.3">
      <c r="E2" s="794" t="s">
        <v>139</v>
      </c>
      <c r="F2" s="795"/>
      <c r="G2" s="100">
        <f>SUM(G9:G9999)</f>
        <v>0</v>
      </c>
      <c r="H2" s="15"/>
      <c r="O2" s="794" t="s">
        <v>24</v>
      </c>
      <c r="P2" s="795"/>
      <c r="Q2" s="98">
        <f>SUM(Q9:Q9999)</f>
        <v>0</v>
      </c>
      <c r="T2" s="633" t="s">
        <v>137</v>
      </c>
      <c r="U2" s="635"/>
      <c r="V2" s="87">
        <f>SUM(V9:V9999)</f>
        <v>0</v>
      </c>
      <c r="X2" s="86"/>
      <c r="Y2" s="633" t="s">
        <v>45</v>
      </c>
      <c r="Z2" s="634"/>
      <c r="AA2" s="635"/>
      <c r="AB2" s="88">
        <f>SUM(AB9:AB9999)</f>
        <v>0</v>
      </c>
    </row>
    <row r="4" spans="1:33" ht="39.950000000000003" customHeight="1" x14ac:dyDescent="0.3"/>
    <row r="6" spans="1:33" ht="150" x14ac:dyDescent="0.25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ht="18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8.75" x14ac:dyDescent="0.25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ht="18" x14ac:dyDescent="0.3">
      <c r="A9" s="14"/>
      <c r="B9" s="14"/>
      <c r="C9" s="14"/>
      <c r="D9" s="14"/>
      <c r="E9" s="14"/>
      <c r="F9" s="14"/>
      <c r="G9" s="15"/>
      <c r="H9" s="16"/>
      <c r="I9" s="105"/>
      <c r="J9" s="105"/>
      <c r="K9" s="14"/>
      <c r="L9" s="14"/>
      <c r="M9" s="14"/>
      <c r="N9" s="29"/>
      <c r="O9" s="14"/>
      <c r="P9" s="14"/>
      <c r="Q9" s="15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8">
        <v>2</v>
      </c>
    </row>
  </sheetData>
  <sheetProtection algorithmName="SHA-512" hashValue="DRvhZ5ML7S6dmXI0SNz4rdrVTw+K6P52ASMNb/MCQddelV8S3o7ZRf6B/uHizrxYLmRO2WjNTPJNalBIML2tlg==" saltValue="1+mURIssOTyjjA86sDqDwA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38"/>
  <sheetViews>
    <sheetView showGridLines="0" topLeftCell="O1" zoomScale="50" zoomScaleNormal="50" workbookViewId="0">
      <pane ySplit="8" topLeftCell="A9" activePane="bottomLeft" state="frozen"/>
      <selection pane="bottomLeft" activeCell="T14" sqref="T14"/>
    </sheetView>
  </sheetViews>
  <sheetFormatPr defaultColWidth="0" defaultRowHeight="18.75" x14ac:dyDescent="0.25"/>
  <cols>
    <col min="1" max="1" width="9.140625" style="8" customWidth="1"/>
    <col min="2" max="2" width="47.140625" style="8" customWidth="1"/>
    <col min="3" max="3" width="33.28515625" style="8" customWidth="1"/>
    <col min="4" max="6" width="33.7109375" style="8" customWidth="1"/>
    <col min="7" max="8" width="22.28515625" style="8" customWidth="1"/>
    <col min="9" max="9" width="24.28515625" style="8" customWidth="1"/>
    <col min="10" max="10" width="28.42578125" style="8" customWidth="1"/>
    <col min="11" max="12" width="19.5703125" style="8" customWidth="1"/>
    <col min="13" max="13" width="27.7109375" style="8" customWidth="1"/>
    <col min="14" max="14" width="24.42578125" style="8" bestFit="1" customWidth="1"/>
    <col min="15" max="15" width="27.42578125" style="8" customWidth="1"/>
    <col min="16" max="16" width="31.5703125" style="8" customWidth="1"/>
    <col min="17" max="18" width="21.85546875" style="8" customWidth="1"/>
    <col min="19" max="19" width="23.5703125" style="8" customWidth="1"/>
    <col min="20" max="20" width="31.85546875" style="8" customWidth="1"/>
    <col min="21" max="21" width="27.7109375" style="8" customWidth="1"/>
    <col min="22" max="22" width="25.42578125" style="8" customWidth="1"/>
    <col min="23" max="23" width="25" style="8" customWidth="1"/>
    <col min="24" max="26" width="29.42578125" style="8" customWidth="1"/>
    <col min="27" max="27" width="26.28515625" style="8" customWidth="1"/>
    <col min="28" max="28" width="25.140625" style="8" customWidth="1"/>
    <col min="29" max="29" width="19.140625" style="8" customWidth="1"/>
    <col min="30" max="16384" width="9.140625" style="8" hidden="1"/>
  </cols>
  <sheetData>
    <row r="1" spans="1:33" ht="18.600000000000001" thickBot="1" x14ac:dyDescent="0.35"/>
    <row r="2" spans="1:33" ht="39.950000000000003" customHeight="1" thickBot="1" x14ac:dyDescent="0.3">
      <c r="E2" s="794" t="s">
        <v>139</v>
      </c>
      <c r="F2" s="795"/>
      <c r="G2" s="100">
        <f>SUM(G9:G10000)</f>
        <v>1258462.8500000001</v>
      </c>
      <c r="H2" s="15"/>
      <c r="O2" s="794" t="s">
        <v>24</v>
      </c>
      <c r="P2" s="795"/>
      <c r="Q2" s="98">
        <f>SUM(Q9:Q10000)</f>
        <v>1191922.8500000001</v>
      </c>
      <c r="T2" s="633" t="s">
        <v>137</v>
      </c>
      <c r="U2" s="635"/>
      <c r="V2" s="87">
        <f>SUM(V9:V10000)</f>
        <v>776053.20000000007</v>
      </c>
      <c r="X2" s="86"/>
      <c r="Y2" s="633" t="s">
        <v>45</v>
      </c>
      <c r="Z2" s="634"/>
      <c r="AA2" s="635"/>
      <c r="AB2" s="88">
        <f>SUM(AB9:AB10000)</f>
        <v>221181.65</v>
      </c>
    </row>
    <row r="4" spans="1:33" ht="39.950000000000003" customHeight="1" x14ac:dyDescent="0.3">
      <c r="P4" s="970"/>
      <c r="Q4" s="970"/>
      <c r="R4" s="970"/>
      <c r="T4" s="102"/>
      <c r="U4" s="102"/>
    </row>
    <row r="6" spans="1:33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ht="18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8.75" x14ac:dyDescent="0.25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s="108" customFormat="1" ht="176.45" customHeight="1" x14ac:dyDescent="0.25">
      <c r="A9" s="579">
        <v>1</v>
      </c>
      <c r="B9" s="585"/>
      <c r="C9" s="585" t="s">
        <v>232</v>
      </c>
      <c r="D9" s="585"/>
      <c r="E9" s="585" t="s">
        <v>233</v>
      </c>
      <c r="F9" s="585" t="s">
        <v>234</v>
      </c>
      <c r="G9" s="583">
        <v>624240</v>
      </c>
      <c r="H9" s="593">
        <f>IF(AD9 = 1, G9 - Q9,0)</f>
        <v>66540</v>
      </c>
      <c r="I9" s="583"/>
      <c r="J9" s="583"/>
      <c r="K9" s="585"/>
      <c r="L9" s="585"/>
      <c r="M9" s="585" t="s">
        <v>310</v>
      </c>
      <c r="N9" s="581" t="s">
        <v>311</v>
      </c>
      <c r="O9" s="946">
        <v>2308080429</v>
      </c>
      <c r="P9" s="585" t="s">
        <v>312</v>
      </c>
      <c r="Q9" s="583">
        <v>557700</v>
      </c>
      <c r="R9" s="593">
        <f>IF(AD9 = 1, Q9 + SUM(Y9:Y14) - SUM(Z9:Z14) - SUM(V9:V14) - AB9,0)</f>
        <v>194688</v>
      </c>
      <c r="S9" s="585" t="s">
        <v>315</v>
      </c>
      <c r="T9" s="520" t="s">
        <v>250</v>
      </c>
      <c r="U9" s="585" t="s">
        <v>314</v>
      </c>
      <c r="V9" s="511">
        <v>52728</v>
      </c>
      <c r="W9" s="520" t="s">
        <v>323</v>
      </c>
      <c r="X9" s="513"/>
      <c r="Y9" s="511"/>
      <c r="Z9" s="511"/>
      <c r="AA9" s="585"/>
      <c r="AB9" s="583"/>
      <c r="AC9" s="589"/>
      <c r="AD9" s="108">
        <v>1</v>
      </c>
    </row>
    <row r="10" spans="1:33" s="2" customFormat="1" x14ac:dyDescent="0.25">
      <c r="A10" s="666"/>
      <c r="B10" s="654"/>
      <c r="C10" s="654"/>
      <c r="D10" s="654"/>
      <c r="E10" s="654"/>
      <c r="F10" s="654"/>
      <c r="G10" s="651"/>
      <c r="H10" s="655"/>
      <c r="I10" s="651"/>
      <c r="J10" s="651"/>
      <c r="K10" s="654"/>
      <c r="L10" s="654"/>
      <c r="M10" s="654"/>
      <c r="N10" s="650"/>
      <c r="O10" s="947"/>
      <c r="P10" s="654"/>
      <c r="Q10" s="651"/>
      <c r="R10" s="655"/>
      <c r="S10" s="654"/>
      <c r="T10" s="521" t="s">
        <v>383</v>
      </c>
      <c r="U10" s="654"/>
      <c r="V10" s="514">
        <v>62868</v>
      </c>
      <c r="W10" s="521" t="s">
        <v>389</v>
      </c>
      <c r="X10" s="516"/>
      <c r="Y10" s="514"/>
      <c r="Z10" s="514"/>
      <c r="AA10" s="654"/>
      <c r="AB10" s="651"/>
      <c r="AC10" s="653"/>
      <c r="AD10" s="2">
        <v>1</v>
      </c>
    </row>
    <row r="11" spans="1:33" s="2" customFormat="1" x14ac:dyDescent="0.25">
      <c r="A11" s="666"/>
      <c r="B11" s="654"/>
      <c r="C11" s="654"/>
      <c r="D11" s="654"/>
      <c r="E11" s="654"/>
      <c r="F11" s="654"/>
      <c r="G11" s="651"/>
      <c r="H11" s="655"/>
      <c r="I11" s="651"/>
      <c r="J11" s="651"/>
      <c r="K11" s="654"/>
      <c r="L11" s="654"/>
      <c r="M11" s="654"/>
      <c r="N11" s="650"/>
      <c r="O11" s="947"/>
      <c r="P11" s="654"/>
      <c r="Q11" s="651"/>
      <c r="R11" s="655"/>
      <c r="S11" s="654"/>
      <c r="T11" s="521" t="s">
        <v>446</v>
      </c>
      <c r="U11" s="654"/>
      <c r="V11" s="514">
        <v>60840</v>
      </c>
      <c r="W11" s="521" t="s">
        <v>445</v>
      </c>
      <c r="X11" s="516"/>
      <c r="Y11" s="514"/>
      <c r="Z11" s="514"/>
      <c r="AA11" s="654"/>
      <c r="AB11" s="651"/>
      <c r="AC11" s="653"/>
      <c r="AD11" s="2">
        <v>1</v>
      </c>
    </row>
    <row r="12" spans="1:33" s="2" customFormat="1" x14ac:dyDescent="0.25">
      <c r="A12" s="666"/>
      <c r="B12" s="654"/>
      <c r="C12" s="654"/>
      <c r="D12" s="654"/>
      <c r="E12" s="654"/>
      <c r="F12" s="654"/>
      <c r="G12" s="651"/>
      <c r="H12" s="655"/>
      <c r="I12" s="651"/>
      <c r="J12" s="651"/>
      <c r="K12" s="654"/>
      <c r="L12" s="654"/>
      <c r="M12" s="654"/>
      <c r="N12" s="650"/>
      <c r="O12" s="947"/>
      <c r="P12" s="654"/>
      <c r="Q12" s="651"/>
      <c r="R12" s="655"/>
      <c r="S12" s="654"/>
      <c r="T12" s="521" t="s">
        <v>483</v>
      </c>
      <c r="U12" s="654"/>
      <c r="V12" s="514">
        <v>62868</v>
      </c>
      <c r="W12" s="521" t="s">
        <v>484</v>
      </c>
      <c r="X12" s="516"/>
      <c r="Y12" s="514"/>
      <c r="Z12" s="514"/>
      <c r="AA12" s="654"/>
      <c r="AB12" s="651"/>
      <c r="AC12" s="653"/>
      <c r="AD12" s="2">
        <v>1</v>
      </c>
    </row>
    <row r="13" spans="1:33" s="2" customFormat="1" x14ac:dyDescent="0.25">
      <c r="A13" s="666"/>
      <c r="B13" s="654"/>
      <c r="C13" s="654"/>
      <c r="D13" s="654"/>
      <c r="E13" s="654"/>
      <c r="F13" s="654"/>
      <c r="G13" s="651"/>
      <c r="H13" s="655"/>
      <c r="I13" s="651"/>
      <c r="J13" s="651"/>
      <c r="K13" s="654"/>
      <c r="L13" s="654"/>
      <c r="M13" s="654"/>
      <c r="N13" s="650"/>
      <c r="O13" s="947"/>
      <c r="P13" s="654"/>
      <c r="Q13" s="651"/>
      <c r="R13" s="655"/>
      <c r="S13" s="654"/>
      <c r="T13" s="521" t="s">
        <v>495</v>
      </c>
      <c r="U13" s="654"/>
      <c r="V13" s="514">
        <v>62868</v>
      </c>
      <c r="W13" s="521" t="s">
        <v>494</v>
      </c>
      <c r="X13" s="516"/>
      <c r="Y13" s="514"/>
      <c r="Z13" s="514"/>
      <c r="AA13" s="654"/>
      <c r="AB13" s="651"/>
      <c r="AC13" s="653"/>
      <c r="AD13" s="2">
        <v>1</v>
      </c>
    </row>
    <row r="14" spans="1:33" s="2" customFormat="1" x14ac:dyDescent="0.25">
      <c r="A14" s="580"/>
      <c r="B14" s="586"/>
      <c r="C14" s="586"/>
      <c r="D14" s="586"/>
      <c r="E14" s="586"/>
      <c r="F14" s="586"/>
      <c r="G14" s="584"/>
      <c r="H14" s="594"/>
      <c r="I14" s="584"/>
      <c r="J14" s="584"/>
      <c r="K14" s="586"/>
      <c r="L14" s="586"/>
      <c r="M14" s="586"/>
      <c r="N14" s="582"/>
      <c r="O14" s="948"/>
      <c r="P14" s="586"/>
      <c r="Q14" s="584"/>
      <c r="R14" s="594"/>
      <c r="S14" s="586"/>
      <c r="T14" s="522" t="s">
        <v>576</v>
      </c>
      <c r="U14" s="586"/>
      <c r="V14" s="517">
        <v>60840</v>
      </c>
      <c r="W14" s="522" t="s">
        <v>577</v>
      </c>
      <c r="X14" s="519"/>
      <c r="Y14" s="517"/>
      <c r="Z14" s="517"/>
      <c r="AA14" s="586"/>
      <c r="AB14" s="584"/>
      <c r="AC14" s="590"/>
      <c r="AD14" s="2">
        <v>1</v>
      </c>
    </row>
    <row r="15" spans="1:33" s="108" customFormat="1" ht="180" customHeight="1" x14ac:dyDescent="0.25">
      <c r="A15" s="967">
        <v>2</v>
      </c>
      <c r="B15" s="952"/>
      <c r="C15" s="952" t="s">
        <v>235</v>
      </c>
      <c r="D15" s="952"/>
      <c r="E15" s="952" t="s">
        <v>236</v>
      </c>
      <c r="F15" s="952" t="s">
        <v>237</v>
      </c>
      <c r="G15" s="955">
        <v>634222.85</v>
      </c>
      <c r="H15" s="958">
        <f>IF(AD15 = 2, G15 - Q15,0)</f>
        <v>0</v>
      </c>
      <c r="I15" s="955"/>
      <c r="J15" s="955"/>
      <c r="K15" s="952"/>
      <c r="L15" s="952"/>
      <c r="M15" s="952" t="s">
        <v>264</v>
      </c>
      <c r="N15" s="961" t="s">
        <v>265</v>
      </c>
      <c r="O15" s="964">
        <v>2353020735</v>
      </c>
      <c r="P15" s="952" t="s">
        <v>266</v>
      </c>
      <c r="Q15" s="955">
        <v>634222.85</v>
      </c>
      <c r="R15" s="958">
        <f>IF(AD15 = 2, Q15 + SUM(Y15:Y29) - SUM(Z15:Z29) - SUM(V15:V29) - AB15,0)</f>
        <v>-2.9103830456733704E-11</v>
      </c>
      <c r="S15" s="952" t="s">
        <v>313</v>
      </c>
      <c r="T15" s="246" t="s">
        <v>239</v>
      </c>
      <c r="U15" s="952" t="s">
        <v>267</v>
      </c>
      <c r="V15" s="240">
        <v>28864</v>
      </c>
      <c r="W15" s="246" t="s">
        <v>268</v>
      </c>
      <c r="X15" s="241"/>
      <c r="Y15" s="240"/>
      <c r="Z15" s="240"/>
      <c r="AA15" s="952" t="s">
        <v>434</v>
      </c>
      <c r="AB15" s="955">
        <v>221181.65</v>
      </c>
      <c r="AC15" s="949"/>
      <c r="AD15" s="108">
        <v>2</v>
      </c>
    </row>
    <row r="16" spans="1:33" s="2" customFormat="1" x14ac:dyDescent="0.25">
      <c r="A16" s="968"/>
      <c r="B16" s="953"/>
      <c r="C16" s="953"/>
      <c r="D16" s="953"/>
      <c r="E16" s="953"/>
      <c r="F16" s="953"/>
      <c r="G16" s="956"/>
      <c r="H16" s="959"/>
      <c r="I16" s="956"/>
      <c r="J16" s="956"/>
      <c r="K16" s="953"/>
      <c r="L16" s="953"/>
      <c r="M16" s="953"/>
      <c r="N16" s="962"/>
      <c r="O16" s="965"/>
      <c r="P16" s="953"/>
      <c r="Q16" s="956"/>
      <c r="R16" s="959"/>
      <c r="S16" s="953"/>
      <c r="T16" s="247" t="s">
        <v>239</v>
      </c>
      <c r="U16" s="953"/>
      <c r="V16" s="242">
        <v>85466.25</v>
      </c>
      <c r="W16" s="247" t="s">
        <v>269</v>
      </c>
      <c r="X16" s="243"/>
      <c r="Y16" s="242"/>
      <c r="Z16" s="242"/>
      <c r="AA16" s="953"/>
      <c r="AB16" s="956"/>
      <c r="AC16" s="950"/>
      <c r="AD16" s="2">
        <v>2</v>
      </c>
    </row>
    <row r="17" spans="1:30" s="2" customFormat="1" x14ac:dyDescent="0.25">
      <c r="A17" s="968"/>
      <c r="B17" s="953"/>
      <c r="C17" s="953"/>
      <c r="D17" s="953"/>
      <c r="E17" s="953"/>
      <c r="F17" s="953"/>
      <c r="G17" s="956"/>
      <c r="H17" s="959"/>
      <c r="I17" s="956"/>
      <c r="J17" s="956"/>
      <c r="K17" s="953"/>
      <c r="L17" s="953"/>
      <c r="M17" s="953"/>
      <c r="N17" s="962"/>
      <c r="O17" s="965"/>
      <c r="P17" s="953"/>
      <c r="Q17" s="956"/>
      <c r="R17" s="959"/>
      <c r="S17" s="953"/>
      <c r="T17" s="247" t="s">
        <v>239</v>
      </c>
      <c r="U17" s="953"/>
      <c r="V17" s="242">
        <v>5455.35</v>
      </c>
      <c r="W17" s="247" t="s">
        <v>269</v>
      </c>
      <c r="X17" s="243"/>
      <c r="Y17" s="242"/>
      <c r="Z17" s="242"/>
      <c r="AA17" s="953"/>
      <c r="AB17" s="956"/>
      <c r="AC17" s="950"/>
      <c r="AD17" s="2">
        <v>2</v>
      </c>
    </row>
    <row r="18" spans="1:30" s="2" customFormat="1" x14ac:dyDescent="0.25">
      <c r="A18" s="968"/>
      <c r="B18" s="953"/>
      <c r="C18" s="953"/>
      <c r="D18" s="953"/>
      <c r="E18" s="953"/>
      <c r="F18" s="953"/>
      <c r="G18" s="956"/>
      <c r="H18" s="959"/>
      <c r="I18" s="956"/>
      <c r="J18" s="956"/>
      <c r="K18" s="953"/>
      <c r="L18" s="953"/>
      <c r="M18" s="953"/>
      <c r="N18" s="962"/>
      <c r="O18" s="965"/>
      <c r="P18" s="953"/>
      <c r="Q18" s="956"/>
      <c r="R18" s="959"/>
      <c r="S18" s="953"/>
      <c r="T18" s="247" t="s">
        <v>248</v>
      </c>
      <c r="U18" s="953"/>
      <c r="V18" s="242">
        <v>7876</v>
      </c>
      <c r="W18" s="247" t="s">
        <v>270</v>
      </c>
      <c r="X18" s="243"/>
      <c r="Y18" s="242"/>
      <c r="Z18" s="242"/>
      <c r="AA18" s="953"/>
      <c r="AB18" s="956"/>
      <c r="AC18" s="950"/>
      <c r="AD18" s="2">
        <v>2</v>
      </c>
    </row>
    <row r="19" spans="1:30" s="2" customFormat="1" x14ac:dyDescent="0.25">
      <c r="A19" s="968"/>
      <c r="B19" s="953"/>
      <c r="C19" s="953"/>
      <c r="D19" s="953"/>
      <c r="E19" s="953"/>
      <c r="F19" s="953"/>
      <c r="G19" s="956"/>
      <c r="H19" s="959"/>
      <c r="I19" s="956"/>
      <c r="J19" s="956"/>
      <c r="K19" s="953"/>
      <c r="L19" s="953"/>
      <c r="M19" s="953"/>
      <c r="N19" s="962"/>
      <c r="O19" s="965"/>
      <c r="P19" s="953"/>
      <c r="Q19" s="956"/>
      <c r="R19" s="959"/>
      <c r="S19" s="953"/>
      <c r="T19" s="247" t="s">
        <v>248</v>
      </c>
      <c r="U19" s="953"/>
      <c r="V19" s="242">
        <v>1488.58</v>
      </c>
      <c r="W19" s="247" t="s">
        <v>270</v>
      </c>
      <c r="X19" s="243"/>
      <c r="Y19" s="242"/>
      <c r="Z19" s="242"/>
      <c r="AA19" s="953"/>
      <c r="AB19" s="956"/>
      <c r="AC19" s="950"/>
      <c r="AD19" s="2">
        <v>2</v>
      </c>
    </row>
    <row r="20" spans="1:30" s="2" customFormat="1" x14ac:dyDescent="0.25">
      <c r="A20" s="968"/>
      <c r="B20" s="953"/>
      <c r="C20" s="953"/>
      <c r="D20" s="953"/>
      <c r="E20" s="953"/>
      <c r="F20" s="953"/>
      <c r="G20" s="956"/>
      <c r="H20" s="959"/>
      <c r="I20" s="956"/>
      <c r="J20" s="956"/>
      <c r="K20" s="953"/>
      <c r="L20" s="953"/>
      <c r="M20" s="953"/>
      <c r="N20" s="962"/>
      <c r="O20" s="965"/>
      <c r="P20" s="953"/>
      <c r="Q20" s="956"/>
      <c r="R20" s="959"/>
      <c r="S20" s="953"/>
      <c r="T20" s="247" t="s">
        <v>248</v>
      </c>
      <c r="U20" s="953"/>
      <c r="V20" s="242">
        <v>23320.82</v>
      </c>
      <c r="W20" s="247" t="s">
        <v>270</v>
      </c>
      <c r="X20" s="243"/>
      <c r="Y20" s="242"/>
      <c r="Z20" s="242"/>
      <c r="AA20" s="953"/>
      <c r="AB20" s="956"/>
      <c r="AC20" s="950"/>
      <c r="AD20" s="2">
        <v>2</v>
      </c>
    </row>
    <row r="21" spans="1:30" s="2" customFormat="1" x14ac:dyDescent="0.25">
      <c r="A21" s="968"/>
      <c r="B21" s="953"/>
      <c r="C21" s="953"/>
      <c r="D21" s="953"/>
      <c r="E21" s="953"/>
      <c r="F21" s="953"/>
      <c r="G21" s="956"/>
      <c r="H21" s="959"/>
      <c r="I21" s="956"/>
      <c r="J21" s="956"/>
      <c r="K21" s="953"/>
      <c r="L21" s="953"/>
      <c r="M21" s="953"/>
      <c r="N21" s="962"/>
      <c r="O21" s="965"/>
      <c r="P21" s="953"/>
      <c r="Q21" s="956"/>
      <c r="R21" s="959"/>
      <c r="S21" s="953"/>
      <c r="T21" s="247" t="s">
        <v>250</v>
      </c>
      <c r="U21" s="953"/>
      <c r="V21" s="242">
        <v>40257.730000000003</v>
      </c>
      <c r="W21" s="247" t="s">
        <v>270</v>
      </c>
      <c r="X21" s="243"/>
      <c r="Y21" s="242"/>
      <c r="Z21" s="242"/>
      <c r="AA21" s="953"/>
      <c r="AB21" s="956"/>
      <c r="AC21" s="950"/>
      <c r="AD21" s="2">
        <v>2</v>
      </c>
    </row>
    <row r="22" spans="1:30" s="2" customFormat="1" x14ac:dyDescent="0.25">
      <c r="A22" s="968"/>
      <c r="B22" s="953"/>
      <c r="C22" s="953"/>
      <c r="D22" s="953"/>
      <c r="E22" s="953"/>
      <c r="F22" s="953"/>
      <c r="G22" s="956"/>
      <c r="H22" s="959"/>
      <c r="I22" s="956"/>
      <c r="J22" s="956"/>
      <c r="K22" s="953"/>
      <c r="L22" s="953"/>
      <c r="M22" s="953"/>
      <c r="N22" s="962"/>
      <c r="O22" s="965"/>
      <c r="P22" s="953"/>
      <c r="Q22" s="956"/>
      <c r="R22" s="959"/>
      <c r="S22" s="953"/>
      <c r="T22" s="247" t="s">
        <v>250</v>
      </c>
      <c r="U22" s="953"/>
      <c r="V22" s="242">
        <v>2569.67</v>
      </c>
      <c r="W22" s="247" t="s">
        <v>270</v>
      </c>
      <c r="X22" s="243"/>
      <c r="Y22" s="242"/>
      <c r="Z22" s="242"/>
      <c r="AA22" s="953"/>
      <c r="AB22" s="956"/>
      <c r="AC22" s="950"/>
      <c r="AD22" s="2">
        <v>2</v>
      </c>
    </row>
    <row r="23" spans="1:30" s="2" customFormat="1" x14ac:dyDescent="0.25">
      <c r="A23" s="968"/>
      <c r="B23" s="953"/>
      <c r="C23" s="953"/>
      <c r="D23" s="953"/>
      <c r="E23" s="953"/>
      <c r="F23" s="953"/>
      <c r="G23" s="956"/>
      <c r="H23" s="959"/>
      <c r="I23" s="956"/>
      <c r="J23" s="956"/>
      <c r="K23" s="953"/>
      <c r="L23" s="953"/>
      <c r="M23" s="953"/>
      <c r="N23" s="962"/>
      <c r="O23" s="965"/>
      <c r="P23" s="953"/>
      <c r="Q23" s="956"/>
      <c r="R23" s="959"/>
      <c r="S23" s="953"/>
      <c r="T23" s="247" t="s">
        <v>250</v>
      </c>
      <c r="U23" s="953"/>
      <c r="V23" s="242">
        <v>13596</v>
      </c>
      <c r="W23" s="247" t="s">
        <v>270</v>
      </c>
      <c r="X23" s="243"/>
      <c r="Y23" s="242"/>
      <c r="Z23" s="242"/>
      <c r="AA23" s="953"/>
      <c r="AB23" s="956"/>
      <c r="AC23" s="950"/>
      <c r="AD23" s="2">
        <v>2</v>
      </c>
    </row>
    <row r="24" spans="1:30" s="2" customFormat="1" x14ac:dyDescent="0.25">
      <c r="A24" s="968"/>
      <c r="B24" s="953"/>
      <c r="C24" s="953"/>
      <c r="D24" s="953"/>
      <c r="E24" s="953"/>
      <c r="F24" s="953"/>
      <c r="G24" s="956"/>
      <c r="H24" s="959"/>
      <c r="I24" s="956"/>
      <c r="J24" s="956"/>
      <c r="K24" s="953"/>
      <c r="L24" s="953"/>
      <c r="M24" s="953"/>
      <c r="N24" s="962"/>
      <c r="O24" s="965"/>
      <c r="P24" s="953"/>
      <c r="Q24" s="956"/>
      <c r="R24" s="959"/>
      <c r="S24" s="953"/>
      <c r="T24" s="247" t="s">
        <v>255</v>
      </c>
      <c r="U24" s="953"/>
      <c r="V24" s="242">
        <v>79212.62</v>
      </c>
      <c r="W24" s="247" t="s">
        <v>270</v>
      </c>
      <c r="X24" s="243"/>
      <c r="Y24" s="242"/>
      <c r="Z24" s="242"/>
      <c r="AA24" s="953"/>
      <c r="AB24" s="956"/>
      <c r="AC24" s="950"/>
      <c r="AD24" s="2">
        <v>2</v>
      </c>
    </row>
    <row r="25" spans="1:30" s="2" customFormat="1" x14ac:dyDescent="0.25">
      <c r="A25" s="968"/>
      <c r="B25" s="953"/>
      <c r="C25" s="953"/>
      <c r="D25" s="953"/>
      <c r="E25" s="953"/>
      <c r="F25" s="953"/>
      <c r="G25" s="956"/>
      <c r="H25" s="959"/>
      <c r="I25" s="956"/>
      <c r="J25" s="956"/>
      <c r="K25" s="953"/>
      <c r="L25" s="953"/>
      <c r="M25" s="953"/>
      <c r="N25" s="962"/>
      <c r="O25" s="965"/>
      <c r="P25" s="953"/>
      <c r="Q25" s="956"/>
      <c r="R25" s="959"/>
      <c r="S25" s="953"/>
      <c r="T25" s="247" t="s">
        <v>255</v>
      </c>
      <c r="U25" s="953"/>
      <c r="V25" s="242">
        <v>5056.18</v>
      </c>
      <c r="W25" s="247" t="s">
        <v>270</v>
      </c>
      <c r="X25" s="243"/>
      <c r="Y25" s="242"/>
      <c r="Z25" s="242"/>
      <c r="AA25" s="953"/>
      <c r="AB25" s="956"/>
      <c r="AC25" s="950"/>
      <c r="AD25" s="2">
        <v>2</v>
      </c>
    </row>
    <row r="26" spans="1:30" s="2" customFormat="1" x14ac:dyDescent="0.25">
      <c r="A26" s="968"/>
      <c r="B26" s="953"/>
      <c r="C26" s="953"/>
      <c r="D26" s="953"/>
      <c r="E26" s="953"/>
      <c r="F26" s="953"/>
      <c r="G26" s="956"/>
      <c r="H26" s="959"/>
      <c r="I26" s="956"/>
      <c r="J26" s="956"/>
      <c r="K26" s="953"/>
      <c r="L26" s="953"/>
      <c r="M26" s="953"/>
      <c r="N26" s="962"/>
      <c r="O26" s="965"/>
      <c r="P26" s="953"/>
      <c r="Q26" s="956"/>
      <c r="R26" s="959"/>
      <c r="S26" s="953"/>
      <c r="T26" s="247" t="s">
        <v>255</v>
      </c>
      <c r="U26" s="953"/>
      <c r="V26" s="242">
        <v>26752</v>
      </c>
      <c r="W26" s="247" t="s">
        <v>270</v>
      </c>
      <c r="X26" s="243"/>
      <c r="Y26" s="242"/>
      <c r="Z26" s="242"/>
      <c r="AA26" s="953"/>
      <c r="AB26" s="956"/>
      <c r="AC26" s="950"/>
      <c r="AD26" s="2">
        <v>2</v>
      </c>
    </row>
    <row r="27" spans="1:30" s="2" customFormat="1" x14ac:dyDescent="0.25">
      <c r="A27" s="968"/>
      <c r="B27" s="953"/>
      <c r="C27" s="953"/>
      <c r="D27" s="953"/>
      <c r="E27" s="953"/>
      <c r="F27" s="953"/>
      <c r="G27" s="956"/>
      <c r="H27" s="959"/>
      <c r="I27" s="956"/>
      <c r="J27" s="956"/>
      <c r="K27" s="953"/>
      <c r="L27" s="953"/>
      <c r="M27" s="953"/>
      <c r="N27" s="962"/>
      <c r="O27" s="965"/>
      <c r="P27" s="953"/>
      <c r="Q27" s="956"/>
      <c r="R27" s="959"/>
      <c r="S27" s="953"/>
      <c r="T27" s="247" t="s">
        <v>245</v>
      </c>
      <c r="U27" s="953"/>
      <c r="V27" s="242">
        <v>22440</v>
      </c>
      <c r="W27" s="247" t="s">
        <v>324</v>
      </c>
      <c r="X27" s="243"/>
      <c r="Y27" s="242"/>
      <c r="Z27" s="242"/>
      <c r="AA27" s="953"/>
      <c r="AB27" s="956"/>
      <c r="AC27" s="950"/>
      <c r="AD27" s="2">
        <v>2</v>
      </c>
    </row>
    <row r="28" spans="1:30" s="2" customFormat="1" x14ac:dyDescent="0.25">
      <c r="A28" s="968"/>
      <c r="B28" s="953"/>
      <c r="C28" s="953"/>
      <c r="D28" s="953"/>
      <c r="E28" s="953"/>
      <c r="F28" s="953"/>
      <c r="G28" s="956"/>
      <c r="H28" s="959"/>
      <c r="I28" s="956"/>
      <c r="J28" s="956"/>
      <c r="K28" s="953"/>
      <c r="L28" s="953"/>
      <c r="M28" s="953"/>
      <c r="N28" s="962"/>
      <c r="O28" s="965"/>
      <c r="P28" s="953"/>
      <c r="Q28" s="956"/>
      <c r="R28" s="959"/>
      <c r="S28" s="953"/>
      <c r="T28" s="247" t="s">
        <v>245</v>
      </c>
      <c r="U28" s="953"/>
      <c r="V28" s="242">
        <v>4241.21</v>
      </c>
      <c r="W28" s="247" t="s">
        <v>324</v>
      </c>
      <c r="X28" s="243"/>
      <c r="Y28" s="242"/>
      <c r="Z28" s="242"/>
      <c r="AA28" s="953"/>
      <c r="AB28" s="956"/>
      <c r="AC28" s="950"/>
      <c r="AD28" s="2">
        <v>2</v>
      </c>
    </row>
    <row r="29" spans="1:30" s="2" customFormat="1" x14ac:dyDescent="0.25">
      <c r="A29" s="969"/>
      <c r="B29" s="954"/>
      <c r="C29" s="954"/>
      <c r="D29" s="954"/>
      <c r="E29" s="954"/>
      <c r="F29" s="954"/>
      <c r="G29" s="957"/>
      <c r="H29" s="960"/>
      <c r="I29" s="957"/>
      <c r="J29" s="957"/>
      <c r="K29" s="954"/>
      <c r="L29" s="954"/>
      <c r="M29" s="954"/>
      <c r="N29" s="963"/>
      <c r="O29" s="966"/>
      <c r="P29" s="954"/>
      <c r="Q29" s="957"/>
      <c r="R29" s="960"/>
      <c r="S29" s="954"/>
      <c r="T29" s="248" t="s">
        <v>245</v>
      </c>
      <c r="U29" s="954"/>
      <c r="V29" s="244">
        <v>66444.789999999994</v>
      </c>
      <c r="W29" s="248" t="s">
        <v>324</v>
      </c>
      <c r="X29" s="245"/>
      <c r="Y29" s="244"/>
      <c r="Z29" s="244"/>
      <c r="AA29" s="954"/>
      <c r="AB29" s="957"/>
      <c r="AC29" s="951"/>
      <c r="AD29" s="2">
        <v>2</v>
      </c>
    </row>
    <row r="30" spans="1:30" ht="18" x14ac:dyDescent="0.3">
      <c r="M30" s="3"/>
      <c r="AD30" s="8">
        <v>3</v>
      </c>
    </row>
    <row r="31" spans="1:30" ht="18" x14ac:dyDescent="0.3">
      <c r="M31" s="3"/>
    </row>
    <row r="32" spans="1:30" ht="18" x14ac:dyDescent="0.3">
      <c r="M32" s="3"/>
    </row>
    <row r="33" spans="13:13" ht="18" x14ac:dyDescent="0.3">
      <c r="M33" s="3"/>
    </row>
    <row r="34" spans="13:13" ht="18" x14ac:dyDescent="0.3">
      <c r="M34" s="3"/>
    </row>
    <row r="35" spans="13:13" ht="18" x14ac:dyDescent="0.3">
      <c r="M35" s="3"/>
    </row>
    <row r="36" spans="13:13" ht="18" x14ac:dyDescent="0.3">
      <c r="M36" s="3"/>
    </row>
    <row r="37" spans="13:13" ht="18" x14ac:dyDescent="0.3">
      <c r="M37" s="3"/>
    </row>
    <row r="38" spans="13:13" ht="18" x14ac:dyDescent="0.3">
      <c r="M38" s="3"/>
    </row>
  </sheetData>
  <sheetProtection algorithmName="SHA-512" hashValue="K9ON5aqe0Z9P5DBlTyJnLci+DVaARIPYApu/5buy5XcmiUwNeoIgpYUBu8gbeGt6cj0LySYR27LbAKneD+dojQ==" saltValue="WykyMMLOa1dLzNyzrHEFtw==" spinCount="100000" sheet="1" objects="1" scenarios="1" formatCells="0" formatColumns="0" formatRows="0"/>
  <mergeCells count="51">
    <mergeCell ref="A9:A14"/>
    <mergeCell ref="U9:U14"/>
    <mergeCell ref="AA9:AA14"/>
    <mergeCell ref="B9:B14"/>
    <mergeCell ref="AB9:AB14"/>
    <mergeCell ref="C9:C14"/>
    <mergeCell ref="S9:S14"/>
    <mergeCell ref="P4:R4"/>
    <mergeCell ref="E2:F2"/>
    <mergeCell ref="O2:P2"/>
    <mergeCell ref="Y2:AA2"/>
    <mergeCell ref="T2:U2"/>
    <mergeCell ref="A15:A29"/>
    <mergeCell ref="U15:U29"/>
    <mergeCell ref="AA15:AA29"/>
    <mergeCell ref="B15:B29"/>
    <mergeCell ref="AB15:AB29"/>
    <mergeCell ref="C15:C29"/>
    <mergeCell ref="S15:S29"/>
    <mergeCell ref="AC15:AC29"/>
    <mergeCell ref="D15:D29"/>
    <mergeCell ref="E15:E29"/>
    <mergeCell ref="F15:F29"/>
    <mergeCell ref="G15:G29"/>
    <mergeCell ref="H15:H29"/>
    <mergeCell ref="I15:I29"/>
    <mergeCell ref="J15:J29"/>
    <mergeCell ref="K15:K29"/>
    <mergeCell ref="L15:L29"/>
    <mergeCell ref="M15:M29"/>
    <mergeCell ref="N15:N29"/>
    <mergeCell ref="O15:O29"/>
    <mergeCell ref="P15:P29"/>
    <mergeCell ref="Q15:Q29"/>
    <mergeCell ref="R15:R29"/>
    <mergeCell ref="AC9:A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M9:M14"/>
    <mergeCell ref="N9:N14"/>
    <mergeCell ref="O9:O14"/>
    <mergeCell ref="P9:P14"/>
    <mergeCell ref="Q9:Q14"/>
    <mergeCell ref="R9:R1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52" customWidth="1"/>
    <col min="2" max="2" width="17.42578125" style="50" customWidth="1"/>
    <col min="3" max="3" width="17.28515625" style="50" customWidth="1"/>
    <col min="4" max="4" width="38.85546875" style="50" customWidth="1"/>
    <col min="5" max="5" width="15.5703125" style="50" bestFit="1" customWidth="1"/>
    <col min="6" max="11" width="16.140625" style="50" customWidth="1"/>
    <col min="12" max="16384" width="9.140625" style="50"/>
  </cols>
  <sheetData>
    <row r="1" spans="1:11" x14ac:dyDescent="0.25">
      <c r="A1" s="65">
        <v>78</v>
      </c>
      <c r="B1" s="65">
        <v>41</v>
      </c>
      <c r="C1" s="65">
        <v>9</v>
      </c>
      <c r="D1" s="973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25">
      <c r="A2" s="66" t="s">
        <v>84</v>
      </c>
      <c r="B2" s="65" t="s">
        <v>85</v>
      </c>
      <c r="C2" s="65" t="s">
        <v>86</v>
      </c>
      <c r="D2" s="974"/>
      <c r="E2" s="48"/>
      <c r="F2" s="80">
        <v>43</v>
      </c>
      <c r="G2" s="84">
        <v>45</v>
      </c>
      <c r="H2" s="83">
        <v>1</v>
      </c>
      <c r="I2" s="82">
        <v>0</v>
      </c>
      <c r="J2" s="81">
        <v>0</v>
      </c>
      <c r="K2" s="85">
        <v>2</v>
      </c>
    </row>
    <row r="3" spans="1:11" ht="15.6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25">
      <c r="A4" s="61">
        <v>168</v>
      </c>
      <c r="B4" s="62">
        <v>41</v>
      </c>
      <c r="C4" s="62">
        <v>9</v>
      </c>
      <c r="D4" s="975" t="s">
        <v>102</v>
      </c>
      <c r="E4" s="48"/>
      <c r="F4" s="80">
        <v>44</v>
      </c>
      <c r="G4" s="84">
        <v>46</v>
      </c>
      <c r="H4" s="83">
        <v>2</v>
      </c>
      <c r="I4" s="82">
        <v>0</v>
      </c>
      <c r="J4" s="81">
        <v>0</v>
      </c>
      <c r="K4" s="85">
        <v>3</v>
      </c>
    </row>
    <row r="5" spans="1:11" x14ac:dyDescent="0.25">
      <c r="A5" s="61" t="s">
        <v>89</v>
      </c>
      <c r="B5" s="62" t="s">
        <v>88</v>
      </c>
      <c r="C5" s="62" t="s">
        <v>87</v>
      </c>
      <c r="D5" s="976"/>
      <c r="E5" s="48"/>
      <c r="F5" s="48"/>
      <c r="G5" s="48"/>
      <c r="H5" s="49"/>
      <c r="I5" s="49"/>
      <c r="J5" s="49"/>
    </row>
    <row r="6" spans="1:11" ht="15.6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25">
      <c r="A7" s="63">
        <v>12</v>
      </c>
      <c r="B7" s="64">
        <v>1</v>
      </c>
      <c r="C7" s="64">
        <v>9</v>
      </c>
      <c r="D7" s="977" t="s">
        <v>52</v>
      </c>
      <c r="E7" s="48"/>
      <c r="F7" s="48"/>
      <c r="G7" s="48"/>
      <c r="H7" s="49"/>
      <c r="I7" s="49"/>
      <c r="J7" s="49"/>
    </row>
    <row r="8" spans="1:11" x14ac:dyDescent="0.25">
      <c r="A8" s="63" t="s">
        <v>90</v>
      </c>
      <c r="B8" s="64" t="s">
        <v>91</v>
      </c>
      <c r="C8" s="64" t="s">
        <v>92</v>
      </c>
      <c r="D8" s="978"/>
      <c r="E8" s="48"/>
      <c r="F8" s="48"/>
      <c r="G8" s="48"/>
      <c r="H8" s="49"/>
      <c r="I8" s="49"/>
      <c r="J8" s="49"/>
    </row>
    <row r="9" spans="1:11" ht="15.6" x14ac:dyDescent="0.3">
      <c r="A9" s="51"/>
      <c r="B9" s="47"/>
      <c r="C9" s="47"/>
      <c r="D9" s="47"/>
      <c r="E9" s="47"/>
      <c r="F9" s="47"/>
      <c r="G9" s="47"/>
    </row>
    <row r="10" spans="1:11" x14ac:dyDescent="0.25">
      <c r="A10" s="59">
        <v>8</v>
      </c>
      <c r="B10" s="60">
        <v>0</v>
      </c>
      <c r="C10" s="60">
        <v>9</v>
      </c>
      <c r="D10" s="979" t="s">
        <v>31</v>
      </c>
      <c r="E10" s="47"/>
      <c r="F10" s="47"/>
      <c r="G10" s="47"/>
    </row>
    <row r="11" spans="1:11" x14ac:dyDescent="0.25">
      <c r="A11" s="59" t="s">
        <v>93</v>
      </c>
      <c r="B11" s="60" t="s">
        <v>94</v>
      </c>
      <c r="C11" s="60" t="s">
        <v>95</v>
      </c>
      <c r="D11" s="980"/>
      <c r="E11" s="47"/>
      <c r="F11" s="47"/>
      <c r="G11" s="47"/>
    </row>
    <row r="12" spans="1:11" ht="15.6" x14ac:dyDescent="0.3">
      <c r="A12" s="51"/>
      <c r="B12" s="47"/>
      <c r="C12" s="47"/>
      <c r="D12" s="47"/>
      <c r="E12" s="47"/>
      <c r="F12" s="47"/>
      <c r="G12" s="47"/>
    </row>
    <row r="13" spans="1:11" x14ac:dyDescent="0.25">
      <c r="A13" s="57">
        <v>8</v>
      </c>
      <c r="B13" s="58">
        <v>0</v>
      </c>
      <c r="C13" s="58">
        <v>9</v>
      </c>
      <c r="D13" s="981" t="s">
        <v>49</v>
      </c>
      <c r="E13" s="47"/>
      <c r="F13" s="47"/>
      <c r="G13" s="47"/>
    </row>
    <row r="14" spans="1:11" x14ac:dyDescent="0.25">
      <c r="A14" s="57" t="s">
        <v>96</v>
      </c>
      <c r="B14" s="58" t="s">
        <v>97</v>
      </c>
      <c r="C14" s="58" t="s">
        <v>98</v>
      </c>
      <c r="D14" s="982"/>
      <c r="E14" s="47"/>
      <c r="F14" s="47"/>
      <c r="G14" s="47"/>
    </row>
    <row r="15" spans="1:11" ht="15.6" x14ac:dyDescent="0.3">
      <c r="A15" s="51"/>
      <c r="B15" s="47"/>
      <c r="C15" s="47"/>
      <c r="D15" s="47"/>
      <c r="E15" s="47"/>
      <c r="F15" s="47"/>
      <c r="G15" s="47"/>
    </row>
    <row r="16" spans="1:11" x14ac:dyDescent="0.25">
      <c r="A16" s="55">
        <v>29</v>
      </c>
      <c r="B16" s="56">
        <v>2</v>
      </c>
      <c r="C16" s="56">
        <v>9</v>
      </c>
      <c r="D16" s="971" t="s">
        <v>83</v>
      </c>
      <c r="E16" s="47"/>
      <c r="F16" s="47"/>
      <c r="G16" s="47"/>
    </row>
    <row r="17" spans="1:4" x14ac:dyDescent="0.25">
      <c r="A17" s="55" t="s">
        <v>99</v>
      </c>
      <c r="B17" s="56" t="s">
        <v>100</v>
      </c>
      <c r="C17" s="56" t="s">
        <v>101</v>
      </c>
      <c r="D17" s="972"/>
    </row>
    <row r="18" spans="1:4" ht="15.6" x14ac:dyDescent="0.3">
      <c r="A18" s="51"/>
    </row>
    <row r="19" spans="1:4" ht="15.6" x14ac:dyDescent="0.3">
      <c r="A19" s="51"/>
    </row>
    <row r="20" spans="1:4" ht="15.6" x14ac:dyDescent="0.3">
      <c r="A20" s="51"/>
    </row>
    <row r="21" spans="1:4" ht="15.6" x14ac:dyDescent="0.3">
      <c r="A21" s="51"/>
    </row>
    <row r="22" spans="1:4" ht="15.6" x14ac:dyDescent="0.3">
      <c r="A22" s="51"/>
    </row>
    <row r="23" spans="1:4" ht="15.6" x14ac:dyDescent="0.3">
      <c r="A23" s="51"/>
    </row>
    <row r="24" spans="1:4" ht="15.6" x14ac:dyDescent="0.3">
      <c r="A24" s="51"/>
    </row>
    <row r="25" spans="1:4" ht="15.6" x14ac:dyDescent="0.3">
      <c r="A25" s="51"/>
    </row>
    <row r="26" spans="1:4" ht="15.6" x14ac:dyDescent="0.3">
      <c r="A26" s="51"/>
    </row>
    <row r="27" spans="1:4" ht="15.6" x14ac:dyDescent="0.3">
      <c r="A27" s="51"/>
    </row>
    <row r="28" spans="1:4" ht="15.6" x14ac:dyDescent="0.3">
      <c r="A28" s="51"/>
    </row>
    <row r="29" spans="1:4" ht="15.6" x14ac:dyDescent="0.3">
      <c r="A29" s="51"/>
    </row>
    <row r="30" spans="1:4" ht="15.6" x14ac:dyDescent="0.3">
      <c r="A30" s="51"/>
    </row>
    <row r="31" spans="1:4" ht="15.6" x14ac:dyDescent="0.3">
      <c r="A31" s="51"/>
    </row>
    <row r="32" spans="1:4" ht="15.6" x14ac:dyDescent="0.3">
      <c r="A32" s="51"/>
    </row>
    <row r="33" spans="1:1" ht="15.6" x14ac:dyDescent="0.3">
      <c r="A33" s="51"/>
    </row>
    <row r="34" spans="1:1" ht="15.6" x14ac:dyDescent="0.3">
      <c r="A34" s="51"/>
    </row>
    <row r="35" spans="1:1" x14ac:dyDescent="0.25">
      <c r="A35" s="51"/>
    </row>
    <row r="36" spans="1:1" x14ac:dyDescent="0.25">
      <c r="A36" s="51"/>
    </row>
    <row r="37" spans="1:1" x14ac:dyDescent="0.25">
      <c r="A37" s="51"/>
    </row>
    <row r="38" spans="1:1" x14ac:dyDescent="0.25">
      <c r="A38" s="51"/>
    </row>
    <row r="39" spans="1:1" x14ac:dyDescent="0.25">
      <c r="A39" s="51"/>
    </row>
    <row r="40" spans="1:1" x14ac:dyDescent="0.25">
      <c r="A40" s="51"/>
    </row>
    <row r="41" spans="1:1" x14ac:dyDescent="0.25">
      <c r="A41" s="51"/>
    </row>
    <row r="42" spans="1:1" x14ac:dyDescent="0.25">
      <c r="A42" s="51"/>
    </row>
    <row r="43" spans="1:1" x14ac:dyDescent="0.25">
      <c r="A43" s="51"/>
    </row>
    <row r="44" spans="1:1" x14ac:dyDescent="0.25">
      <c r="A44" s="51"/>
    </row>
    <row r="45" spans="1:1" x14ac:dyDescent="0.25">
      <c r="A45" s="51"/>
    </row>
    <row r="81" spans="1:1" x14ac:dyDescent="0.25">
      <c r="A81" s="53"/>
    </row>
    <row r="82" spans="1:1" x14ac:dyDescent="0.25">
      <c r="A82" s="53"/>
    </row>
    <row r="83" spans="1:1" x14ac:dyDescent="0.25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Костя</cp:lastModifiedBy>
  <cp:lastPrinted>2022-07-08T11:41:11Z</cp:lastPrinted>
  <dcterms:created xsi:type="dcterms:W3CDTF">2017-01-25T04:28:39Z</dcterms:created>
  <dcterms:modified xsi:type="dcterms:W3CDTF">2022-11-14T07:15:15Z</dcterms:modified>
</cp:coreProperties>
</file>