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0" yWindow="0" windowWidth="20730" windowHeight="11760" firstSheet="1" activeTab="4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44525"/>
</workbook>
</file>

<file path=xl/calcChain.xml><?xml version="1.0" encoding="utf-8"?>
<calcChain xmlns="http://schemas.openxmlformats.org/spreadsheetml/2006/main">
  <c r="G2" i="17" l="1"/>
  <c r="Q2" i="17"/>
  <c r="V2" i="17"/>
  <c r="AB2" i="17"/>
  <c r="G2" i="19"/>
  <c r="N2" i="19"/>
  <c r="T2" i="19"/>
  <c r="H2" i="31"/>
  <c r="P2" i="31"/>
  <c r="V2" i="31"/>
  <c r="H2" i="27"/>
  <c r="P2" i="27"/>
  <c r="V2" i="27"/>
  <c r="G2" i="20" l="1"/>
  <c r="Q2" i="20"/>
  <c r="V2" i="20"/>
  <c r="AB2" i="20"/>
  <c r="G2" i="22"/>
  <c r="Q2" i="22"/>
  <c r="V2" i="22"/>
  <c r="AB2" i="22"/>
  <c r="I67" i="31"/>
  <c r="I53" i="31"/>
  <c r="I32" i="27"/>
  <c r="I30" i="27"/>
  <c r="I24" i="27"/>
  <c r="I22" i="27"/>
  <c r="I20" i="27"/>
  <c r="I28" i="27"/>
  <c r="I74" i="31"/>
  <c r="H9" i="19"/>
  <c r="I35" i="31"/>
  <c r="H18" i="20"/>
  <c r="R18" i="20"/>
  <c r="I47" i="31"/>
  <c r="I16" i="27"/>
  <c r="I10" i="27"/>
  <c r="I33" i="31"/>
  <c r="I31" i="31"/>
  <c r="I51" i="31"/>
  <c r="I44" i="31"/>
  <c r="I12" i="27"/>
  <c r="I14" i="27"/>
  <c r="I36" i="27"/>
  <c r="I35" i="27"/>
  <c r="I34" i="27"/>
  <c r="I80" i="31"/>
  <c r="I79" i="31" l="1"/>
  <c r="I78" i="31"/>
  <c r="I19" i="27"/>
  <c r="I26" i="31"/>
  <c r="I9" i="31" l="1"/>
  <c r="H9" i="20"/>
  <c r="R9" i="20"/>
  <c r="I46" i="31" l="1"/>
  <c r="I18" i="27"/>
  <c r="I9" i="27"/>
  <c r="I2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<sst xmlns="http://schemas.openxmlformats.org/spreadsheetml/2006/main" count="880" uniqueCount="364">
  <si>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</si>
  <si>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</si>
  <si>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</si>
  <si>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</si>
  <si>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</si>
  <si>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</si>
  <si>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</si>
  <si>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</si>
  <si>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</si>
  <si>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</si>
  <si>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</si>
  <si>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</si>
  <si>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</si>
  <si>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</si>
  <si>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</si>
  <si>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</si>
  <si>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</si>
  <si>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</si>
  <si>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</si>
  <si>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</si>
  <si>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</si>
  <si>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</si>
  <si>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</si>
  <si>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</si>
  <si>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</si>
  <si>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</si>
  <si>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</si>
  <si>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</si>
  <si>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</si>
  <si>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</si>
  <si>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</si>
  <si>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</si>
  <si>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</si>
  <si>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</si>
  <si>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</si>
  <si>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</si>
  <si>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</si>
  <si>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</si>
  <si>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</si>
  <si>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</si>
  <si>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</si>
  <si>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</si>
  <si>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</si>
  <si>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</si>
  <si>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</si>
  <si>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</si>
  <si>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</si>
  <si>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</si>
  <si>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</si>
  <si>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</si>
  <si>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</si>
  <si>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</si>
  <si>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</si>
  <si>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</si>
  <si>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</si>
  <si>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</si>
  <si>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</si>
  <si>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</si>
  <si>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</si>
  <si>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</si>
  <si>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</si>
  <si>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</si>
  <si>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</si>
  <si>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</si>
  <si>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</si>
  <si>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</si>
  <si>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</si>
  <si>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</si>
  <si>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</si>
  <si>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</si>
  <si>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</si>
  <si>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</si>
  <si>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</si>
  <si>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</si>
  <si>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</si>
  <si>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</si>
  <si>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</si>
  <si>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</si>
  <si>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</si>
  <si>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</si>
  <si>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</si>
  <si>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</si>
  <si>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</si>
  <si>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</si>
  <si>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</si>
  <si>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</si>
  <si>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</si>
  <si>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</si>
  <si>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</si>
  <si>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</si>
  <si>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</si>
  <si>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</si>
  <si>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</si>
  <si>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</si>
  <si>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</si>
  <si>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</si>
  <si>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</si>
  <si>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</si>
  <si>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</si>
  <si>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</si>
  <si>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</si>
  <si>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</si>
  <si>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</si>
  <si>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</si>
  <si>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</si>
  <si>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</si>
  <si>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</si>
  <si>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</si>
  <si>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</si>
  <si>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</si>
  <si>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</si>
  <si>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</si>
  <si>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</si>
  <si>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</si>
  <si>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</si>
  <si>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</si>
  <si>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</si>
  <si>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</si>
  <si>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</si>
  <si>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</si>
  <si>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</si>
  <si>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</si>
  <si>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</si>
  <si>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</si>
  <si>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</si>
  <si>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</si>
  <si>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</si>
  <si>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</si>
  <si>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</si>
  <si>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</si>
  <si>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</si>
  <si>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</si>
  <si>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</si>
  <si>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</si>
  <si>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</si>
  <si>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</si>
  <si>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</si>
  <si>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</si>
  <si>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</si>
  <si>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</si>
  <si>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</si>
  <si>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</si>
  <si>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</si>
  <si>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</si>
  <si>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</si>
  <si>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</si>
  <si>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</si>
  <si>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</si>
  <si>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</si>
  <si>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1770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</si>
  <si>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</si>
  <si>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</si>
  <si>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</si>
  <si>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</si>
  <si>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</si>
  <si>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</si>
  <si>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</si>
  <si>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</si>
  <si>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</si>
  <si>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</si>
  <si>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</si>
  <si>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</si>
  <si>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</si>
  <si>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</si>
  <si>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</si>
  <si>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</si>
  <si>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</si>
  <si>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</si>
  <si>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</si>
  <si>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</si>
  <si>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</si>
  <si>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</si>
  <si>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</si>
  <si>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</si>
  <si>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</si>
  <si>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</si>
  <si>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</si>
  <si>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</si>
  <si>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</si>
  <si>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</si>
  <si>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</si>
  <si>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</si>
  <si>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</si>
  <si>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</si>
  <si>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</si>
  <si>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</si>
  <si>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</si>
  <si>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</si>
  <si>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</si>
  <si>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</si>
  <si>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</si>
  <si>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</si>
  <si>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</si>
  <si>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</si>
  <si>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</si>
  <si>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</si>
  <si>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</si>
  <si>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</si>
  <si>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</si>
  <si>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</si>
  <si>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</si>
  <si>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</si>
  <si>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</si>
  <si>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</si>
  <si>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</si>
  <si>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</si>
  <si>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</si>
  <si>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</si>
  <si>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</si>
  <si>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</si>
  <si>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</si>
  <si>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</si>
  <si>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</si>
  <si>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</si>
  <si>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</si>
  <si>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</si>
  <si>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</si>
  <si>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</si>
  <si>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</si>
  <si>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</si>
  <si>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</si>
  <si>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</si>
  <si>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</si>
  <si>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</si>
  <si>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</si>
  <si>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</si>
  <si>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</si>
  <si>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</si>
  <si>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</si>
  <si>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</si>
  <si>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</si>
  <si>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</si>
  <si>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</si>
  <si>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</si>
  <si>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</si>
  <si>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</si>
  <si>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</si>
  <si>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</si>
  <si>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</si>
  <si>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</si>
  <si>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</si>
  <si>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</si>
  <si>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</si>
  <si>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</si>
  <si>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</si>
  <si>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</si>
  <si>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</si>
  <si>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</si>
  <si>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</si>
  <si>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</si>
  <si>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</si>
  <si>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</si>
  <si>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</si>
  <si>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</si>
  <si>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</si>
  <si>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</si>
  <si>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</si>
  <si>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</si>
  <si>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</si>
  <si>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</si>
  <si>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</si>
  <si>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</si>
  <si>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</si>
  <si>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</si>
  <si>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</si>
  <si>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</si>
  <si>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</si>
  <si>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</si>
  <si>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</si>
  <si>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</si>
  <si>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</si>
  <si>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</si>
  <si>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</si>
  <si>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</si>
  <si>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</si>
  <si>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</si>
  <si>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</si>
  <si>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</si>
  <si>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</si>
  <si>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</si>
  <si>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</si>
  <si>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</si>
  <si>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</si>
  <si>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</si>
  <si>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</si>
  <si>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</si>
  <si>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</si>
  <si>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</si>
  <si>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</si>
  <si>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</si>
  <si>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</si>
  <si>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</si>
  <si>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</si>
  <si>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</si>
  <si>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</si>
  <si>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</si>
  <si>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</si>
  <si>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</si>
  <si>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</si>
  <si>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</si>
  <si>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</si>
  <si>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</si>
  <si>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</si>
  <si>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</si>
  <si>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</si>
  <si>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</si>
  <si>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</si>
  <si>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</si>
  <si>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</si>
  <si>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</si>
  <si>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</si>
  <si>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</si>
  <si>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</si>
  <si>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</si>
  <si>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</si>
  <si>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</si>
  <si>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</si>
  <si>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</si>
  <si>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</si>
  <si>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Допсоглашение о расторжении б/н от 20.02.2023г.</t>
  </si>
  <si>
    <t>Допсоглашение о расторжении б/н от 09.01.2023г.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</si>
  <si>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</si>
  <si>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</si>
  <si>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</si>
  <si>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</si>
  <si>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</si>
  <si>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</si>
  <si>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</si>
  <si>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</si>
  <si>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</si>
  <si>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№ К045383/23</t>
  </si>
  <si>
    <t>10.03.2023г.</t>
  </si>
  <si>
    <t>Услуги по предоставлению права использования программы для ЭВМ</t>
  </si>
  <si>
    <t>6663003127</t>
  </si>
  <si>
    <t>АО "ПФ "СКБ Контур"</t>
  </si>
  <si>
    <t>с 10.03.2023г. по 10.03.2024г.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</si>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</sst>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169" fontId="1" fillId="0" borderId="44" xfId="0" applyNumberFormat="1" applyFont="1" applyBorder="1" applyAlignment="1" applyProtection="1">
      <alignment horizontal="center" vertical="center" wrapText="1"/>
      <protection locked="0"/>
    </xf>
    <xf numFmtId="16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6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1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H4" sqref="H4:J4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35" t="s">
        <v>141</v>
      </c>
      <c r="B1" s="236"/>
      <c r="C1" s="236"/>
      <c r="D1" s="236"/>
      <c r="E1" s="235"/>
      <c r="F1" s="236"/>
      <c r="G1" s="236"/>
      <c r="H1" s="236"/>
      <c r="I1" s="236"/>
      <c r="J1" s="236"/>
      <c r="K1" s="236"/>
      <c r="L1" s="236"/>
      <c r="M1" s="236"/>
      <c r="N1" s="237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211" t="s">
        <v>25</v>
      </c>
      <c r="B4" s="212"/>
      <c r="C4" s="4">
        <v>8418119.5399999991</v>
      </c>
      <c r="D4" s="5"/>
      <c r="E4" s="213" t="s">
        <v>140</v>
      </c>
      <c r="F4" s="214"/>
      <c r="G4" s="215"/>
      <c r="H4" s="216">
        <v>2000000</v>
      </c>
      <c r="I4" s="217"/>
      <c r="J4" s="218"/>
      <c r="K4" s="17"/>
      <c r="L4" s="81" t="s">
        <v>55</v>
      </c>
      <c r="M4" s="213">
        <v>4636760.38</v>
      </c>
      <c r="N4" s="215"/>
    </row>
    <row r="5" spans="1:14" ht="30.75" customHeight="1" thickBot="1" x14ac:dyDescent="0.3">
      <c r="A5" s="211" t="s">
        <v>26</v>
      </c>
      <c r="B5" s="212"/>
      <c r="C5" s="6">
        <f>C4-G15+J15</f>
        <v>2742870.8299999991</v>
      </c>
      <c r="D5" s="5"/>
      <c r="E5" s="213" t="s">
        <v>53</v>
      </c>
      <c r="F5" s="214"/>
      <c r="G5" s="215"/>
      <c r="H5" s="203">
        <f>H4-G12</f>
        <v>1503126</v>
      </c>
      <c r="I5" s="204"/>
      <c r="J5" s="205"/>
      <c r="K5" s="17"/>
      <c r="L5" s="81" t="s">
        <v>54</v>
      </c>
      <c r="M5" s="206">
        <f>M4-G13</f>
        <v>1788380.2400000002</v>
      </c>
      <c r="N5" s="207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219" t="s">
        <v>27</v>
      </c>
      <c r="B8" s="220"/>
      <c r="C8" s="221"/>
      <c r="D8" s="219" t="s">
        <v>28</v>
      </c>
      <c r="E8" s="220"/>
      <c r="F8" s="221"/>
      <c r="G8" s="222" t="s">
        <v>29</v>
      </c>
      <c r="H8" s="223"/>
      <c r="I8" s="224"/>
      <c r="J8" s="222" t="s">
        <v>142</v>
      </c>
      <c r="K8" s="223"/>
      <c r="L8" s="224"/>
      <c r="M8" s="219" t="s">
        <v>30</v>
      </c>
      <c r="N8" s="221"/>
    </row>
    <row r="9" spans="1:14" ht="41.25" customHeight="1" thickBot="1" x14ac:dyDescent="0.3">
      <c r="A9" s="225" t="s">
        <v>31</v>
      </c>
      <c r="B9" s="226"/>
      <c r="C9" s="227"/>
      <c r="D9" s="228">
        <f>'Состоявшиеся аукционы'!G2</f>
        <v>0</v>
      </c>
      <c r="E9" s="228"/>
      <c r="F9" s="228"/>
      <c r="G9" s="228">
        <f>'Состоявшиеся аукционы'!Q2</f>
        <v>0</v>
      </c>
      <c r="H9" s="228"/>
      <c r="I9" s="228"/>
      <c r="J9" s="208">
        <f>'Состоявшиеся аукционы'!AB2</f>
        <v>0</v>
      </c>
      <c r="K9" s="210"/>
      <c r="L9" s="209"/>
      <c r="M9" s="228">
        <f t="shared" ref="M9:M15" si="0">D9-G9</f>
        <v>0</v>
      </c>
      <c r="N9" s="228"/>
    </row>
    <row r="10" spans="1:14" ht="78.75" customHeight="1" thickBot="1" x14ac:dyDescent="0.3">
      <c r="A10" s="225" t="s">
        <v>49</v>
      </c>
      <c r="B10" s="226"/>
      <c r="C10" s="227"/>
      <c r="D10" s="228">
        <f>'Несостоявшиеся аукционы'!G2</f>
        <v>0</v>
      </c>
      <c r="E10" s="228"/>
      <c r="F10" s="228"/>
      <c r="G10" s="228">
        <f>'Несостоявшиеся аукционы'!Q2</f>
        <v>0</v>
      </c>
      <c r="H10" s="228"/>
      <c r="I10" s="228"/>
      <c r="J10" s="208">
        <f>'Несостоявшиеся аукционы'!AB2</f>
        <v>0</v>
      </c>
      <c r="K10" s="210"/>
      <c r="L10" s="209"/>
      <c r="M10" s="228">
        <f t="shared" si="0"/>
        <v>0</v>
      </c>
      <c r="N10" s="228"/>
    </row>
    <row r="11" spans="1:14" ht="40.5" customHeight="1" thickBot="1" x14ac:dyDescent="0.3">
      <c r="A11" s="225" t="s">
        <v>83</v>
      </c>
      <c r="B11" s="226"/>
      <c r="C11" s="227"/>
      <c r="D11" s="208">
        <f>'Иные конкурентные закупки'!G2</f>
        <v>1367088</v>
      </c>
      <c r="E11" s="210"/>
      <c r="F11" s="209"/>
      <c r="G11" s="208">
        <f>'Иные конкурентные закупки'!Q2</f>
        <v>1241120.1600000001</v>
      </c>
      <c r="H11" s="210"/>
      <c r="I11" s="209"/>
      <c r="J11" s="208">
        <f>'Иные конкурентные закупки'!AB2</f>
        <v>8112</v>
      </c>
      <c r="K11" s="210"/>
      <c r="L11" s="209"/>
      <c r="M11" s="208">
        <f t="shared" si="0"/>
        <v>125967.83999999985</v>
      </c>
      <c r="N11" s="209"/>
    </row>
    <row r="12" spans="1:14" ht="54.75" customHeight="1" thickBot="1" x14ac:dyDescent="0.3">
      <c r="A12" s="232" t="s">
        <v>50</v>
      </c>
      <c r="B12" s="233"/>
      <c r="C12" s="234"/>
      <c r="D12" s="228">
        <f>'Ед. поставщик п.4 ч.1'!H2</f>
        <v>496874</v>
      </c>
      <c r="E12" s="228"/>
      <c r="F12" s="228"/>
      <c r="G12" s="228">
        <f>D12</f>
        <v>496874</v>
      </c>
      <c r="H12" s="228"/>
      <c r="I12" s="228"/>
      <c r="J12" s="208">
        <f>'Ед. поставщик п.4 ч.1'!V2</f>
        <v>0</v>
      </c>
      <c r="K12" s="210"/>
      <c r="L12" s="209"/>
      <c r="M12" s="228">
        <f t="shared" si="0"/>
        <v>0</v>
      </c>
      <c r="N12" s="228"/>
    </row>
    <row r="13" spans="1:14" ht="45.75" customHeight="1" thickBot="1" x14ac:dyDescent="0.3">
      <c r="A13" s="232" t="s">
        <v>51</v>
      </c>
      <c r="B13" s="233"/>
      <c r="C13" s="234"/>
      <c r="D13" s="228">
        <f>'Ед. поставщик п.5 ч.1'!H2</f>
        <v>2848380.1399999997</v>
      </c>
      <c r="E13" s="228"/>
      <c r="F13" s="228"/>
      <c r="G13" s="228">
        <f>D13</f>
        <v>2848380.1399999997</v>
      </c>
      <c r="H13" s="228"/>
      <c r="I13" s="228"/>
      <c r="J13" s="208">
        <f>'Ед. поставщик п.5 ч.1'!V2</f>
        <v>952.58999999999992</v>
      </c>
      <c r="K13" s="210"/>
      <c r="L13" s="209"/>
      <c r="M13" s="228">
        <f t="shared" si="0"/>
        <v>0</v>
      </c>
      <c r="N13" s="228"/>
    </row>
    <row r="14" spans="1:14" ht="45.75" customHeight="1" thickBot="1" x14ac:dyDescent="0.3">
      <c r="A14" s="250" t="s">
        <v>52</v>
      </c>
      <c r="B14" s="251"/>
      <c r="C14" s="252"/>
      <c r="D14" s="208">
        <f>'Ед.поставщик за искл. п.4,5 ч.1'!G2</f>
        <v>1097939</v>
      </c>
      <c r="E14" s="210"/>
      <c r="F14" s="209"/>
      <c r="G14" s="208">
        <f>D14</f>
        <v>1097939</v>
      </c>
      <c r="H14" s="210"/>
      <c r="I14" s="209"/>
      <c r="J14" s="208">
        <f>'Ед.поставщик за искл. п.4,5 ч.1'!T2</f>
        <v>0</v>
      </c>
      <c r="K14" s="210"/>
      <c r="L14" s="209"/>
      <c r="M14" s="228">
        <f t="shared" si="0"/>
        <v>0</v>
      </c>
      <c r="N14" s="228"/>
    </row>
    <row r="15" spans="1:14" ht="21" thickBot="1" x14ac:dyDescent="0.3">
      <c r="A15" s="229" t="s">
        <v>143</v>
      </c>
      <c r="B15" s="230"/>
      <c r="C15" s="231"/>
      <c r="D15" s="228">
        <f>SUM(D9:D14)</f>
        <v>5810281.1399999997</v>
      </c>
      <c r="E15" s="228"/>
      <c r="F15" s="228"/>
      <c r="G15" s="208">
        <f>SUM(G9:G14)</f>
        <v>5684313.2999999998</v>
      </c>
      <c r="H15" s="210"/>
      <c r="I15" s="209"/>
      <c r="J15" s="208">
        <f>SUM(J9:J14)</f>
        <v>9064.59</v>
      </c>
      <c r="K15" s="210"/>
      <c r="L15" s="209"/>
      <c r="M15" s="228">
        <f t="shared" si="0"/>
        <v>125967.83999999985</v>
      </c>
      <c r="N15" s="228"/>
    </row>
    <row r="18" spans="1:12" thickBot="1" x14ac:dyDescent="0.35"/>
    <row r="19" spans="1:12" ht="23.25" customHeight="1" x14ac:dyDescent="0.25">
      <c r="A19" s="238" t="s">
        <v>35</v>
      </c>
      <c r="B19" s="239"/>
      <c r="C19" s="240"/>
      <c r="D19" s="24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3024496.83</v>
      </c>
      <c r="E19" s="245"/>
      <c r="F19" s="245"/>
      <c r="G19" s="246"/>
      <c r="I19" s="15"/>
      <c r="J19" s="15"/>
      <c r="K19" s="15"/>
      <c r="L19" s="15"/>
    </row>
    <row r="20" spans="1:12" ht="24" customHeight="1" thickBot="1" x14ac:dyDescent="0.3">
      <c r="A20" s="241"/>
      <c r="B20" s="242"/>
      <c r="C20" s="243"/>
      <c r="D20" s="247"/>
      <c r="E20" s="248"/>
      <c r="F20" s="248"/>
      <c r="G20" s="249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37"/>
  <sheetViews>
    <sheetView showGridLines="0" topLeftCell="D1" zoomScale="50" zoomScaleNormal="50" workbookViewId="0">
      <pane ySplit="8" topLeftCell="A25" activePane="bottomLeft" state="frozen"/>
      <selection activeCell="I1" sqref="I1"/>
      <selection pane="bottomLeft" activeCell="Q33" sqref="Q33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496874</v>
      </c>
      <c r="K2" s="277"/>
      <c r="L2" s="277"/>
      <c r="M2" s="277"/>
      <c r="N2" s="278" t="s">
        <v>137</v>
      </c>
      <c r="O2" s="280"/>
      <c r="P2" s="69">
        <f>SUM(P9:P9999)</f>
        <v>144625.40000000002</v>
      </c>
      <c r="R2" s="68"/>
      <c r="S2" s="278" t="s">
        <v>45</v>
      </c>
      <c r="T2" s="279"/>
      <c r="U2" s="280"/>
      <c r="V2" s="70">
        <f>SUM(V9:V9999)</f>
        <v>0</v>
      </c>
    </row>
    <row r="3" spans="1:24" ht="18" x14ac:dyDescent="0.3">
      <c r="A3" s="277"/>
      <c r="B3" s="277"/>
      <c r="C3" s="277"/>
      <c r="D3" s="277"/>
      <c r="E3" s="277"/>
      <c r="N3" s="68"/>
    </row>
    <row r="4" spans="1:24" ht="39.950000000000003" customHeight="1" x14ac:dyDescent="0.3">
      <c r="J4" s="281"/>
      <c r="K4" s="281"/>
      <c r="M4" s="281"/>
      <c r="N4" s="281"/>
      <c r="O4" s="281"/>
      <c r="P4" s="281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93.75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3.75" x14ac:dyDescent="0.25">
      <c r="A9" s="87">
        <v>1</v>
      </c>
      <c r="B9" s="88" t="s">
        <v>56</v>
      </c>
      <c r="C9" s="88"/>
      <c r="D9" s="88"/>
      <c r="E9" s="94" t="s">
        <v>211</v>
      </c>
      <c r="F9" s="93" t="s">
        <v>212</v>
      </c>
      <c r="G9" s="88" t="s">
        <v>213</v>
      </c>
      <c r="H9" s="90">
        <v>1000</v>
      </c>
      <c r="I9" s="91">
        <f>IF(X9 = 49, H9 + SUM(S9:S9) - SUM(T9:T9) - SUM(P9:P9) - V9,0)</f>
        <v>1000</v>
      </c>
      <c r="J9" s="88" t="s">
        <v>214</v>
      </c>
      <c r="K9" s="88" t="s">
        <v>158</v>
      </c>
      <c r="L9" s="88"/>
      <c r="M9" s="88" t="s">
        <v>215</v>
      </c>
      <c r="N9" s="93"/>
      <c r="O9" s="86" t="s">
        <v>216</v>
      </c>
      <c r="P9" s="90"/>
      <c r="Q9" s="89"/>
      <c r="R9" s="88"/>
      <c r="S9" s="90"/>
      <c r="T9" s="90"/>
      <c r="U9" s="90"/>
      <c r="V9" s="95"/>
      <c r="W9" s="92"/>
      <c r="X9" s="85">
        <v>49</v>
      </c>
    </row>
    <row r="10" spans="1:24" s="85" customFormat="1" ht="72" customHeight="1" x14ac:dyDescent="0.25">
      <c r="A10" s="282">
        <v>2</v>
      </c>
      <c r="B10" s="288" t="s">
        <v>56</v>
      </c>
      <c r="C10" s="288"/>
      <c r="D10" s="288"/>
      <c r="E10" s="294" t="s">
        <v>159</v>
      </c>
      <c r="F10" s="284" t="s">
        <v>212</v>
      </c>
      <c r="G10" s="288" t="s">
        <v>213</v>
      </c>
      <c r="H10" s="286">
        <v>9400</v>
      </c>
      <c r="I10" s="296">
        <f>IF(X10 = 50, H10 + SUM(S10:S11) - SUM(T10:T11) - SUM(P10:P11) - V10,0)</f>
        <v>7674.67</v>
      </c>
      <c r="J10" s="288" t="s">
        <v>214</v>
      </c>
      <c r="K10" s="288" t="s">
        <v>158</v>
      </c>
      <c r="L10" s="288"/>
      <c r="M10" s="288" t="s">
        <v>215</v>
      </c>
      <c r="N10" s="168" t="s">
        <v>308</v>
      </c>
      <c r="O10" s="284" t="s">
        <v>216</v>
      </c>
      <c r="P10" s="163">
        <v>867.14</v>
      </c>
      <c r="Q10" s="164" t="s">
        <v>311</v>
      </c>
      <c r="R10" s="162"/>
      <c r="S10" s="163"/>
      <c r="T10" s="163"/>
      <c r="U10" s="286"/>
      <c r="V10" s="290"/>
      <c r="W10" s="292"/>
      <c r="X10" s="85">
        <v>50</v>
      </c>
    </row>
    <row r="11" spans="1:24" x14ac:dyDescent="0.25">
      <c r="A11" s="283"/>
      <c r="B11" s="289"/>
      <c r="C11" s="289"/>
      <c r="D11" s="289"/>
      <c r="E11" s="295"/>
      <c r="F11" s="285"/>
      <c r="G11" s="289"/>
      <c r="H11" s="287"/>
      <c r="I11" s="297"/>
      <c r="J11" s="289"/>
      <c r="K11" s="289"/>
      <c r="L11" s="289"/>
      <c r="M11" s="289"/>
      <c r="N11" s="169" t="s">
        <v>351</v>
      </c>
      <c r="O11" s="285"/>
      <c r="P11" s="165">
        <v>858.19</v>
      </c>
      <c r="Q11" s="166" t="s">
        <v>354</v>
      </c>
      <c r="R11" s="167"/>
      <c r="S11" s="165"/>
      <c r="T11" s="165"/>
      <c r="U11" s="287"/>
      <c r="V11" s="291"/>
      <c r="W11" s="293"/>
      <c r="X11" s="2">
        <v>50</v>
      </c>
    </row>
    <row r="12" spans="1:24" s="85" customFormat="1" ht="94.9" customHeight="1" x14ac:dyDescent="0.25">
      <c r="A12" s="282">
        <v>3</v>
      </c>
      <c r="B12" s="288" t="s">
        <v>56</v>
      </c>
      <c r="C12" s="288"/>
      <c r="D12" s="288"/>
      <c r="E12" s="294" t="s">
        <v>153</v>
      </c>
      <c r="F12" s="284" t="s">
        <v>237</v>
      </c>
      <c r="G12" s="288" t="s">
        <v>238</v>
      </c>
      <c r="H12" s="286">
        <v>36000</v>
      </c>
      <c r="I12" s="296">
        <f>IF(X12 = 51, H12 + SUM(S12:S13) - SUM(T12:T13) - SUM(P12:P13) - V12,0)</f>
        <v>30000</v>
      </c>
      <c r="J12" s="288" t="s">
        <v>239</v>
      </c>
      <c r="K12" s="288" t="s">
        <v>154</v>
      </c>
      <c r="L12" s="288"/>
      <c r="M12" s="288" t="s">
        <v>215</v>
      </c>
      <c r="N12" s="168" t="s">
        <v>308</v>
      </c>
      <c r="O12" s="284" t="s">
        <v>240</v>
      </c>
      <c r="P12" s="163">
        <v>3000</v>
      </c>
      <c r="Q12" s="164" t="s">
        <v>309</v>
      </c>
      <c r="R12" s="162"/>
      <c r="S12" s="163"/>
      <c r="T12" s="163"/>
      <c r="U12" s="286"/>
      <c r="V12" s="290"/>
      <c r="W12" s="292"/>
      <c r="X12" s="85">
        <v>51</v>
      </c>
    </row>
    <row r="13" spans="1:24" x14ac:dyDescent="0.25">
      <c r="A13" s="283"/>
      <c r="B13" s="289"/>
      <c r="C13" s="289"/>
      <c r="D13" s="289"/>
      <c r="E13" s="295"/>
      <c r="F13" s="285"/>
      <c r="G13" s="289"/>
      <c r="H13" s="287"/>
      <c r="I13" s="297"/>
      <c r="J13" s="289"/>
      <c r="K13" s="289"/>
      <c r="L13" s="289"/>
      <c r="M13" s="289"/>
      <c r="N13" s="169" t="s">
        <v>351</v>
      </c>
      <c r="O13" s="285"/>
      <c r="P13" s="165">
        <v>3000</v>
      </c>
      <c r="Q13" s="166" t="s">
        <v>350</v>
      </c>
      <c r="R13" s="167"/>
      <c r="S13" s="165"/>
      <c r="T13" s="165"/>
      <c r="U13" s="287"/>
      <c r="V13" s="291"/>
      <c r="W13" s="293"/>
      <c r="X13" s="2">
        <v>51</v>
      </c>
    </row>
    <row r="14" spans="1:24" s="85" customFormat="1" ht="90" customHeight="1" x14ac:dyDescent="0.25">
      <c r="A14" s="282">
        <v>4</v>
      </c>
      <c r="B14" s="288" t="s">
        <v>56</v>
      </c>
      <c r="C14" s="288"/>
      <c r="D14" s="288"/>
      <c r="E14" s="294" t="s">
        <v>241</v>
      </c>
      <c r="F14" s="284" t="s">
        <v>237</v>
      </c>
      <c r="G14" s="288" t="s">
        <v>242</v>
      </c>
      <c r="H14" s="286">
        <v>24000</v>
      </c>
      <c r="I14" s="296">
        <f>IF(X14 = 52, H14 + SUM(S14:S15) - SUM(T14:T15) - SUM(P14:P15) - V14,0)</f>
        <v>20000</v>
      </c>
      <c r="J14" s="288" t="s">
        <v>239</v>
      </c>
      <c r="K14" s="288" t="s">
        <v>154</v>
      </c>
      <c r="L14" s="288"/>
      <c r="M14" s="288" t="s">
        <v>215</v>
      </c>
      <c r="N14" s="168" t="s">
        <v>308</v>
      </c>
      <c r="O14" s="284" t="s">
        <v>240</v>
      </c>
      <c r="P14" s="163">
        <v>2000</v>
      </c>
      <c r="Q14" s="164" t="s">
        <v>307</v>
      </c>
      <c r="R14" s="162"/>
      <c r="S14" s="163"/>
      <c r="T14" s="163"/>
      <c r="U14" s="286"/>
      <c r="V14" s="290"/>
      <c r="W14" s="292"/>
      <c r="X14" s="85">
        <v>52</v>
      </c>
    </row>
    <row r="15" spans="1:24" x14ac:dyDescent="0.25">
      <c r="A15" s="283"/>
      <c r="B15" s="289"/>
      <c r="C15" s="289"/>
      <c r="D15" s="289"/>
      <c r="E15" s="295"/>
      <c r="F15" s="285"/>
      <c r="G15" s="289"/>
      <c r="H15" s="287"/>
      <c r="I15" s="297"/>
      <c r="J15" s="289"/>
      <c r="K15" s="289"/>
      <c r="L15" s="289"/>
      <c r="M15" s="289"/>
      <c r="N15" s="169" t="s">
        <v>351</v>
      </c>
      <c r="O15" s="285"/>
      <c r="P15" s="165">
        <v>2000</v>
      </c>
      <c r="Q15" s="166" t="s">
        <v>350</v>
      </c>
      <c r="R15" s="167"/>
      <c r="S15" s="165"/>
      <c r="T15" s="165"/>
      <c r="U15" s="287"/>
      <c r="V15" s="291"/>
      <c r="W15" s="293"/>
      <c r="X15" s="2">
        <v>52</v>
      </c>
    </row>
    <row r="16" spans="1:24" s="85" customFormat="1" ht="90" customHeight="1" x14ac:dyDescent="0.25">
      <c r="A16" s="282">
        <v>5</v>
      </c>
      <c r="B16" s="288" t="s">
        <v>56</v>
      </c>
      <c r="C16" s="288"/>
      <c r="D16" s="288"/>
      <c r="E16" s="294" t="s">
        <v>57</v>
      </c>
      <c r="F16" s="284" t="s">
        <v>237</v>
      </c>
      <c r="G16" s="288" t="s">
        <v>243</v>
      </c>
      <c r="H16" s="286">
        <v>72000</v>
      </c>
      <c r="I16" s="296">
        <f>IF(X16 = 53, H16 + SUM(S16:S17) - SUM(T16:T17) - SUM(P16:P17) - V16,0)</f>
        <v>60000</v>
      </c>
      <c r="J16" s="288" t="s">
        <v>244</v>
      </c>
      <c r="K16" s="288" t="s">
        <v>167</v>
      </c>
      <c r="L16" s="288"/>
      <c r="M16" s="288" t="s">
        <v>215</v>
      </c>
      <c r="N16" s="168" t="s">
        <v>308</v>
      </c>
      <c r="O16" s="284" t="s">
        <v>240</v>
      </c>
      <c r="P16" s="163">
        <v>6000</v>
      </c>
      <c r="Q16" s="164" t="s">
        <v>315</v>
      </c>
      <c r="R16" s="162"/>
      <c r="S16" s="163"/>
      <c r="T16" s="163"/>
      <c r="U16" s="286"/>
      <c r="V16" s="290"/>
      <c r="W16" s="292"/>
      <c r="X16" s="85">
        <v>53</v>
      </c>
    </row>
    <row r="17" spans="1:24" x14ac:dyDescent="0.25">
      <c r="A17" s="283"/>
      <c r="B17" s="289"/>
      <c r="C17" s="289"/>
      <c r="D17" s="289"/>
      <c r="E17" s="295"/>
      <c r="F17" s="285"/>
      <c r="G17" s="289"/>
      <c r="H17" s="287"/>
      <c r="I17" s="297"/>
      <c r="J17" s="289"/>
      <c r="K17" s="289"/>
      <c r="L17" s="289"/>
      <c r="M17" s="289"/>
      <c r="N17" s="169" t="s">
        <v>351</v>
      </c>
      <c r="O17" s="285"/>
      <c r="P17" s="165">
        <v>6000</v>
      </c>
      <c r="Q17" s="166" t="s">
        <v>355</v>
      </c>
      <c r="R17" s="167"/>
      <c r="S17" s="165"/>
      <c r="T17" s="165"/>
      <c r="U17" s="287"/>
      <c r="V17" s="291"/>
      <c r="W17" s="293"/>
      <c r="X17" s="2">
        <v>53</v>
      </c>
    </row>
    <row r="18" spans="1:24" s="85" customFormat="1" ht="112.5" x14ac:dyDescent="0.25">
      <c r="A18" s="109">
        <v>6</v>
      </c>
      <c r="B18" s="110" t="s">
        <v>56</v>
      </c>
      <c r="C18" s="110"/>
      <c r="D18" s="110"/>
      <c r="E18" s="111" t="s">
        <v>245</v>
      </c>
      <c r="F18" s="117" t="s">
        <v>237</v>
      </c>
      <c r="G18" s="110" t="s">
        <v>246</v>
      </c>
      <c r="H18" s="112">
        <v>7200</v>
      </c>
      <c r="I18" s="113">
        <f>IF(X18 = 54, H18 + SUM(S18:S18) - SUM(T18:T18) - SUM(P18:P18) - V18,0)</f>
        <v>7200</v>
      </c>
      <c r="J18" s="110" t="s">
        <v>247</v>
      </c>
      <c r="K18" s="110" t="s">
        <v>248</v>
      </c>
      <c r="L18" s="110"/>
      <c r="M18" s="110" t="s">
        <v>215</v>
      </c>
      <c r="N18" s="117"/>
      <c r="O18" s="117" t="s">
        <v>240</v>
      </c>
      <c r="P18" s="112"/>
      <c r="Q18" s="111"/>
      <c r="R18" s="110"/>
      <c r="S18" s="112"/>
      <c r="T18" s="112"/>
      <c r="U18" s="112"/>
      <c r="V18" s="118"/>
      <c r="W18" s="108"/>
      <c r="X18" s="85">
        <v>54</v>
      </c>
    </row>
    <row r="19" spans="1:24" s="85" customFormat="1" ht="75" x14ac:dyDescent="0.25">
      <c r="A19" s="132">
        <v>7</v>
      </c>
      <c r="B19" s="128" t="s">
        <v>56</v>
      </c>
      <c r="C19" s="128"/>
      <c r="D19" s="128"/>
      <c r="E19" s="133" t="s">
        <v>278</v>
      </c>
      <c r="F19" s="137" t="s">
        <v>237</v>
      </c>
      <c r="G19" s="128" t="s">
        <v>279</v>
      </c>
      <c r="H19" s="129">
        <v>8000</v>
      </c>
      <c r="I19" s="134">
        <f>IF(X19 = 55, H19 + SUM(S19:S19) - SUM(T19:T19) - SUM(P19:P19) - V19,0)</f>
        <v>0</v>
      </c>
      <c r="J19" s="128" t="s">
        <v>280</v>
      </c>
      <c r="K19" s="128" t="s">
        <v>281</v>
      </c>
      <c r="L19" s="128"/>
      <c r="M19" s="128" t="s">
        <v>215</v>
      </c>
      <c r="N19" s="137" t="s">
        <v>313</v>
      </c>
      <c r="O19" s="137" t="s">
        <v>282</v>
      </c>
      <c r="P19" s="129">
        <v>8000</v>
      </c>
      <c r="Q19" s="133" t="s">
        <v>312</v>
      </c>
      <c r="R19" s="128"/>
      <c r="S19" s="129"/>
      <c r="T19" s="129"/>
      <c r="U19" s="129"/>
      <c r="V19" s="150"/>
      <c r="W19" s="131"/>
      <c r="X19" s="85">
        <v>55</v>
      </c>
    </row>
    <row r="20" spans="1:24" s="85" customFormat="1" ht="72" customHeight="1" x14ac:dyDescent="0.25">
      <c r="A20" s="265">
        <v>8</v>
      </c>
      <c r="B20" s="255" t="s">
        <v>56</v>
      </c>
      <c r="C20" s="255"/>
      <c r="D20" s="255"/>
      <c r="E20" s="257" t="s">
        <v>283</v>
      </c>
      <c r="F20" s="259" t="s">
        <v>284</v>
      </c>
      <c r="G20" s="255" t="s">
        <v>285</v>
      </c>
      <c r="H20" s="261">
        <v>28761.599999999999</v>
      </c>
      <c r="I20" s="263">
        <f>IF(X20 = 56, H20 + SUM(S20:S21) - SUM(T20:T21) - SUM(P20:P21) - V20,0)</f>
        <v>23283.199999999997</v>
      </c>
      <c r="J20" s="255" t="s">
        <v>286</v>
      </c>
      <c r="K20" s="255" t="s">
        <v>287</v>
      </c>
      <c r="L20" s="255"/>
      <c r="M20" s="255" t="s">
        <v>288</v>
      </c>
      <c r="N20" s="193" t="s">
        <v>308</v>
      </c>
      <c r="O20" s="259" t="s">
        <v>289</v>
      </c>
      <c r="P20" s="187">
        <v>2568</v>
      </c>
      <c r="Q20" s="188" t="s">
        <v>312</v>
      </c>
      <c r="R20" s="189"/>
      <c r="S20" s="187"/>
      <c r="T20" s="187"/>
      <c r="U20" s="261"/>
      <c r="V20" s="267"/>
      <c r="W20" s="253"/>
      <c r="X20" s="85">
        <v>56</v>
      </c>
    </row>
    <row r="21" spans="1:24" s="186" customFormat="1" x14ac:dyDescent="0.25">
      <c r="A21" s="266"/>
      <c r="B21" s="256"/>
      <c r="C21" s="256"/>
      <c r="D21" s="256"/>
      <c r="E21" s="258"/>
      <c r="F21" s="260"/>
      <c r="G21" s="256"/>
      <c r="H21" s="262"/>
      <c r="I21" s="264"/>
      <c r="J21" s="256"/>
      <c r="K21" s="256"/>
      <c r="L21" s="256"/>
      <c r="M21" s="256"/>
      <c r="N21" s="194" t="s">
        <v>351</v>
      </c>
      <c r="O21" s="260"/>
      <c r="P21" s="190">
        <v>2910.4</v>
      </c>
      <c r="Q21" s="191" t="s">
        <v>361</v>
      </c>
      <c r="R21" s="192"/>
      <c r="S21" s="190"/>
      <c r="T21" s="190"/>
      <c r="U21" s="262"/>
      <c r="V21" s="268"/>
      <c r="W21" s="254"/>
      <c r="X21" s="186">
        <v>56</v>
      </c>
    </row>
    <row r="22" spans="1:24" s="85" customFormat="1" ht="72" customHeight="1" x14ac:dyDescent="0.25">
      <c r="A22" s="265">
        <v>9</v>
      </c>
      <c r="B22" s="255" t="s">
        <v>56</v>
      </c>
      <c r="C22" s="255"/>
      <c r="D22" s="255"/>
      <c r="E22" s="257" t="s">
        <v>290</v>
      </c>
      <c r="F22" s="259" t="s">
        <v>284</v>
      </c>
      <c r="G22" s="255" t="s">
        <v>291</v>
      </c>
      <c r="H22" s="261">
        <v>8400</v>
      </c>
      <c r="I22" s="263">
        <f>IF(X22 = 57, H22 + SUM(S22:S23) - SUM(T22:T23) - SUM(P22:P23) - V22,0)</f>
        <v>6800</v>
      </c>
      <c r="J22" s="255" t="s">
        <v>286</v>
      </c>
      <c r="K22" s="255" t="s">
        <v>287</v>
      </c>
      <c r="L22" s="255"/>
      <c r="M22" s="255" t="s">
        <v>288</v>
      </c>
      <c r="N22" s="193" t="s">
        <v>308</v>
      </c>
      <c r="O22" s="259" t="s">
        <v>289</v>
      </c>
      <c r="P22" s="187">
        <v>750</v>
      </c>
      <c r="Q22" s="188" t="s">
        <v>314</v>
      </c>
      <c r="R22" s="189"/>
      <c r="S22" s="187"/>
      <c r="T22" s="187"/>
      <c r="U22" s="261"/>
      <c r="V22" s="267"/>
      <c r="W22" s="253"/>
      <c r="X22" s="85">
        <v>57</v>
      </c>
    </row>
    <row r="23" spans="1:24" s="186" customFormat="1" x14ac:dyDescent="0.25">
      <c r="A23" s="266"/>
      <c r="B23" s="256"/>
      <c r="C23" s="256"/>
      <c r="D23" s="256"/>
      <c r="E23" s="258"/>
      <c r="F23" s="260"/>
      <c r="G23" s="256"/>
      <c r="H23" s="262"/>
      <c r="I23" s="264"/>
      <c r="J23" s="256"/>
      <c r="K23" s="256"/>
      <c r="L23" s="256"/>
      <c r="M23" s="256"/>
      <c r="N23" s="194" t="s">
        <v>351</v>
      </c>
      <c r="O23" s="260"/>
      <c r="P23" s="190">
        <v>850</v>
      </c>
      <c r="Q23" s="191" t="s">
        <v>361</v>
      </c>
      <c r="R23" s="192"/>
      <c r="S23" s="190"/>
      <c r="T23" s="190"/>
      <c r="U23" s="262"/>
      <c r="V23" s="268"/>
      <c r="W23" s="254"/>
      <c r="X23" s="186">
        <v>57</v>
      </c>
    </row>
    <row r="24" spans="1:24" s="85" customFormat="1" ht="72" customHeight="1" x14ac:dyDescent="0.25">
      <c r="A24" s="265">
        <v>10</v>
      </c>
      <c r="B24" s="255" t="s">
        <v>56</v>
      </c>
      <c r="C24" s="255"/>
      <c r="D24" s="255"/>
      <c r="E24" s="257" t="s">
        <v>292</v>
      </c>
      <c r="F24" s="259" t="s">
        <v>284</v>
      </c>
      <c r="G24" s="255" t="s">
        <v>293</v>
      </c>
      <c r="H24" s="261">
        <v>157474.79999999999</v>
      </c>
      <c r="I24" s="263">
        <f>IF(X24 = 58, H24 + SUM(S24:S27) - SUM(T24:T27) - SUM(P24:P27) - V24,0)</f>
        <v>117649.40999999999</v>
      </c>
      <c r="J24" s="255" t="s">
        <v>286</v>
      </c>
      <c r="K24" s="255" t="s">
        <v>287</v>
      </c>
      <c r="L24" s="255"/>
      <c r="M24" s="255" t="s">
        <v>288</v>
      </c>
      <c r="N24" s="193" t="s">
        <v>308</v>
      </c>
      <c r="O24" s="259" t="s">
        <v>289</v>
      </c>
      <c r="P24" s="187">
        <v>11269.73</v>
      </c>
      <c r="Q24" s="188" t="s">
        <v>312</v>
      </c>
      <c r="R24" s="189"/>
      <c r="S24" s="187"/>
      <c r="T24" s="187"/>
      <c r="U24" s="261"/>
      <c r="V24" s="267"/>
      <c r="W24" s="253"/>
      <c r="X24" s="85">
        <v>58</v>
      </c>
    </row>
    <row r="25" spans="1:24" x14ac:dyDescent="0.25">
      <c r="A25" s="276"/>
      <c r="B25" s="270"/>
      <c r="C25" s="270"/>
      <c r="D25" s="270"/>
      <c r="E25" s="272"/>
      <c r="F25" s="273"/>
      <c r="G25" s="270"/>
      <c r="H25" s="274"/>
      <c r="I25" s="275"/>
      <c r="J25" s="270"/>
      <c r="K25" s="270"/>
      <c r="L25" s="270"/>
      <c r="M25" s="270"/>
      <c r="N25" s="198" t="s">
        <v>308</v>
      </c>
      <c r="O25" s="273"/>
      <c r="P25" s="195">
        <v>9220.69</v>
      </c>
      <c r="Q25" s="196" t="s">
        <v>312</v>
      </c>
      <c r="R25" s="197"/>
      <c r="S25" s="195"/>
      <c r="T25" s="195"/>
      <c r="U25" s="274"/>
      <c r="V25" s="269"/>
      <c r="W25" s="271"/>
      <c r="X25" s="2">
        <v>58</v>
      </c>
    </row>
    <row r="26" spans="1:24" s="186" customFormat="1" x14ac:dyDescent="0.25">
      <c r="A26" s="276"/>
      <c r="B26" s="270"/>
      <c r="C26" s="270"/>
      <c r="D26" s="270"/>
      <c r="E26" s="272"/>
      <c r="F26" s="273"/>
      <c r="G26" s="270"/>
      <c r="H26" s="274"/>
      <c r="I26" s="275"/>
      <c r="J26" s="270"/>
      <c r="K26" s="270"/>
      <c r="L26" s="270"/>
      <c r="M26" s="270"/>
      <c r="N26" s="199" t="s">
        <v>351</v>
      </c>
      <c r="O26" s="273"/>
      <c r="P26" s="200">
        <v>10634.23</v>
      </c>
      <c r="Q26" s="201" t="s">
        <v>361</v>
      </c>
      <c r="R26" s="202"/>
      <c r="S26" s="200"/>
      <c r="T26" s="200"/>
      <c r="U26" s="274"/>
      <c r="V26" s="269"/>
      <c r="W26" s="271"/>
      <c r="X26" s="186">
        <v>58</v>
      </c>
    </row>
    <row r="27" spans="1:24" s="186" customFormat="1" x14ac:dyDescent="0.25">
      <c r="A27" s="266"/>
      <c r="B27" s="256"/>
      <c r="C27" s="256"/>
      <c r="D27" s="256"/>
      <c r="E27" s="258"/>
      <c r="F27" s="260"/>
      <c r="G27" s="256"/>
      <c r="H27" s="262"/>
      <c r="I27" s="264"/>
      <c r="J27" s="256"/>
      <c r="K27" s="256"/>
      <c r="L27" s="256"/>
      <c r="M27" s="256"/>
      <c r="N27" s="194" t="s">
        <v>351</v>
      </c>
      <c r="O27" s="260"/>
      <c r="P27" s="190">
        <v>8700.74</v>
      </c>
      <c r="Q27" s="191" t="s">
        <v>361</v>
      </c>
      <c r="R27" s="192"/>
      <c r="S27" s="190"/>
      <c r="T27" s="190"/>
      <c r="U27" s="262"/>
      <c r="V27" s="268"/>
      <c r="W27" s="254"/>
      <c r="X27" s="186">
        <v>58</v>
      </c>
    </row>
    <row r="28" spans="1:24" s="85" customFormat="1" ht="72" customHeight="1" x14ac:dyDescent="0.25">
      <c r="A28" s="265">
        <v>11</v>
      </c>
      <c r="B28" s="255" t="s">
        <v>56</v>
      </c>
      <c r="C28" s="255"/>
      <c r="D28" s="255"/>
      <c r="E28" s="257" t="s">
        <v>294</v>
      </c>
      <c r="F28" s="259" t="s">
        <v>284</v>
      </c>
      <c r="G28" s="255" t="s">
        <v>295</v>
      </c>
      <c r="H28" s="261">
        <v>46200</v>
      </c>
      <c r="I28" s="263">
        <f>IF(X28 = 59, H28 + SUM(S28:S29) - SUM(T28:T29) - SUM(P28:P29) - V28,0)</f>
        <v>34925</v>
      </c>
      <c r="J28" s="255" t="s">
        <v>286</v>
      </c>
      <c r="K28" s="255" t="s">
        <v>287</v>
      </c>
      <c r="L28" s="255"/>
      <c r="M28" s="255" t="s">
        <v>288</v>
      </c>
      <c r="N28" s="193" t="s">
        <v>308</v>
      </c>
      <c r="O28" s="259" t="s">
        <v>289</v>
      </c>
      <c r="P28" s="187">
        <v>5800</v>
      </c>
      <c r="Q28" s="188" t="s">
        <v>314</v>
      </c>
      <c r="R28" s="189"/>
      <c r="S28" s="187"/>
      <c r="T28" s="187"/>
      <c r="U28" s="261"/>
      <c r="V28" s="267"/>
      <c r="W28" s="253"/>
      <c r="X28" s="85">
        <v>59</v>
      </c>
    </row>
    <row r="29" spans="1:24" s="186" customFormat="1" x14ac:dyDescent="0.25">
      <c r="A29" s="266"/>
      <c r="B29" s="256"/>
      <c r="C29" s="256"/>
      <c r="D29" s="256"/>
      <c r="E29" s="258"/>
      <c r="F29" s="260"/>
      <c r="G29" s="256"/>
      <c r="H29" s="262"/>
      <c r="I29" s="264"/>
      <c r="J29" s="256"/>
      <c r="K29" s="256"/>
      <c r="L29" s="256"/>
      <c r="M29" s="256"/>
      <c r="N29" s="194" t="s">
        <v>351</v>
      </c>
      <c r="O29" s="260"/>
      <c r="P29" s="190">
        <v>5475</v>
      </c>
      <c r="Q29" s="191" t="s">
        <v>361</v>
      </c>
      <c r="R29" s="192"/>
      <c r="S29" s="190"/>
      <c r="T29" s="190"/>
      <c r="U29" s="262"/>
      <c r="V29" s="268"/>
      <c r="W29" s="254"/>
      <c r="X29" s="186">
        <v>59</v>
      </c>
    </row>
    <row r="30" spans="1:24" s="85" customFormat="1" ht="72" customHeight="1" x14ac:dyDescent="0.25">
      <c r="A30" s="265">
        <v>12</v>
      </c>
      <c r="B30" s="255" t="s">
        <v>56</v>
      </c>
      <c r="C30" s="255"/>
      <c r="D30" s="255"/>
      <c r="E30" s="257" t="s">
        <v>323</v>
      </c>
      <c r="F30" s="259" t="s">
        <v>284</v>
      </c>
      <c r="G30" s="255" t="s">
        <v>322</v>
      </c>
      <c r="H30" s="261">
        <v>10500</v>
      </c>
      <c r="I30" s="263">
        <f>IF(X30 = 60, H30 + SUM(S30:S31) - SUM(T30:T31) - SUM(P30:P31) - V30,0)</f>
        <v>7750</v>
      </c>
      <c r="J30" s="255" t="s">
        <v>286</v>
      </c>
      <c r="K30" s="255" t="s">
        <v>287</v>
      </c>
      <c r="L30" s="255"/>
      <c r="M30" s="255" t="s">
        <v>288</v>
      </c>
      <c r="N30" s="193" t="s">
        <v>351</v>
      </c>
      <c r="O30" s="259" t="s">
        <v>289</v>
      </c>
      <c r="P30" s="187">
        <v>1375</v>
      </c>
      <c r="Q30" s="188" t="s">
        <v>355</v>
      </c>
      <c r="R30" s="189"/>
      <c r="S30" s="187"/>
      <c r="T30" s="187"/>
      <c r="U30" s="261"/>
      <c r="V30" s="267"/>
      <c r="W30" s="253"/>
      <c r="X30" s="85">
        <v>60</v>
      </c>
    </row>
    <row r="31" spans="1:24" s="186" customFormat="1" x14ac:dyDescent="0.25">
      <c r="A31" s="266"/>
      <c r="B31" s="256"/>
      <c r="C31" s="256"/>
      <c r="D31" s="256"/>
      <c r="E31" s="258"/>
      <c r="F31" s="260"/>
      <c r="G31" s="256"/>
      <c r="H31" s="262"/>
      <c r="I31" s="264"/>
      <c r="J31" s="256"/>
      <c r="K31" s="256"/>
      <c r="L31" s="256"/>
      <c r="M31" s="256"/>
      <c r="N31" s="194" t="s">
        <v>351</v>
      </c>
      <c r="O31" s="260"/>
      <c r="P31" s="190">
        <v>1375</v>
      </c>
      <c r="Q31" s="191" t="s">
        <v>355</v>
      </c>
      <c r="R31" s="192"/>
      <c r="S31" s="190"/>
      <c r="T31" s="190"/>
      <c r="U31" s="262"/>
      <c r="V31" s="268"/>
      <c r="W31" s="254"/>
      <c r="X31" s="186">
        <v>60</v>
      </c>
    </row>
    <row r="32" spans="1:24" s="85" customFormat="1" ht="72" customHeight="1" x14ac:dyDescent="0.25">
      <c r="A32" s="265">
        <v>13</v>
      </c>
      <c r="B32" s="255" t="s">
        <v>56</v>
      </c>
      <c r="C32" s="255"/>
      <c r="D32" s="255"/>
      <c r="E32" s="257" t="s">
        <v>321</v>
      </c>
      <c r="F32" s="259" t="s">
        <v>284</v>
      </c>
      <c r="G32" s="255" t="s">
        <v>324</v>
      </c>
      <c r="H32" s="261">
        <v>40017.599999999999</v>
      </c>
      <c r="I32" s="263">
        <f>IF(X32 = 61, H32 + SUM(S32:S33) - SUM(T32:T33) - SUM(P32:P33) - V32,0)</f>
        <v>29806.32</v>
      </c>
      <c r="J32" s="255" t="s">
        <v>286</v>
      </c>
      <c r="K32" s="255" t="s">
        <v>287</v>
      </c>
      <c r="L32" s="255"/>
      <c r="M32" s="255" t="s">
        <v>288</v>
      </c>
      <c r="N32" s="193" t="s">
        <v>351</v>
      </c>
      <c r="O32" s="259" t="s">
        <v>289</v>
      </c>
      <c r="P32" s="187">
        <v>5240.3999999999996</v>
      </c>
      <c r="Q32" s="188" t="s">
        <v>363</v>
      </c>
      <c r="R32" s="189"/>
      <c r="S32" s="187"/>
      <c r="T32" s="187"/>
      <c r="U32" s="261"/>
      <c r="V32" s="267"/>
      <c r="W32" s="253"/>
      <c r="X32" s="85">
        <v>61</v>
      </c>
    </row>
    <row r="33" spans="1:24" s="186" customFormat="1" x14ac:dyDescent="0.25">
      <c r="A33" s="266"/>
      <c r="B33" s="256"/>
      <c r="C33" s="256"/>
      <c r="D33" s="256"/>
      <c r="E33" s="258"/>
      <c r="F33" s="260"/>
      <c r="G33" s="256"/>
      <c r="H33" s="262"/>
      <c r="I33" s="264"/>
      <c r="J33" s="256"/>
      <c r="K33" s="256"/>
      <c r="L33" s="256"/>
      <c r="M33" s="256"/>
      <c r="N33" s="194" t="s">
        <v>351</v>
      </c>
      <c r="O33" s="260"/>
      <c r="P33" s="190">
        <v>4970.88</v>
      </c>
      <c r="Q33" s="191" t="s">
        <v>363</v>
      </c>
      <c r="R33" s="192"/>
      <c r="S33" s="190"/>
      <c r="T33" s="190"/>
      <c r="U33" s="262"/>
      <c r="V33" s="268"/>
      <c r="W33" s="254"/>
      <c r="X33" s="186">
        <v>61</v>
      </c>
    </row>
    <row r="34" spans="1:24" s="85" customFormat="1" ht="112.5" x14ac:dyDescent="0.25">
      <c r="A34" s="151">
        <v>14</v>
      </c>
      <c r="B34" s="153" t="s">
        <v>56</v>
      </c>
      <c r="C34" s="153"/>
      <c r="D34" s="153"/>
      <c r="E34" s="156" t="s">
        <v>330</v>
      </c>
      <c r="F34" s="158" t="s">
        <v>331</v>
      </c>
      <c r="G34" s="153" t="s">
        <v>332</v>
      </c>
      <c r="H34" s="152">
        <v>4200</v>
      </c>
      <c r="I34" s="157">
        <f>IF(X34 = 62, H34 + SUM(S34:S34) - SUM(T34:T34) - SUM(P34:P34) - V34,0)</f>
        <v>4200</v>
      </c>
      <c r="J34" s="153" t="s">
        <v>333</v>
      </c>
      <c r="K34" s="153" t="s">
        <v>334</v>
      </c>
      <c r="L34" s="153"/>
      <c r="M34" s="153" t="s">
        <v>335</v>
      </c>
      <c r="N34" s="158"/>
      <c r="O34" s="137" t="s">
        <v>336</v>
      </c>
      <c r="P34" s="152"/>
      <c r="Q34" s="156"/>
      <c r="R34" s="153"/>
      <c r="S34" s="152"/>
      <c r="T34" s="152"/>
      <c r="U34" s="152"/>
      <c r="V34" s="154"/>
      <c r="W34" s="155"/>
      <c r="X34" s="85">
        <v>62</v>
      </c>
    </row>
    <row r="35" spans="1:24" s="85" customFormat="1" ht="150" x14ac:dyDescent="0.25">
      <c r="A35" s="151">
        <v>15</v>
      </c>
      <c r="B35" s="153" t="s">
        <v>56</v>
      </c>
      <c r="C35" s="153"/>
      <c r="D35" s="153"/>
      <c r="E35" s="156" t="s">
        <v>337</v>
      </c>
      <c r="F35" s="158" t="s">
        <v>338</v>
      </c>
      <c r="G35" s="153" t="s">
        <v>339</v>
      </c>
      <c r="H35" s="152">
        <v>2800</v>
      </c>
      <c r="I35" s="157">
        <f>IF(X35 = 63, H35 + SUM(S35:S35) - SUM(T35:T35) - SUM(P35:P35) - V35,0)</f>
        <v>1960</v>
      </c>
      <c r="J35" s="153" t="s">
        <v>340</v>
      </c>
      <c r="K35" s="153" t="s">
        <v>341</v>
      </c>
      <c r="L35" s="153"/>
      <c r="M35" s="153" t="s">
        <v>342</v>
      </c>
      <c r="N35" s="158" t="s">
        <v>362</v>
      </c>
      <c r="O35" s="158" t="s">
        <v>349</v>
      </c>
      <c r="P35" s="152">
        <v>840</v>
      </c>
      <c r="Q35" s="156" t="s">
        <v>358</v>
      </c>
      <c r="R35" s="153"/>
      <c r="S35" s="152"/>
      <c r="T35" s="152"/>
      <c r="U35" s="152"/>
      <c r="V35" s="154"/>
      <c r="W35" s="155"/>
      <c r="X35" s="85">
        <v>63</v>
      </c>
    </row>
    <row r="36" spans="1:24" s="85" customFormat="1" ht="112.5" x14ac:dyDescent="0.25">
      <c r="A36" s="151">
        <v>16</v>
      </c>
      <c r="B36" s="153" t="s">
        <v>56</v>
      </c>
      <c r="C36" s="153"/>
      <c r="D36" s="153"/>
      <c r="E36" s="156" t="s">
        <v>343</v>
      </c>
      <c r="F36" s="158" t="s">
        <v>344</v>
      </c>
      <c r="G36" s="153" t="s">
        <v>345</v>
      </c>
      <c r="H36" s="152">
        <v>40920</v>
      </c>
      <c r="I36" s="157">
        <f>IF(X36 = 64, H36 + SUM(S36:S36) - SUM(T36:T36) - SUM(P36:P36) - V36,0)</f>
        <v>0</v>
      </c>
      <c r="J36" s="153" t="s">
        <v>346</v>
      </c>
      <c r="K36" s="153" t="s">
        <v>347</v>
      </c>
      <c r="L36" s="153"/>
      <c r="M36" s="153" t="s">
        <v>348</v>
      </c>
      <c r="N36" s="158" t="s">
        <v>359</v>
      </c>
      <c r="O36" s="137" t="s">
        <v>336</v>
      </c>
      <c r="P36" s="152">
        <v>40920</v>
      </c>
      <c r="Q36" s="156" t="s">
        <v>358</v>
      </c>
      <c r="R36" s="153"/>
      <c r="S36" s="152"/>
      <c r="T36" s="152"/>
      <c r="U36" s="152"/>
      <c r="V36" s="154"/>
      <c r="W36" s="155"/>
      <c r="X36" s="85">
        <v>64</v>
      </c>
    </row>
    <row r="37" spans="1:24" ht="18" x14ac:dyDescent="0.3">
      <c r="X37" s="2">
        <v>65</v>
      </c>
    </row>
  </sheetData>
  <sheetProtection password="EB34" sheet="1" objects="1" scenarios="1" formatCells="0" formatColumns="0" formatRows="0"/>
  <mergeCells count="177">
    <mergeCell ref="A16:A17"/>
    <mergeCell ref="O16:O17"/>
    <mergeCell ref="U16:U17"/>
    <mergeCell ref="B16:B17"/>
    <mergeCell ref="V16:V17"/>
    <mergeCell ref="C16:C17"/>
    <mergeCell ref="W16:W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V10:V11"/>
    <mergeCell ref="C10:C11"/>
    <mergeCell ref="W10:W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V12:V13"/>
    <mergeCell ref="C12:C13"/>
    <mergeCell ref="W12:W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V14:V15"/>
    <mergeCell ref="C14:C15"/>
    <mergeCell ref="W14:W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A3:E3"/>
    <mergeCell ref="S2:U2"/>
    <mergeCell ref="N2:O2"/>
    <mergeCell ref="J4:K4"/>
    <mergeCell ref="M4:N4"/>
    <mergeCell ref="O4:P4"/>
    <mergeCell ref="K2:M2"/>
    <mergeCell ref="A14:A15"/>
    <mergeCell ref="O14:O15"/>
    <mergeCell ref="U14:U15"/>
    <mergeCell ref="B14:B15"/>
    <mergeCell ref="A12:A13"/>
    <mergeCell ref="O12:O13"/>
    <mergeCell ref="U12:U13"/>
    <mergeCell ref="B12:B13"/>
    <mergeCell ref="A10:A11"/>
    <mergeCell ref="O10:O11"/>
    <mergeCell ref="U10:U11"/>
    <mergeCell ref="B10:B11"/>
    <mergeCell ref="A20:A21"/>
    <mergeCell ref="O20:O21"/>
    <mergeCell ref="U20:U21"/>
    <mergeCell ref="B20:B21"/>
    <mergeCell ref="V20:V21"/>
    <mergeCell ref="C20:C21"/>
    <mergeCell ref="W28:W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A28:A29"/>
    <mergeCell ref="O28:O29"/>
    <mergeCell ref="U28:U29"/>
    <mergeCell ref="B28:B29"/>
    <mergeCell ref="V28:V29"/>
    <mergeCell ref="C28:C29"/>
    <mergeCell ref="W20:W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A24:A27"/>
    <mergeCell ref="O24:O27"/>
    <mergeCell ref="U24:U27"/>
    <mergeCell ref="B24:B27"/>
    <mergeCell ref="W22:W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A22:A23"/>
    <mergeCell ref="O22:O23"/>
    <mergeCell ref="U22:U23"/>
    <mergeCell ref="B22:B23"/>
    <mergeCell ref="V22:V23"/>
    <mergeCell ref="C22:C23"/>
    <mergeCell ref="V24:V27"/>
    <mergeCell ref="C24:C27"/>
    <mergeCell ref="W24:W27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M24:M27"/>
    <mergeCell ref="A32:A33"/>
    <mergeCell ref="O32:O33"/>
    <mergeCell ref="U32:U33"/>
    <mergeCell ref="B32:B33"/>
    <mergeCell ref="V32:V33"/>
    <mergeCell ref="C32:C33"/>
    <mergeCell ref="W30:W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A30:A31"/>
    <mergeCell ref="O30:O31"/>
    <mergeCell ref="U30:U31"/>
    <mergeCell ref="B30:B31"/>
    <mergeCell ref="V30:V31"/>
    <mergeCell ref="C30:C31"/>
    <mergeCell ref="W32:W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81"/>
  <sheetViews>
    <sheetView showGridLines="0" topLeftCell="E1" zoomScale="51" zoomScaleNormal="51" workbookViewId="0">
      <pane ySplit="8" topLeftCell="A65" activePane="bottomLeft" state="frozen"/>
      <selection pane="bottomLeft" activeCell="P73" sqref="P73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334" t="s">
        <v>24</v>
      </c>
      <c r="G2" s="335"/>
      <c r="H2" s="80">
        <f>SUM(H9:H9999)</f>
        <v>2848380.1399999997</v>
      </c>
      <c r="I2" s="68"/>
      <c r="N2" s="278" t="s">
        <v>137</v>
      </c>
      <c r="O2" s="280"/>
      <c r="P2" s="69">
        <f>SUM(P9:P9999)</f>
        <v>1731539.4400000002</v>
      </c>
      <c r="R2" s="68"/>
      <c r="S2" s="278" t="s">
        <v>45</v>
      </c>
      <c r="T2" s="279"/>
      <c r="U2" s="280"/>
      <c r="V2" s="70">
        <f>SUM(V9:V9999)</f>
        <v>952.58999999999992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322">
        <v>1</v>
      </c>
      <c r="B9" s="324" t="s">
        <v>56</v>
      </c>
      <c r="C9" s="324"/>
      <c r="D9" s="324"/>
      <c r="E9" s="324" t="s">
        <v>159</v>
      </c>
      <c r="F9" s="350">
        <v>44560</v>
      </c>
      <c r="G9" s="352" t="s">
        <v>157</v>
      </c>
      <c r="H9" s="354">
        <v>11000</v>
      </c>
      <c r="I9" s="326">
        <f>IF(X9 = 13, H9 + SUM(S9:S22) - SUM(T9:T22) - SUM(P9:P22) - V9,0)</f>
        <v>1.1368683772161603E-13</v>
      </c>
      <c r="J9" s="328">
        <v>7707049388</v>
      </c>
      <c r="K9" s="330" t="s">
        <v>158</v>
      </c>
      <c r="L9" s="324"/>
      <c r="M9" s="324" t="s">
        <v>156</v>
      </c>
      <c r="N9" s="144">
        <v>44592</v>
      </c>
      <c r="O9" s="350" t="s">
        <v>147</v>
      </c>
      <c r="P9" s="140">
        <v>726.62</v>
      </c>
      <c r="Q9" s="139">
        <v>44608</v>
      </c>
      <c r="R9" s="138"/>
      <c r="S9" s="140"/>
      <c r="T9" s="140"/>
      <c r="U9" s="354" t="s">
        <v>319</v>
      </c>
      <c r="V9" s="348">
        <v>952.42</v>
      </c>
      <c r="W9" s="371"/>
      <c r="X9" s="85">
        <v>13</v>
      </c>
    </row>
    <row r="10" spans="1:24" x14ac:dyDescent="0.25">
      <c r="A10" s="323"/>
      <c r="B10" s="325"/>
      <c r="C10" s="325"/>
      <c r="D10" s="325"/>
      <c r="E10" s="325"/>
      <c r="F10" s="351"/>
      <c r="G10" s="353"/>
      <c r="H10" s="355"/>
      <c r="I10" s="327"/>
      <c r="J10" s="329"/>
      <c r="K10" s="331"/>
      <c r="L10" s="325"/>
      <c r="M10" s="325"/>
      <c r="N10" s="149">
        <v>44620</v>
      </c>
      <c r="O10" s="351"/>
      <c r="P10" s="146">
        <v>682.42</v>
      </c>
      <c r="Q10" s="147">
        <v>44641</v>
      </c>
      <c r="R10" s="148"/>
      <c r="S10" s="146"/>
      <c r="T10" s="146"/>
      <c r="U10" s="355"/>
      <c r="V10" s="349"/>
      <c r="W10" s="372"/>
      <c r="X10" s="2">
        <v>13</v>
      </c>
    </row>
    <row r="11" spans="1:24" x14ac:dyDescent="0.25">
      <c r="A11" s="323"/>
      <c r="B11" s="325"/>
      <c r="C11" s="325"/>
      <c r="D11" s="325"/>
      <c r="E11" s="325"/>
      <c r="F11" s="351"/>
      <c r="G11" s="353"/>
      <c r="H11" s="355"/>
      <c r="I11" s="327"/>
      <c r="J11" s="329"/>
      <c r="K11" s="331"/>
      <c r="L11" s="325"/>
      <c r="M11" s="325"/>
      <c r="N11" s="149">
        <v>44651</v>
      </c>
      <c r="O11" s="351"/>
      <c r="P11" s="146">
        <v>943.67</v>
      </c>
      <c r="Q11" s="147" t="s">
        <v>165</v>
      </c>
      <c r="R11" s="148"/>
      <c r="S11" s="146"/>
      <c r="T11" s="146"/>
      <c r="U11" s="355"/>
      <c r="V11" s="349"/>
      <c r="W11" s="372"/>
      <c r="X11" s="2">
        <v>13</v>
      </c>
    </row>
    <row r="12" spans="1:24" x14ac:dyDescent="0.25">
      <c r="A12" s="323"/>
      <c r="B12" s="325"/>
      <c r="C12" s="325"/>
      <c r="D12" s="325"/>
      <c r="E12" s="325"/>
      <c r="F12" s="351"/>
      <c r="G12" s="353"/>
      <c r="H12" s="355"/>
      <c r="I12" s="327"/>
      <c r="J12" s="329"/>
      <c r="K12" s="331"/>
      <c r="L12" s="325"/>
      <c r="M12" s="325"/>
      <c r="N12" s="149">
        <v>44681</v>
      </c>
      <c r="O12" s="351"/>
      <c r="P12" s="146">
        <v>769.14</v>
      </c>
      <c r="Q12" s="147" t="s">
        <v>166</v>
      </c>
      <c r="R12" s="148"/>
      <c r="S12" s="146"/>
      <c r="T12" s="146"/>
      <c r="U12" s="355"/>
      <c r="V12" s="349"/>
      <c r="W12" s="372"/>
      <c r="X12" s="2">
        <v>13</v>
      </c>
    </row>
    <row r="13" spans="1:24" x14ac:dyDescent="0.25">
      <c r="A13" s="323"/>
      <c r="B13" s="325"/>
      <c r="C13" s="325"/>
      <c r="D13" s="325"/>
      <c r="E13" s="325"/>
      <c r="F13" s="351"/>
      <c r="G13" s="353"/>
      <c r="H13" s="355"/>
      <c r="I13" s="327"/>
      <c r="J13" s="329"/>
      <c r="K13" s="331"/>
      <c r="L13" s="325"/>
      <c r="M13" s="325"/>
      <c r="N13" s="149">
        <v>44712</v>
      </c>
      <c r="O13" s="351"/>
      <c r="P13" s="146">
        <v>973.78</v>
      </c>
      <c r="Q13" s="147" t="s">
        <v>175</v>
      </c>
      <c r="R13" s="148"/>
      <c r="S13" s="146"/>
      <c r="T13" s="146"/>
      <c r="U13" s="355"/>
      <c r="V13" s="349"/>
      <c r="W13" s="372"/>
      <c r="X13" s="2">
        <v>13</v>
      </c>
    </row>
    <row r="14" spans="1:24" x14ac:dyDescent="0.25">
      <c r="A14" s="323"/>
      <c r="B14" s="325"/>
      <c r="C14" s="325"/>
      <c r="D14" s="325"/>
      <c r="E14" s="325"/>
      <c r="F14" s="351"/>
      <c r="G14" s="353"/>
      <c r="H14" s="355"/>
      <c r="I14" s="327"/>
      <c r="J14" s="329"/>
      <c r="K14" s="331"/>
      <c r="L14" s="325"/>
      <c r="M14" s="325"/>
      <c r="N14" s="149">
        <v>44742</v>
      </c>
      <c r="O14" s="351"/>
      <c r="P14" s="146">
        <v>772.94</v>
      </c>
      <c r="Q14" s="147" t="s">
        <v>177</v>
      </c>
      <c r="R14" s="148"/>
      <c r="S14" s="146"/>
      <c r="T14" s="146"/>
      <c r="U14" s="355"/>
      <c r="V14" s="349"/>
      <c r="W14" s="372"/>
      <c r="X14" s="2">
        <v>13</v>
      </c>
    </row>
    <row r="15" spans="1:24" x14ac:dyDescent="0.25">
      <c r="A15" s="323"/>
      <c r="B15" s="325"/>
      <c r="C15" s="325"/>
      <c r="D15" s="325"/>
      <c r="E15" s="325"/>
      <c r="F15" s="351"/>
      <c r="G15" s="353"/>
      <c r="H15" s="355"/>
      <c r="I15" s="327"/>
      <c r="J15" s="329"/>
      <c r="K15" s="331"/>
      <c r="L15" s="325"/>
      <c r="M15" s="325"/>
      <c r="N15" s="149">
        <v>44773</v>
      </c>
      <c r="O15" s="351"/>
      <c r="P15" s="146">
        <v>717.13</v>
      </c>
      <c r="Q15" s="147" t="s">
        <v>182</v>
      </c>
      <c r="R15" s="148"/>
      <c r="S15" s="146"/>
      <c r="T15" s="146"/>
      <c r="U15" s="355"/>
      <c r="V15" s="349"/>
      <c r="W15" s="372"/>
      <c r="X15" s="2">
        <v>13</v>
      </c>
    </row>
    <row r="16" spans="1:24" x14ac:dyDescent="0.25">
      <c r="A16" s="323"/>
      <c r="B16" s="325"/>
      <c r="C16" s="325"/>
      <c r="D16" s="325"/>
      <c r="E16" s="325"/>
      <c r="F16" s="351"/>
      <c r="G16" s="353"/>
      <c r="H16" s="355"/>
      <c r="I16" s="327"/>
      <c r="J16" s="329"/>
      <c r="K16" s="331"/>
      <c r="L16" s="325"/>
      <c r="M16" s="325"/>
      <c r="N16" s="149">
        <v>44804</v>
      </c>
      <c r="O16" s="351"/>
      <c r="P16" s="146">
        <v>704.78</v>
      </c>
      <c r="Q16" s="147" t="s">
        <v>186</v>
      </c>
      <c r="R16" s="148"/>
      <c r="S16" s="146"/>
      <c r="T16" s="146"/>
      <c r="U16" s="355"/>
      <c r="V16" s="349"/>
      <c r="W16" s="372"/>
      <c r="X16" s="2">
        <v>13</v>
      </c>
    </row>
    <row r="17" spans="1:24" x14ac:dyDescent="0.25">
      <c r="A17" s="323"/>
      <c r="B17" s="325"/>
      <c r="C17" s="325"/>
      <c r="D17" s="325"/>
      <c r="E17" s="325"/>
      <c r="F17" s="351"/>
      <c r="G17" s="353"/>
      <c r="H17" s="355"/>
      <c r="I17" s="327"/>
      <c r="J17" s="329"/>
      <c r="K17" s="331"/>
      <c r="L17" s="325"/>
      <c r="M17" s="325"/>
      <c r="N17" s="149">
        <v>44834</v>
      </c>
      <c r="O17" s="351"/>
      <c r="P17" s="146">
        <v>33.020000000000003</v>
      </c>
      <c r="Q17" s="147" t="s">
        <v>190</v>
      </c>
      <c r="R17" s="148"/>
      <c r="S17" s="146"/>
      <c r="T17" s="146"/>
      <c r="U17" s="355"/>
      <c r="V17" s="349"/>
      <c r="W17" s="372"/>
      <c r="X17" s="2">
        <v>13</v>
      </c>
    </row>
    <row r="18" spans="1:24" x14ac:dyDescent="0.25">
      <c r="A18" s="323"/>
      <c r="B18" s="325"/>
      <c r="C18" s="325"/>
      <c r="D18" s="325"/>
      <c r="E18" s="325"/>
      <c r="F18" s="351"/>
      <c r="G18" s="353"/>
      <c r="H18" s="355"/>
      <c r="I18" s="327"/>
      <c r="J18" s="329"/>
      <c r="K18" s="331"/>
      <c r="L18" s="325"/>
      <c r="M18" s="325"/>
      <c r="N18" s="149">
        <v>44834</v>
      </c>
      <c r="O18" s="351"/>
      <c r="P18" s="146">
        <v>805.62</v>
      </c>
      <c r="Q18" s="147" t="s">
        <v>190</v>
      </c>
      <c r="R18" s="148"/>
      <c r="S18" s="146"/>
      <c r="T18" s="146"/>
      <c r="U18" s="355"/>
      <c r="V18" s="349"/>
      <c r="W18" s="372"/>
      <c r="X18" s="2">
        <v>13</v>
      </c>
    </row>
    <row r="19" spans="1:24" x14ac:dyDescent="0.25">
      <c r="A19" s="323"/>
      <c r="B19" s="325"/>
      <c r="C19" s="325"/>
      <c r="D19" s="325"/>
      <c r="E19" s="325"/>
      <c r="F19" s="351"/>
      <c r="G19" s="353"/>
      <c r="H19" s="355"/>
      <c r="I19" s="327"/>
      <c r="J19" s="329"/>
      <c r="K19" s="331"/>
      <c r="L19" s="325"/>
      <c r="M19" s="325"/>
      <c r="N19" s="149">
        <v>44865</v>
      </c>
      <c r="O19" s="351"/>
      <c r="P19" s="146">
        <v>871.99</v>
      </c>
      <c r="Q19" s="147" t="s">
        <v>198</v>
      </c>
      <c r="R19" s="148"/>
      <c r="S19" s="146"/>
      <c r="T19" s="146"/>
      <c r="U19" s="355"/>
      <c r="V19" s="349"/>
      <c r="W19" s="372"/>
      <c r="X19" s="2">
        <v>13</v>
      </c>
    </row>
    <row r="20" spans="1:24" x14ac:dyDescent="0.25">
      <c r="A20" s="323"/>
      <c r="B20" s="325"/>
      <c r="C20" s="325"/>
      <c r="D20" s="325"/>
      <c r="E20" s="325"/>
      <c r="F20" s="351"/>
      <c r="G20" s="353"/>
      <c r="H20" s="355"/>
      <c r="I20" s="327"/>
      <c r="J20" s="329"/>
      <c r="K20" s="331"/>
      <c r="L20" s="325"/>
      <c r="M20" s="325"/>
      <c r="N20" s="149">
        <v>44895</v>
      </c>
      <c r="O20" s="351"/>
      <c r="P20" s="146">
        <v>1010.2</v>
      </c>
      <c r="Q20" s="147" t="s">
        <v>205</v>
      </c>
      <c r="R20" s="148"/>
      <c r="S20" s="146"/>
      <c r="T20" s="146"/>
      <c r="U20" s="355"/>
      <c r="V20" s="349"/>
      <c r="W20" s="372"/>
      <c r="X20" s="2">
        <v>13</v>
      </c>
    </row>
    <row r="21" spans="1:24" x14ac:dyDescent="0.25">
      <c r="A21" s="323"/>
      <c r="B21" s="325"/>
      <c r="C21" s="325"/>
      <c r="D21" s="325"/>
      <c r="E21" s="325"/>
      <c r="F21" s="351"/>
      <c r="G21" s="353"/>
      <c r="H21" s="355"/>
      <c r="I21" s="327"/>
      <c r="J21" s="329"/>
      <c r="K21" s="331"/>
      <c r="L21" s="325"/>
      <c r="M21" s="325"/>
      <c r="N21" s="149">
        <v>44926</v>
      </c>
      <c r="O21" s="351"/>
      <c r="P21" s="146">
        <v>172.08</v>
      </c>
      <c r="Q21" s="147" t="s">
        <v>266</v>
      </c>
      <c r="R21" s="148"/>
      <c r="S21" s="146"/>
      <c r="T21" s="146"/>
      <c r="U21" s="355"/>
      <c r="V21" s="349"/>
      <c r="W21" s="372"/>
      <c r="X21" s="2">
        <v>13</v>
      </c>
    </row>
    <row r="22" spans="1:24" x14ac:dyDescent="0.25">
      <c r="A22" s="332"/>
      <c r="B22" s="333"/>
      <c r="C22" s="333"/>
      <c r="D22" s="333"/>
      <c r="E22" s="333"/>
      <c r="F22" s="374"/>
      <c r="G22" s="375"/>
      <c r="H22" s="376"/>
      <c r="I22" s="377"/>
      <c r="J22" s="378"/>
      <c r="K22" s="379"/>
      <c r="L22" s="333"/>
      <c r="M22" s="333"/>
      <c r="N22" s="145">
        <v>44926</v>
      </c>
      <c r="O22" s="374"/>
      <c r="P22" s="141">
        <v>864.19</v>
      </c>
      <c r="Q22" s="142" t="s">
        <v>266</v>
      </c>
      <c r="R22" s="143"/>
      <c r="S22" s="141"/>
      <c r="T22" s="141"/>
      <c r="U22" s="376"/>
      <c r="V22" s="380"/>
      <c r="W22" s="373"/>
      <c r="X22" s="2">
        <v>13</v>
      </c>
    </row>
    <row r="23" spans="1:24" s="85" customFormat="1" ht="72" customHeight="1" x14ac:dyDescent="0.25">
      <c r="A23" s="336">
        <v>2</v>
      </c>
      <c r="B23" s="345" t="s">
        <v>56</v>
      </c>
      <c r="C23" s="345"/>
      <c r="D23" s="345"/>
      <c r="E23" s="345" t="s">
        <v>192</v>
      </c>
      <c r="F23" s="339" t="s">
        <v>187</v>
      </c>
      <c r="G23" s="359" t="s">
        <v>193</v>
      </c>
      <c r="H23" s="342">
        <v>257225.44</v>
      </c>
      <c r="I23" s="362">
        <f>IF(X23 = 46, H23 + SUM(S23:S25) - SUM(T23:T25) - SUM(P23:P25) - V23,0)</f>
        <v>-1.6298157268224145E-11</v>
      </c>
      <c r="J23" s="365">
        <v>2312054894</v>
      </c>
      <c r="K23" s="368" t="s">
        <v>150</v>
      </c>
      <c r="L23" s="345"/>
      <c r="M23" s="345" t="s">
        <v>191</v>
      </c>
      <c r="N23" s="105">
        <v>44865</v>
      </c>
      <c r="O23" s="339" t="s">
        <v>194</v>
      </c>
      <c r="P23" s="98">
        <v>7464.37</v>
      </c>
      <c r="Q23" s="97" t="s">
        <v>199</v>
      </c>
      <c r="R23" s="96"/>
      <c r="S23" s="98"/>
      <c r="T23" s="98"/>
      <c r="U23" s="342" t="s">
        <v>320</v>
      </c>
      <c r="V23" s="356">
        <v>0.17</v>
      </c>
      <c r="W23" s="381"/>
      <c r="X23" s="85">
        <v>46</v>
      </c>
    </row>
    <row r="24" spans="1:24" x14ac:dyDescent="0.25">
      <c r="A24" s="337"/>
      <c r="B24" s="346"/>
      <c r="C24" s="346"/>
      <c r="D24" s="346"/>
      <c r="E24" s="346"/>
      <c r="F24" s="340"/>
      <c r="G24" s="360"/>
      <c r="H24" s="343"/>
      <c r="I24" s="363"/>
      <c r="J24" s="366"/>
      <c r="K24" s="369"/>
      <c r="L24" s="346"/>
      <c r="M24" s="346"/>
      <c r="N24" s="106">
        <v>44895</v>
      </c>
      <c r="O24" s="340"/>
      <c r="P24" s="99">
        <v>146780.1</v>
      </c>
      <c r="Q24" s="100" t="s">
        <v>200</v>
      </c>
      <c r="R24" s="101"/>
      <c r="S24" s="99"/>
      <c r="T24" s="99"/>
      <c r="U24" s="343"/>
      <c r="V24" s="357"/>
      <c r="W24" s="382"/>
      <c r="X24" s="2">
        <v>46</v>
      </c>
    </row>
    <row r="25" spans="1:24" x14ac:dyDescent="0.25">
      <c r="A25" s="338"/>
      <c r="B25" s="347"/>
      <c r="C25" s="347"/>
      <c r="D25" s="347"/>
      <c r="E25" s="347"/>
      <c r="F25" s="341"/>
      <c r="G25" s="361"/>
      <c r="H25" s="344"/>
      <c r="I25" s="364"/>
      <c r="J25" s="367"/>
      <c r="K25" s="370"/>
      <c r="L25" s="347"/>
      <c r="M25" s="347"/>
      <c r="N25" s="107">
        <v>44914</v>
      </c>
      <c r="O25" s="341"/>
      <c r="P25" s="102">
        <v>102980.8</v>
      </c>
      <c r="Q25" s="103" t="s">
        <v>204</v>
      </c>
      <c r="R25" s="104"/>
      <c r="S25" s="102"/>
      <c r="T25" s="102"/>
      <c r="U25" s="344"/>
      <c r="V25" s="358"/>
      <c r="W25" s="383"/>
      <c r="X25" s="2">
        <v>46</v>
      </c>
    </row>
    <row r="26" spans="1:24" s="85" customFormat="1" ht="72" customHeight="1" x14ac:dyDescent="0.25">
      <c r="A26" s="322">
        <v>3</v>
      </c>
      <c r="B26" s="324" t="s">
        <v>56</v>
      </c>
      <c r="C26" s="324"/>
      <c r="D26" s="324"/>
      <c r="E26" s="324" t="s">
        <v>269</v>
      </c>
      <c r="F26" s="350" t="s">
        <v>270</v>
      </c>
      <c r="G26" s="352" t="s">
        <v>271</v>
      </c>
      <c r="H26" s="354">
        <v>474789</v>
      </c>
      <c r="I26" s="326">
        <f>IF(X26 = 55, H26 + SUM(S26:S30) - SUM(T26:T30) - SUM(P26:P30) - V26,0)</f>
        <v>0</v>
      </c>
      <c r="J26" s="328">
        <v>235300578903</v>
      </c>
      <c r="K26" s="330" t="s">
        <v>148</v>
      </c>
      <c r="L26" s="324"/>
      <c r="M26" s="324" t="s">
        <v>272</v>
      </c>
      <c r="N26" s="144">
        <v>44834</v>
      </c>
      <c r="O26" s="350" t="s">
        <v>273</v>
      </c>
      <c r="P26" s="140">
        <v>126787.5</v>
      </c>
      <c r="Q26" s="139" t="s">
        <v>274</v>
      </c>
      <c r="R26" s="138"/>
      <c r="S26" s="140"/>
      <c r="T26" s="140"/>
      <c r="U26" s="354"/>
      <c r="V26" s="348"/>
      <c r="W26" s="371"/>
      <c r="X26" s="85">
        <v>55</v>
      </c>
    </row>
    <row r="27" spans="1:24" x14ac:dyDescent="0.25">
      <c r="A27" s="323"/>
      <c r="B27" s="325"/>
      <c r="C27" s="325"/>
      <c r="D27" s="325"/>
      <c r="E27" s="325"/>
      <c r="F27" s="351"/>
      <c r="G27" s="353"/>
      <c r="H27" s="355"/>
      <c r="I27" s="327"/>
      <c r="J27" s="329"/>
      <c r="K27" s="331"/>
      <c r="L27" s="325"/>
      <c r="M27" s="325"/>
      <c r="N27" s="149">
        <v>44865</v>
      </c>
      <c r="O27" s="351"/>
      <c r="P27" s="146">
        <v>116644.5</v>
      </c>
      <c r="Q27" s="147" t="s">
        <v>198</v>
      </c>
      <c r="R27" s="148"/>
      <c r="S27" s="146"/>
      <c r="T27" s="146"/>
      <c r="U27" s="355"/>
      <c r="V27" s="349"/>
      <c r="W27" s="372"/>
      <c r="X27" s="2">
        <v>55</v>
      </c>
    </row>
    <row r="28" spans="1:24" x14ac:dyDescent="0.25">
      <c r="A28" s="323"/>
      <c r="B28" s="325"/>
      <c r="C28" s="325"/>
      <c r="D28" s="325"/>
      <c r="E28" s="325"/>
      <c r="F28" s="351"/>
      <c r="G28" s="353"/>
      <c r="H28" s="355"/>
      <c r="I28" s="327"/>
      <c r="J28" s="329"/>
      <c r="K28" s="331"/>
      <c r="L28" s="325"/>
      <c r="M28" s="325"/>
      <c r="N28" s="149">
        <v>44865</v>
      </c>
      <c r="O28" s="351"/>
      <c r="P28" s="146">
        <v>241.5</v>
      </c>
      <c r="Q28" s="147" t="s">
        <v>275</v>
      </c>
      <c r="R28" s="148"/>
      <c r="S28" s="146"/>
      <c r="T28" s="146"/>
      <c r="U28" s="355"/>
      <c r="V28" s="349"/>
      <c r="W28" s="372"/>
      <c r="X28" s="2">
        <v>55</v>
      </c>
    </row>
    <row r="29" spans="1:24" x14ac:dyDescent="0.25">
      <c r="A29" s="323"/>
      <c r="B29" s="325"/>
      <c r="C29" s="325"/>
      <c r="D29" s="325"/>
      <c r="E29" s="325"/>
      <c r="F29" s="351"/>
      <c r="G29" s="353"/>
      <c r="H29" s="355"/>
      <c r="I29" s="327"/>
      <c r="J29" s="329"/>
      <c r="K29" s="331"/>
      <c r="L29" s="325"/>
      <c r="M29" s="325"/>
      <c r="N29" s="149">
        <v>44895</v>
      </c>
      <c r="O29" s="351"/>
      <c r="P29" s="146">
        <v>103120.5</v>
      </c>
      <c r="Q29" s="147" t="s">
        <v>276</v>
      </c>
      <c r="R29" s="148"/>
      <c r="S29" s="146"/>
      <c r="T29" s="146"/>
      <c r="U29" s="355"/>
      <c r="V29" s="349"/>
      <c r="W29" s="372"/>
      <c r="X29" s="2">
        <v>55</v>
      </c>
    </row>
    <row r="30" spans="1:24" x14ac:dyDescent="0.25">
      <c r="A30" s="323"/>
      <c r="B30" s="325"/>
      <c r="C30" s="325"/>
      <c r="D30" s="325"/>
      <c r="E30" s="325"/>
      <c r="F30" s="351"/>
      <c r="G30" s="353"/>
      <c r="H30" s="355"/>
      <c r="I30" s="327"/>
      <c r="J30" s="329"/>
      <c r="K30" s="331"/>
      <c r="L30" s="325"/>
      <c r="M30" s="325"/>
      <c r="N30" s="149">
        <v>44925</v>
      </c>
      <c r="O30" s="351"/>
      <c r="P30" s="146">
        <v>127995</v>
      </c>
      <c r="Q30" s="147" t="s">
        <v>277</v>
      </c>
      <c r="R30" s="148"/>
      <c r="S30" s="146"/>
      <c r="T30" s="146"/>
      <c r="U30" s="355"/>
      <c r="V30" s="349"/>
      <c r="W30" s="372"/>
      <c r="X30" s="2">
        <v>55</v>
      </c>
    </row>
    <row r="31" spans="1:24" s="85" customFormat="1" ht="54" customHeight="1" x14ac:dyDescent="0.25">
      <c r="A31" s="282">
        <v>4</v>
      </c>
      <c r="B31" s="288" t="s">
        <v>56</v>
      </c>
      <c r="C31" s="288"/>
      <c r="D31" s="288"/>
      <c r="E31" s="288" t="s">
        <v>151</v>
      </c>
      <c r="F31" s="284" t="s">
        <v>218</v>
      </c>
      <c r="G31" s="309" t="s">
        <v>221</v>
      </c>
      <c r="H31" s="286">
        <v>24918.78</v>
      </c>
      <c r="I31" s="296">
        <f>IF(X31 = 56, H31 + SUM(S31:S32) - SUM(T31:T32) - SUM(P31:P32) - V31,0)</f>
        <v>18073.419999999998</v>
      </c>
      <c r="J31" s="314">
        <v>2369002347</v>
      </c>
      <c r="K31" s="317" t="s">
        <v>222</v>
      </c>
      <c r="L31" s="288"/>
      <c r="M31" s="288" t="s">
        <v>215</v>
      </c>
      <c r="N31" s="168" t="s">
        <v>308</v>
      </c>
      <c r="O31" s="284" t="s">
        <v>223</v>
      </c>
      <c r="P31" s="163">
        <v>4841.84</v>
      </c>
      <c r="Q31" s="164" t="s">
        <v>314</v>
      </c>
      <c r="R31" s="162"/>
      <c r="S31" s="163"/>
      <c r="T31" s="163"/>
      <c r="U31" s="286"/>
      <c r="V31" s="320"/>
      <c r="W31" s="292"/>
      <c r="X31" s="85">
        <v>56</v>
      </c>
    </row>
    <row r="32" spans="1:24" x14ac:dyDescent="0.25">
      <c r="A32" s="384"/>
      <c r="B32" s="307"/>
      <c r="C32" s="307"/>
      <c r="D32" s="307"/>
      <c r="E32" s="307"/>
      <c r="F32" s="308"/>
      <c r="G32" s="310"/>
      <c r="H32" s="312"/>
      <c r="I32" s="313"/>
      <c r="J32" s="315"/>
      <c r="K32" s="318"/>
      <c r="L32" s="307"/>
      <c r="M32" s="307"/>
      <c r="N32" s="177" t="s">
        <v>351</v>
      </c>
      <c r="O32" s="308"/>
      <c r="P32" s="173">
        <v>2003.52</v>
      </c>
      <c r="Q32" s="174" t="s">
        <v>353</v>
      </c>
      <c r="R32" s="175"/>
      <c r="S32" s="173"/>
      <c r="T32" s="173"/>
      <c r="U32" s="312"/>
      <c r="V32" s="385"/>
      <c r="W32" s="386"/>
      <c r="X32" s="2">
        <v>56</v>
      </c>
    </row>
    <row r="33" spans="1:24" s="85" customFormat="1" ht="54" customHeight="1" x14ac:dyDescent="0.25">
      <c r="A33" s="384">
        <v>5</v>
      </c>
      <c r="B33" s="307" t="s">
        <v>56</v>
      </c>
      <c r="C33" s="307"/>
      <c r="D33" s="307"/>
      <c r="E33" s="307" t="s">
        <v>217</v>
      </c>
      <c r="F33" s="308" t="s">
        <v>218</v>
      </c>
      <c r="G33" s="310" t="s">
        <v>219</v>
      </c>
      <c r="H33" s="312">
        <v>45256.44</v>
      </c>
      <c r="I33" s="313">
        <f>IF(X33 = 57, H33 + SUM(S33:S34) - SUM(T33:T34) - SUM(P33:P34) - V33,0)</f>
        <v>37713.700000000004</v>
      </c>
      <c r="J33" s="315">
        <v>2308131994</v>
      </c>
      <c r="K33" s="318" t="s">
        <v>220</v>
      </c>
      <c r="L33" s="307"/>
      <c r="M33" s="386" t="s">
        <v>215</v>
      </c>
      <c r="N33" s="176" t="s">
        <v>308</v>
      </c>
      <c r="O33" s="308" t="s">
        <v>223</v>
      </c>
      <c r="P33" s="172">
        <v>3771.37</v>
      </c>
      <c r="Q33" s="171" t="s">
        <v>311</v>
      </c>
      <c r="R33" s="170"/>
      <c r="S33" s="172"/>
      <c r="T33" s="172"/>
      <c r="U33" s="312"/>
      <c r="V33" s="385"/>
      <c r="W33" s="386"/>
      <c r="X33" s="85">
        <v>57</v>
      </c>
    </row>
    <row r="34" spans="1:24" x14ac:dyDescent="0.25">
      <c r="A34" s="283"/>
      <c r="B34" s="289"/>
      <c r="C34" s="289"/>
      <c r="D34" s="289"/>
      <c r="E34" s="289"/>
      <c r="F34" s="285"/>
      <c r="G34" s="311"/>
      <c r="H34" s="287"/>
      <c r="I34" s="297"/>
      <c r="J34" s="316"/>
      <c r="K34" s="319"/>
      <c r="L34" s="289"/>
      <c r="M34" s="293"/>
      <c r="N34" s="169" t="s">
        <v>351</v>
      </c>
      <c r="O34" s="285"/>
      <c r="P34" s="165">
        <v>3771.37</v>
      </c>
      <c r="Q34" s="166" t="s">
        <v>311</v>
      </c>
      <c r="R34" s="167"/>
      <c r="S34" s="165"/>
      <c r="T34" s="165"/>
      <c r="U34" s="287"/>
      <c r="V34" s="321"/>
      <c r="W34" s="293"/>
      <c r="X34" s="2">
        <v>57</v>
      </c>
    </row>
    <row r="35" spans="1:24" s="85" customFormat="1" ht="54" customHeight="1" x14ac:dyDescent="0.25">
      <c r="A35" s="282">
        <v>6</v>
      </c>
      <c r="B35" s="288" t="s">
        <v>56</v>
      </c>
      <c r="C35" s="288"/>
      <c r="D35" s="288"/>
      <c r="E35" s="288" t="s">
        <v>236</v>
      </c>
      <c r="F35" s="284" t="s">
        <v>218</v>
      </c>
      <c r="G35" s="309" t="s">
        <v>231</v>
      </c>
      <c r="H35" s="286">
        <v>460063</v>
      </c>
      <c r="I35" s="296">
        <f>IF(X35 = 58, H35 + SUM(S35:S43) - SUM(T35:T43) - SUM(P35:P43) - V35,0)</f>
        <v>237377.09999999998</v>
      </c>
      <c r="J35" s="314">
        <v>2308119595</v>
      </c>
      <c r="K35" s="317" t="s">
        <v>146</v>
      </c>
      <c r="L35" s="288"/>
      <c r="M35" s="288" t="s">
        <v>215</v>
      </c>
      <c r="N35" s="168" t="s">
        <v>265</v>
      </c>
      <c r="O35" s="284" t="s">
        <v>232</v>
      </c>
      <c r="P35" s="163">
        <v>21504.21</v>
      </c>
      <c r="Q35" s="164" t="s">
        <v>264</v>
      </c>
      <c r="R35" s="162"/>
      <c r="S35" s="163"/>
      <c r="T35" s="163"/>
      <c r="U35" s="286"/>
      <c r="V35" s="320"/>
      <c r="W35" s="292"/>
      <c r="X35" s="85">
        <v>58</v>
      </c>
    </row>
    <row r="36" spans="1:24" x14ac:dyDescent="0.25">
      <c r="A36" s="384"/>
      <c r="B36" s="307"/>
      <c r="C36" s="307"/>
      <c r="D36" s="307"/>
      <c r="E36" s="307"/>
      <c r="F36" s="308"/>
      <c r="G36" s="310"/>
      <c r="H36" s="312"/>
      <c r="I36" s="313"/>
      <c r="J36" s="315"/>
      <c r="K36" s="318"/>
      <c r="L36" s="307"/>
      <c r="M36" s="307"/>
      <c r="N36" s="177" t="s">
        <v>268</v>
      </c>
      <c r="O36" s="308"/>
      <c r="P36" s="173">
        <v>17021.11</v>
      </c>
      <c r="Q36" s="174" t="s">
        <v>267</v>
      </c>
      <c r="R36" s="175"/>
      <c r="S36" s="173"/>
      <c r="T36" s="173"/>
      <c r="U36" s="312"/>
      <c r="V36" s="385"/>
      <c r="W36" s="386"/>
      <c r="X36" s="2">
        <v>58</v>
      </c>
    </row>
    <row r="37" spans="1:24" x14ac:dyDescent="0.25">
      <c r="A37" s="384"/>
      <c r="B37" s="307"/>
      <c r="C37" s="307"/>
      <c r="D37" s="307"/>
      <c r="E37" s="307"/>
      <c r="F37" s="308"/>
      <c r="G37" s="310"/>
      <c r="H37" s="312"/>
      <c r="I37" s="313"/>
      <c r="J37" s="315"/>
      <c r="K37" s="318"/>
      <c r="L37" s="307"/>
      <c r="M37" s="307"/>
      <c r="N37" s="177" t="s">
        <v>268</v>
      </c>
      <c r="O37" s="308"/>
      <c r="P37" s="173">
        <v>27235.8</v>
      </c>
      <c r="Q37" s="174" t="s">
        <v>267</v>
      </c>
      <c r="R37" s="175"/>
      <c r="S37" s="173"/>
      <c r="T37" s="173"/>
      <c r="U37" s="312"/>
      <c r="V37" s="385"/>
      <c r="W37" s="386"/>
      <c r="X37" s="2">
        <v>58</v>
      </c>
    </row>
    <row r="38" spans="1:24" x14ac:dyDescent="0.25">
      <c r="A38" s="384"/>
      <c r="B38" s="307"/>
      <c r="C38" s="307"/>
      <c r="D38" s="307"/>
      <c r="E38" s="307"/>
      <c r="F38" s="308"/>
      <c r="G38" s="310"/>
      <c r="H38" s="312"/>
      <c r="I38" s="313"/>
      <c r="J38" s="315"/>
      <c r="K38" s="318"/>
      <c r="L38" s="307"/>
      <c r="M38" s="307"/>
      <c r="N38" s="177" t="s">
        <v>305</v>
      </c>
      <c r="O38" s="308"/>
      <c r="P38" s="173">
        <v>20426.86</v>
      </c>
      <c r="Q38" s="174" t="s">
        <v>307</v>
      </c>
      <c r="R38" s="175"/>
      <c r="S38" s="173"/>
      <c r="T38" s="173"/>
      <c r="U38" s="312"/>
      <c r="V38" s="385"/>
      <c r="W38" s="386"/>
      <c r="X38" s="2">
        <v>58</v>
      </c>
    </row>
    <row r="39" spans="1:24" x14ac:dyDescent="0.25">
      <c r="A39" s="384"/>
      <c r="B39" s="307"/>
      <c r="C39" s="307"/>
      <c r="D39" s="307"/>
      <c r="E39" s="307"/>
      <c r="F39" s="308"/>
      <c r="G39" s="310"/>
      <c r="H39" s="312"/>
      <c r="I39" s="313"/>
      <c r="J39" s="315"/>
      <c r="K39" s="318"/>
      <c r="L39" s="307"/>
      <c r="M39" s="307"/>
      <c r="N39" s="177" t="s">
        <v>308</v>
      </c>
      <c r="O39" s="308"/>
      <c r="P39" s="173">
        <v>38404.03</v>
      </c>
      <c r="Q39" s="174" t="s">
        <v>316</v>
      </c>
      <c r="R39" s="175"/>
      <c r="S39" s="173"/>
      <c r="T39" s="173"/>
      <c r="U39" s="312"/>
      <c r="V39" s="385"/>
      <c r="W39" s="386"/>
      <c r="X39" s="2">
        <v>58</v>
      </c>
    </row>
    <row r="40" spans="1:24" x14ac:dyDescent="0.25">
      <c r="A40" s="384"/>
      <c r="B40" s="307"/>
      <c r="C40" s="307"/>
      <c r="D40" s="307"/>
      <c r="E40" s="307"/>
      <c r="F40" s="308"/>
      <c r="G40" s="310"/>
      <c r="H40" s="312"/>
      <c r="I40" s="313"/>
      <c r="J40" s="315"/>
      <c r="K40" s="318"/>
      <c r="L40" s="307"/>
      <c r="M40" s="307"/>
      <c r="N40" s="177" t="s">
        <v>305</v>
      </c>
      <c r="O40" s="308"/>
      <c r="P40" s="173">
        <v>36412.379999999997</v>
      </c>
      <c r="Q40" s="174" t="s">
        <v>316</v>
      </c>
      <c r="R40" s="175"/>
      <c r="S40" s="173"/>
      <c r="T40" s="173"/>
      <c r="U40" s="312"/>
      <c r="V40" s="385"/>
      <c r="W40" s="386"/>
      <c r="X40" s="2">
        <v>58</v>
      </c>
    </row>
    <row r="41" spans="1:24" x14ac:dyDescent="0.25">
      <c r="A41" s="384"/>
      <c r="B41" s="307"/>
      <c r="C41" s="307"/>
      <c r="D41" s="307"/>
      <c r="E41" s="307"/>
      <c r="F41" s="308"/>
      <c r="G41" s="310"/>
      <c r="H41" s="312"/>
      <c r="I41" s="313"/>
      <c r="J41" s="315"/>
      <c r="K41" s="318"/>
      <c r="L41" s="307"/>
      <c r="M41" s="307"/>
      <c r="N41" s="177" t="s">
        <v>350</v>
      </c>
      <c r="O41" s="308"/>
      <c r="P41" s="173">
        <v>27309.29</v>
      </c>
      <c r="Q41" s="174" t="s">
        <v>350</v>
      </c>
      <c r="R41" s="175"/>
      <c r="S41" s="173"/>
      <c r="T41" s="173"/>
      <c r="U41" s="312"/>
      <c r="V41" s="385"/>
      <c r="W41" s="386"/>
      <c r="X41" s="2">
        <v>58</v>
      </c>
    </row>
    <row r="42" spans="1:24" x14ac:dyDescent="0.25">
      <c r="A42" s="384"/>
      <c r="B42" s="307"/>
      <c r="C42" s="307"/>
      <c r="D42" s="307"/>
      <c r="E42" s="307"/>
      <c r="F42" s="308"/>
      <c r="G42" s="310"/>
      <c r="H42" s="312"/>
      <c r="I42" s="313"/>
      <c r="J42" s="315"/>
      <c r="K42" s="318"/>
      <c r="L42" s="307"/>
      <c r="M42" s="307"/>
      <c r="N42" s="177" t="s">
        <v>351</v>
      </c>
      <c r="O42" s="308"/>
      <c r="P42" s="173">
        <v>6478.89</v>
      </c>
      <c r="Q42" s="174" t="s">
        <v>356</v>
      </c>
      <c r="R42" s="175"/>
      <c r="S42" s="173"/>
      <c r="T42" s="173"/>
      <c r="U42" s="312"/>
      <c r="V42" s="385"/>
      <c r="W42" s="386"/>
      <c r="X42" s="2">
        <v>58</v>
      </c>
    </row>
    <row r="43" spans="1:24" x14ac:dyDescent="0.25">
      <c r="A43" s="283"/>
      <c r="B43" s="289"/>
      <c r="C43" s="289"/>
      <c r="D43" s="289"/>
      <c r="E43" s="289"/>
      <c r="F43" s="285"/>
      <c r="G43" s="311"/>
      <c r="H43" s="287"/>
      <c r="I43" s="297"/>
      <c r="J43" s="316"/>
      <c r="K43" s="319"/>
      <c r="L43" s="289"/>
      <c r="M43" s="289"/>
      <c r="N43" s="169" t="s">
        <v>350</v>
      </c>
      <c r="O43" s="285"/>
      <c r="P43" s="165">
        <v>27893.33</v>
      </c>
      <c r="Q43" s="166" t="s">
        <v>356</v>
      </c>
      <c r="R43" s="167"/>
      <c r="S43" s="165"/>
      <c r="T43" s="165"/>
      <c r="U43" s="287"/>
      <c r="V43" s="321"/>
      <c r="W43" s="293"/>
      <c r="X43" s="2">
        <v>58</v>
      </c>
    </row>
    <row r="44" spans="1:24" s="85" customFormat="1" ht="54" customHeight="1" x14ac:dyDescent="0.25">
      <c r="A44" s="282">
        <v>7</v>
      </c>
      <c r="B44" s="288" t="s">
        <v>56</v>
      </c>
      <c r="C44" s="288"/>
      <c r="D44" s="288"/>
      <c r="E44" s="288" t="s">
        <v>234</v>
      </c>
      <c r="F44" s="284" t="s">
        <v>218</v>
      </c>
      <c r="G44" s="309" t="s">
        <v>233</v>
      </c>
      <c r="H44" s="286">
        <v>27331.200000000001</v>
      </c>
      <c r="I44" s="296">
        <f>IF(X44 = 59, H44 + SUM(S44:S45) - SUM(T44:T45) - SUM(P44:P45) - V44,0)</f>
        <v>22776</v>
      </c>
      <c r="J44" s="314">
        <v>2310163739</v>
      </c>
      <c r="K44" s="317" t="s">
        <v>152</v>
      </c>
      <c r="L44" s="288"/>
      <c r="M44" s="288" t="s">
        <v>215</v>
      </c>
      <c r="N44" s="168" t="s">
        <v>315</v>
      </c>
      <c r="O44" s="284" t="s">
        <v>235</v>
      </c>
      <c r="P44" s="163">
        <v>2277.6</v>
      </c>
      <c r="Q44" s="164" t="s">
        <v>318</v>
      </c>
      <c r="R44" s="162"/>
      <c r="S44" s="163"/>
      <c r="T44" s="163"/>
      <c r="U44" s="286"/>
      <c r="V44" s="320"/>
      <c r="W44" s="292"/>
      <c r="X44" s="85">
        <v>59</v>
      </c>
    </row>
    <row r="45" spans="1:24" x14ac:dyDescent="0.25">
      <c r="A45" s="283"/>
      <c r="B45" s="289"/>
      <c r="C45" s="289"/>
      <c r="D45" s="289"/>
      <c r="E45" s="289"/>
      <c r="F45" s="285"/>
      <c r="G45" s="311"/>
      <c r="H45" s="287"/>
      <c r="I45" s="297"/>
      <c r="J45" s="316"/>
      <c r="K45" s="319"/>
      <c r="L45" s="289"/>
      <c r="M45" s="289"/>
      <c r="N45" s="169" t="s">
        <v>351</v>
      </c>
      <c r="O45" s="285"/>
      <c r="P45" s="165">
        <v>2277.6</v>
      </c>
      <c r="Q45" s="166" t="s">
        <v>350</v>
      </c>
      <c r="R45" s="167"/>
      <c r="S45" s="165"/>
      <c r="T45" s="165"/>
      <c r="U45" s="287"/>
      <c r="V45" s="321"/>
      <c r="W45" s="293"/>
      <c r="X45" s="2">
        <v>59</v>
      </c>
    </row>
    <row r="46" spans="1:24" s="85" customFormat="1" ht="75" x14ac:dyDescent="0.25">
      <c r="A46" s="109">
        <v>8</v>
      </c>
      <c r="B46" s="110" t="s">
        <v>56</v>
      </c>
      <c r="C46" s="110"/>
      <c r="D46" s="110"/>
      <c r="E46" s="110" t="s">
        <v>226</v>
      </c>
      <c r="F46" s="117" t="s">
        <v>227</v>
      </c>
      <c r="G46" s="111" t="s">
        <v>228</v>
      </c>
      <c r="H46" s="112">
        <v>30012.16</v>
      </c>
      <c r="I46" s="113">
        <f>IF(X46 = 60, H46 + SUM(S46:S46) - SUM(T46:T46) - SUM(P46:P46) - V46,0)</f>
        <v>30012.16</v>
      </c>
      <c r="J46" s="114">
        <v>274062111</v>
      </c>
      <c r="K46" s="115" t="s">
        <v>161</v>
      </c>
      <c r="L46" s="110"/>
      <c r="M46" s="110" t="s">
        <v>229</v>
      </c>
      <c r="N46" s="117"/>
      <c r="O46" s="117" t="s">
        <v>230</v>
      </c>
      <c r="P46" s="112"/>
      <c r="Q46" s="111"/>
      <c r="R46" s="110"/>
      <c r="S46" s="112"/>
      <c r="T46" s="112"/>
      <c r="U46" s="112"/>
      <c r="V46" s="116"/>
      <c r="W46" s="108"/>
      <c r="X46" s="85">
        <v>60</v>
      </c>
    </row>
    <row r="47" spans="1:24" s="85" customFormat="1" ht="127.15" customHeight="1" x14ac:dyDescent="0.25">
      <c r="A47" s="282">
        <v>9</v>
      </c>
      <c r="B47" s="288" t="s">
        <v>56</v>
      </c>
      <c r="C47" s="288"/>
      <c r="D47" s="288"/>
      <c r="E47" s="288" t="s">
        <v>160</v>
      </c>
      <c r="F47" s="284" t="s">
        <v>237</v>
      </c>
      <c r="G47" s="309" t="s">
        <v>260</v>
      </c>
      <c r="H47" s="286">
        <v>114400</v>
      </c>
      <c r="I47" s="296">
        <f>IF(X47 = 61, H47 + SUM(S47:S50) - SUM(T47:T50) - SUM(P47:P50) - V47,0)</f>
        <v>94120</v>
      </c>
      <c r="J47" s="314">
        <v>2353017179</v>
      </c>
      <c r="K47" s="317" t="s">
        <v>167</v>
      </c>
      <c r="L47" s="288"/>
      <c r="M47" s="288" t="s">
        <v>215</v>
      </c>
      <c r="N47" s="168" t="s">
        <v>308</v>
      </c>
      <c r="O47" s="284" t="s">
        <v>261</v>
      </c>
      <c r="P47" s="163">
        <v>4800</v>
      </c>
      <c r="Q47" s="164" t="s">
        <v>315</v>
      </c>
      <c r="R47" s="162"/>
      <c r="S47" s="163"/>
      <c r="T47" s="163"/>
      <c r="U47" s="286"/>
      <c r="V47" s="320"/>
      <c r="W47" s="292"/>
      <c r="X47" s="85">
        <v>61</v>
      </c>
    </row>
    <row r="48" spans="1:24" x14ac:dyDescent="0.25">
      <c r="A48" s="384"/>
      <c r="B48" s="307"/>
      <c r="C48" s="307"/>
      <c r="D48" s="307"/>
      <c r="E48" s="307"/>
      <c r="F48" s="308"/>
      <c r="G48" s="310"/>
      <c r="H48" s="312"/>
      <c r="I48" s="313"/>
      <c r="J48" s="315"/>
      <c r="K48" s="318"/>
      <c r="L48" s="307"/>
      <c r="M48" s="307"/>
      <c r="N48" s="177" t="s">
        <v>308</v>
      </c>
      <c r="O48" s="308"/>
      <c r="P48" s="173">
        <v>5600</v>
      </c>
      <c r="Q48" s="174" t="s">
        <v>315</v>
      </c>
      <c r="R48" s="175"/>
      <c r="S48" s="173"/>
      <c r="T48" s="173"/>
      <c r="U48" s="312"/>
      <c r="V48" s="385"/>
      <c r="W48" s="386"/>
      <c r="X48" s="2">
        <v>61</v>
      </c>
    </row>
    <row r="49" spans="1:24" x14ac:dyDescent="0.25">
      <c r="A49" s="384"/>
      <c r="B49" s="307"/>
      <c r="C49" s="307"/>
      <c r="D49" s="307"/>
      <c r="E49" s="307"/>
      <c r="F49" s="308"/>
      <c r="G49" s="310"/>
      <c r="H49" s="312"/>
      <c r="I49" s="313"/>
      <c r="J49" s="315"/>
      <c r="K49" s="318"/>
      <c r="L49" s="307"/>
      <c r="M49" s="307"/>
      <c r="N49" s="177" t="s">
        <v>351</v>
      </c>
      <c r="O49" s="308"/>
      <c r="P49" s="173">
        <v>4560</v>
      </c>
      <c r="Q49" s="174" t="s">
        <v>355</v>
      </c>
      <c r="R49" s="175"/>
      <c r="S49" s="173"/>
      <c r="T49" s="173"/>
      <c r="U49" s="312"/>
      <c r="V49" s="385"/>
      <c r="W49" s="386"/>
      <c r="X49" s="2">
        <v>61</v>
      </c>
    </row>
    <row r="50" spans="1:24" x14ac:dyDescent="0.25">
      <c r="A50" s="283"/>
      <c r="B50" s="289"/>
      <c r="C50" s="289"/>
      <c r="D50" s="289"/>
      <c r="E50" s="289"/>
      <c r="F50" s="285"/>
      <c r="G50" s="311"/>
      <c r="H50" s="287"/>
      <c r="I50" s="297"/>
      <c r="J50" s="316"/>
      <c r="K50" s="319"/>
      <c r="L50" s="289"/>
      <c r="M50" s="289"/>
      <c r="N50" s="169" t="s">
        <v>351</v>
      </c>
      <c r="O50" s="285"/>
      <c r="P50" s="165">
        <v>5320</v>
      </c>
      <c r="Q50" s="166" t="s">
        <v>355</v>
      </c>
      <c r="R50" s="167"/>
      <c r="S50" s="165"/>
      <c r="T50" s="165"/>
      <c r="U50" s="287"/>
      <c r="V50" s="321"/>
      <c r="W50" s="293"/>
      <c r="X50" s="2">
        <v>61</v>
      </c>
    </row>
    <row r="51" spans="1:24" s="85" customFormat="1" ht="72" customHeight="1" x14ac:dyDescent="0.25">
      <c r="A51" s="282">
        <v>10</v>
      </c>
      <c r="B51" s="288" t="s">
        <v>56</v>
      </c>
      <c r="C51" s="288"/>
      <c r="D51" s="288"/>
      <c r="E51" s="288" t="s">
        <v>249</v>
      </c>
      <c r="F51" s="284" t="s">
        <v>237</v>
      </c>
      <c r="G51" s="309" t="s">
        <v>185</v>
      </c>
      <c r="H51" s="286">
        <v>598920</v>
      </c>
      <c r="I51" s="296">
        <f>IF(X51 = 62, H51 + SUM(S51:S52) - SUM(T51:T52) - SUM(P51:P52) - V51,0)</f>
        <v>389539.5</v>
      </c>
      <c r="J51" s="314">
        <v>235300578903</v>
      </c>
      <c r="K51" s="317" t="s">
        <v>148</v>
      </c>
      <c r="L51" s="288"/>
      <c r="M51" s="288" t="s">
        <v>250</v>
      </c>
      <c r="N51" s="168" t="s">
        <v>308</v>
      </c>
      <c r="O51" s="284" t="s">
        <v>297</v>
      </c>
      <c r="P51" s="163">
        <v>101430</v>
      </c>
      <c r="Q51" s="164" t="s">
        <v>310</v>
      </c>
      <c r="R51" s="162"/>
      <c r="S51" s="163"/>
      <c r="T51" s="163"/>
      <c r="U51" s="286"/>
      <c r="V51" s="320"/>
      <c r="W51" s="292"/>
      <c r="X51" s="85">
        <v>62</v>
      </c>
    </row>
    <row r="52" spans="1:24" x14ac:dyDescent="0.25">
      <c r="A52" s="283"/>
      <c r="B52" s="289"/>
      <c r="C52" s="289"/>
      <c r="D52" s="289"/>
      <c r="E52" s="289"/>
      <c r="F52" s="285"/>
      <c r="G52" s="311"/>
      <c r="H52" s="287"/>
      <c r="I52" s="297"/>
      <c r="J52" s="316"/>
      <c r="K52" s="319"/>
      <c r="L52" s="289"/>
      <c r="M52" s="289"/>
      <c r="N52" s="169" t="s">
        <v>351</v>
      </c>
      <c r="O52" s="285"/>
      <c r="P52" s="165">
        <v>107950.5</v>
      </c>
      <c r="Q52" s="166" t="s">
        <v>353</v>
      </c>
      <c r="R52" s="167"/>
      <c r="S52" s="165"/>
      <c r="T52" s="165"/>
      <c r="U52" s="287"/>
      <c r="V52" s="321"/>
      <c r="W52" s="293"/>
      <c r="X52" s="2">
        <v>62</v>
      </c>
    </row>
    <row r="53" spans="1:24" s="85" customFormat="1" ht="72" customHeight="1" x14ac:dyDescent="0.25">
      <c r="A53" s="265">
        <v>11</v>
      </c>
      <c r="B53" s="255" t="s">
        <v>56</v>
      </c>
      <c r="C53" s="255"/>
      <c r="D53" s="255"/>
      <c r="E53" s="255" t="s">
        <v>278</v>
      </c>
      <c r="F53" s="259" t="s">
        <v>284</v>
      </c>
      <c r="G53" s="257" t="s">
        <v>300</v>
      </c>
      <c r="H53" s="261">
        <v>540855.12</v>
      </c>
      <c r="I53" s="263">
        <f>IF(X53 = 63, H53 + SUM(S53:S66) - SUM(T53:T66) - SUM(P53:P66) - V53,0)</f>
        <v>178127.23000000004</v>
      </c>
      <c r="J53" s="298">
        <v>2353020735</v>
      </c>
      <c r="K53" s="301" t="s">
        <v>287</v>
      </c>
      <c r="L53" s="255"/>
      <c r="M53" s="255" t="s">
        <v>301</v>
      </c>
      <c r="N53" s="193" t="s">
        <v>308</v>
      </c>
      <c r="O53" s="259" t="s">
        <v>289</v>
      </c>
      <c r="P53" s="187">
        <v>3418.85</v>
      </c>
      <c r="Q53" s="188" t="s">
        <v>314</v>
      </c>
      <c r="R53" s="189"/>
      <c r="S53" s="187"/>
      <c r="T53" s="187"/>
      <c r="U53" s="261"/>
      <c r="V53" s="304"/>
      <c r="W53" s="253"/>
      <c r="X53" s="85">
        <v>63</v>
      </c>
    </row>
    <row r="54" spans="1:24" x14ac:dyDescent="0.25">
      <c r="A54" s="276"/>
      <c r="B54" s="270"/>
      <c r="C54" s="270"/>
      <c r="D54" s="270"/>
      <c r="E54" s="270"/>
      <c r="F54" s="273"/>
      <c r="G54" s="272"/>
      <c r="H54" s="274"/>
      <c r="I54" s="275"/>
      <c r="J54" s="299"/>
      <c r="K54" s="302"/>
      <c r="L54" s="270"/>
      <c r="M54" s="270"/>
      <c r="N54" s="198" t="s">
        <v>317</v>
      </c>
      <c r="O54" s="273"/>
      <c r="P54" s="195">
        <v>5033.3100000000004</v>
      </c>
      <c r="Q54" s="196" t="s">
        <v>314</v>
      </c>
      <c r="R54" s="197"/>
      <c r="S54" s="195"/>
      <c r="T54" s="195"/>
      <c r="U54" s="274"/>
      <c r="V54" s="305"/>
      <c r="W54" s="271"/>
      <c r="X54" s="2">
        <v>63</v>
      </c>
    </row>
    <row r="55" spans="1:24" x14ac:dyDescent="0.25">
      <c r="A55" s="276"/>
      <c r="B55" s="270"/>
      <c r="C55" s="270"/>
      <c r="D55" s="270"/>
      <c r="E55" s="270"/>
      <c r="F55" s="273"/>
      <c r="G55" s="272"/>
      <c r="H55" s="274"/>
      <c r="I55" s="275"/>
      <c r="J55" s="299"/>
      <c r="K55" s="302"/>
      <c r="L55" s="270"/>
      <c r="M55" s="270"/>
      <c r="N55" s="198" t="s">
        <v>313</v>
      </c>
      <c r="O55" s="273"/>
      <c r="P55" s="195">
        <v>21396.01</v>
      </c>
      <c r="Q55" s="196" t="s">
        <v>315</v>
      </c>
      <c r="R55" s="197"/>
      <c r="S55" s="195"/>
      <c r="T55" s="195"/>
      <c r="U55" s="274"/>
      <c r="V55" s="305"/>
      <c r="W55" s="271"/>
      <c r="X55" s="2">
        <v>63</v>
      </c>
    </row>
    <row r="56" spans="1:24" x14ac:dyDescent="0.25">
      <c r="A56" s="276"/>
      <c r="B56" s="270"/>
      <c r="C56" s="270"/>
      <c r="D56" s="270"/>
      <c r="E56" s="270"/>
      <c r="F56" s="273"/>
      <c r="G56" s="272"/>
      <c r="H56" s="274"/>
      <c r="I56" s="275"/>
      <c r="J56" s="299"/>
      <c r="K56" s="302"/>
      <c r="L56" s="270"/>
      <c r="M56" s="270"/>
      <c r="N56" s="198" t="s">
        <v>313</v>
      </c>
      <c r="O56" s="273"/>
      <c r="P56" s="195">
        <v>1365.73</v>
      </c>
      <c r="Q56" s="196" t="s">
        <v>315</v>
      </c>
      <c r="R56" s="197"/>
      <c r="S56" s="195"/>
      <c r="T56" s="195"/>
      <c r="U56" s="274"/>
      <c r="V56" s="305"/>
      <c r="W56" s="271"/>
      <c r="X56" s="2">
        <v>63</v>
      </c>
    </row>
    <row r="57" spans="1:24" x14ac:dyDescent="0.25">
      <c r="A57" s="276"/>
      <c r="B57" s="270"/>
      <c r="C57" s="270"/>
      <c r="D57" s="270"/>
      <c r="E57" s="270"/>
      <c r="F57" s="273"/>
      <c r="G57" s="272"/>
      <c r="H57" s="274"/>
      <c r="I57" s="275"/>
      <c r="J57" s="299"/>
      <c r="K57" s="302"/>
      <c r="L57" s="270"/>
      <c r="M57" s="270"/>
      <c r="N57" s="198" t="s">
        <v>308</v>
      </c>
      <c r="O57" s="273"/>
      <c r="P57" s="195">
        <v>53560.87</v>
      </c>
      <c r="Q57" s="196" t="s">
        <v>315</v>
      </c>
      <c r="R57" s="197"/>
      <c r="S57" s="195"/>
      <c r="T57" s="195"/>
      <c r="U57" s="274"/>
      <c r="V57" s="305"/>
      <c r="W57" s="271"/>
      <c r="X57" s="2">
        <v>63</v>
      </c>
    </row>
    <row r="58" spans="1:24" x14ac:dyDescent="0.25">
      <c r="A58" s="276"/>
      <c r="B58" s="270"/>
      <c r="C58" s="270"/>
      <c r="D58" s="270"/>
      <c r="E58" s="270"/>
      <c r="F58" s="273"/>
      <c r="G58" s="272"/>
      <c r="H58" s="274"/>
      <c r="I58" s="275"/>
      <c r="J58" s="299"/>
      <c r="K58" s="302"/>
      <c r="L58" s="270"/>
      <c r="M58" s="270"/>
      <c r="N58" s="198" t="s">
        <v>317</v>
      </c>
      <c r="O58" s="273"/>
      <c r="P58" s="195">
        <v>78853.5</v>
      </c>
      <c r="Q58" s="196" t="s">
        <v>315</v>
      </c>
      <c r="R58" s="197"/>
      <c r="S58" s="195"/>
      <c r="T58" s="195"/>
      <c r="U58" s="274"/>
      <c r="V58" s="305"/>
      <c r="W58" s="271"/>
      <c r="X58" s="2">
        <v>63</v>
      </c>
    </row>
    <row r="59" spans="1:24" x14ac:dyDescent="0.25">
      <c r="A59" s="276"/>
      <c r="B59" s="270"/>
      <c r="C59" s="270"/>
      <c r="D59" s="270"/>
      <c r="E59" s="270"/>
      <c r="F59" s="273"/>
      <c r="G59" s="272"/>
      <c r="H59" s="274"/>
      <c r="I59" s="275"/>
      <c r="J59" s="299"/>
      <c r="K59" s="302"/>
      <c r="L59" s="270"/>
      <c r="M59" s="270"/>
      <c r="N59" s="198" t="s">
        <v>316</v>
      </c>
      <c r="O59" s="273"/>
      <c r="P59" s="195">
        <v>64258.87</v>
      </c>
      <c r="Q59" s="196" t="s">
        <v>350</v>
      </c>
      <c r="R59" s="197"/>
      <c r="S59" s="195"/>
      <c r="T59" s="195"/>
      <c r="U59" s="274"/>
      <c r="V59" s="305"/>
      <c r="W59" s="271"/>
      <c r="X59" s="2">
        <v>63</v>
      </c>
    </row>
    <row r="60" spans="1:24" x14ac:dyDescent="0.25">
      <c r="A60" s="276"/>
      <c r="B60" s="270"/>
      <c r="C60" s="270"/>
      <c r="D60" s="270"/>
      <c r="E60" s="270"/>
      <c r="F60" s="273"/>
      <c r="G60" s="272"/>
      <c r="H60" s="274"/>
      <c r="I60" s="275"/>
      <c r="J60" s="299"/>
      <c r="K60" s="302"/>
      <c r="L60" s="270"/>
      <c r="M60" s="270"/>
      <c r="N60" s="198" t="s">
        <v>316</v>
      </c>
      <c r="O60" s="273"/>
      <c r="P60" s="195">
        <v>4101.72</v>
      </c>
      <c r="Q60" s="196" t="s">
        <v>350</v>
      </c>
      <c r="R60" s="197"/>
      <c r="S60" s="195"/>
      <c r="T60" s="195"/>
      <c r="U60" s="274"/>
      <c r="V60" s="305"/>
      <c r="W60" s="271"/>
      <c r="X60" s="2">
        <v>63</v>
      </c>
    </row>
    <row r="61" spans="1:24" s="186" customFormat="1" x14ac:dyDescent="0.25">
      <c r="A61" s="276"/>
      <c r="B61" s="270"/>
      <c r="C61" s="270"/>
      <c r="D61" s="270"/>
      <c r="E61" s="270"/>
      <c r="F61" s="273"/>
      <c r="G61" s="272"/>
      <c r="H61" s="274"/>
      <c r="I61" s="275"/>
      <c r="J61" s="299"/>
      <c r="K61" s="302"/>
      <c r="L61" s="270"/>
      <c r="M61" s="270"/>
      <c r="N61" s="199" t="s">
        <v>352</v>
      </c>
      <c r="O61" s="273"/>
      <c r="P61" s="200">
        <v>22033.64</v>
      </c>
      <c r="Q61" s="201" t="s">
        <v>363</v>
      </c>
      <c r="R61" s="202"/>
      <c r="S61" s="200"/>
      <c r="T61" s="200"/>
      <c r="U61" s="274"/>
      <c r="V61" s="305"/>
      <c r="W61" s="271"/>
      <c r="X61" s="186">
        <v>63</v>
      </c>
    </row>
    <row r="62" spans="1:24" s="186" customFormat="1" x14ac:dyDescent="0.25">
      <c r="A62" s="276"/>
      <c r="B62" s="270"/>
      <c r="C62" s="270"/>
      <c r="D62" s="270"/>
      <c r="E62" s="270"/>
      <c r="F62" s="273"/>
      <c r="G62" s="272"/>
      <c r="H62" s="274"/>
      <c r="I62" s="275"/>
      <c r="J62" s="299"/>
      <c r="K62" s="302"/>
      <c r="L62" s="270"/>
      <c r="M62" s="270"/>
      <c r="N62" s="199" t="s">
        <v>352</v>
      </c>
      <c r="O62" s="273"/>
      <c r="P62" s="200">
        <v>1406.43</v>
      </c>
      <c r="Q62" s="201" t="s">
        <v>363</v>
      </c>
      <c r="R62" s="202"/>
      <c r="S62" s="200"/>
      <c r="T62" s="200"/>
      <c r="U62" s="274"/>
      <c r="V62" s="305"/>
      <c r="W62" s="271"/>
      <c r="X62" s="186">
        <v>63</v>
      </c>
    </row>
    <row r="63" spans="1:24" s="186" customFormat="1" x14ac:dyDescent="0.25">
      <c r="A63" s="276"/>
      <c r="B63" s="270"/>
      <c r="C63" s="270"/>
      <c r="D63" s="270"/>
      <c r="E63" s="270"/>
      <c r="F63" s="273"/>
      <c r="G63" s="272"/>
      <c r="H63" s="274"/>
      <c r="I63" s="275"/>
      <c r="J63" s="299"/>
      <c r="K63" s="302"/>
      <c r="L63" s="270"/>
      <c r="M63" s="270"/>
      <c r="N63" s="199" t="s">
        <v>351</v>
      </c>
      <c r="O63" s="273"/>
      <c r="P63" s="200">
        <v>39320.480000000003</v>
      </c>
      <c r="Q63" s="201" t="s">
        <v>363</v>
      </c>
      <c r="R63" s="202"/>
      <c r="S63" s="200"/>
      <c r="T63" s="200"/>
      <c r="U63" s="274"/>
      <c r="V63" s="305"/>
      <c r="W63" s="271"/>
      <c r="X63" s="186">
        <v>63</v>
      </c>
    </row>
    <row r="64" spans="1:24" s="186" customFormat="1" x14ac:dyDescent="0.25">
      <c r="A64" s="276"/>
      <c r="B64" s="270"/>
      <c r="C64" s="270"/>
      <c r="D64" s="270"/>
      <c r="E64" s="270"/>
      <c r="F64" s="273"/>
      <c r="G64" s="272"/>
      <c r="H64" s="274"/>
      <c r="I64" s="275"/>
      <c r="J64" s="299"/>
      <c r="K64" s="302"/>
      <c r="L64" s="270"/>
      <c r="M64" s="270"/>
      <c r="N64" s="199" t="s">
        <v>351</v>
      </c>
      <c r="O64" s="273"/>
      <c r="P64" s="200">
        <v>2509.87</v>
      </c>
      <c r="Q64" s="201" t="s">
        <v>363</v>
      </c>
      <c r="R64" s="202"/>
      <c r="S64" s="200"/>
      <c r="T64" s="200"/>
      <c r="U64" s="274"/>
      <c r="V64" s="305"/>
      <c r="W64" s="271"/>
      <c r="X64" s="186">
        <v>63</v>
      </c>
    </row>
    <row r="65" spans="1:24" s="186" customFormat="1" x14ac:dyDescent="0.25">
      <c r="A65" s="276"/>
      <c r="B65" s="270"/>
      <c r="C65" s="270"/>
      <c r="D65" s="270"/>
      <c r="E65" s="270"/>
      <c r="F65" s="273"/>
      <c r="G65" s="272"/>
      <c r="H65" s="274"/>
      <c r="I65" s="275"/>
      <c r="J65" s="299"/>
      <c r="K65" s="302"/>
      <c r="L65" s="270"/>
      <c r="M65" s="270"/>
      <c r="N65" s="199" t="s">
        <v>363</v>
      </c>
      <c r="O65" s="273"/>
      <c r="P65" s="200">
        <v>61540.42</v>
      </c>
      <c r="Q65" s="201" t="s">
        <v>360</v>
      </c>
      <c r="R65" s="202"/>
      <c r="S65" s="200"/>
      <c r="T65" s="200"/>
      <c r="U65" s="274"/>
      <c r="V65" s="305"/>
      <c r="W65" s="271"/>
      <c r="X65" s="186">
        <v>63</v>
      </c>
    </row>
    <row r="66" spans="1:24" s="186" customFormat="1" x14ac:dyDescent="0.25">
      <c r="A66" s="266"/>
      <c r="B66" s="256"/>
      <c r="C66" s="256"/>
      <c r="D66" s="256"/>
      <c r="E66" s="256"/>
      <c r="F66" s="260"/>
      <c r="G66" s="258"/>
      <c r="H66" s="262"/>
      <c r="I66" s="264"/>
      <c r="J66" s="300"/>
      <c r="K66" s="303"/>
      <c r="L66" s="256"/>
      <c r="M66" s="256"/>
      <c r="N66" s="194" t="s">
        <v>363</v>
      </c>
      <c r="O66" s="260"/>
      <c r="P66" s="190">
        <v>3928.19</v>
      </c>
      <c r="Q66" s="191" t="s">
        <v>360</v>
      </c>
      <c r="R66" s="192"/>
      <c r="S66" s="190"/>
      <c r="T66" s="190"/>
      <c r="U66" s="262"/>
      <c r="V66" s="306"/>
      <c r="W66" s="254"/>
      <c r="X66" s="186">
        <v>63</v>
      </c>
    </row>
    <row r="67" spans="1:24" s="85" customFormat="1" ht="72" customHeight="1" x14ac:dyDescent="0.25">
      <c r="A67" s="265">
        <v>12</v>
      </c>
      <c r="B67" s="255" t="s">
        <v>56</v>
      </c>
      <c r="C67" s="255"/>
      <c r="D67" s="255"/>
      <c r="E67" s="255" t="s">
        <v>298</v>
      </c>
      <c r="F67" s="259" t="s">
        <v>284</v>
      </c>
      <c r="G67" s="257" t="s">
        <v>302</v>
      </c>
      <c r="H67" s="261">
        <v>179400</v>
      </c>
      <c r="I67" s="263">
        <f>IF(X67 = 65, H67 + SUM(S67:S73) - SUM(T67:T73) - SUM(P67:P73) - V67,0)</f>
        <v>57475</v>
      </c>
      <c r="J67" s="298">
        <v>2353020735</v>
      </c>
      <c r="K67" s="301" t="s">
        <v>287</v>
      </c>
      <c r="L67" s="255"/>
      <c r="M67" s="255" t="s">
        <v>301</v>
      </c>
      <c r="N67" s="193" t="s">
        <v>308</v>
      </c>
      <c r="O67" s="259" t="s">
        <v>289</v>
      </c>
      <c r="P67" s="187">
        <v>18900</v>
      </c>
      <c r="Q67" s="188" t="s">
        <v>314</v>
      </c>
      <c r="R67" s="189"/>
      <c r="S67" s="187"/>
      <c r="T67" s="187"/>
      <c r="U67" s="261"/>
      <c r="V67" s="304"/>
      <c r="W67" s="253"/>
      <c r="X67" s="85">
        <v>65</v>
      </c>
    </row>
    <row r="68" spans="1:24" x14ac:dyDescent="0.25">
      <c r="A68" s="276"/>
      <c r="B68" s="270"/>
      <c r="C68" s="270"/>
      <c r="D68" s="270"/>
      <c r="E68" s="270"/>
      <c r="F68" s="273"/>
      <c r="G68" s="272"/>
      <c r="H68" s="274"/>
      <c r="I68" s="275"/>
      <c r="J68" s="299"/>
      <c r="K68" s="302"/>
      <c r="L68" s="270"/>
      <c r="M68" s="270"/>
      <c r="N68" s="198" t="s">
        <v>317</v>
      </c>
      <c r="O68" s="273"/>
      <c r="P68" s="195">
        <v>27825</v>
      </c>
      <c r="Q68" s="196" t="s">
        <v>314</v>
      </c>
      <c r="R68" s="197"/>
      <c r="S68" s="195"/>
      <c r="T68" s="195"/>
      <c r="U68" s="274"/>
      <c r="V68" s="305"/>
      <c r="W68" s="271"/>
      <c r="X68" s="2">
        <v>65</v>
      </c>
    </row>
    <row r="69" spans="1:24" x14ac:dyDescent="0.25">
      <c r="A69" s="276"/>
      <c r="B69" s="270"/>
      <c r="C69" s="270"/>
      <c r="D69" s="270"/>
      <c r="E69" s="270"/>
      <c r="F69" s="273"/>
      <c r="G69" s="272"/>
      <c r="H69" s="274"/>
      <c r="I69" s="275"/>
      <c r="J69" s="299"/>
      <c r="K69" s="302"/>
      <c r="L69" s="270"/>
      <c r="M69" s="270"/>
      <c r="N69" s="198" t="s">
        <v>313</v>
      </c>
      <c r="O69" s="273"/>
      <c r="P69" s="195">
        <v>7550</v>
      </c>
      <c r="Q69" s="196" t="s">
        <v>315</v>
      </c>
      <c r="R69" s="197"/>
      <c r="S69" s="195"/>
      <c r="T69" s="195"/>
      <c r="U69" s="274"/>
      <c r="V69" s="305"/>
      <c r="W69" s="271"/>
      <c r="X69" s="2">
        <v>65</v>
      </c>
    </row>
    <row r="70" spans="1:24" x14ac:dyDescent="0.25">
      <c r="A70" s="276"/>
      <c r="B70" s="270"/>
      <c r="C70" s="270"/>
      <c r="D70" s="270"/>
      <c r="E70" s="270"/>
      <c r="F70" s="273"/>
      <c r="G70" s="272"/>
      <c r="H70" s="274"/>
      <c r="I70" s="275"/>
      <c r="J70" s="299"/>
      <c r="K70" s="302"/>
      <c r="L70" s="270"/>
      <c r="M70" s="270"/>
      <c r="N70" s="198" t="s">
        <v>316</v>
      </c>
      <c r="O70" s="273"/>
      <c r="P70" s="195">
        <v>22675</v>
      </c>
      <c r="Q70" s="196" t="s">
        <v>350</v>
      </c>
      <c r="R70" s="197"/>
      <c r="S70" s="195"/>
      <c r="T70" s="195"/>
      <c r="U70" s="274"/>
      <c r="V70" s="305"/>
      <c r="W70" s="271"/>
      <c r="X70" s="2">
        <v>65</v>
      </c>
    </row>
    <row r="71" spans="1:24" x14ac:dyDescent="0.25">
      <c r="A71" s="276"/>
      <c r="B71" s="270"/>
      <c r="C71" s="270"/>
      <c r="D71" s="270"/>
      <c r="E71" s="270"/>
      <c r="F71" s="273"/>
      <c r="G71" s="272"/>
      <c r="H71" s="274"/>
      <c r="I71" s="275"/>
      <c r="J71" s="299"/>
      <c r="K71" s="302"/>
      <c r="L71" s="270"/>
      <c r="M71" s="270"/>
      <c r="N71" s="198" t="s">
        <v>351</v>
      </c>
      <c r="O71" s="273"/>
      <c r="P71" s="195">
        <v>13875</v>
      </c>
      <c r="Q71" s="196" t="s">
        <v>361</v>
      </c>
      <c r="R71" s="197"/>
      <c r="S71" s="195"/>
      <c r="T71" s="195"/>
      <c r="U71" s="274"/>
      <c r="V71" s="305"/>
      <c r="W71" s="271"/>
      <c r="X71" s="2">
        <v>65</v>
      </c>
    </row>
    <row r="72" spans="1:24" s="186" customFormat="1" x14ac:dyDescent="0.25">
      <c r="A72" s="276"/>
      <c r="B72" s="270"/>
      <c r="C72" s="270"/>
      <c r="D72" s="270"/>
      <c r="E72" s="270"/>
      <c r="F72" s="273"/>
      <c r="G72" s="272"/>
      <c r="H72" s="274"/>
      <c r="I72" s="275"/>
      <c r="J72" s="299"/>
      <c r="K72" s="302"/>
      <c r="L72" s="270"/>
      <c r="M72" s="270"/>
      <c r="N72" s="199" t="s">
        <v>352</v>
      </c>
      <c r="O72" s="273"/>
      <c r="P72" s="200">
        <v>7775</v>
      </c>
      <c r="Q72" s="201" t="s">
        <v>356</v>
      </c>
      <c r="R72" s="202"/>
      <c r="S72" s="200"/>
      <c r="T72" s="200"/>
      <c r="U72" s="274"/>
      <c r="V72" s="305"/>
      <c r="W72" s="271"/>
      <c r="X72" s="186">
        <v>65</v>
      </c>
    </row>
    <row r="73" spans="1:24" s="186" customFormat="1" x14ac:dyDescent="0.25">
      <c r="A73" s="266"/>
      <c r="B73" s="256"/>
      <c r="C73" s="256"/>
      <c r="D73" s="256"/>
      <c r="E73" s="256"/>
      <c r="F73" s="260"/>
      <c r="G73" s="258"/>
      <c r="H73" s="262"/>
      <c r="I73" s="264"/>
      <c r="J73" s="300"/>
      <c r="K73" s="303"/>
      <c r="L73" s="256"/>
      <c r="M73" s="256"/>
      <c r="N73" s="194" t="s">
        <v>363</v>
      </c>
      <c r="O73" s="260"/>
      <c r="P73" s="190">
        <v>23325</v>
      </c>
      <c r="Q73" s="191" t="s">
        <v>360</v>
      </c>
      <c r="R73" s="192"/>
      <c r="S73" s="190"/>
      <c r="T73" s="190"/>
      <c r="U73" s="262"/>
      <c r="V73" s="306"/>
      <c r="W73" s="254"/>
      <c r="X73" s="186">
        <v>65</v>
      </c>
    </row>
    <row r="74" spans="1:24" s="85" customFormat="1" ht="87.6" customHeight="1" x14ac:dyDescent="0.25">
      <c r="A74" s="282">
        <v>13</v>
      </c>
      <c r="B74" s="288" t="s">
        <v>56</v>
      </c>
      <c r="C74" s="288"/>
      <c r="D74" s="288"/>
      <c r="E74" s="288" t="s">
        <v>299</v>
      </c>
      <c r="F74" s="284" t="s">
        <v>284</v>
      </c>
      <c r="G74" s="309" t="s">
        <v>303</v>
      </c>
      <c r="H74" s="286">
        <v>66360</v>
      </c>
      <c r="I74" s="296">
        <f>IF(X74 = 66, H74 + SUM(S74:S77) - SUM(T74:T77) - SUM(P74:P77) - V74,0)</f>
        <v>50674</v>
      </c>
      <c r="J74" s="314">
        <v>2353020735</v>
      </c>
      <c r="K74" s="317" t="s">
        <v>287</v>
      </c>
      <c r="L74" s="288"/>
      <c r="M74" s="288" t="s">
        <v>288</v>
      </c>
      <c r="N74" s="168" t="s">
        <v>308</v>
      </c>
      <c r="O74" s="284" t="s">
        <v>289</v>
      </c>
      <c r="P74" s="163">
        <v>4572</v>
      </c>
      <c r="Q74" s="164" t="s">
        <v>312</v>
      </c>
      <c r="R74" s="162"/>
      <c r="S74" s="163"/>
      <c r="T74" s="163"/>
      <c r="U74" s="286"/>
      <c r="V74" s="320"/>
      <c r="W74" s="292"/>
      <c r="X74" s="85">
        <v>66</v>
      </c>
    </row>
    <row r="75" spans="1:24" x14ac:dyDescent="0.25">
      <c r="A75" s="384"/>
      <c r="B75" s="307"/>
      <c r="C75" s="307"/>
      <c r="D75" s="307"/>
      <c r="E75" s="307"/>
      <c r="F75" s="308"/>
      <c r="G75" s="310"/>
      <c r="H75" s="312"/>
      <c r="I75" s="313"/>
      <c r="J75" s="315"/>
      <c r="K75" s="318"/>
      <c r="L75" s="307"/>
      <c r="M75" s="307"/>
      <c r="N75" s="177" t="s">
        <v>308</v>
      </c>
      <c r="O75" s="308"/>
      <c r="P75" s="173">
        <v>4010</v>
      </c>
      <c r="Q75" s="174" t="s">
        <v>312</v>
      </c>
      <c r="R75" s="175"/>
      <c r="S75" s="173"/>
      <c r="T75" s="173"/>
      <c r="U75" s="312"/>
      <c r="V75" s="385"/>
      <c r="W75" s="386"/>
      <c r="X75" s="2">
        <v>66</v>
      </c>
    </row>
    <row r="76" spans="1:24" x14ac:dyDescent="0.25">
      <c r="A76" s="384"/>
      <c r="B76" s="307"/>
      <c r="C76" s="307"/>
      <c r="D76" s="307"/>
      <c r="E76" s="307"/>
      <c r="F76" s="308"/>
      <c r="G76" s="310"/>
      <c r="H76" s="312"/>
      <c r="I76" s="313"/>
      <c r="J76" s="315"/>
      <c r="K76" s="318"/>
      <c r="L76" s="307"/>
      <c r="M76" s="307"/>
      <c r="N76" s="177" t="s">
        <v>351</v>
      </c>
      <c r="O76" s="308"/>
      <c r="P76" s="173">
        <v>4494</v>
      </c>
      <c r="Q76" s="174" t="s">
        <v>361</v>
      </c>
      <c r="R76" s="175"/>
      <c r="S76" s="173"/>
      <c r="T76" s="173"/>
      <c r="U76" s="312"/>
      <c r="V76" s="385"/>
      <c r="W76" s="386"/>
      <c r="X76" s="2">
        <v>66</v>
      </c>
    </row>
    <row r="77" spans="1:24" x14ac:dyDescent="0.25">
      <c r="A77" s="283"/>
      <c r="B77" s="289"/>
      <c r="C77" s="289"/>
      <c r="D77" s="289"/>
      <c r="E77" s="289"/>
      <c r="F77" s="285"/>
      <c r="G77" s="311"/>
      <c r="H77" s="287"/>
      <c r="I77" s="297"/>
      <c r="J77" s="316"/>
      <c r="K77" s="319"/>
      <c r="L77" s="289"/>
      <c r="M77" s="289"/>
      <c r="N77" s="169" t="s">
        <v>351</v>
      </c>
      <c r="O77" s="285"/>
      <c r="P77" s="165">
        <v>2610</v>
      </c>
      <c r="Q77" s="166" t="s">
        <v>361</v>
      </c>
      <c r="R77" s="167"/>
      <c r="S77" s="165"/>
      <c r="T77" s="165"/>
      <c r="U77" s="287"/>
      <c r="V77" s="321"/>
      <c r="W77" s="293"/>
      <c r="X77" s="2">
        <v>66</v>
      </c>
    </row>
    <row r="78" spans="1:24" s="85" customFormat="1" ht="93.75" x14ac:dyDescent="0.25">
      <c r="A78" s="132">
        <v>14</v>
      </c>
      <c r="B78" s="128" t="s">
        <v>56</v>
      </c>
      <c r="C78" s="128"/>
      <c r="D78" s="128"/>
      <c r="E78" s="110" t="s">
        <v>252</v>
      </c>
      <c r="F78" s="137" t="s">
        <v>253</v>
      </c>
      <c r="G78" s="111" t="s">
        <v>254</v>
      </c>
      <c r="H78" s="129">
        <v>9000</v>
      </c>
      <c r="I78" s="134">
        <f>IF(X78 = 67, H78 + SUM(S78:S78) - SUM(T78:T78) - SUM(P78:P78) - V78,0)</f>
        <v>0</v>
      </c>
      <c r="J78" s="135">
        <v>2335015365</v>
      </c>
      <c r="K78" s="136" t="s">
        <v>155</v>
      </c>
      <c r="L78" s="128"/>
      <c r="M78" s="128" t="s">
        <v>255</v>
      </c>
      <c r="N78" s="137" t="s">
        <v>311</v>
      </c>
      <c r="O78" s="117" t="s">
        <v>256</v>
      </c>
      <c r="P78" s="129">
        <v>9000</v>
      </c>
      <c r="Q78" s="133" t="s">
        <v>315</v>
      </c>
      <c r="R78" s="128"/>
      <c r="S78" s="129"/>
      <c r="T78" s="129"/>
      <c r="U78" s="129"/>
      <c r="V78" s="130"/>
      <c r="W78" s="131"/>
      <c r="X78" s="85">
        <v>67</v>
      </c>
    </row>
    <row r="79" spans="1:24" s="85" customFormat="1" ht="75" x14ac:dyDescent="0.25">
      <c r="A79" s="132">
        <v>15</v>
      </c>
      <c r="B79" s="128" t="s">
        <v>56</v>
      </c>
      <c r="C79" s="128"/>
      <c r="D79" s="128"/>
      <c r="E79" s="128" t="s">
        <v>296</v>
      </c>
      <c r="F79" s="137" t="s">
        <v>257</v>
      </c>
      <c r="G79" s="111" t="s">
        <v>258</v>
      </c>
      <c r="H79" s="112">
        <v>5849</v>
      </c>
      <c r="I79" s="134">
        <f>IF(X79 = 68, H79 + SUM(S79:S79) - SUM(T79:T79) - SUM(P79:P79) - V79,0)</f>
        <v>0</v>
      </c>
      <c r="J79" s="114">
        <v>235002152355</v>
      </c>
      <c r="K79" s="136" t="s">
        <v>195</v>
      </c>
      <c r="L79" s="128"/>
      <c r="M79" s="110" t="s">
        <v>259</v>
      </c>
      <c r="N79" s="137" t="s">
        <v>306</v>
      </c>
      <c r="O79" s="117" t="s">
        <v>251</v>
      </c>
      <c r="P79" s="129">
        <v>5849</v>
      </c>
      <c r="Q79" s="133" t="s">
        <v>305</v>
      </c>
      <c r="R79" s="128"/>
      <c r="S79" s="129"/>
      <c r="T79" s="129"/>
      <c r="U79" s="129"/>
      <c r="V79" s="130"/>
      <c r="W79" s="131"/>
      <c r="X79" s="85">
        <v>68</v>
      </c>
    </row>
    <row r="80" spans="1:24" s="85" customFormat="1" ht="56.25" x14ac:dyDescent="0.25">
      <c r="A80" s="151">
        <v>16</v>
      </c>
      <c r="B80" s="153" t="s">
        <v>56</v>
      </c>
      <c r="C80" s="153"/>
      <c r="D80" s="153"/>
      <c r="E80" s="153" t="s">
        <v>325</v>
      </c>
      <c r="F80" s="158" t="s">
        <v>326</v>
      </c>
      <c r="G80" s="156" t="s">
        <v>332</v>
      </c>
      <c r="H80" s="152">
        <v>3000</v>
      </c>
      <c r="I80" s="157">
        <f>IF(X80 = 69, H80 + SUM(S80:S80) - SUM(T80:T80) - SUM(P80:P80) - V80,0)</f>
        <v>0</v>
      </c>
      <c r="J80" s="159">
        <v>2311187588</v>
      </c>
      <c r="K80" s="160" t="s">
        <v>327</v>
      </c>
      <c r="L80" s="153"/>
      <c r="M80" s="153" t="s">
        <v>328</v>
      </c>
      <c r="N80" s="158" t="s">
        <v>357</v>
      </c>
      <c r="O80" s="117" t="s">
        <v>329</v>
      </c>
      <c r="P80" s="152">
        <v>3000</v>
      </c>
      <c r="Q80" s="156" t="s">
        <v>356</v>
      </c>
      <c r="R80" s="153"/>
      <c r="S80" s="152"/>
      <c r="T80" s="152"/>
      <c r="U80" s="152"/>
      <c r="V80" s="161"/>
      <c r="W80" s="155"/>
      <c r="X80" s="85">
        <v>69</v>
      </c>
    </row>
    <row r="81" spans="24:24" ht="18" x14ac:dyDescent="0.3">
      <c r="X81" s="2">
        <v>70</v>
      </c>
    </row>
  </sheetData>
  <sheetProtection password="EB34" sheet="1" objects="1" scenarios="1" formatCells="0" formatColumns="0" formatRows="0"/>
  <mergeCells count="207">
    <mergeCell ref="W74:W77"/>
    <mergeCell ref="M47:M50"/>
    <mergeCell ref="A35:A43"/>
    <mergeCell ref="O35:O43"/>
    <mergeCell ref="U35:U43"/>
    <mergeCell ref="B35:B43"/>
    <mergeCell ref="V35:V43"/>
    <mergeCell ref="C35:C43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A47:A50"/>
    <mergeCell ref="O47:O50"/>
    <mergeCell ref="U47:U50"/>
    <mergeCell ref="B47:B50"/>
    <mergeCell ref="V47:V50"/>
    <mergeCell ref="C47:C50"/>
    <mergeCell ref="I35:I43"/>
    <mergeCell ref="J35:J43"/>
    <mergeCell ref="W47:W50"/>
    <mergeCell ref="A33:A34"/>
    <mergeCell ref="O33:O34"/>
    <mergeCell ref="U33:U34"/>
    <mergeCell ref="B33:B34"/>
    <mergeCell ref="V33:V34"/>
    <mergeCell ref="C33:C34"/>
    <mergeCell ref="W33:W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W35:W43"/>
    <mergeCell ref="D35:D43"/>
    <mergeCell ref="E35:E43"/>
    <mergeCell ref="F35:F43"/>
    <mergeCell ref="G35:G43"/>
    <mergeCell ref="H35:H43"/>
    <mergeCell ref="O31:O32"/>
    <mergeCell ref="U31:U32"/>
    <mergeCell ref="B31:B32"/>
    <mergeCell ref="V31:V32"/>
    <mergeCell ref="C31:C32"/>
    <mergeCell ref="W31:W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A51:A52"/>
    <mergeCell ref="O51:O52"/>
    <mergeCell ref="U51:U52"/>
    <mergeCell ref="B51:B52"/>
    <mergeCell ref="V51:V52"/>
    <mergeCell ref="C51:C52"/>
    <mergeCell ref="W51:W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W26:W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W23:W25"/>
    <mergeCell ref="O26:O30"/>
    <mergeCell ref="U26:U30"/>
    <mergeCell ref="V26:V30"/>
    <mergeCell ref="D26:D30"/>
    <mergeCell ref="E26:E30"/>
    <mergeCell ref="F26:F30"/>
    <mergeCell ref="G26:G30"/>
    <mergeCell ref="H26:H30"/>
    <mergeCell ref="V23:V25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L23:L25"/>
    <mergeCell ref="M23:M25"/>
    <mergeCell ref="A9:A22"/>
    <mergeCell ref="B9:B22"/>
    <mergeCell ref="C9:C22"/>
    <mergeCell ref="S2:U2"/>
    <mergeCell ref="F2:G2"/>
    <mergeCell ref="N2:O2"/>
    <mergeCell ref="A23:A25"/>
    <mergeCell ref="O23:O25"/>
    <mergeCell ref="U23:U25"/>
    <mergeCell ref="B23:B25"/>
    <mergeCell ref="A26:A30"/>
    <mergeCell ref="B26:B30"/>
    <mergeCell ref="C26:C30"/>
    <mergeCell ref="I26:I30"/>
    <mergeCell ref="J26:J30"/>
    <mergeCell ref="K26:K30"/>
    <mergeCell ref="L26:L30"/>
    <mergeCell ref="M26:M30"/>
    <mergeCell ref="A44:A45"/>
    <mergeCell ref="K35:K43"/>
    <mergeCell ref="L35:L43"/>
    <mergeCell ref="M35:M43"/>
    <mergeCell ref="K44:K45"/>
    <mergeCell ref="L44:L45"/>
    <mergeCell ref="M44:M45"/>
    <mergeCell ref="A31:A32"/>
    <mergeCell ref="O44:O45"/>
    <mergeCell ref="U44:U45"/>
    <mergeCell ref="B44:B45"/>
    <mergeCell ref="C44:C45"/>
    <mergeCell ref="V44:V45"/>
    <mergeCell ref="W44:W45"/>
    <mergeCell ref="D44:D45"/>
    <mergeCell ref="E44:E45"/>
    <mergeCell ref="F44:F45"/>
    <mergeCell ref="G44:G45"/>
    <mergeCell ref="H44:H45"/>
    <mergeCell ref="I44:I45"/>
    <mergeCell ref="J44:J45"/>
    <mergeCell ref="M74:M77"/>
    <mergeCell ref="A67:A73"/>
    <mergeCell ref="O67:O73"/>
    <mergeCell ref="U67:U73"/>
    <mergeCell ref="B67:B73"/>
    <mergeCell ref="V67:V73"/>
    <mergeCell ref="C67:C73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A74:A77"/>
    <mergeCell ref="O74:O77"/>
    <mergeCell ref="U74:U77"/>
    <mergeCell ref="B74:B77"/>
    <mergeCell ref="V74:V77"/>
    <mergeCell ref="C74:C77"/>
    <mergeCell ref="A53:A66"/>
    <mergeCell ref="O53:O66"/>
    <mergeCell ref="U53:U66"/>
    <mergeCell ref="B53:B66"/>
    <mergeCell ref="V53:V66"/>
    <mergeCell ref="C53:C66"/>
    <mergeCell ref="W53:W66"/>
    <mergeCell ref="D53:D66"/>
    <mergeCell ref="E53:E66"/>
    <mergeCell ref="F53:F66"/>
    <mergeCell ref="G53:G66"/>
    <mergeCell ref="H53:H66"/>
    <mergeCell ref="I53:I66"/>
    <mergeCell ref="J53:J66"/>
    <mergeCell ref="K53:K66"/>
    <mergeCell ref="L53:L66"/>
    <mergeCell ref="M53:M66"/>
    <mergeCell ref="W67:W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M67:M73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1"/>
  <sheetViews>
    <sheetView showGridLines="0" topLeftCell="E1" zoomScale="50" zoomScaleNormal="50" workbookViewId="0">
      <pane ySplit="8" topLeftCell="A9" activePane="bottomLeft" state="frozen"/>
      <selection pane="bottomLeft" activeCell="L10" sqref="L10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334" t="s">
        <v>24</v>
      </c>
      <c r="F2" s="335"/>
      <c r="G2" s="80">
        <f>SUM(G9:G9999)</f>
        <v>1097939</v>
      </c>
      <c r="L2" s="387" t="s">
        <v>137</v>
      </c>
      <c r="M2" s="388"/>
      <c r="N2" s="69">
        <f>SUM(N9:N9999)</f>
        <v>460655.67</v>
      </c>
      <c r="P2" s="68"/>
      <c r="Q2" s="278" t="s">
        <v>45</v>
      </c>
      <c r="R2" s="279"/>
      <c r="S2" s="280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389">
        <v>1</v>
      </c>
      <c r="B9" s="391"/>
      <c r="C9" s="391"/>
      <c r="D9" s="391" t="s">
        <v>149</v>
      </c>
      <c r="E9" s="399">
        <v>44925</v>
      </c>
      <c r="F9" s="393" t="s">
        <v>193</v>
      </c>
      <c r="G9" s="395">
        <v>1097939</v>
      </c>
      <c r="H9" s="401">
        <f>IF(V9 = 4, G9 + SUM(Q9:Q10) - SUM(R9:R10) - SUM(N9:N10) - T9,0)</f>
        <v>637283.33000000007</v>
      </c>
      <c r="I9" s="403">
        <v>2312054894</v>
      </c>
      <c r="J9" s="391" t="s">
        <v>150</v>
      </c>
      <c r="K9" s="391" t="s">
        <v>224</v>
      </c>
      <c r="L9" s="182" t="s">
        <v>308</v>
      </c>
      <c r="M9" s="391" t="s">
        <v>225</v>
      </c>
      <c r="N9" s="179">
        <v>383959.73</v>
      </c>
      <c r="O9" s="182" t="s">
        <v>352</v>
      </c>
      <c r="P9" s="184"/>
      <c r="Q9" s="179"/>
      <c r="R9" s="179"/>
      <c r="S9" s="393"/>
      <c r="T9" s="395"/>
      <c r="U9" s="397"/>
      <c r="V9" s="85">
        <v>4</v>
      </c>
    </row>
    <row r="10" spans="1:22" x14ac:dyDescent="0.25">
      <c r="A10" s="390"/>
      <c r="B10" s="392"/>
      <c r="C10" s="392"/>
      <c r="D10" s="392"/>
      <c r="E10" s="400"/>
      <c r="F10" s="394"/>
      <c r="G10" s="396"/>
      <c r="H10" s="402"/>
      <c r="I10" s="404"/>
      <c r="J10" s="392"/>
      <c r="K10" s="392"/>
      <c r="L10" s="183" t="s">
        <v>351</v>
      </c>
      <c r="M10" s="392"/>
      <c r="N10" s="180">
        <v>76695.94</v>
      </c>
      <c r="O10" s="183" t="s">
        <v>360</v>
      </c>
      <c r="P10" s="185"/>
      <c r="Q10" s="180"/>
      <c r="R10" s="180"/>
      <c r="S10" s="394"/>
      <c r="T10" s="396"/>
      <c r="U10" s="398"/>
      <c r="V10" s="2">
        <v>4</v>
      </c>
    </row>
    <row r="11" spans="1:22" ht="18" x14ac:dyDescent="0.3">
      <c r="V11" s="2">
        <v>5</v>
      </c>
    </row>
  </sheetData>
  <sheetProtection password="EB34" sheet="1" objects="1" scenarios="1" formatCells="0" formatColumns="0" formatRows="0"/>
  <mergeCells count="18"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  <mergeCell ref="Q2:S2"/>
    <mergeCell ref="E2:F2"/>
    <mergeCell ref="L2:M2"/>
    <mergeCell ref="A9:A10"/>
    <mergeCell ref="M9:M10"/>
    <mergeCell ref="S9:S10"/>
    <mergeCell ref="B9:B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tabSelected="1" topLeftCell="O1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34" t="s">
        <v>139</v>
      </c>
      <c r="F2" s="335"/>
      <c r="G2" s="82">
        <f>SUM(G9:G9999)</f>
        <v>0</v>
      </c>
      <c r="O2" s="334" t="s">
        <v>24</v>
      </c>
      <c r="P2" s="335"/>
      <c r="Q2" s="80">
        <f>SUM(Q9:Q9999)</f>
        <v>0</v>
      </c>
      <c r="T2" s="278" t="s">
        <v>137</v>
      </c>
      <c r="U2" s="280"/>
      <c r="V2" s="69">
        <f>SUM(V9:V9999)</f>
        <v>0</v>
      </c>
      <c r="X2" s="68"/>
      <c r="Y2" s="278" t="s">
        <v>45</v>
      </c>
      <c r="Z2" s="279"/>
      <c r="AA2" s="280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34" t="s">
        <v>139</v>
      </c>
      <c r="F2" s="335"/>
      <c r="G2" s="82">
        <f>SUM(G9:G9999)</f>
        <v>0</v>
      </c>
      <c r="H2" s="10"/>
      <c r="O2" s="334" t="s">
        <v>24</v>
      </c>
      <c r="P2" s="335"/>
      <c r="Q2" s="80">
        <f>SUM(Q9:Q9999)</f>
        <v>0</v>
      </c>
      <c r="T2" s="278" t="s">
        <v>137</v>
      </c>
      <c r="U2" s="280"/>
      <c r="V2" s="69">
        <f>SUM(V9:V9999)</f>
        <v>0</v>
      </c>
      <c r="X2" s="68"/>
      <c r="Y2" s="278" t="s">
        <v>45</v>
      </c>
      <c r="Z2" s="279"/>
      <c r="AA2" s="280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lNsEI2bwGGtqLeJKN21Kz84uBM+Te8m6uwjZ6NkLT4YLxadifItjZxYz+O5ICcL5UHtV5EFb4Dzz0NSc5Lb/pQ==" saltValue="+Zrs4WOvtYPthcGymcR+X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28"/>
  <sheetViews>
    <sheetView showGridLines="0" topLeftCell="O1" zoomScale="50" zoomScaleNormal="50" workbookViewId="0">
      <pane ySplit="8" topLeftCell="A9" activePane="bottomLeft" state="frozen"/>
      <selection pane="bottomLeft" activeCell="T19" sqref="T19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34" t="s">
        <v>139</v>
      </c>
      <c r="F2" s="335"/>
      <c r="G2" s="82">
        <f>SUM(G9:G9999)</f>
        <v>1367088</v>
      </c>
      <c r="H2" s="10"/>
      <c r="O2" s="334" t="s">
        <v>24</v>
      </c>
      <c r="P2" s="335"/>
      <c r="Q2" s="80">
        <f>SUM(Q9:Q9999)</f>
        <v>1241120.1600000001</v>
      </c>
      <c r="T2" s="278" t="s">
        <v>137</v>
      </c>
      <c r="U2" s="280"/>
      <c r="V2" s="69">
        <f>SUM(V9:V9999)</f>
        <v>687676.32000000007</v>
      </c>
      <c r="X2" s="68"/>
      <c r="Y2" s="278" t="s">
        <v>45</v>
      </c>
      <c r="Z2" s="279"/>
      <c r="AA2" s="280"/>
      <c r="AB2" s="70">
        <f>SUM(AB9:AB9999)</f>
        <v>8112</v>
      </c>
    </row>
    <row r="4" spans="1:30" ht="39.950000000000003" customHeight="1" x14ac:dyDescent="0.3">
      <c r="P4" s="277"/>
      <c r="Q4" s="277"/>
      <c r="R4" s="277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405">
        <v>1</v>
      </c>
      <c r="B9" s="408"/>
      <c r="C9" s="408" t="s">
        <v>162</v>
      </c>
      <c r="D9" s="408"/>
      <c r="E9" s="408" t="s">
        <v>163</v>
      </c>
      <c r="F9" s="408" t="s">
        <v>164</v>
      </c>
      <c r="G9" s="411">
        <v>624240</v>
      </c>
      <c r="H9" s="417">
        <f>IF(AD9 = 1, G9 - Q9,0)</f>
        <v>66540</v>
      </c>
      <c r="I9" s="411"/>
      <c r="J9" s="411"/>
      <c r="K9" s="408"/>
      <c r="L9" s="408"/>
      <c r="M9" s="408" t="s">
        <v>168</v>
      </c>
      <c r="N9" s="420" t="s">
        <v>169</v>
      </c>
      <c r="O9" s="423">
        <v>2308080429</v>
      </c>
      <c r="P9" s="408" t="s">
        <v>170</v>
      </c>
      <c r="Q9" s="411">
        <v>557700</v>
      </c>
      <c r="R9" s="417">
        <f>IF(AD9 = 1, Q9 + SUM(Y9:Y17) - SUM(Z9:Z17) - SUM(V9:V17) - AB9,0)</f>
        <v>0</v>
      </c>
      <c r="S9" s="408" t="s">
        <v>172</v>
      </c>
      <c r="T9" s="125" t="s">
        <v>166</v>
      </c>
      <c r="U9" s="408" t="s">
        <v>171</v>
      </c>
      <c r="V9" s="120">
        <v>52728</v>
      </c>
      <c r="W9" s="125" t="s">
        <v>173</v>
      </c>
      <c r="X9" s="119"/>
      <c r="Y9" s="120"/>
      <c r="Z9" s="120"/>
      <c r="AA9" s="408" t="s">
        <v>304</v>
      </c>
      <c r="AB9" s="411">
        <v>8112</v>
      </c>
      <c r="AC9" s="414"/>
      <c r="AD9" s="85">
        <v>1</v>
      </c>
    </row>
    <row r="10" spans="1:30" x14ac:dyDescent="0.25">
      <c r="A10" s="406"/>
      <c r="B10" s="409"/>
      <c r="C10" s="409"/>
      <c r="D10" s="409"/>
      <c r="E10" s="409"/>
      <c r="F10" s="409"/>
      <c r="G10" s="412"/>
      <c r="H10" s="418"/>
      <c r="I10" s="412"/>
      <c r="J10" s="412"/>
      <c r="K10" s="409"/>
      <c r="L10" s="409"/>
      <c r="M10" s="409"/>
      <c r="N10" s="421"/>
      <c r="O10" s="424"/>
      <c r="P10" s="409"/>
      <c r="Q10" s="412"/>
      <c r="R10" s="418"/>
      <c r="S10" s="409"/>
      <c r="T10" s="126" t="s">
        <v>174</v>
      </c>
      <c r="U10" s="409"/>
      <c r="V10" s="121">
        <v>62868</v>
      </c>
      <c r="W10" s="126" t="s">
        <v>176</v>
      </c>
      <c r="X10" s="122"/>
      <c r="Y10" s="121"/>
      <c r="Z10" s="121"/>
      <c r="AA10" s="409"/>
      <c r="AB10" s="412"/>
      <c r="AC10" s="415"/>
      <c r="AD10" s="2">
        <v>1</v>
      </c>
    </row>
    <row r="11" spans="1:30" x14ac:dyDescent="0.25">
      <c r="A11" s="406"/>
      <c r="B11" s="409"/>
      <c r="C11" s="409"/>
      <c r="D11" s="409"/>
      <c r="E11" s="409"/>
      <c r="F11" s="409"/>
      <c r="G11" s="412"/>
      <c r="H11" s="418"/>
      <c r="I11" s="412"/>
      <c r="J11" s="412"/>
      <c r="K11" s="409"/>
      <c r="L11" s="409"/>
      <c r="M11" s="409"/>
      <c r="N11" s="421"/>
      <c r="O11" s="424"/>
      <c r="P11" s="409"/>
      <c r="Q11" s="412"/>
      <c r="R11" s="418"/>
      <c r="S11" s="409"/>
      <c r="T11" s="126" t="s">
        <v>179</v>
      </c>
      <c r="U11" s="409"/>
      <c r="V11" s="121">
        <v>60840</v>
      </c>
      <c r="W11" s="126" t="s">
        <v>178</v>
      </c>
      <c r="X11" s="122"/>
      <c r="Y11" s="121"/>
      <c r="Z11" s="121"/>
      <c r="AA11" s="409"/>
      <c r="AB11" s="412"/>
      <c r="AC11" s="415"/>
      <c r="AD11" s="2">
        <v>1</v>
      </c>
    </row>
    <row r="12" spans="1:30" x14ac:dyDescent="0.25">
      <c r="A12" s="406"/>
      <c r="B12" s="409"/>
      <c r="C12" s="409"/>
      <c r="D12" s="409"/>
      <c r="E12" s="409"/>
      <c r="F12" s="409"/>
      <c r="G12" s="412"/>
      <c r="H12" s="418"/>
      <c r="I12" s="412"/>
      <c r="J12" s="412"/>
      <c r="K12" s="409"/>
      <c r="L12" s="409"/>
      <c r="M12" s="409"/>
      <c r="N12" s="421"/>
      <c r="O12" s="424"/>
      <c r="P12" s="409"/>
      <c r="Q12" s="412"/>
      <c r="R12" s="418"/>
      <c r="S12" s="409"/>
      <c r="T12" s="126" t="s">
        <v>180</v>
      </c>
      <c r="U12" s="409"/>
      <c r="V12" s="121">
        <v>62868</v>
      </c>
      <c r="W12" s="126" t="s">
        <v>181</v>
      </c>
      <c r="X12" s="122"/>
      <c r="Y12" s="121"/>
      <c r="Z12" s="121"/>
      <c r="AA12" s="409"/>
      <c r="AB12" s="412"/>
      <c r="AC12" s="415"/>
      <c r="AD12" s="2">
        <v>1</v>
      </c>
    </row>
    <row r="13" spans="1:30" x14ac:dyDescent="0.25">
      <c r="A13" s="406"/>
      <c r="B13" s="409"/>
      <c r="C13" s="409"/>
      <c r="D13" s="409"/>
      <c r="E13" s="409"/>
      <c r="F13" s="409"/>
      <c r="G13" s="412"/>
      <c r="H13" s="418"/>
      <c r="I13" s="412"/>
      <c r="J13" s="412"/>
      <c r="K13" s="409"/>
      <c r="L13" s="409"/>
      <c r="M13" s="409"/>
      <c r="N13" s="421"/>
      <c r="O13" s="424"/>
      <c r="P13" s="409"/>
      <c r="Q13" s="412"/>
      <c r="R13" s="418"/>
      <c r="S13" s="409"/>
      <c r="T13" s="126" t="s">
        <v>184</v>
      </c>
      <c r="U13" s="409"/>
      <c r="V13" s="121">
        <v>62868</v>
      </c>
      <c r="W13" s="126" t="s">
        <v>183</v>
      </c>
      <c r="X13" s="122"/>
      <c r="Y13" s="121"/>
      <c r="Z13" s="121"/>
      <c r="AA13" s="409"/>
      <c r="AB13" s="412"/>
      <c r="AC13" s="415"/>
      <c r="AD13" s="2">
        <v>1</v>
      </c>
    </row>
    <row r="14" spans="1:30" x14ac:dyDescent="0.25">
      <c r="A14" s="406"/>
      <c r="B14" s="409"/>
      <c r="C14" s="409"/>
      <c r="D14" s="409"/>
      <c r="E14" s="409"/>
      <c r="F14" s="409"/>
      <c r="G14" s="412"/>
      <c r="H14" s="418"/>
      <c r="I14" s="412"/>
      <c r="J14" s="412"/>
      <c r="K14" s="409"/>
      <c r="L14" s="409"/>
      <c r="M14" s="409"/>
      <c r="N14" s="421"/>
      <c r="O14" s="424"/>
      <c r="P14" s="409"/>
      <c r="Q14" s="412"/>
      <c r="R14" s="418"/>
      <c r="S14" s="409"/>
      <c r="T14" s="126" t="s">
        <v>188</v>
      </c>
      <c r="U14" s="409"/>
      <c r="V14" s="121">
        <v>60840</v>
      </c>
      <c r="W14" s="126" t="s">
        <v>189</v>
      </c>
      <c r="X14" s="122"/>
      <c r="Y14" s="121"/>
      <c r="Z14" s="121"/>
      <c r="AA14" s="409"/>
      <c r="AB14" s="412"/>
      <c r="AC14" s="415"/>
      <c r="AD14" s="2">
        <v>1</v>
      </c>
    </row>
    <row r="15" spans="1:30" x14ac:dyDescent="0.25">
      <c r="A15" s="406"/>
      <c r="B15" s="409"/>
      <c r="C15" s="409"/>
      <c r="D15" s="409"/>
      <c r="E15" s="409"/>
      <c r="F15" s="409"/>
      <c r="G15" s="412"/>
      <c r="H15" s="418"/>
      <c r="I15" s="412"/>
      <c r="J15" s="412"/>
      <c r="K15" s="409"/>
      <c r="L15" s="409"/>
      <c r="M15" s="409"/>
      <c r="N15" s="421"/>
      <c r="O15" s="424"/>
      <c r="P15" s="409"/>
      <c r="Q15" s="412"/>
      <c r="R15" s="418"/>
      <c r="S15" s="409"/>
      <c r="T15" s="126" t="s">
        <v>197</v>
      </c>
      <c r="U15" s="409"/>
      <c r="V15" s="121">
        <v>62868</v>
      </c>
      <c r="W15" s="126" t="s">
        <v>196</v>
      </c>
      <c r="X15" s="122"/>
      <c r="Y15" s="121"/>
      <c r="Z15" s="121"/>
      <c r="AA15" s="409"/>
      <c r="AB15" s="412"/>
      <c r="AC15" s="415"/>
      <c r="AD15" s="2">
        <v>1</v>
      </c>
    </row>
    <row r="16" spans="1:30" x14ac:dyDescent="0.25">
      <c r="A16" s="406"/>
      <c r="B16" s="409"/>
      <c r="C16" s="409"/>
      <c r="D16" s="409"/>
      <c r="E16" s="409"/>
      <c r="F16" s="409"/>
      <c r="G16" s="412"/>
      <c r="H16" s="418"/>
      <c r="I16" s="412"/>
      <c r="J16" s="412"/>
      <c r="K16" s="409"/>
      <c r="L16" s="409"/>
      <c r="M16" s="409"/>
      <c r="N16" s="421"/>
      <c r="O16" s="424"/>
      <c r="P16" s="409"/>
      <c r="Q16" s="412"/>
      <c r="R16" s="418"/>
      <c r="S16" s="409"/>
      <c r="T16" s="126" t="s">
        <v>203</v>
      </c>
      <c r="U16" s="409"/>
      <c r="V16" s="121">
        <v>60840</v>
      </c>
      <c r="W16" s="126" t="s">
        <v>202</v>
      </c>
      <c r="X16" s="122"/>
      <c r="Y16" s="121"/>
      <c r="Z16" s="121"/>
      <c r="AA16" s="409"/>
      <c r="AB16" s="412"/>
      <c r="AC16" s="415"/>
      <c r="AD16" s="2">
        <v>1</v>
      </c>
    </row>
    <row r="17" spans="1:30" x14ac:dyDescent="0.25">
      <c r="A17" s="407"/>
      <c r="B17" s="410"/>
      <c r="C17" s="410"/>
      <c r="D17" s="410"/>
      <c r="E17" s="410"/>
      <c r="F17" s="410"/>
      <c r="G17" s="413"/>
      <c r="H17" s="419"/>
      <c r="I17" s="413"/>
      <c r="J17" s="413"/>
      <c r="K17" s="410"/>
      <c r="L17" s="410"/>
      <c r="M17" s="410"/>
      <c r="N17" s="422"/>
      <c r="O17" s="425"/>
      <c r="P17" s="410"/>
      <c r="Q17" s="413"/>
      <c r="R17" s="419"/>
      <c r="S17" s="410"/>
      <c r="T17" s="127" t="s">
        <v>263</v>
      </c>
      <c r="U17" s="410"/>
      <c r="V17" s="123">
        <v>62868</v>
      </c>
      <c r="W17" s="127" t="s">
        <v>262</v>
      </c>
      <c r="X17" s="124"/>
      <c r="Y17" s="123"/>
      <c r="Z17" s="123"/>
      <c r="AA17" s="410"/>
      <c r="AB17" s="413"/>
      <c r="AC17" s="416"/>
      <c r="AD17" s="2">
        <v>1</v>
      </c>
    </row>
    <row r="18" spans="1:30" s="85" customFormat="1" ht="72" customHeight="1" x14ac:dyDescent="0.25">
      <c r="A18" s="389">
        <v>2</v>
      </c>
      <c r="B18" s="391"/>
      <c r="C18" s="391" t="s">
        <v>206</v>
      </c>
      <c r="D18" s="391"/>
      <c r="E18" s="391" t="s">
        <v>207</v>
      </c>
      <c r="F18" s="391" t="s">
        <v>164</v>
      </c>
      <c r="G18" s="395">
        <v>742848</v>
      </c>
      <c r="H18" s="401">
        <f>IF(AD18 = 3, G18 - Q18,0)</f>
        <v>59427.839999999967</v>
      </c>
      <c r="I18" s="395"/>
      <c r="J18" s="395"/>
      <c r="K18" s="391"/>
      <c r="L18" s="391"/>
      <c r="M18" s="391" t="s">
        <v>207</v>
      </c>
      <c r="N18" s="399" t="s">
        <v>201</v>
      </c>
      <c r="O18" s="426">
        <v>2304067057</v>
      </c>
      <c r="P18" s="391" t="s">
        <v>208</v>
      </c>
      <c r="Q18" s="395">
        <v>683420.16000000003</v>
      </c>
      <c r="R18" s="401">
        <f>IF(AD18 = 3, Q18 + SUM(Y18:Y19) - SUM(Z18:Z19) - SUM(V18:V19) - AB18,0)</f>
        <v>545331.84000000008</v>
      </c>
      <c r="S18" s="391" t="s">
        <v>209</v>
      </c>
      <c r="T18" s="182" t="s">
        <v>308</v>
      </c>
      <c r="U18" s="391" t="s">
        <v>210</v>
      </c>
      <c r="V18" s="179">
        <v>72554.880000000005</v>
      </c>
      <c r="W18" s="182" t="s">
        <v>314</v>
      </c>
      <c r="X18" s="178"/>
      <c r="Y18" s="179"/>
      <c r="Z18" s="179"/>
      <c r="AA18" s="391"/>
      <c r="AB18" s="395"/>
      <c r="AC18" s="397"/>
      <c r="AD18" s="85">
        <v>3</v>
      </c>
    </row>
    <row r="19" spans="1:30" x14ac:dyDescent="0.25">
      <c r="A19" s="390"/>
      <c r="B19" s="392"/>
      <c r="C19" s="392"/>
      <c r="D19" s="392"/>
      <c r="E19" s="392"/>
      <c r="F19" s="392"/>
      <c r="G19" s="396"/>
      <c r="H19" s="402"/>
      <c r="I19" s="396"/>
      <c r="J19" s="396"/>
      <c r="K19" s="392"/>
      <c r="L19" s="392"/>
      <c r="M19" s="392"/>
      <c r="N19" s="400"/>
      <c r="O19" s="427"/>
      <c r="P19" s="392"/>
      <c r="Q19" s="396"/>
      <c r="R19" s="402"/>
      <c r="S19" s="392"/>
      <c r="T19" s="183" t="s">
        <v>352</v>
      </c>
      <c r="U19" s="392"/>
      <c r="V19" s="180">
        <v>65533.440000000002</v>
      </c>
      <c r="W19" s="183" t="s">
        <v>355</v>
      </c>
      <c r="X19" s="181"/>
      <c r="Y19" s="180"/>
      <c r="Z19" s="180"/>
      <c r="AA19" s="392"/>
      <c r="AB19" s="396"/>
      <c r="AC19" s="398"/>
      <c r="AD19" s="2">
        <v>3</v>
      </c>
    </row>
    <row r="20" spans="1:30" ht="18" x14ac:dyDescent="0.3">
      <c r="M20" s="3"/>
      <c r="AD20" s="2">
        <v>4</v>
      </c>
    </row>
    <row r="21" spans="1:30" ht="18" x14ac:dyDescent="0.3">
      <c r="M21" s="3"/>
    </row>
    <row r="22" spans="1:30" ht="18" x14ac:dyDescent="0.3">
      <c r="M22" s="3"/>
    </row>
    <row r="23" spans="1:30" ht="18" x14ac:dyDescent="0.3">
      <c r="M23" s="3"/>
    </row>
    <row r="24" spans="1:30" ht="18" x14ac:dyDescent="0.3">
      <c r="M24" s="3"/>
    </row>
    <row r="25" spans="1:30" ht="18" x14ac:dyDescent="0.3">
      <c r="M25" s="3"/>
    </row>
    <row r="26" spans="1:30" ht="18" x14ac:dyDescent="0.3">
      <c r="M26" s="3"/>
    </row>
    <row r="27" spans="1:30" ht="18" x14ac:dyDescent="0.3">
      <c r="M27" s="3"/>
    </row>
    <row r="28" spans="1:30" ht="18" x14ac:dyDescent="0.3">
      <c r="M28" s="3"/>
    </row>
  </sheetData>
  <sheetProtection algorithmName="SHA-512" hashValue="5TQ8AwdGXQkW+Ol9sh2RxA9hmmJTMf4XVwgWYBTdeJbYhAVfxvJf8P1eDkEQYfRvLYj6jRK/ko/fbCK38CkyDw==" saltValue="yY2CBhG3bTbRvNY4gLBiWA==" spinCount="100000" sheet="1" objects="1" scenarios="1" formatCells="0" formatColumns="0" formatRows="0"/>
  <mergeCells count="51">
    <mergeCell ref="AC18:A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A18:A19"/>
    <mergeCell ref="U18:U19"/>
    <mergeCell ref="AA18:AA19"/>
    <mergeCell ref="B18:B19"/>
    <mergeCell ref="AB18:AB19"/>
    <mergeCell ref="C18:C19"/>
    <mergeCell ref="S18:S19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P4:R4"/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36</v>
      </c>
      <c r="B1" s="47">
        <v>16</v>
      </c>
      <c r="C1" s="47">
        <v>9</v>
      </c>
      <c r="D1" s="430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431"/>
      <c r="E2" s="32"/>
      <c r="F2" s="62">
        <v>64</v>
      </c>
      <c r="G2" s="66">
        <v>69</v>
      </c>
      <c r="H2" s="65">
        <v>4</v>
      </c>
      <c r="I2" s="64">
        <v>0</v>
      </c>
      <c r="J2" s="63">
        <v>0</v>
      </c>
      <c r="K2" s="67">
        <v>3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80</v>
      </c>
      <c r="B4" s="44">
        <v>16</v>
      </c>
      <c r="C4" s="44">
        <v>9</v>
      </c>
      <c r="D4" s="432" t="s">
        <v>102</v>
      </c>
      <c r="E4" s="32"/>
      <c r="F4" s="62">
        <v>65</v>
      </c>
      <c r="G4" s="66">
        <v>70</v>
      </c>
      <c r="H4" s="65">
        <v>5</v>
      </c>
      <c r="I4" s="64">
        <v>0</v>
      </c>
      <c r="J4" s="63">
        <v>0</v>
      </c>
      <c r="K4" s="67">
        <v>4</v>
      </c>
    </row>
    <row r="5" spans="1:11" x14ac:dyDescent="0.25">
      <c r="A5" s="43" t="s">
        <v>89</v>
      </c>
      <c r="B5" s="44" t="s">
        <v>88</v>
      </c>
      <c r="C5" s="44" t="s">
        <v>87</v>
      </c>
      <c r="D5" s="433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10</v>
      </c>
      <c r="B7" s="46">
        <v>1</v>
      </c>
      <c r="C7" s="46">
        <v>9</v>
      </c>
      <c r="D7" s="434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435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436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437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438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439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19</v>
      </c>
      <c r="B16" s="38">
        <v>2</v>
      </c>
      <c r="C16" s="38">
        <v>9</v>
      </c>
      <c r="D16" s="428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429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2023-04-04T13:10:36Z</dcterms:modified>
</cp:coreProperties>
</file>