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7840" windowHeight="12960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H2" i="31" l="1"/>
  <c r="P2" i="31"/>
  <c r="V2" i="31"/>
  <c r="G2" i="19"/>
  <c r="N2" i="19"/>
  <c r="T2" i="19"/>
  <c r="G2" i="17"/>
  <c r="Q2" i="17"/>
  <c r="V2" i="17"/>
  <c r="AB2" i="17"/>
  <c r="G2" i="22"/>
  <c r="Q2" i="22"/>
  <c r="V2" i="22"/>
  <c r="AB2" i="22"/>
  <c r="G2" i="20"/>
  <c r="Q2" i="20"/>
  <c r="V2" i="20"/>
  <c r="AB2" i="20"/>
  <c r="H9" i="22" l="1"/>
  <c r="R9" i="22"/>
  <c r="H10" i="17"/>
  <c r="R10" i="17"/>
  <c r="H2" i="27"/>
  <c r="P2" i="27"/>
  <c r="V2" i="27"/>
  <c r="I19" i="31" l="1"/>
  <c r="I18" i="31"/>
  <c r="I17" i="31"/>
  <c r="I16" i="31"/>
  <c r="I15" i="31"/>
  <c r="I14" i="31"/>
  <c r="I13" i="31"/>
  <c r="I12" i="31"/>
  <c r="I11" i="31"/>
  <c r="I10" i="31"/>
  <c r="I9" i="31"/>
  <c r="I9" i="27"/>
  <c r="H9" i="19" l="1"/>
  <c r="H9" i="17" l="1"/>
  <c r="R9" i="17"/>
  <c r="D13" i="21" l="1"/>
  <c r="G13" i="21" s="1"/>
  <c r="R8" i="20" l="1"/>
  <c r="H8" i="20"/>
  <c r="R8" i="22"/>
  <c r="H8" i="22"/>
  <c r="I8" i="27" l="1"/>
  <c r="J9" i="21" l="1"/>
  <c r="J13" i="21"/>
  <c r="M5" i="21" s="1"/>
  <c r="J14" i="21" l="1"/>
  <c r="D14" i="21"/>
  <c r="G14" i="21" s="1"/>
  <c r="D12" i="21"/>
  <c r="J12" i="21"/>
  <c r="D19" i="21"/>
  <c r="G12" i="21" l="1"/>
  <c r="H5" i="21" s="1"/>
  <c r="M13" i="21"/>
  <c r="M14" i="21"/>
  <c r="J11" i="21"/>
  <c r="J10" i="21"/>
  <c r="J15" i="21" l="1"/>
  <c r="D10" i="21"/>
  <c r="R8" i="17" l="1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<sst xmlns="http://schemas.openxmlformats.org/spreadsheetml/2006/main" count="528" uniqueCount="210">
  <si>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</si>
  <si>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</si>
  <si>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</si>
  <si>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</si>
  <si>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</si>
  <si>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</si>
  <si>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</si>
  <si>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</si>
  <si>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</si>
  <si>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</si>
  <si>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</si>
  <si>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</si>
  <si>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</si>
  <si>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</si>
  <si>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</si>
  <si>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</si>
  <si>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</si>
  <si>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</si>
  <si>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</si>
  <si>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</si>
  <si>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</si>
  <si>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</si>
  <si>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</si>
  <si>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</si>
  <si>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</si>
  <si>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</si>
  <si>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</si>
  <si>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</si>
  <si>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</si>
  <si>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</si>
  <si>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</si>
  <si>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</si>
  <si>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</si>
  <si>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</si>
  <si>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</si>
  <si>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</si>
  <si>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</si>
  <si>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</si>
  <si>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</si>
  <si>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</si>
  <si>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</si>
  <si>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</si>
  <si>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</si>
  <si>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</si>
  <si>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</si>
  <si>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</si>
  <si>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</si>
  <si>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</si>
  <si>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</si>
  <si>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</si>
  <si>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</si>
  <si>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</si>
  <si>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</si>
  <si>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</si>
  <si>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</si>
  <si>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</si>
  <si>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</si>
  <si>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</si>
  <si>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</si>
  <si>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</si>
  <si>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</si>
  <si>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</si>
  <si>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</si>
  <si>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</si>
  <si>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</si>
  <si>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</si>
  <si>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</si>
  <si>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</si>
  <si>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</si>
  <si>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</si>
  <si>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</si>
  <si>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</si>
  <si>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</si>
  <si>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</si>
  <si>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</si>
  <si>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</si>
  <si>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</si>
  <si>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</si>
  <si>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</si>
  <si>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</si>
  <si>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</si>
  <si>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</si>
  <si>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</si>
  <si>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</si>
  <si>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</si>
  <si>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</si>
  <si>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</si>
  <si>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</si>
  <si>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</si>
  <si>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</si>
  <si>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</si>
  <si>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</si>
  <si>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</si>
  <si>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</si>
  <si>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</si>
  <si>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</si>
  <si>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</si>
  <si>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</si>
  <si>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</si>
  <si>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</si>
  <si>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</si>
  <si>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</si>
  <si>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</si>
  <si>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</si>
  <si>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</si>
  <si>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</si>
  <si>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</si>
  <si>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</si>
  <si>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</si>
  <si>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</si>
  <si>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</si>
  <si>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</si>
  <si>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</si>
  <si>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</si>
  <si>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</si>
  <si>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</si>
  <si>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</si>
  <si>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</si>
  <si>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</si>
  <si>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</si>
  <si>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</si>
  <si>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</si>
  <si>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</si>
  <si>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</si>
  <si>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</si>
  <si>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</si>
  <si>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</si>
  <si>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</si>
  <si>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</si>
  <si>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</si>
  <si>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</si>
  <si>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</si>
  <si>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</si>
  <si>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</si>
  <si>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</si>
  <si>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</si>
  <si>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</si>
  <si>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</si>
  <si>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</si>
  <si>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</si>
  <si>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</si>
  <si>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</si>
  <si>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</si>
  <si>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</si>
  <si>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</si>
  <si>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</si>
  <si>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АО "АТЭК"</t>
  </si>
  <si>
    <t>ФГКУ "УВО ВНГ России по Краснодарскому краю"</t>
  </si>
  <si>
    <t>№ 1770</t>
  </si>
  <si>
    <t>Поставка тепловой энергии</t>
  </si>
  <si>
    <t>МУП ЖКХ "Поселковое"</t>
  </si>
  <si>
    <t xml:space="preserve">До 18 числа текущего месяца 30%, за фактически потребленную до 25 числа месяца,следующего за расчетным </t>
  </si>
  <si>
    <t>№ 23070500354</t>
  </si>
  <si>
    <t>ООО "КАНкорт"</t>
  </si>
  <si>
    <t>МБОУ СОШ № 14</t>
  </si>
  <si>
    <t>АО "Мусороуборочная компания"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</si>
  <si>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</si>
  <si>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</si>
  <si>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</si>
  <si>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№14/1</t>
  </si>
  <si>
    <t>№14</t>
  </si>
  <si>
    <t>№1</t>
  </si>
  <si>
    <t>ИП Даценко И.Н.</t>
  </si>
  <si>
    <t>28.12.2024г.</t>
  </si>
  <si>
    <t>электрическая энергия</t>
  </si>
  <si>
    <t>ПАО "ТНСэнерго Кубань"</t>
  </si>
  <si>
    <t>с 01.01.2025г. по 30.06.2025г.</t>
  </si>
  <si>
    <t>30% до 10 числа расчетного месяца, 40% до 25 числа расчетного месяца</t>
  </si>
  <si>
    <t>№ 173/24</t>
  </si>
  <si>
    <t>медицинские услуги по проведению предрейсовых, послерейсовых медицинских осмотров транспортных средств</t>
  </si>
  <si>
    <t>ГБУЗ "Тимашевская ЦРБ"</t>
  </si>
  <si>
    <t>с 01.01.2025г. по 31.12.2025г.</t>
  </si>
  <si>
    <t>в течении 7 рабочих дней с даты подписания обеими сторонами Акта об оказании услуг</t>
  </si>
  <si>
    <t>№19576/ТМ</t>
  </si>
  <si>
    <t>услуги по обращению с твердыми коммунальными отходами</t>
  </si>
  <si>
    <t>до 10 числа месяца, следующего за месяцем, в котором была оказана услуга</t>
  </si>
  <si>
    <t>№ДГ25/104</t>
  </si>
  <si>
    <t>услуги по техническому сопровождению транспортных средств</t>
  </si>
  <si>
    <t>охрана (ПЦН)</t>
  </si>
  <si>
    <t>в течение 10 рабочих дней с момента подписания акта выполненных работ</t>
  </si>
  <si>
    <t>в течение 10 рабочих дней с даты подписания документов о приемке оказанных услуг</t>
  </si>
  <si>
    <t>27.01.2025г.</t>
  </si>
  <si>
    <t>холодное водоснабжение</t>
  </si>
  <si>
    <t>в течение 10 рабочих дней с даты подписания акта</t>
  </si>
  <si>
    <t>№05-122024</t>
  </si>
  <si>
    <t>услуги по техническому обслуживанию АПС</t>
  </si>
  <si>
    <t>в течение 10 рабочих дней с даты подписания акта выполненных работ</t>
  </si>
  <si>
    <t>№06-122024</t>
  </si>
  <si>
    <t>услуги по техническому мониторингу и плановому эксплуатационно-техническому обслуживанию оборудования ПАК "Стрелец-Мониторинг"</t>
  </si>
  <si>
    <t>№07-122024</t>
  </si>
  <si>
    <t>работы по техническому обслуживанию КТС</t>
  </si>
  <si>
    <t>услуги по организации питания (9р.)</t>
  </si>
  <si>
    <t>ООО "Тимшевское ПРТ "Райпо"</t>
  </si>
  <si>
    <t>с 09.01.2025г. по 21.03.2025г.</t>
  </si>
  <si>
    <t>услуги по организации питания учащихся с ОВЗ, инвалидов без статуса ОВЗ, учащихся из многодетных семей, учащихся из семей участников СВО</t>
  </si>
  <si>
    <t xml:space="preserve">с 01.01.2025г. по         31.12.2025г. </t>
  </si>
  <si>
    <t>с 01.01.2025 г. по 27.05.2025 г.</t>
  </si>
  <si>
    <t>0818300019924000328</t>
  </si>
  <si>
    <t>Услуги частной охраны (Выставление поста охраны)</t>
  </si>
  <si>
    <t>08183000199240003280001</t>
  </si>
  <si>
    <t>да</t>
  </si>
  <si>
    <t>24 32353015326235301001 0019 001 5629 244</t>
  </si>
  <si>
    <t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</t>
  </si>
  <si>
    <t>0818300019924000321</t>
  </si>
  <si>
    <t>32353015326 24 000009</t>
  </si>
  <si>
    <t>925 0000 0000000000 244</t>
  </si>
  <si>
    <t>08183000199240003210001</t>
  </si>
  <si>
    <t>2353020735</t>
  </si>
  <si>
    <t>ООО "Тимашевское ПРТ райпо"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</si>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</sst>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19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topLeftCell="A13" zoomScale="70" zoomScaleNormal="70" workbookViewId="0">
      <selection activeCell="G12" sqref="G12:I12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153" t="s">
        <v>141</v>
      </c>
      <c r="B1" s="154"/>
      <c r="C1" s="154"/>
      <c r="D1" s="154"/>
      <c r="E1" s="153" t="s">
        <v>154</v>
      </c>
      <c r="F1" s="154"/>
      <c r="G1" s="154"/>
      <c r="H1" s="154"/>
      <c r="I1" s="154"/>
      <c r="J1" s="154"/>
      <c r="K1" s="154"/>
      <c r="L1" s="154"/>
      <c r="M1" s="154"/>
      <c r="N1" s="155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129" t="s">
        <v>25</v>
      </c>
      <c r="B4" s="130"/>
      <c r="C4" s="4">
        <v>12296919.029999999</v>
      </c>
      <c r="D4" s="5"/>
      <c r="E4" s="131" t="s">
        <v>140</v>
      </c>
      <c r="F4" s="132"/>
      <c r="G4" s="133"/>
      <c r="H4" s="134">
        <v>2000000</v>
      </c>
      <c r="I4" s="135"/>
      <c r="J4" s="136"/>
      <c r="K4" s="17"/>
      <c r="L4" s="81" t="s">
        <v>55</v>
      </c>
      <c r="M4" s="131">
        <v>4962082.2699999996</v>
      </c>
      <c r="N4" s="133"/>
    </row>
    <row r="5" spans="1:14" ht="30.75" customHeight="1" thickBot="1" x14ac:dyDescent="0.3">
      <c r="A5" s="129" t="s">
        <v>26</v>
      </c>
      <c r="B5" s="130"/>
      <c r="C5" s="6">
        <f>C4-G15+J15</f>
        <v>7505483.4099999992</v>
      </c>
      <c r="D5" s="5"/>
      <c r="E5" s="131" t="s">
        <v>53</v>
      </c>
      <c r="F5" s="132"/>
      <c r="G5" s="133"/>
      <c r="H5" s="121">
        <f>H4-G12</f>
        <v>2000000</v>
      </c>
      <c r="I5" s="122"/>
      <c r="J5" s="123"/>
      <c r="K5" s="17"/>
      <c r="L5" s="81" t="s">
        <v>54</v>
      </c>
      <c r="M5" s="124">
        <f>M4-G13+J13</f>
        <v>3818773.82</v>
      </c>
      <c r="N5" s="125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137" t="s">
        <v>27</v>
      </c>
      <c r="B8" s="138"/>
      <c r="C8" s="139"/>
      <c r="D8" s="137" t="s">
        <v>28</v>
      </c>
      <c r="E8" s="138"/>
      <c r="F8" s="139"/>
      <c r="G8" s="140" t="s">
        <v>29</v>
      </c>
      <c r="H8" s="141"/>
      <c r="I8" s="142"/>
      <c r="J8" s="140" t="s">
        <v>142</v>
      </c>
      <c r="K8" s="141"/>
      <c r="L8" s="142"/>
      <c r="M8" s="137" t="s">
        <v>30</v>
      </c>
      <c r="N8" s="139"/>
    </row>
    <row r="9" spans="1:14" ht="41.25" customHeight="1" thickBot="1" x14ac:dyDescent="0.3">
      <c r="A9" s="143" t="s">
        <v>31</v>
      </c>
      <c r="B9" s="144"/>
      <c r="C9" s="145"/>
      <c r="D9" s="146">
        <f>'Состоявшиеся аукционы'!G2</f>
        <v>740880</v>
      </c>
      <c r="E9" s="146"/>
      <c r="F9" s="146"/>
      <c r="G9" s="146">
        <f>'Состоявшиеся аукционы'!Q2</f>
        <v>674200.8</v>
      </c>
      <c r="H9" s="146"/>
      <c r="I9" s="146"/>
      <c r="J9" s="126">
        <f>'Состоявшиеся аукционы'!AB2</f>
        <v>0</v>
      </c>
      <c r="K9" s="128"/>
      <c r="L9" s="127"/>
      <c r="M9" s="146">
        <f t="shared" ref="M9:M15" si="0">D9-G9</f>
        <v>66679.199999999953</v>
      </c>
      <c r="N9" s="146"/>
    </row>
    <row r="10" spans="1:14" ht="78.75" customHeight="1" thickBot="1" x14ac:dyDescent="0.3">
      <c r="A10" s="143" t="s">
        <v>49</v>
      </c>
      <c r="B10" s="144"/>
      <c r="C10" s="145"/>
      <c r="D10" s="146">
        <f>'Несостоявшиеся аукционы'!G2</f>
        <v>1539365.26</v>
      </c>
      <c r="E10" s="146"/>
      <c r="F10" s="146"/>
      <c r="G10" s="146">
        <f>'Несостоявшиеся аукционы'!Q2</f>
        <v>1539365.26</v>
      </c>
      <c r="H10" s="146"/>
      <c r="I10" s="146"/>
      <c r="J10" s="126">
        <f>'Несостоявшиеся аукционы'!AB2</f>
        <v>0</v>
      </c>
      <c r="K10" s="128"/>
      <c r="L10" s="127"/>
      <c r="M10" s="146">
        <f t="shared" si="0"/>
        <v>0</v>
      </c>
      <c r="N10" s="146"/>
    </row>
    <row r="11" spans="1:14" ht="40.5" customHeight="1" thickBot="1" x14ac:dyDescent="0.3">
      <c r="A11" s="143" t="s">
        <v>83</v>
      </c>
      <c r="B11" s="144"/>
      <c r="C11" s="145"/>
      <c r="D11" s="126">
        <f>'Иные конкурентные закупки'!G2</f>
        <v>0</v>
      </c>
      <c r="E11" s="128"/>
      <c r="F11" s="127"/>
      <c r="G11" s="126">
        <f>'Иные конкурентные закупки'!Q2</f>
        <v>0</v>
      </c>
      <c r="H11" s="128"/>
      <c r="I11" s="127"/>
      <c r="J11" s="126">
        <f>'Иные конкурентные закупки'!AB2</f>
        <v>0</v>
      </c>
      <c r="K11" s="128"/>
      <c r="L11" s="127"/>
      <c r="M11" s="126">
        <f t="shared" si="0"/>
        <v>0</v>
      </c>
      <c r="N11" s="127"/>
    </row>
    <row r="12" spans="1:14" ht="54.75" customHeight="1" thickBot="1" x14ac:dyDescent="0.3">
      <c r="A12" s="150" t="s">
        <v>50</v>
      </c>
      <c r="B12" s="151"/>
      <c r="C12" s="152"/>
      <c r="D12" s="146">
        <f>'Ед. поставщик п.4 ч.1'!H2</f>
        <v>0</v>
      </c>
      <c r="E12" s="146"/>
      <c r="F12" s="146"/>
      <c r="G12" s="146">
        <f>D12</f>
        <v>0</v>
      </c>
      <c r="H12" s="146"/>
      <c r="I12" s="146"/>
      <c r="J12" s="126">
        <f>'Ед. поставщик п.4 ч.1'!V2</f>
        <v>0</v>
      </c>
      <c r="K12" s="128"/>
      <c r="L12" s="127"/>
      <c r="M12" s="146">
        <f t="shared" si="0"/>
        <v>0</v>
      </c>
      <c r="N12" s="146"/>
    </row>
    <row r="13" spans="1:14" ht="45.75" customHeight="1" thickBot="1" x14ac:dyDescent="0.3">
      <c r="A13" s="150" t="s">
        <v>51</v>
      </c>
      <c r="B13" s="151"/>
      <c r="C13" s="152"/>
      <c r="D13" s="146">
        <f>'Ед. поставщик п.5 ч.1'!H2</f>
        <v>1143308.4499999997</v>
      </c>
      <c r="E13" s="146"/>
      <c r="F13" s="146"/>
      <c r="G13" s="146">
        <f>D13</f>
        <v>1143308.4499999997</v>
      </c>
      <c r="H13" s="146"/>
      <c r="I13" s="146"/>
      <c r="J13" s="126">
        <f>'Ед. поставщик п.5 ч.1'!V2</f>
        <v>0</v>
      </c>
      <c r="K13" s="128"/>
      <c r="L13" s="127"/>
      <c r="M13" s="146">
        <f t="shared" si="0"/>
        <v>0</v>
      </c>
      <c r="N13" s="146"/>
    </row>
    <row r="14" spans="1:14" ht="45.75" customHeight="1" thickBot="1" x14ac:dyDescent="0.3">
      <c r="A14" s="168" t="s">
        <v>52</v>
      </c>
      <c r="B14" s="169"/>
      <c r="C14" s="170"/>
      <c r="D14" s="126">
        <f>'Ед.поставщик за искл. п.4,5 ч.1'!G2</f>
        <v>1434561.11</v>
      </c>
      <c r="E14" s="128"/>
      <c r="F14" s="127"/>
      <c r="G14" s="126">
        <f>D14</f>
        <v>1434561.11</v>
      </c>
      <c r="H14" s="128"/>
      <c r="I14" s="127"/>
      <c r="J14" s="126">
        <f>'Ед.поставщик за искл. п.4,5 ч.1'!T2</f>
        <v>0</v>
      </c>
      <c r="K14" s="128"/>
      <c r="L14" s="127"/>
      <c r="M14" s="146">
        <f t="shared" si="0"/>
        <v>0</v>
      </c>
      <c r="N14" s="146"/>
    </row>
    <row r="15" spans="1:14" ht="21" thickBot="1" x14ac:dyDescent="0.3">
      <c r="A15" s="147" t="s">
        <v>143</v>
      </c>
      <c r="B15" s="148"/>
      <c r="C15" s="149"/>
      <c r="D15" s="146">
        <f>SUM(D9:D14)</f>
        <v>4858114.8199999994</v>
      </c>
      <c r="E15" s="146"/>
      <c r="F15" s="146"/>
      <c r="G15" s="126">
        <f>SUM(G9:G14)</f>
        <v>4791435.62</v>
      </c>
      <c r="H15" s="128"/>
      <c r="I15" s="127"/>
      <c r="J15" s="126">
        <f>SUM(J9:J14)</f>
        <v>0</v>
      </c>
      <c r="K15" s="128"/>
      <c r="L15" s="127"/>
      <c r="M15" s="146">
        <f t="shared" si="0"/>
        <v>66679.199999999255</v>
      </c>
      <c r="N15" s="146"/>
    </row>
    <row r="18" spans="1:12" ht="15.75" thickBot="1" x14ac:dyDescent="0.3"/>
    <row r="19" spans="1:12" ht="23.25" customHeight="1" x14ac:dyDescent="0.25">
      <c r="A19" s="156" t="s">
        <v>35</v>
      </c>
      <c r="B19" s="157"/>
      <c r="C19" s="158"/>
      <c r="D19" s="162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0</v>
      </c>
      <c r="E19" s="163"/>
      <c r="F19" s="163"/>
      <c r="G19" s="164"/>
      <c r="I19" s="15"/>
      <c r="J19" s="15"/>
      <c r="K19" s="15"/>
      <c r="L19" s="15"/>
    </row>
    <row r="20" spans="1:12" ht="24" customHeight="1" thickBot="1" x14ac:dyDescent="0.3">
      <c r="A20" s="159"/>
      <c r="B20" s="160"/>
      <c r="C20" s="161"/>
      <c r="D20" s="165"/>
      <c r="E20" s="166"/>
      <c r="F20" s="166"/>
      <c r="G20" s="167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10"/>
  <sheetViews>
    <sheetView showGridLines="0" zoomScale="60" zoomScaleNormal="60" workbookViewId="0">
      <pane ySplit="8" topLeftCell="A9" activePane="bottomLeft" state="frozen"/>
      <selection activeCell="I1" sqref="I1"/>
      <selection pane="bottomLeft" activeCell="A9" sqref="A9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0</v>
      </c>
      <c r="K2" s="171"/>
      <c r="L2" s="171"/>
      <c r="M2" s="171"/>
      <c r="N2" s="172" t="s">
        <v>137</v>
      </c>
      <c r="O2" s="174"/>
      <c r="P2" s="69">
        <f>SUM(P9:P9999)</f>
        <v>0</v>
      </c>
      <c r="R2" s="68"/>
      <c r="S2" s="172" t="s">
        <v>45</v>
      </c>
      <c r="T2" s="173"/>
      <c r="U2" s="174"/>
      <c r="V2" s="70">
        <f>SUM(V9:V9999)</f>
        <v>0</v>
      </c>
    </row>
    <row r="3" spans="1:24" x14ac:dyDescent="0.25">
      <c r="A3" s="171"/>
      <c r="B3" s="171"/>
      <c r="C3" s="171"/>
      <c r="D3" s="171"/>
      <c r="E3" s="171"/>
      <c r="N3" s="68"/>
    </row>
    <row r="4" spans="1:24" ht="39.950000000000003" customHeight="1" x14ac:dyDescent="0.25">
      <c r="J4" s="175"/>
      <c r="K4" s="175"/>
      <c r="M4" s="175"/>
      <c r="N4" s="175"/>
      <c r="O4" s="175"/>
      <c r="P4" s="175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x14ac:dyDescent="0.25">
      <c r="A9" s="102">
        <v>1</v>
      </c>
      <c r="B9" s="104"/>
      <c r="C9" s="104"/>
      <c r="D9" s="104"/>
      <c r="E9" s="107"/>
      <c r="F9" s="113"/>
      <c r="G9" s="104"/>
      <c r="H9" s="103"/>
      <c r="I9" s="108">
        <f>IF(X9 = 145, H9 + SUM(S9:S9) - SUM(T9:T9) - SUM(P9:P9) - V9,0)</f>
        <v>0</v>
      </c>
      <c r="J9" s="104"/>
      <c r="K9" s="104"/>
      <c r="L9" s="104"/>
      <c r="M9" s="104"/>
      <c r="N9" s="113"/>
      <c r="O9" s="113"/>
      <c r="P9" s="103"/>
      <c r="Q9" s="107"/>
      <c r="R9" s="104"/>
      <c r="S9" s="103"/>
      <c r="T9" s="103"/>
      <c r="U9" s="103"/>
      <c r="V9" s="112"/>
      <c r="W9" s="106"/>
      <c r="X9" s="85">
        <v>145</v>
      </c>
    </row>
    <row r="10" spans="1:24" x14ac:dyDescent="0.25">
      <c r="X10" s="2">
        <v>146</v>
      </c>
    </row>
  </sheetData>
  <sheetProtection algorithmName="SHA-512" hashValue="w3L6TXyINpBzCOh8ql1BCfSWSQSRwpI2C7fVD/1LmpqdmXfPEocwNhuheDqegtowaxQLkcTiMH5DDyyihHZ87w==" saltValue="XeWmbt5ZGiSMIVAHLPlDNw==" spinCount="100000" sheet="1" objects="1" scenarios="1" formatCells="0" formatColumns="0" formatRows="0"/>
  <mergeCells count="7">
    <mergeCell ref="A3:E3"/>
    <mergeCell ref="S2:U2"/>
    <mergeCell ref="N2:O2"/>
    <mergeCell ref="J4:K4"/>
    <mergeCell ref="M4:N4"/>
    <mergeCell ref="O4:P4"/>
    <mergeCell ref="K2:M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20"/>
  <sheetViews>
    <sheetView showGridLines="0" topLeftCell="F1" zoomScale="60" zoomScaleNormal="60" workbookViewId="0">
      <pane ySplit="8" topLeftCell="A18" activePane="bottomLeft" state="frozen"/>
      <selection pane="bottomLeft" activeCell="O19" sqref="O19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176" t="s">
        <v>24</v>
      </c>
      <c r="G2" s="177"/>
      <c r="H2" s="80">
        <f>SUM(H9:H9999)</f>
        <v>1143308.4499999997</v>
      </c>
      <c r="I2" s="68"/>
      <c r="N2" s="172" t="s">
        <v>137</v>
      </c>
      <c r="O2" s="174"/>
      <c r="P2" s="69">
        <f>SUM(P9:P9999)</f>
        <v>0</v>
      </c>
      <c r="R2" s="68"/>
      <c r="S2" s="172" t="s">
        <v>45</v>
      </c>
      <c r="T2" s="173"/>
      <c r="U2" s="174"/>
      <c r="V2" s="70">
        <f>SUM(V9:V9999)</f>
        <v>0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6.25" x14ac:dyDescent="0.25">
      <c r="A9" s="102">
        <v>1</v>
      </c>
      <c r="B9" s="104" t="s">
        <v>56</v>
      </c>
      <c r="C9" s="104"/>
      <c r="D9" s="104"/>
      <c r="E9" s="104" t="s">
        <v>152</v>
      </c>
      <c r="F9" s="113" t="s">
        <v>163</v>
      </c>
      <c r="G9" s="107" t="s">
        <v>164</v>
      </c>
      <c r="H9" s="103">
        <v>431034.73</v>
      </c>
      <c r="I9" s="108">
        <f>IF(X9 = 156, H9 + SUM(S9:S9) - SUM(T9:T9) - SUM(P9:P9) - V9,0)</f>
        <v>431034.73</v>
      </c>
      <c r="J9" s="109">
        <v>2308119595</v>
      </c>
      <c r="K9" s="110" t="s">
        <v>165</v>
      </c>
      <c r="L9" s="104"/>
      <c r="M9" s="104" t="s">
        <v>166</v>
      </c>
      <c r="N9" s="113"/>
      <c r="O9" s="113" t="s">
        <v>167</v>
      </c>
      <c r="P9" s="103"/>
      <c r="Q9" s="107"/>
      <c r="R9" s="104"/>
      <c r="S9" s="103"/>
      <c r="T9" s="103"/>
      <c r="U9" s="103"/>
      <c r="V9" s="105"/>
      <c r="W9" s="106"/>
      <c r="X9" s="85">
        <v>156</v>
      </c>
    </row>
    <row r="10" spans="1:24" s="85" customFormat="1" ht="75" x14ac:dyDescent="0.25">
      <c r="A10" s="102">
        <v>2</v>
      </c>
      <c r="B10" s="104" t="s">
        <v>56</v>
      </c>
      <c r="C10" s="104"/>
      <c r="D10" s="104"/>
      <c r="E10" s="104" t="s">
        <v>168</v>
      </c>
      <c r="F10" s="113" t="s">
        <v>163</v>
      </c>
      <c r="G10" s="107" t="s">
        <v>169</v>
      </c>
      <c r="H10" s="103">
        <v>104228</v>
      </c>
      <c r="I10" s="108">
        <f>IF(X10 = 157, H10 + SUM(S10:S10) - SUM(T10:T10) - SUM(P10:P10) - V10,0)</f>
        <v>104228</v>
      </c>
      <c r="J10" s="109">
        <v>2353006498</v>
      </c>
      <c r="K10" s="110" t="s">
        <v>170</v>
      </c>
      <c r="L10" s="104"/>
      <c r="M10" s="104" t="s">
        <v>171</v>
      </c>
      <c r="N10" s="113"/>
      <c r="O10" s="113" t="s">
        <v>172</v>
      </c>
      <c r="P10" s="103"/>
      <c r="Q10" s="107"/>
      <c r="R10" s="104"/>
      <c r="S10" s="103"/>
      <c r="T10" s="103"/>
      <c r="U10" s="103"/>
      <c r="V10" s="105"/>
      <c r="W10" s="106"/>
      <c r="X10" s="85">
        <v>157</v>
      </c>
    </row>
    <row r="11" spans="1:24" s="85" customFormat="1" ht="56.25" x14ac:dyDescent="0.25">
      <c r="A11" s="102">
        <v>3</v>
      </c>
      <c r="B11" s="104" t="s">
        <v>56</v>
      </c>
      <c r="C11" s="104"/>
      <c r="D11" s="104"/>
      <c r="E11" s="104" t="s">
        <v>173</v>
      </c>
      <c r="F11" s="113" t="s">
        <v>163</v>
      </c>
      <c r="G11" s="107" t="s">
        <v>174</v>
      </c>
      <c r="H11" s="103">
        <v>50565.84</v>
      </c>
      <c r="I11" s="108">
        <f>IF(X11 = 158, H11 + SUM(S11:S11) - SUM(T11:T11) - SUM(P11:P11) - V11,0)</f>
        <v>50565.84</v>
      </c>
      <c r="J11" s="109">
        <v>2308131994</v>
      </c>
      <c r="K11" s="110" t="s">
        <v>155</v>
      </c>
      <c r="L11" s="104"/>
      <c r="M11" s="104" t="s">
        <v>171</v>
      </c>
      <c r="N11" s="113"/>
      <c r="O11" s="113" t="s">
        <v>175</v>
      </c>
      <c r="P11" s="103"/>
      <c r="Q11" s="107"/>
      <c r="R11" s="104"/>
      <c r="S11" s="103"/>
      <c r="T11" s="103"/>
      <c r="U11" s="103"/>
      <c r="V11" s="105"/>
      <c r="W11" s="106"/>
      <c r="X11" s="85">
        <v>158</v>
      </c>
    </row>
    <row r="12" spans="1:24" s="85" customFormat="1" ht="56.25" x14ac:dyDescent="0.25">
      <c r="A12" s="102">
        <v>4</v>
      </c>
      <c r="B12" s="104" t="s">
        <v>56</v>
      </c>
      <c r="C12" s="104"/>
      <c r="D12" s="104"/>
      <c r="E12" s="104" t="s">
        <v>176</v>
      </c>
      <c r="F12" s="113" t="s">
        <v>163</v>
      </c>
      <c r="G12" s="107" t="s">
        <v>177</v>
      </c>
      <c r="H12" s="103">
        <v>9600</v>
      </c>
      <c r="I12" s="108">
        <f>IF(X12 = 159, H12 + SUM(S12:S12) - SUM(T12:T12) - SUM(P12:P12) - V12,0)</f>
        <v>9600</v>
      </c>
      <c r="J12" s="109">
        <v>2369000660</v>
      </c>
      <c r="K12" s="110" t="s">
        <v>153</v>
      </c>
      <c r="L12" s="104"/>
      <c r="M12" s="104" t="s">
        <v>171</v>
      </c>
      <c r="N12" s="113"/>
      <c r="O12" s="113" t="s">
        <v>179</v>
      </c>
      <c r="P12" s="103"/>
      <c r="Q12" s="107"/>
      <c r="R12" s="104"/>
      <c r="S12" s="103"/>
      <c r="T12" s="103"/>
      <c r="U12" s="103"/>
      <c r="V12" s="105"/>
      <c r="W12" s="106"/>
      <c r="X12" s="85">
        <v>159</v>
      </c>
    </row>
    <row r="13" spans="1:24" s="85" customFormat="1" ht="75" x14ac:dyDescent="0.25">
      <c r="A13" s="102">
        <v>5</v>
      </c>
      <c r="B13" s="104" t="s">
        <v>56</v>
      </c>
      <c r="C13" s="104"/>
      <c r="D13" s="104"/>
      <c r="E13" s="104" t="s">
        <v>161</v>
      </c>
      <c r="F13" s="113" t="s">
        <v>163</v>
      </c>
      <c r="G13" s="107" t="s">
        <v>178</v>
      </c>
      <c r="H13" s="103">
        <v>27331.200000000001</v>
      </c>
      <c r="I13" s="108">
        <f>IF(X13 = 160, H13 + SUM(S13:S13) - SUM(T13:T13) - SUM(P13:P13) - V13,0)</f>
        <v>27331.200000000001</v>
      </c>
      <c r="J13" s="109">
        <v>2310163739</v>
      </c>
      <c r="K13" s="110" t="s">
        <v>147</v>
      </c>
      <c r="L13" s="104"/>
      <c r="M13" s="104" t="s">
        <v>171</v>
      </c>
      <c r="N13" s="113"/>
      <c r="O13" s="113" t="s">
        <v>180</v>
      </c>
      <c r="P13" s="103"/>
      <c r="Q13" s="107"/>
      <c r="R13" s="104"/>
      <c r="S13" s="103"/>
      <c r="T13" s="103"/>
      <c r="U13" s="103"/>
      <c r="V13" s="105"/>
      <c r="W13" s="106"/>
      <c r="X13" s="85">
        <v>160</v>
      </c>
    </row>
    <row r="14" spans="1:24" s="85" customFormat="1" ht="37.5" x14ac:dyDescent="0.25">
      <c r="A14" s="102">
        <v>6</v>
      </c>
      <c r="B14" s="104" t="s">
        <v>56</v>
      </c>
      <c r="C14" s="104"/>
      <c r="D14" s="104"/>
      <c r="E14" s="104" t="s">
        <v>160</v>
      </c>
      <c r="F14" s="113" t="s">
        <v>181</v>
      </c>
      <c r="G14" s="107" t="s">
        <v>182</v>
      </c>
      <c r="H14" s="103">
        <v>90689</v>
      </c>
      <c r="I14" s="108">
        <f>IF(X14 = 161, H14 + SUM(S14:S14) - SUM(T14:T14) - SUM(P14:P14) - V14,0)</f>
        <v>90689</v>
      </c>
      <c r="J14" s="109">
        <v>2369002347</v>
      </c>
      <c r="K14" s="110" t="s">
        <v>150</v>
      </c>
      <c r="L14" s="104"/>
      <c r="M14" s="104" t="s">
        <v>171</v>
      </c>
      <c r="N14" s="113"/>
      <c r="O14" s="113" t="s">
        <v>183</v>
      </c>
      <c r="P14" s="103"/>
      <c r="Q14" s="107"/>
      <c r="R14" s="104"/>
      <c r="S14" s="103"/>
      <c r="T14" s="103"/>
      <c r="U14" s="103"/>
      <c r="V14" s="105"/>
      <c r="W14" s="106"/>
      <c r="X14" s="85">
        <v>161</v>
      </c>
    </row>
    <row r="15" spans="1:24" s="85" customFormat="1" ht="56.25" x14ac:dyDescent="0.25">
      <c r="A15" s="102">
        <v>7</v>
      </c>
      <c r="B15" s="104" t="s">
        <v>56</v>
      </c>
      <c r="C15" s="104"/>
      <c r="D15" s="104"/>
      <c r="E15" s="104" t="s">
        <v>184</v>
      </c>
      <c r="F15" s="113" t="s">
        <v>163</v>
      </c>
      <c r="G15" s="107" t="s">
        <v>185</v>
      </c>
      <c r="H15" s="103">
        <v>17400</v>
      </c>
      <c r="I15" s="108">
        <f>IF(X15 = 162, H15 + SUM(S15:S15) - SUM(T15:T15) - SUM(P15:P15) - V15,0)</f>
        <v>17400</v>
      </c>
      <c r="J15" s="109">
        <v>231107998282</v>
      </c>
      <c r="K15" s="110" t="s">
        <v>162</v>
      </c>
      <c r="L15" s="104"/>
      <c r="M15" s="104" t="s">
        <v>171</v>
      </c>
      <c r="N15" s="113"/>
      <c r="O15" s="113" t="s">
        <v>186</v>
      </c>
      <c r="P15" s="103"/>
      <c r="Q15" s="107"/>
      <c r="R15" s="104"/>
      <c r="S15" s="103"/>
      <c r="T15" s="103"/>
      <c r="U15" s="103"/>
      <c r="V15" s="105"/>
      <c r="W15" s="106"/>
      <c r="X15" s="85">
        <v>162</v>
      </c>
    </row>
    <row r="16" spans="1:24" s="85" customFormat="1" ht="93.75" x14ac:dyDescent="0.25">
      <c r="A16" s="102">
        <v>8</v>
      </c>
      <c r="B16" s="104" t="s">
        <v>56</v>
      </c>
      <c r="C16" s="104"/>
      <c r="D16" s="104"/>
      <c r="E16" s="104" t="s">
        <v>187</v>
      </c>
      <c r="F16" s="113" t="s">
        <v>163</v>
      </c>
      <c r="G16" s="107" t="s">
        <v>188</v>
      </c>
      <c r="H16" s="103">
        <v>30000</v>
      </c>
      <c r="I16" s="108">
        <f>IF(X16 = 163, H16 + SUM(S16:S16) - SUM(T16:T16) - SUM(P16:P16) - V16,0)</f>
        <v>30000</v>
      </c>
      <c r="J16" s="109">
        <v>231107998282</v>
      </c>
      <c r="K16" s="110" t="s">
        <v>162</v>
      </c>
      <c r="L16" s="104"/>
      <c r="M16" s="104" t="s">
        <v>171</v>
      </c>
      <c r="N16" s="113"/>
      <c r="O16" s="113" t="s">
        <v>186</v>
      </c>
      <c r="P16" s="103"/>
      <c r="Q16" s="107"/>
      <c r="R16" s="104"/>
      <c r="S16" s="103"/>
      <c r="T16" s="103"/>
      <c r="U16" s="103"/>
      <c r="V16" s="105"/>
      <c r="W16" s="106"/>
      <c r="X16" s="85">
        <v>163</v>
      </c>
    </row>
    <row r="17" spans="1:24" s="85" customFormat="1" ht="56.25" x14ac:dyDescent="0.25">
      <c r="A17" s="102">
        <v>9</v>
      </c>
      <c r="B17" s="104" t="s">
        <v>56</v>
      </c>
      <c r="C17" s="104"/>
      <c r="D17" s="104"/>
      <c r="E17" s="104" t="s">
        <v>189</v>
      </c>
      <c r="F17" s="113" t="s">
        <v>163</v>
      </c>
      <c r="G17" s="107" t="s">
        <v>190</v>
      </c>
      <c r="H17" s="103">
        <v>18000</v>
      </c>
      <c r="I17" s="108">
        <f>IF(X17 = 164, H17 + SUM(S17:S17) - SUM(T17:T17) - SUM(P17:P17) - V17,0)</f>
        <v>18000</v>
      </c>
      <c r="J17" s="109">
        <v>231107998282</v>
      </c>
      <c r="K17" s="110" t="s">
        <v>162</v>
      </c>
      <c r="L17" s="104"/>
      <c r="M17" s="104" t="s">
        <v>171</v>
      </c>
      <c r="N17" s="113"/>
      <c r="O17" s="113" t="s">
        <v>186</v>
      </c>
      <c r="P17" s="103"/>
      <c r="Q17" s="107"/>
      <c r="R17" s="104"/>
      <c r="S17" s="103"/>
      <c r="T17" s="103"/>
      <c r="U17" s="103"/>
      <c r="V17" s="105"/>
      <c r="W17" s="106"/>
      <c r="X17" s="85">
        <v>164</v>
      </c>
    </row>
    <row r="18" spans="1:24" s="85" customFormat="1" ht="56.25" x14ac:dyDescent="0.25">
      <c r="A18" s="102">
        <v>10</v>
      </c>
      <c r="B18" s="104" t="s">
        <v>56</v>
      </c>
      <c r="C18" s="104"/>
      <c r="D18" s="104"/>
      <c r="E18" s="104" t="s">
        <v>159</v>
      </c>
      <c r="F18" s="113" t="s">
        <v>181</v>
      </c>
      <c r="G18" s="107" t="s">
        <v>191</v>
      </c>
      <c r="H18" s="103">
        <v>10951.2</v>
      </c>
      <c r="I18" s="108">
        <f>IF(X18 = 165, H18 + SUM(S18:S18) - SUM(T18:T18) - SUM(P18:P18) - V18,0)</f>
        <v>10951.2</v>
      </c>
      <c r="J18" s="109">
        <v>2353020735</v>
      </c>
      <c r="K18" s="110" t="s">
        <v>192</v>
      </c>
      <c r="L18" s="104"/>
      <c r="M18" s="104" t="s">
        <v>193</v>
      </c>
      <c r="N18" s="113"/>
      <c r="O18" s="113" t="s">
        <v>186</v>
      </c>
      <c r="P18" s="103"/>
      <c r="Q18" s="107"/>
      <c r="R18" s="104"/>
      <c r="S18" s="103"/>
      <c r="T18" s="103"/>
      <c r="U18" s="103"/>
      <c r="V18" s="105"/>
      <c r="W18" s="106"/>
      <c r="X18" s="85">
        <v>165</v>
      </c>
    </row>
    <row r="19" spans="1:24" s="85" customFormat="1" ht="93.75" x14ac:dyDescent="0.25">
      <c r="A19" s="102">
        <v>11</v>
      </c>
      <c r="B19" s="104" t="s">
        <v>56</v>
      </c>
      <c r="C19" s="104"/>
      <c r="D19" s="104"/>
      <c r="E19" s="104" t="s">
        <v>160</v>
      </c>
      <c r="F19" s="113" t="s">
        <v>181</v>
      </c>
      <c r="G19" s="107" t="s">
        <v>194</v>
      </c>
      <c r="H19" s="103">
        <v>353508.48</v>
      </c>
      <c r="I19" s="108">
        <f>IF(X19 = 166, H19 + SUM(S19:S19) - SUM(T19:T19) - SUM(P19:P19) - V19,0)</f>
        <v>353508.48</v>
      </c>
      <c r="J19" s="109">
        <v>2353020735</v>
      </c>
      <c r="K19" s="110" t="s">
        <v>192</v>
      </c>
      <c r="L19" s="104"/>
      <c r="M19" s="104" t="s">
        <v>193</v>
      </c>
      <c r="N19" s="113"/>
      <c r="O19" s="113" t="s">
        <v>186</v>
      </c>
      <c r="P19" s="103"/>
      <c r="Q19" s="107"/>
      <c r="R19" s="104"/>
      <c r="S19" s="103"/>
      <c r="T19" s="103"/>
      <c r="U19" s="103"/>
      <c r="V19" s="105"/>
      <c r="W19" s="106"/>
      <c r="X19" s="85">
        <v>166</v>
      </c>
    </row>
    <row r="20" spans="1:24" x14ac:dyDescent="0.25">
      <c r="X20" s="2">
        <v>167</v>
      </c>
    </row>
  </sheetData>
  <sheetProtection algorithmName="SHA-512" hashValue="lUubE3dCxYkQQvguRuGVRQckUCGCWqhsA1pkuRcWozdEtp21/gTbS4CMxFrvKAmlSKXmDoaUdwpm3LxpXfoDxQ==" saltValue="pYBKGkvg2VFiv9qWqRUdow==" spinCount="100000" sheet="1" objects="1" scenarios="1" formatCells="0" formatColumns="0" formatRows="0"/>
  <mergeCells count="3">
    <mergeCell ref="S2:U2"/>
    <mergeCell ref="F2:G2"/>
    <mergeCell ref="N2:O2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  <pageSetUpPr fitToPage="1"/>
  </sheetPr>
  <dimension ref="A1:V10"/>
  <sheetViews>
    <sheetView showGridLines="0" view="pageBreakPreview" zoomScale="60" zoomScaleNormal="50" workbookViewId="0">
      <pane ySplit="8" topLeftCell="A9" activePane="bottomLeft" state="frozen"/>
      <selection pane="bottomLeft" activeCell="Q9" sqref="Q9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176" t="s">
        <v>24</v>
      </c>
      <c r="F2" s="177"/>
      <c r="G2" s="80">
        <f>SUM(G9:G9999)</f>
        <v>1434561.11</v>
      </c>
      <c r="L2" s="178" t="s">
        <v>137</v>
      </c>
      <c r="M2" s="179"/>
      <c r="N2" s="69">
        <f>SUM(N9:N9999)</f>
        <v>0</v>
      </c>
      <c r="P2" s="68"/>
      <c r="Q2" s="172" t="s">
        <v>45</v>
      </c>
      <c r="R2" s="173"/>
      <c r="S2" s="174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96">
        <v>1</v>
      </c>
      <c r="B9" s="95"/>
      <c r="C9" s="95"/>
      <c r="D9" s="95" t="s">
        <v>148</v>
      </c>
      <c r="E9" s="100" t="s">
        <v>163</v>
      </c>
      <c r="F9" s="99" t="s">
        <v>149</v>
      </c>
      <c r="G9" s="97">
        <v>1434561.11</v>
      </c>
      <c r="H9" s="98">
        <f>IF(V9 = 6, G9 + SUM(Q9:Q9) - SUM(R9:R9) - SUM(N9:N9) - T9,0)</f>
        <v>1434561.11</v>
      </c>
      <c r="I9" s="111">
        <v>2312054894</v>
      </c>
      <c r="J9" s="95" t="s">
        <v>146</v>
      </c>
      <c r="K9" s="95" t="s">
        <v>195</v>
      </c>
      <c r="L9" s="93"/>
      <c r="M9" s="95" t="s">
        <v>151</v>
      </c>
      <c r="N9" s="92"/>
      <c r="O9" s="93"/>
      <c r="P9" s="94"/>
      <c r="Q9" s="92"/>
      <c r="R9" s="92"/>
      <c r="S9" s="99"/>
      <c r="T9" s="97"/>
      <c r="U9" s="101"/>
      <c r="V9" s="85">
        <v>6</v>
      </c>
    </row>
    <row r="10" spans="1:22" x14ac:dyDescent="0.25">
      <c r="V10" s="2">
        <v>10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3">
    <mergeCell ref="Q2:S2"/>
    <mergeCell ref="E2:F2"/>
    <mergeCell ref="L2:M2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0"/>
  <sheetViews>
    <sheetView showGridLines="0" zoomScale="50" zoomScaleNormal="50" workbookViewId="0">
      <pane ySplit="8" topLeftCell="A9" activePane="bottomLeft" state="frozen"/>
      <selection pane="bottomLeft" activeCell="D9" sqref="D9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76" t="s">
        <v>139</v>
      </c>
      <c r="F2" s="177"/>
      <c r="G2" s="82">
        <f>SUM(G9:G9999)</f>
        <v>740880</v>
      </c>
      <c r="O2" s="176" t="s">
        <v>24</v>
      </c>
      <c r="P2" s="177"/>
      <c r="Q2" s="80">
        <f>SUM(Q9:Q9999)</f>
        <v>674200.8</v>
      </c>
      <c r="T2" s="172" t="s">
        <v>137</v>
      </c>
      <c r="U2" s="174"/>
      <c r="V2" s="69">
        <f>SUM(V9:V9999)</f>
        <v>0</v>
      </c>
      <c r="X2" s="68"/>
      <c r="Y2" s="172" t="s">
        <v>45</v>
      </c>
      <c r="Z2" s="173"/>
      <c r="AA2" s="174"/>
      <c r="AB2" s="70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93.75" x14ac:dyDescent="0.25">
      <c r="A9" s="86">
        <v>1</v>
      </c>
      <c r="B9" s="88"/>
      <c r="C9" s="88" t="s">
        <v>201</v>
      </c>
      <c r="D9" s="88" t="s">
        <v>205</v>
      </c>
      <c r="E9" s="88" t="s">
        <v>197</v>
      </c>
      <c r="F9" s="88" t="s">
        <v>198</v>
      </c>
      <c r="G9" s="87">
        <v>740880</v>
      </c>
      <c r="H9" s="90">
        <f>IF(AD9 = 1, G9 - Q9,0)</f>
        <v>66679.199999999953</v>
      </c>
      <c r="I9" s="87">
        <v>2</v>
      </c>
      <c r="J9" s="87">
        <v>0</v>
      </c>
      <c r="K9" s="88" t="s">
        <v>200</v>
      </c>
      <c r="L9" s="88" t="s">
        <v>204</v>
      </c>
      <c r="M9" s="88" t="s">
        <v>199</v>
      </c>
      <c r="N9" s="91">
        <v>45649</v>
      </c>
      <c r="O9" s="88" t="s">
        <v>156</v>
      </c>
      <c r="P9" s="88" t="s">
        <v>157</v>
      </c>
      <c r="Q9" s="87">
        <v>674200.8</v>
      </c>
      <c r="R9" s="90">
        <f>IF(AD9 = 1, Q9 + SUM(Y9:Y9) - SUM(Z9:Z9) - SUM(V9:V9) - AB9,0)</f>
        <v>674200.8</v>
      </c>
      <c r="S9" s="88" t="s">
        <v>196</v>
      </c>
      <c r="T9" s="91"/>
      <c r="U9" s="89" t="s">
        <v>158</v>
      </c>
      <c r="V9" s="87"/>
      <c r="W9" s="91"/>
      <c r="X9" s="88"/>
      <c r="Y9" s="87"/>
      <c r="Z9" s="87"/>
      <c r="AA9" s="89"/>
      <c r="AB9" s="87"/>
      <c r="AC9" s="88"/>
      <c r="AD9" s="85">
        <v>1</v>
      </c>
    </row>
    <row r="10" spans="1:30" x14ac:dyDescent="0.25">
      <c r="A10" s="114"/>
      <c r="B10" s="115"/>
      <c r="C10" s="115"/>
      <c r="D10" s="115"/>
      <c r="E10" s="115"/>
      <c r="F10" s="115"/>
      <c r="G10" s="118"/>
      <c r="H10" s="119">
        <f>IF(AD10 = 3, G10 - Q10,0)</f>
        <v>0</v>
      </c>
      <c r="I10" s="118"/>
      <c r="J10" s="118"/>
      <c r="K10" s="115"/>
      <c r="L10" s="115"/>
      <c r="M10" s="115"/>
      <c r="N10" s="117"/>
      <c r="O10" s="115"/>
      <c r="P10" s="115"/>
      <c r="Q10" s="118"/>
      <c r="R10" s="119">
        <f>IF(AD10 = 3, Q10 + SUM(Y10:Y10) - SUM(Z10:Z10) - SUM(V10:V10) - AB10,0)</f>
        <v>0</v>
      </c>
      <c r="S10" s="115"/>
      <c r="T10" s="117"/>
      <c r="U10" s="116"/>
      <c r="V10" s="118"/>
      <c r="W10" s="117"/>
      <c r="X10" s="115"/>
      <c r="Y10" s="118"/>
      <c r="Z10" s="118"/>
      <c r="AA10" s="116"/>
      <c r="AB10" s="118"/>
      <c r="AC10" s="115"/>
      <c r="AD10" s="2">
        <v>3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0"/>
  <sheetViews>
    <sheetView showGridLines="0" zoomScale="50" zoomScaleNormal="50" workbookViewId="0">
      <pane ySplit="8" topLeftCell="A9" activePane="bottomLeft" state="frozen"/>
      <selection pane="bottomLeft" activeCell="U9" sqref="U9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76" t="s">
        <v>139</v>
      </c>
      <c r="F2" s="177"/>
      <c r="G2" s="82">
        <f>SUM(G9:G9999)</f>
        <v>1539365.26</v>
      </c>
      <c r="H2" s="10"/>
      <c r="O2" s="176" t="s">
        <v>24</v>
      </c>
      <c r="P2" s="177"/>
      <c r="Q2" s="80">
        <f>SUM(Q9:Q9999)</f>
        <v>1539365.26</v>
      </c>
      <c r="T2" s="172" t="s">
        <v>137</v>
      </c>
      <c r="U2" s="174"/>
      <c r="V2" s="69">
        <f>SUM(V9:V9999)</f>
        <v>0</v>
      </c>
      <c r="X2" s="68"/>
      <c r="Y2" s="172" t="s">
        <v>45</v>
      </c>
      <c r="Z2" s="173"/>
      <c r="AA2" s="174"/>
      <c r="AB2" s="70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s="85" customFormat="1" ht="187.5" x14ac:dyDescent="0.25">
      <c r="A9" s="102">
        <v>1</v>
      </c>
      <c r="B9" s="104"/>
      <c r="C9" s="104" t="s">
        <v>201</v>
      </c>
      <c r="D9" s="104" t="s">
        <v>205</v>
      </c>
      <c r="E9" s="104" t="s">
        <v>203</v>
      </c>
      <c r="F9" s="104" t="s">
        <v>202</v>
      </c>
      <c r="G9" s="103">
        <v>1539365.26</v>
      </c>
      <c r="H9" s="108">
        <f>IF(AD9 = 1, G9 - Q9,0)</f>
        <v>0</v>
      </c>
      <c r="I9" s="103">
        <v>1</v>
      </c>
      <c r="J9" s="103"/>
      <c r="K9" s="104" t="s">
        <v>200</v>
      </c>
      <c r="L9" s="104" t="s">
        <v>204</v>
      </c>
      <c r="M9" s="104" t="s">
        <v>206</v>
      </c>
      <c r="N9" s="120">
        <v>45642</v>
      </c>
      <c r="O9" s="104" t="s">
        <v>207</v>
      </c>
      <c r="P9" s="104" t="s">
        <v>208</v>
      </c>
      <c r="Q9" s="103">
        <v>1539365.26</v>
      </c>
      <c r="R9" s="108">
        <f>IF(AD9 = 1, Q9 + SUM(Y9:Y9) - SUM(Z9:Z9) - SUM(V9:V9) - AB9,0)</f>
        <v>1539365.26</v>
      </c>
      <c r="S9" s="104"/>
      <c r="T9" s="120"/>
      <c r="U9" s="104" t="s">
        <v>209</v>
      </c>
      <c r="V9" s="103"/>
      <c r="W9" s="120"/>
      <c r="X9" s="104"/>
      <c r="Y9" s="103"/>
      <c r="Z9" s="103"/>
      <c r="AA9" s="104"/>
      <c r="AB9" s="103"/>
      <c r="AC9" s="106"/>
      <c r="AD9" s="85">
        <v>1</v>
      </c>
    </row>
    <row r="10" spans="1:30" x14ac:dyDescent="0.25">
      <c r="AD10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zoomScale="50" zoomScaleNormal="50" workbookViewId="0">
      <pane ySplit="8" topLeftCell="A9" activePane="bottomLeft" state="frozen"/>
      <selection pane="bottomLeft" activeCell="O8" sqref="O8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176" t="s">
        <v>139</v>
      </c>
      <c r="F2" s="177"/>
      <c r="G2" s="82">
        <f>SUM(G9:G9999)</f>
        <v>0</v>
      </c>
      <c r="H2" s="10"/>
      <c r="O2" s="176" t="s">
        <v>24</v>
      </c>
      <c r="P2" s="177"/>
      <c r="Q2" s="80">
        <f>SUM(Q9:Q9999)</f>
        <v>0</v>
      </c>
      <c r="T2" s="172" t="s">
        <v>137</v>
      </c>
      <c r="U2" s="174"/>
      <c r="V2" s="69">
        <f>SUM(V9:V9999)</f>
        <v>0</v>
      </c>
      <c r="X2" s="68"/>
      <c r="Y2" s="172" t="s">
        <v>45</v>
      </c>
      <c r="Z2" s="173"/>
      <c r="AA2" s="174"/>
      <c r="AB2" s="70">
        <f>SUM(AB9:AB9999)</f>
        <v>0</v>
      </c>
    </row>
    <row r="4" spans="1:30" ht="39.950000000000003" customHeight="1" x14ac:dyDescent="0.25">
      <c r="P4" s="171"/>
      <c r="Q4" s="171"/>
      <c r="R4" s="171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x14ac:dyDescent="0.25">
      <c r="M9" s="3"/>
      <c r="AD9" s="2">
        <v>10</v>
      </c>
    </row>
    <row r="10" spans="1:30" x14ac:dyDescent="0.25">
      <c r="M10" s="3"/>
    </row>
    <row r="11" spans="1:30" x14ac:dyDescent="0.25">
      <c r="M11" s="3"/>
    </row>
    <row r="12" spans="1:30" x14ac:dyDescent="0.25">
      <c r="M12" s="3"/>
    </row>
    <row r="13" spans="1:30" x14ac:dyDescent="0.25">
      <c r="M13" s="3"/>
    </row>
    <row r="14" spans="1:30" x14ac:dyDescent="0.25">
      <c r="M14" s="3"/>
    </row>
    <row r="15" spans="1:30" x14ac:dyDescent="0.25">
      <c r="M15" s="3"/>
    </row>
    <row r="16" spans="1:30" x14ac:dyDescent="0.25">
      <c r="M16" s="3"/>
    </row>
    <row r="17" spans="13:13" x14ac:dyDescent="0.25">
      <c r="M17" s="3"/>
    </row>
  </sheetData>
  <sheetProtection algorithmName="SHA-512" hashValue="HbrPuUQu5dNgMxSBSe6xhVbdgCS18rSP1ui70saF+cakLtT+QN4fdD/qvoPOoGbp/qnHvM96OmyxLtN3D9jZmg==" saltValue="zD/Rv0G0fmmd6eq758c9LQ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9</v>
      </c>
      <c r="B1" s="47">
        <v>1</v>
      </c>
      <c r="C1" s="47">
        <v>9</v>
      </c>
      <c r="D1" s="182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183"/>
      <c r="E2" s="32"/>
      <c r="F2" s="62">
        <v>145</v>
      </c>
      <c r="G2" s="66">
        <v>166</v>
      </c>
      <c r="H2" s="65">
        <v>9</v>
      </c>
      <c r="I2" s="64">
        <v>2</v>
      </c>
      <c r="J2" s="63">
        <v>1</v>
      </c>
      <c r="K2" s="67">
        <v>9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19</v>
      </c>
      <c r="B4" s="44">
        <v>11</v>
      </c>
      <c r="C4" s="44">
        <v>9</v>
      </c>
      <c r="D4" s="184" t="s">
        <v>102</v>
      </c>
      <c r="E4" s="32"/>
      <c r="F4" s="62">
        <v>146</v>
      </c>
      <c r="G4" s="66">
        <v>167</v>
      </c>
      <c r="H4" s="65">
        <v>10</v>
      </c>
      <c r="I4" s="64">
        <v>3</v>
      </c>
      <c r="J4" s="63">
        <v>2</v>
      </c>
      <c r="K4" s="67">
        <v>10</v>
      </c>
    </row>
    <row r="5" spans="1:11" x14ac:dyDescent="0.25">
      <c r="A5" s="43" t="s">
        <v>89</v>
      </c>
      <c r="B5" s="44" t="s">
        <v>88</v>
      </c>
      <c r="C5" s="44" t="s">
        <v>87</v>
      </c>
      <c r="D5" s="185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9</v>
      </c>
      <c r="B7" s="46">
        <v>1</v>
      </c>
      <c r="C7" s="46">
        <v>9</v>
      </c>
      <c r="D7" s="186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187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9</v>
      </c>
      <c r="B10" s="42">
        <v>1</v>
      </c>
      <c r="C10" s="42">
        <v>9</v>
      </c>
      <c r="D10" s="188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189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9</v>
      </c>
      <c r="B13" s="40">
        <v>1</v>
      </c>
      <c r="C13" s="40">
        <v>9</v>
      </c>
      <c r="D13" s="190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191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8</v>
      </c>
      <c r="B16" s="38">
        <v>0</v>
      </c>
      <c r="C16" s="38">
        <v>9</v>
      </c>
      <c r="D16" s="180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181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2025-02-11T06:25:09Z</dcterms:modified>
</cp:coreProperties>
</file>